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CANCER\NTRA\source\"/>
    </mc:Choice>
  </mc:AlternateContent>
  <xr:revisionPtr revIDLastSave="0" documentId="8_{223DD7E2-6C47-4C0B-8B9A-E9D49277DAC3}" xr6:coauthVersionLast="47" xr6:coauthVersionMax="47" xr10:uidLastSave="{00000000-0000-0000-0000-000000000000}"/>
  <bookViews>
    <workbookView xWindow="-83" yWindow="0" windowWidth="10965" windowHeight="12863" tabRatio="769" firstSheet="1" activeTab="2" xr2:uid="{FCEB4ABB-8424-40DA-955F-917F843B8CF1}"/>
  </bookViews>
  <sheets>
    <sheet name="__FDSCACHE__" sheetId="30" state="veryHidden" r:id="rId1"/>
    <sheet name="Disclaimer" sheetId="35" r:id="rId2"/>
    <sheet name="IS" sheetId="2" r:id="rId3"/>
    <sheet name="Rev" sheetId="3" r:id="rId4"/>
    <sheet name="BS" sheetId="4" r:id="rId5"/>
    <sheet name="CF" sheetId="5" r:id="rId6"/>
    <sheet name="Other Accts" sheetId="8" r:id="rId7"/>
    <sheet name="Valuation" sheetId="7" r:id="rId8"/>
  </sheets>
  <externalReferences>
    <externalReference r:id="rId9"/>
  </externalReferences>
  <definedNames>
    <definedName name="__APW_RESTORE_DATA0__" hidden="1">#REF!</definedName>
    <definedName name="__APW_RESTORE_DATA1__" hidden="1">#REF!</definedName>
    <definedName name="__FDS_HYPERLINK_TOGGLE_STATE__" hidden="1">"ON"</definedName>
    <definedName name="__FDS_UNIQUE_RANGE_ID_GENERATOR_COUNTER" hidden="1">1</definedName>
    <definedName name="__FDS_USED_FOR_REUSING_RANGE_IDS_RECYCLE" hidden="1">{1}</definedName>
    <definedName name="_1__FDSAUDITLINK__" hidden="1">{"fdsup://directions/FAT Viewer?action=UPDATE&amp;creator=factset&amp;DYN_ARGS=TRUE&amp;DOC_NAME=FAT:FQL_AUDITING_CLIENT_TEMPLATE.FAT&amp;display_string=Audit&amp;VAR:KEY=EBGRMLSVGP&amp;VAR:QUERY=RkZfRUJJVERBX09QRVIoUVRSLE5PVyk=&amp;WINDOW=FIRST_POPUP&amp;HEIGHT=450&amp;WIDTH=450&amp;START_MAXIMI","ZED=FALSE&amp;VAR:CALENDAR=US&amp;VAR:SYMBOL=TRGP&amp;VAR:INDEX=0"}</definedName>
    <definedName name="_1994">#REF!</definedName>
    <definedName name="_1995">#REF!</definedName>
    <definedName name="_1996">#REF!</definedName>
    <definedName name="_1997">#REF!</definedName>
    <definedName name="_1998">#REF!</definedName>
    <definedName name="_1999">#REF!</definedName>
    <definedName name="_1Q94">#REF!</definedName>
    <definedName name="_1Q95">#REF!</definedName>
    <definedName name="_2007">#REF!</definedName>
    <definedName name="_2008">#REF!</definedName>
    <definedName name="_2Q94">#REF!</definedName>
    <definedName name="_2Q95">#REF!</definedName>
    <definedName name="_3Q94">#REF!</definedName>
    <definedName name="_3Q95">#REF!</definedName>
    <definedName name="_4Q94">#REF!</definedName>
    <definedName name="_4Q95">#REF!</definedName>
    <definedName name="_bdm.145E0E4D7DEE42ADB360E462874E1BE4.edm" hidden="1">#REF!</definedName>
    <definedName name="_bdm.2f8eb7e6a54f4750aec08d9289285971.edm" hidden="1">#REF!</definedName>
    <definedName name="_bdm.ce1bfab01bb149568da97ba79e8bdd28.edm" hidden="1">#REF!</definedName>
    <definedName name="_bdm.EAE148E967614464973C462DD0F27E07.edm" hidden="1">#REF!</definedName>
    <definedName name="_bdm.eb7a466e58a442c09e5103bbdc59e914.edm" hidden="1">#REF!</definedName>
    <definedName name="_Fill" hidden="1">#REF!</definedName>
    <definedName name="_Key1">#REF!</definedName>
    <definedName name="_marketsource">#REF!</definedName>
    <definedName name="_MatMult_A" hidden="1">#REF!</definedName>
    <definedName name="_MatMult_B" hidden="1">#REF!</definedName>
    <definedName name="_Order1">0</definedName>
    <definedName name="_Regression_Out" hidden="1">#REF!</definedName>
    <definedName name="_Regression_X" hidden="1">#REF!</definedName>
    <definedName name="_Regression_Y" hidden="1">#REF!</definedName>
    <definedName name="_Sort">#REF!</definedName>
    <definedName name="_strtyr">#REF!</definedName>
    <definedName name="_Table1_In1" hidden="1">#REF!</definedName>
    <definedName name="_Table1_Out" hidden="1">#REF!</definedName>
    <definedName name="a">#REF!</definedName>
    <definedName name="aassas" hidden="1">{"PR1","pr1",TRUE,"Sch PR-1"}</definedName>
    <definedName name="Acc_payable">#REF!</definedName>
    <definedName name="Acc_payable_growth_fore">#REF!</definedName>
    <definedName name="Acc_Rec">#REF!</definedName>
    <definedName name="Acc_Rec_growth_fore">#REF!</definedName>
    <definedName name="Acc_Rec_turns">#REF!</definedName>
    <definedName name="Accel_Ratio">#REF!</definedName>
    <definedName name="Accrued_compensation">#REF!</definedName>
    <definedName name="Accrued_compensation_growth_fore">#REF!</definedName>
    <definedName name="Accrued_expenses">#REF!</definedName>
    <definedName name="Accrued_expenses_growth_fore">#REF!</definedName>
    <definedName name="Accum_Cap_Expenses">#REF!</definedName>
    <definedName name="Accum_Cap_Expenses_growth_fore">#REF!</definedName>
    <definedName name="Accum_Goodwill_Amort">#REF!</definedName>
    <definedName name="Accum_Goodwill_Amort_growth_fore">#REF!</definedName>
    <definedName name="Accum_Other_Amort.">#REF!</definedName>
    <definedName name="adasdasdasdasd" hidden="1">{"PR1","pr1",TRUE,"Sch PR-1"}</definedName>
    <definedName name="Adj_net_oper_fore">#REF!</definedName>
    <definedName name="Adjusted_Common_Equity">#REF!</definedName>
    <definedName name="Adjusted_Income_Available_to_Common">#REF!</definedName>
    <definedName name="Adjusted_Net_Operating_Profit">#REF!</definedName>
    <definedName name="AEH_qtrly_results">#REF!</definedName>
    <definedName name="After_tax_charge">#REF!</definedName>
    <definedName name="After_Tax_charges_gains">#REF!</definedName>
    <definedName name="Ag">#REF!</definedName>
    <definedName name="AHC_CAPEX">#REF!</definedName>
    <definedName name="AHC_CAPEX_2004">#REF!</definedName>
    <definedName name="AHC_CAPEX_2005">#REF!</definedName>
    <definedName name="AHC_CAPEX_2006">#REF!</definedName>
    <definedName name="AHC_CAPEX_2007">#REF!</definedName>
    <definedName name="AHC_CAPEX_Chems">#REF!</definedName>
    <definedName name="AHC_CAPEX_EP">#REF!</definedName>
    <definedName name="AHC_CAPEX_EP_2004">#REF!</definedName>
    <definedName name="AHC_CAPEX_EP_2005">#REF!</definedName>
    <definedName name="AHC_CAPEX_EP_2006">#REF!</definedName>
    <definedName name="AHC_CAPEX_EP_2007">#REF!</definedName>
    <definedName name="AHC_CAPEX_Other">#REF!</definedName>
    <definedName name="AHC_CAPEX_Other_2004">#REF!</definedName>
    <definedName name="AHC_CAPEX_Other_2005">#REF!</definedName>
    <definedName name="AHC_CAPEX_Other_2006">#REF!</definedName>
    <definedName name="AHC_CAPEX_Other_2007">#REF!</definedName>
    <definedName name="AHC_CAPEX_RM">#REF!</definedName>
    <definedName name="AHC_CAPEX_RM_2004">#REF!</definedName>
    <definedName name="AHC_CAPEX_RM_2005">#REF!</definedName>
    <definedName name="AHC_CAPEX_RM_2006">#REF!</definedName>
    <definedName name="AHC_CAPEX_RM_2007">#REF!</definedName>
    <definedName name="Alt">#REF!</definedName>
    <definedName name="Annual">#REF!</definedName>
    <definedName name="Annual_enrollment_print">#REF!</definedName>
    <definedName name="Annual_EPS_print">#REF!</definedName>
    <definedName name="Annual_results">#REF!</definedName>
    <definedName name="anscount" hidden="1">1</definedName>
    <definedName name="AS2DocOpenMode" hidden="1">"AS2DocumentEdit"</definedName>
    <definedName name="asasasasas" hidden="1">{"PR1","pr1",TRUE,"Sch PR-1"}</definedName>
    <definedName name="asdf">#REF!</definedName>
    <definedName name="asdf1">#REF!</definedName>
    <definedName name="asdf4">#REF!</definedName>
    <definedName name="assasdafsda" hidden="1">{"PR1","pr1",TRUE,"Sch PR-1"}</definedName>
    <definedName name="Average_invested_capital">#REF!</definedName>
    <definedName name="Average_invested_capital_DCF">#REF!</definedName>
    <definedName name="Average_thereafter">#REF!</definedName>
    <definedName name="Balance_sheets">#REF!</definedName>
    <definedName name="balsheet">#REF!</definedName>
    <definedName name="BAX_annual_results">#REF!</definedName>
    <definedName name="BAX_qtrly_results">#REF!</definedName>
    <definedName name="Beta">#REF!</definedName>
    <definedName name="BHI">#REF!</definedName>
    <definedName name="BJS">#REF!</definedName>
    <definedName name="BLPH2000001" hidden="1">#REF!</definedName>
    <definedName name="BLPH2000002" hidden="1">#REF!</definedName>
    <definedName name="BLPH2000003" hidden="1">#REF!</definedName>
    <definedName name="BLPH2000004" hidden="1">#REF!</definedName>
    <definedName name="BLPH2000005" hidden="1">#REF!</definedName>
    <definedName name="BLPH2000006" hidden="1">#REF!</definedName>
    <definedName name="BLPH2000007" hidden="1">#REF!</definedName>
    <definedName name="BLPH2000008" hidden="1">#REF!</definedName>
    <definedName name="BLPH2000009" hidden="1">#REF!</definedName>
    <definedName name="BLPH2000010" hidden="1">#REF!</definedName>
    <definedName name="BLPH2000011" hidden="1">#REF!</definedName>
    <definedName name="BLPH6000137" hidden="1">#REF!</definedName>
    <definedName name="BLPH6000138" hidden="1">#REF!</definedName>
    <definedName name="BLPH6000139" hidden="1">#REF!</definedName>
    <definedName name="BLPH6000140" hidden="1">#REF!</definedName>
    <definedName name="BLPH6000141" hidden="1">#REF!</definedName>
    <definedName name="BLPH6000142" hidden="1">#REF!</definedName>
    <definedName name="BLPH6000143" hidden="1">#REF!</definedName>
    <definedName name="BLPH6000144" hidden="1">#REF!</definedName>
    <definedName name="BLPH6000145" hidden="1">#REF!</definedName>
    <definedName name="BLPH6000146" hidden="1">#REF!</definedName>
    <definedName name="BLPH6000147" hidden="1">#REF!</definedName>
    <definedName name="BLPH6000148" hidden="1">#REF!</definedName>
    <definedName name="BLPH6000149" hidden="1">#REF!</definedName>
    <definedName name="BLPH6000150" hidden="1">#REF!</definedName>
    <definedName name="BLPH6000151" hidden="1">#REF!</definedName>
    <definedName name="BLPH6000152" hidden="1">#REF!</definedName>
    <definedName name="BLPH6000153" hidden="1">#REF!</definedName>
    <definedName name="BLPH6000154" hidden="1">#REF!</definedName>
    <definedName name="BLPH6000155" hidden="1">#REF!</definedName>
    <definedName name="BLPH6000156" hidden="1">#REF!</definedName>
    <definedName name="BLPH6000157" hidden="1">#REF!</definedName>
    <definedName name="BLPH6000158" hidden="1">#REF!</definedName>
    <definedName name="BLPH6000159" hidden="1">#REF!</definedName>
    <definedName name="BLPH6000160" hidden="1">#REF!</definedName>
    <definedName name="BLPH6000161" hidden="1">#REF!</definedName>
    <definedName name="BLPH6000162" hidden="1">#REF!</definedName>
    <definedName name="BLPH6000163" hidden="1">#REF!</definedName>
    <definedName name="BLPH6000164" hidden="1">#REF!</definedName>
    <definedName name="BLPH6000165" hidden="1">#REF!</definedName>
    <definedName name="BLPH6000166" hidden="1">#REF!</definedName>
    <definedName name="BLPH6000167" hidden="1">#REF!</definedName>
    <definedName name="BLPH6000168" hidden="1">#REF!</definedName>
    <definedName name="BLPH6000169" hidden="1">#REF!</definedName>
    <definedName name="BLPH6000170" hidden="1">#REF!</definedName>
    <definedName name="BLPH6000171" hidden="1">#REF!</definedName>
    <definedName name="BLPH6000172" hidden="1">#REF!</definedName>
    <definedName name="BLPH6000173" hidden="1">#REF!</definedName>
    <definedName name="BLPH6000174" hidden="1">#REF!</definedName>
    <definedName name="BLPH6000175" hidden="1">#REF!</definedName>
    <definedName name="BLPH6000176" hidden="1">#REF!</definedName>
    <definedName name="BLPH6000177" hidden="1">#REF!</definedName>
    <definedName name="BLPH6000178" hidden="1">#REF!</definedName>
    <definedName name="BLPH6000179" hidden="1">#REF!</definedName>
    <definedName name="BLPH6000180" hidden="1">#REF!</definedName>
    <definedName name="BLPH6000181" hidden="1">#REF!</definedName>
    <definedName name="BLPH6000182" hidden="1">#REF!</definedName>
    <definedName name="BLPH6000183" hidden="1">#REF!</definedName>
    <definedName name="BLPH6000184" hidden="1">#REF!</definedName>
    <definedName name="BLPH6000185" hidden="1">#REF!</definedName>
    <definedName name="BLPH6000186" hidden="1">#REF!</definedName>
    <definedName name="BLPH6000187" hidden="1">#REF!</definedName>
    <definedName name="BLPH6000188" hidden="1">#REF!</definedName>
    <definedName name="BLPH6000189" hidden="1">#REF!</definedName>
    <definedName name="BLPH6000190" hidden="1">#REF!</definedName>
    <definedName name="BLPH6000191" hidden="1">#REF!</definedName>
    <definedName name="BLPH6000192" hidden="1">#REF!</definedName>
    <definedName name="BLPH6000193" hidden="1">#REF!</definedName>
    <definedName name="BLPH6000194" hidden="1">#REF!</definedName>
    <definedName name="BLPH6000195" hidden="1">#REF!</definedName>
    <definedName name="BLPH6000196" hidden="1">#REF!</definedName>
    <definedName name="BLPH6000197" hidden="1">#REF!</definedName>
    <definedName name="BLPH6000198" hidden="1">#REF!</definedName>
    <definedName name="BLPH6000199" hidden="1">#REF!</definedName>
    <definedName name="BLPH6000200" hidden="1">#REF!</definedName>
    <definedName name="BLPH6000201" hidden="1">#REF!</definedName>
    <definedName name="BLPH6000202" hidden="1">#REF!</definedName>
    <definedName name="BLPH6000203" hidden="1">#REF!</definedName>
    <definedName name="BLPH6000204" hidden="1">#REF!</definedName>
    <definedName name="BLPH6000205" hidden="1">#REF!</definedName>
    <definedName name="BLPH6000206" hidden="1">#REF!</definedName>
    <definedName name="BLPH6000207" hidden="1">#REF!</definedName>
    <definedName name="BLPH6000208" hidden="1">#REF!</definedName>
    <definedName name="BLPH6000209" hidden="1">#REF!</definedName>
    <definedName name="BLPH6000210" hidden="1">#REF!</definedName>
    <definedName name="BLPH6000211" hidden="1">#REF!</definedName>
    <definedName name="BLPH6000212" hidden="1">#REF!</definedName>
    <definedName name="BLPH6000213" hidden="1">#REF!</definedName>
    <definedName name="BLPH6000214" hidden="1">#REF!</definedName>
    <definedName name="BLPH6000215" hidden="1">#REF!</definedName>
    <definedName name="BLPH6000216" hidden="1">#REF!</definedName>
    <definedName name="BLPH6000217" hidden="1">#REF!</definedName>
    <definedName name="BLPH6000218" hidden="1">#REF!</definedName>
    <definedName name="BLPH6000219" hidden="1">#REF!</definedName>
    <definedName name="BLPH6000220" hidden="1">#REF!</definedName>
    <definedName name="BLPH6000221" hidden="1">#REF!</definedName>
    <definedName name="BLPH6000222" hidden="1">#REF!</definedName>
    <definedName name="BLPH6000428" hidden="1">#REF!</definedName>
    <definedName name="BLPH6000429" hidden="1">#REF!</definedName>
    <definedName name="BLPH6000430" hidden="1">#REF!</definedName>
    <definedName name="BLPH6000431" hidden="1">#REF!</definedName>
    <definedName name="BLPH6000432" hidden="1">#REF!</definedName>
    <definedName name="BLPH6000433" hidden="1">#REF!</definedName>
    <definedName name="BLPH6000434" hidden="1">#REF!</definedName>
    <definedName name="BLPH6000435" hidden="1">#REF!</definedName>
    <definedName name="BLPH6000436" hidden="1">#REF!</definedName>
    <definedName name="BLPH6000437" hidden="1">#REF!</definedName>
    <definedName name="BLPH6000438" hidden="1">#REF!</definedName>
    <definedName name="BLPH6000439" hidden="1">#REF!</definedName>
    <definedName name="BLPH6000440" hidden="1">#REF!</definedName>
    <definedName name="BLPH6000441" hidden="1">#REF!</definedName>
    <definedName name="BLPH6000442" hidden="1">#REF!</definedName>
    <definedName name="BLPH6000443" hidden="1">#REF!</definedName>
    <definedName name="BLPH6000444" hidden="1">#REF!</definedName>
    <definedName name="BLPH6000445" hidden="1">#REF!</definedName>
    <definedName name="BLPH6000446" hidden="1">#REF!</definedName>
    <definedName name="BLPH6000479" hidden="1">#REF!</definedName>
    <definedName name="BLPH6000480" hidden="1">#REF!</definedName>
    <definedName name="BLPH6000481" hidden="1">#REF!</definedName>
    <definedName name="BLPH6000482" hidden="1">#REF!</definedName>
    <definedName name="BLPH6000483" hidden="1">#REF!</definedName>
    <definedName name="BLPH6000484" hidden="1">#REF!</definedName>
    <definedName name="Bond_rating">#REF!</definedName>
    <definedName name="Book_value_per_share">#REF!</definedName>
    <definedName name="BRC">#REF!</definedName>
    <definedName name="BS">#REF!</definedName>
    <definedName name="bsheet">#REF!</definedName>
    <definedName name="Business_segment_proforma">#REF!</definedName>
    <definedName name="Cap">#REF!</definedName>
    <definedName name="Cap._RnD_Asset_net_of_RnD_amort.">#REF!</definedName>
    <definedName name="Capacity">#REF!</definedName>
    <definedName name="Cash">#REF!</definedName>
    <definedName name="Cash_DCF">#REF!</definedName>
    <definedName name="Cash_fore">#REF!</definedName>
    <definedName name="Cash_growth">#REF!</definedName>
    <definedName name="Cash_growth_fore">#REF!</definedName>
    <definedName name="Cash_Operating_Taxes">#REF!</definedName>
    <definedName name="Cash_operating_taxes_fore">#REF!</definedName>
    <definedName name="cashflow">#REF!</definedName>
    <definedName name="CBWorkbookPriority" hidden="1">-1799127640</definedName>
    <definedName name="CF">#REF!</definedName>
    <definedName name="CF_BOE_1998">#REF!</definedName>
    <definedName name="CF_BOE_1999">#REF!</definedName>
    <definedName name="CF_BOE_2000">#REF!</definedName>
    <definedName name="CF_BOE_2001">#REF!</definedName>
    <definedName name="CF_BOE_2002">#REF!</definedName>
    <definedName name="CF_BOE_2003">#REF!</definedName>
    <definedName name="CF_BOE_2004">#REF!</definedName>
    <definedName name="CF_BOE_2005">#REF!</definedName>
    <definedName name="CF_BOE_2006">#REF!</definedName>
    <definedName name="CF_BOE_2007">#REF!</definedName>
    <definedName name="CF_BOE_2008">#REF!</definedName>
    <definedName name="cflow">#REF!</definedName>
    <definedName name="CFPS_Curr_Yr">#REF!</definedName>
    <definedName name="CFPS_Lst_Yr">#REF!</definedName>
    <definedName name="CFPS_Next_Yr">#REF!</definedName>
    <definedName name="Chg_in_fixed_assets">#REF!</definedName>
    <definedName name="Chg_in_other_assets">#REF!</definedName>
    <definedName name="Chg_in_working_capital">#REF!</definedName>
    <definedName name="CIQWBGuid" hidden="1">"01574f8a-a556-4a09-8e0b-d9279891a6fb"</definedName>
    <definedName name="CIQWBInfo" hidden="1">"{ ""CIQVersion"":""9.45.614.5792"" }"</definedName>
    <definedName name="Closing_price">#REF!</definedName>
    <definedName name="CNS">#REF!</definedName>
    <definedName name="co">#REF!</definedName>
    <definedName name="Combined_sales_by_segment">#REF!</definedName>
    <definedName name="Commercial_paper">#REF!</definedName>
    <definedName name="Company">#REF!</definedName>
    <definedName name="CONVERGE">#REF!</definedName>
    <definedName name="COP_BS_EP_2004">#REF!</definedName>
    <definedName name="COP_BS_EP_2005">#REF!</definedName>
    <definedName name="COP_BS_EP_2006">#REF!</definedName>
    <definedName name="Cor">#REF!</definedName>
    <definedName name="Corporate_Value">#REF!</definedName>
    <definedName name="Cost_of_sales_net_of_D_A">#REF!</definedName>
    <definedName name="Cumulative_PV_of_EVA">#REF!</definedName>
    <definedName name="Cumulative_PV_of_FCF">#REF!</definedName>
    <definedName name="Current">#REF!</definedName>
    <definedName name="Current_assets">#REF!</definedName>
    <definedName name="Customer_deposits">#REF!</definedName>
    <definedName name="Customer_deposits_growth_fore">#REF!</definedName>
    <definedName name="CysticF">#REF!</definedName>
    <definedName name="d">#REF!</definedName>
    <definedName name="DAN">#REF!</definedName>
    <definedName name="date">#REF!</definedName>
    <definedName name="DCF_1995">#REF!</definedName>
    <definedName name="DCF_1996">#REF!</definedName>
    <definedName name="DCF_1997">#REF!</definedName>
    <definedName name="DCF_1998">#REF!</definedName>
    <definedName name="DCF_1999">#REF!</definedName>
    <definedName name="DCF_2000">#REF!</definedName>
    <definedName name="DCF_2001">#REF!</definedName>
    <definedName name="DCF_2002">#REF!</definedName>
    <definedName name="DCF_2003">#REF!</definedName>
    <definedName name="DCF_2004">#REF!</definedName>
    <definedName name="DCF_2005">#REF!</definedName>
    <definedName name="DCF_2006">#REF!</definedName>
    <definedName name="DCF_2007">#REF!</definedName>
    <definedName name="DCF_2008">#REF!</definedName>
    <definedName name="DCF_2009">#REF!</definedName>
    <definedName name="DCF_2010">#REF!</definedName>
    <definedName name="DCF_2011">#REF!</definedName>
    <definedName name="DCF_2012">#REF!</definedName>
    <definedName name="DCF_2013">#REF!</definedName>
    <definedName name="DCF_2014">#REF!</definedName>
    <definedName name="DCF_2015">#REF!</definedName>
    <definedName name="DCF_2016">#REF!</definedName>
    <definedName name="DCF_2017">#REF!</definedName>
    <definedName name="DCF_2018">#REF!</definedName>
    <definedName name="DCF_2019">#REF!</definedName>
    <definedName name="DCF_2020">#REF!</definedName>
    <definedName name="DCF_EY1">#REF!</definedName>
    <definedName name="DCF_EY10">#REF!</definedName>
    <definedName name="DCF_EY11">#REF!</definedName>
    <definedName name="DCF_EY12">#REF!</definedName>
    <definedName name="DCF_EY13">#REF!</definedName>
    <definedName name="DCF_EY14">#REF!</definedName>
    <definedName name="DCF_EY15">#REF!</definedName>
    <definedName name="DCF_EY16">#REF!</definedName>
    <definedName name="DCF_EY17">#REF!</definedName>
    <definedName name="DCF_EY18">#REF!</definedName>
    <definedName name="DCF_EY19">#REF!</definedName>
    <definedName name="DCF_EY2">#REF!</definedName>
    <definedName name="DCF_EY20">#REF!</definedName>
    <definedName name="DCF_EY21">#REF!</definedName>
    <definedName name="DCF_EY22">#REF!</definedName>
    <definedName name="DCF_EY23">#REF!</definedName>
    <definedName name="DCF_EY24">#REF!</definedName>
    <definedName name="DCF_EY25">#REF!</definedName>
    <definedName name="DCF_EY26">#REF!</definedName>
    <definedName name="DCF_EY3">#REF!</definedName>
    <definedName name="DCF_EY4">#REF!</definedName>
    <definedName name="DCF_EY5">#REF!</definedName>
    <definedName name="DCF_EY6">#REF!</definedName>
    <definedName name="DCF_EY7">#REF!</definedName>
    <definedName name="DCF_EY8">#REF!</definedName>
    <definedName name="DCF_EY9">#REF!</definedName>
    <definedName name="DCF_P">#REF!</definedName>
    <definedName name="Debt_growth">#REF!</definedName>
    <definedName name="Debt_Market_Cap_Ratio">#REF!</definedName>
    <definedName name="Deferred_tax_asset">#REF!</definedName>
    <definedName name="Deferred_tax_asset_growth_fore">#REF!</definedName>
    <definedName name="Deferred_tax_liability">#REF!</definedName>
    <definedName name="Deferred_tax_liability_growth_fore">#REF!</definedName>
    <definedName name="Deferred_taxes">#REF!</definedName>
    <definedName name="Dep_and_Amort">#REF!</definedName>
    <definedName name="Dep_margin_fore">#REF!</definedName>
    <definedName name="Depreciation">#REF!</definedName>
    <definedName name="Depreciation_fore">#REF!</definedName>
    <definedName name="Depreciation_margin">#REF!</definedName>
    <definedName name="derm.other.total">#REF!</definedName>
    <definedName name="Detail1">#REF!</definedName>
    <definedName name="DI">#REF!</definedName>
    <definedName name="DIL_EPS">#REF!</definedName>
    <definedName name="DIL_SHS">#REF!</definedName>
    <definedName name="Dilution_factor">#REF!</definedName>
    <definedName name="DnA_fore">#REF!</definedName>
    <definedName name="DnA_growth_fore">#REF!</definedName>
    <definedName name="DPS_Curr_Yr">#REF!</definedName>
    <definedName name="DPS_Lst_Yr">#REF!</definedName>
    <definedName name="DPS_Next_Yr">#REF!</definedName>
    <definedName name="EBIT">#REF!</definedName>
    <definedName name="EBIT_fore">#REF!</definedName>
    <definedName name="EBIT_growth">#REF!</definedName>
    <definedName name="EBIT_margin">#REF!</definedName>
    <definedName name="EBIT_margin_fore">#REF!</definedName>
    <definedName name="EBITA">#REF!</definedName>
    <definedName name="EBITA_fore">#REF!</definedName>
    <definedName name="EBITDA">#REF!</definedName>
    <definedName name="EBITDA_DCF">#REF!</definedName>
    <definedName name="EBITDA_fore">#REF!</definedName>
    <definedName name="EBITDA_growth">#REF!</definedName>
    <definedName name="EBITDA_growth_avg">#REF!</definedName>
    <definedName name="EBITDA_margin">#REF!</definedName>
    <definedName name="EBITDA_margin_fore">#REF!</definedName>
    <definedName name="EBITDA_Share">#REF!</definedName>
    <definedName name="Economic_book_value">#REF!</definedName>
    <definedName name="Economic_profit">#REF!</definedName>
    <definedName name="Economic_profit_dcf">#REF!</definedName>
    <definedName name="economic_profit2">#REF!</definedName>
    <definedName name="Effective_tax_rate">#REF!</definedName>
    <definedName name="EN">#REF!</definedName>
    <definedName name="ENHANCEdass">#REF!</definedName>
    <definedName name="Enrollment_summary">#REF!</definedName>
    <definedName name="Enterprise_value">#REF!</definedName>
    <definedName name="EOK">#REF!</definedName>
    <definedName name="EPS">#REF!</definedName>
    <definedName name="EPS_1996">#REF!</definedName>
    <definedName name="EPS_1997">#REF!</definedName>
    <definedName name="EPS_Curr_Qtr">#REF!</definedName>
    <definedName name="EPS_Curr_Yr">#REF!</definedName>
    <definedName name="EPS_growth">#REF!</definedName>
    <definedName name="EPS_growth_avg">#REF!</definedName>
    <definedName name="EPS_Growth_Rate">#REF!</definedName>
    <definedName name="EPS_Lst_Yr">#REF!</definedName>
    <definedName name="EPS_Next_Yr">#REF!</definedName>
    <definedName name="EPS_Qtr_Date">#REF!</definedName>
    <definedName name="Equity_Equivalents">#REF!</definedName>
    <definedName name="Equity_risk_premium">#REF!</definedName>
    <definedName name="Equity_Ticker">#REF!</definedName>
    <definedName name="ESV">#REF!</definedName>
    <definedName name="Excess_cash">#REF!</definedName>
    <definedName name="Expl_forecast_10th_yr">#REF!</definedName>
    <definedName name="Expl_forecast_1st_yr">#REF!</definedName>
    <definedName name="Expl_forecast_2nd_yr">#REF!</definedName>
    <definedName name="Expl_forecast_3rd_yr">#REF!</definedName>
    <definedName name="Expl_forecast_4th_yr">#REF!</definedName>
    <definedName name="Expl_forecast_5th_yr">#REF!</definedName>
    <definedName name="Expl_forecast_6th_yr">#REF!</definedName>
    <definedName name="Expl_forecast_7th_yr">#REF!</definedName>
    <definedName name="Expl_forecast_8th_yr">#REF!</definedName>
    <definedName name="Expl_forecast_9th_yr">#REF!</definedName>
    <definedName name="f" hidden="1">{"PR1","pr1",TRUE,"Sch PR-1"}</definedName>
    <definedName name="F.2002">#REF!</definedName>
    <definedName name="F.2003">#REF!</definedName>
    <definedName name="F.2004">#REF!</definedName>
    <definedName name="F.2005">#REF!</definedName>
    <definedName name="F.2006">#REF!</definedName>
    <definedName name="F.2007">#REF!</definedName>
    <definedName name="F.2008">#REF!</definedName>
    <definedName name="FAS_EPS">#REF!</definedName>
    <definedName name="fasdfs" hidden="1">{#N/A,#N/A,FALSE,"Aging Summary";#N/A,#N/A,FALSE,"Ratio Analysis";#N/A,#N/A,FALSE,"Test 120 Day Accts";#N/A,#N/A,FALSE,"Tickmarks"}</definedName>
    <definedName name="financial.trends">#REF!</definedName>
    <definedName name="Finding_Costs">#REF!</definedName>
    <definedName name="firm">#REF!</definedName>
    <definedName name="first">#REF!</definedName>
    <definedName name="firstpage">#REF!</definedName>
    <definedName name="Fixed_asset_turns">#REF!</definedName>
    <definedName name="Fixed_asset_turns_DCF">#REF!</definedName>
    <definedName name="Fixed_asset_turns_fore">#REF!</definedName>
    <definedName name="Fixed_assets">#REF!</definedName>
    <definedName name="Fixed_assets_DCF">#REF!</definedName>
    <definedName name="ForecastVersion">#REF!</definedName>
    <definedName name="Free_cash_flow">#REF!</definedName>
    <definedName name="GLM">#REF!</definedName>
    <definedName name="Goodwill">#REF!</definedName>
    <definedName name="Goodwill_Amort">#REF!</definedName>
    <definedName name="Goodwill_growth_fore">#REF!</definedName>
    <definedName name="Gross_inc_growth">#REF!</definedName>
    <definedName name="Gross_income">#REF!</definedName>
    <definedName name="Gross_income_fore">#REF!</definedName>
    <definedName name="Gross_income_growth_avg">#REF!</definedName>
    <definedName name="Gross_margin_fore">#REF!</definedName>
    <definedName name="growth">#REF!</definedName>
    <definedName name="HAL">#REF!</definedName>
    <definedName name="HAS_BEEN_UPDATED" hidden="1">#REF!</definedName>
    <definedName name="Hidden_Sheet">#REF!</definedName>
    <definedName name="Historical_Economic_Profit">#REF!</definedName>
    <definedName name="Historical_financials">#REF!</definedName>
    <definedName name="Historical_Incremental_ROIC">#REF!</definedName>
    <definedName name="hmBS">#REF!</definedName>
    <definedName name="hmCF">#REF!</definedName>
    <definedName name="hmIS">#REF!</definedName>
    <definedName name="HPV">#REF!</definedName>
    <definedName name="IC_1">#REF!</definedName>
    <definedName name="IC_10">#REF!</definedName>
    <definedName name="IC_11">#REF!</definedName>
    <definedName name="IC_12">#REF!</definedName>
    <definedName name="IC_13">#REF!</definedName>
    <definedName name="IC_14">#REF!</definedName>
    <definedName name="IC_2">#REF!</definedName>
    <definedName name="IC_3">#REF!</definedName>
    <definedName name="IC_4">#REF!</definedName>
    <definedName name="IC_5">#REF!</definedName>
    <definedName name="IC_6">#REF!</definedName>
    <definedName name="IC_7">#REF!</definedName>
    <definedName name="IC_8">#REF!</definedName>
    <definedName name="IC_9">#REF!</definedName>
    <definedName name="IC_P">#REF!</definedName>
    <definedName name="IC_P1">#REF!</definedName>
    <definedName name="IC_P2">#REF!</definedName>
    <definedName name="IC_P3">#REF!</definedName>
    <definedName name="Img_ML_1y7a6c1t" hidden="1">"IMG_10"</definedName>
    <definedName name="Img_ML_3b3j3x9k" hidden="1">"IMG_6"</definedName>
    <definedName name="Img_ML_3c7g1a7g" hidden="1">"IMG_3"</definedName>
    <definedName name="Img_ML_3e2q4k7i" hidden="1">"IMG_10"</definedName>
    <definedName name="Img_ML_3p5d9q5j" hidden="1">"IMG_10"</definedName>
    <definedName name="Img_ML_5h6q3g8u" hidden="1">"IMG_10"</definedName>
    <definedName name="Img_ML_6f2p1m9g" hidden="1">"IMG_4"</definedName>
    <definedName name="Img_ML_6y9f7y3n" hidden="1">"IMG_10"</definedName>
    <definedName name="Img_ML_7g5e5e2b" hidden="1">"IMG_3"</definedName>
    <definedName name="Img_ML_7n6h3t1t" hidden="1">"IMG_10"</definedName>
    <definedName name="Img_ML_8b9j5t1p" hidden="1">"IMG_10"</definedName>
    <definedName name="Img_ML_8h7g4d4d" hidden="1">"IMG_3"</definedName>
    <definedName name="Img_ML_8r1k8t4y" hidden="1">"IMG_10"</definedName>
    <definedName name="Img_Production_Breakdown" hidden="1">"IMG_3"</definedName>
    <definedName name="impliedgrowth">#REF!</definedName>
    <definedName name="Inc_cap_RnD_fore">#REF!</definedName>
    <definedName name="Income_before_taxes">#REF!</definedName>
    <definedName name="Income_equivalents">#REF!</definedName>
    <definedName name="Income_equivalents_fore">#REF!</definedName>
    <definedName name="Income_form_uncons_subs_fore">#REF!</definedName>
    <definedName name="Income_from_Unconsolidated_Subs">#REF!</definedName>
    <definedName name="Income_tax">#REF!</definedName>
    <definedName name="Income_tax_fore">#REF!</definedName>
    <definedName name="Income_tax_growth_fore">#REF!</definedName>
    <definedName name="Income_tax_rate">#REF!</definedName>
    <definedName name="Income_taxes_payable">#REF!</definedName>
    <definedName name="Income_taxes_payable_growth_fore">#REF!</definedName>
    <definedName name="income2000">#REF!</definedName>
    <definedName name="income98">#REF!</definedName>
    <definedName name="Increase_cap_RnD_fore">#REF!</definedName>
    <definedName name="Increase_Capitalized_R_D_net">#REF!</definedName>
    <definedName name="Increase_Deferred_Taxes">#REF!</definedName>
    <definedName name="Increase_in_other_liabilities">#REF!</definedName>
    <definedName name="Increase_in_other_reserves">#REF!</definedName>
    <definedName name="Increase_LIFO_Reserve">#REF!</definedName>
    <definedName name="Incremental_investment">#REF!</definedName>
    <definedName name="Incremental_ROIC">#REF!</definedName>
    <definedName name="Incremental_ROIC_DCF">#REF!</definedName>
    <definedName name="Inst">#REF!</definedName>
    <definedName name="Instruments">#REF!</definedName>
    <definedName name="Int_exp_OL">#REF!</definedName>
    <definedName name="Interest_exp_growth_fore">#REF!</definedName>
    <definedName name="Interest_exp_inc_fore">#REF!</definedName>
    <definedName name="Interest_expense_after_taxes">#REF!</definedName>
    <definedName name="Interest_expense_income">#REF!</definedName>
    <definedName name="Interest_expense_oper_leases">#REF!</definedName>
    <definedName name="Interest_oper_lease">#REF!</definedName>
    <definedName name="Intl_EP_Depr_2004">#REF!</definedName>
    <definedName name="Intl_EP_NI_2004">#REF!</definedName>
    <definedName name="IntlGasProd_2004">#REF!</definedName>
    <definedName name="IntlOilProd_2004">#REF!</definedName>
    <definedName name="IntlOtherCosts_2004">#REF!</definedName>
    <definedName name="IntlProd_2004">#REF!</definedName>
    <definedName name="IntlProdCosts_2004">#REF!</definedName>
    <definedName name="Inventory">#REF!</definedName>
    <definedName name="Inventory_growth_fore">#REF!</definedName>
    <definedName name="Inventory_turns">#REF!</definedName>
    <definedName name="Invested_capital">#REF!</definedName>
    <definedName name="Invested_capital_DCF">#REF!</definedName>
    <definedName name="Invested_capital_growth_fore">#REF!</definedName>
    <definedName name="Invested_capital_turns">#REF!</definedName>
    <definedName name="Invested_capital_turns_DCF">#REF!</definedName>
    <definedName name="Invested_capital_turns_fore">#REF!</definedName>
    <definedName name="Investments_in_Unconsolidated_Subs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localSheetId="1" hidden="1">"c413"</definedName>
    <definedName name="IQ_ACCOUNT_CHANGE" hidden="1">"c1449"</definedName>
    <definedName name="IQ_ACCOUNTS_PAY" localSheetId="1" hidden="1">"c32"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1" hidden="1">"c8"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1" hidden="1">"c7"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localSheetId="1" hidden="1">"c39"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localSheetId="1" hidden="1">"c16"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1" hidden="1">"c1471"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1" hidden="1">"c65"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localSheetId="1" hidden="1">"c88"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localSheetId="1" hidden="1">"c100"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localSheetId="1" hidden="1">"c115"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localSheetId="1" hidden="1">"c118"</definedName>
    <definedName name="IQ_CASH" hidden="1">"c1458"</definedName>
    <definedName name="IQ_CASH_ACQUIRE_CF" localSheetId="1" hidden="1">"c1630"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localSheetId="1" hidden="1">"c118"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localSheetId="1" hidden="1">"c124"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1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1" hidden="1">"c182"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localSheetId="1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localSheetId="1" hidden="1">"c274"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localSheetId="1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localSheetId="1" hidden="1">"c301"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1" hidden="1">"c313"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1" hidden="1">"c315"</definedName>
    <definedName name="IQ_DEFERRED_INC_TAX" hidden="1">"c1447"</definedName>
    <definedName name="IQ_DEFERRED_TAXES" localSheetId="1" hidden="1">"c147"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1" hidden="1">"c247"</definedName>
    <definedName name="IQ_DEPRE_AMORT" hidden="1">"c1360"</definedName>
    <definedName name="IQ_DEPRE_AMORT_SUPPL" hidden="1">"c1593"</definedName>
    <definedName name="IQ_DEPRE_DEPLE" localSheetId="1" hidden="1">"c261"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localSheetId="1" hidden="1">"c322"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localSheetId="1" hidden="1">"c333"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1" hidden="1">"c330"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localSheetId="1" hidden="1">"c360"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localSheetId="1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localSheetId="1" hidden="1">"c373"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localSheetId="1" hidden="1">"c84"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localSheetId="1" hidden="1">"c552"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localSheetId="1" hidden="1">"c739"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localSheetId="1" hidden="1">"c1225"</definedName>
    <definedName name="IQ_EV_OVER_EMPLOYEE" hidden="1">"c1428"</definedName>
    <definedName name="IQ_EV_OVER_LTM_EBIT" localSheetId="1" hidden="1">"c1221"</definedName>
    <definedName name="IQ_EV_OVER_LTM_EBIT" hidden="1">"c1426"</definedName>
    <definedName name="IQ_EV_OVER_LTM_EBITDA" localSheetId="1" hidden="1">"c1223"</definedName>
    <definedName name="IQ_EV_OVER_LTM_EBITDA" hidden="1">"c1427"</definedName>
    <definedName name="IQ_EV_OVER_LTM_REVENUE" localSheetId="1" hidden="1">"c1227"</definedName>
    <definedName name="IQ_EV_OVER_LTM_REVENUE" hidden="1">"c1429"</definedName>
    <definedName name="IQ_EVAL_DATE" hidden="1">"c2180"</definedName>
    <definedName name="IQ_EXCHANGE" hidden="1">"c405"</definedName>
    <definedName name="IQ_EXERCISE_PRICE" localSheetId="1" hidden="1">"c406"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1" hidden="1">"c413"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localSheetId="1" hidden="1">"c893"</definedName>
    <definedName name="IQ_FINANCING_CASH" hidden="1">"c1405"</definedName>
    <definedName name="IQ_FINANCING_CASH_SUPPL" localSheetId="1" hidden="1">"c899"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1" hidden="1">"c451"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1" hidden="1">"c452"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1" hidden="1">"c530"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localSheetId="1" hidden="1">"c192"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localSheetId="1" hidden="1">"c511"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localSheetId="1" hidden="1">"c789"</definedName>
    <definedName name="IQ_INC_AVAIL_EXCL" hidden="1">"c1395"</definedName>
    <definedName name="IQ_INC_AVAIL_INCL" localSheetId="1" hidden="1">"c791"</definedName>
    <definedName name="IQ_INC_AVAIL_INCL" hidden="1">"c1396"</definedName>
    <definedName name="IQ_INC_BEFORE_TAX" localSheetId="1" hidden="1">"c386"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1" hidden="1">"c907"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1" hidden="1">"c618"</definedName>
    <definedName name="IQ_INTEREST_EXP_NON" hidden="1">"c1383"</definedName>
    <definedName name="IQ_INTEREST_EXP_SUPPL" hidden="1">"c1460"</definedName>
    <definedName name="IQ_INTEREST_INC" localSheetId="1" hidden="1">"c769"</definedName>
    <definedName name="IQ_INTEREST_INC" hidden="1">"c1393"</definedName>
    <definedName name="IQ_INTEREST_INC_NON" localSheetId="1" hidden="1">"c619"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localSheetId="1" hidden="1">"c751"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1" hidden="1">"c656"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1" hidden="1">"c674"</definedName>
    <definedName name="IQ_LONG_TERM_DEBT" hidden="1">"c1387"</definedName>
    <definedName name="IQ_LONG_TERM_DEBT_OVER_TOTAL_CAP" localSheetId="1" hidden="1">"c677"</definedName>
    <definedName name="IQ_LONG_TERM_DEBT_OVER_TOTAL_CAP" hidden="1">"c1388"</definedName>
    <definedName name="IQ_LONG_TERM_GROWTH" hidden="1">"c671"</definedName>
    <definedName name="IQ_LONG_TERM_INV" localSheetId="1" hidden="1">"c697"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localSheetId="1" hidden="1">"c1304"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" hidden="1">40868.4277777778</definedName>
    <definedName name="IQ_NAMES_REVISION_DATE_" hidden="1">41312.2643865741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localSheetId="1" hidden="1">"c781"</definedName>
    <definedName name="IQ_NET_INC" hidden="1">"c1394"</definedName>
    <definedName name="IQ_NET_INC_BEFORE" localSheetId="1" hidden="1">"c344"</definedName>
    <definedName name="IQ_NET_INC_BEFORE" hidden="1">"c1368"</definedName>
    <definedName name="IQ_NET_INC_CF" localSheetId="1" hidden="1">"c793"</definedName>
    <definedName name="IQ_NET_INC_CF" hidden="1">"c1397"</definedName>
    <definedName name="IQ_NET_INC_MARGIN" localSheetId="1" hidden="1">"c794"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1" hidden="1">"c764"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localSheetId="1" hidden="1">"c797"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localSheetId="1" hidden="1">"c801"</definedName>
    <definedName name="IQ_NON_INTEREST_EXP" hidden="1">"c1400"</definedName>
    <definedName name="IQ_NON_INTEREST_INC" localSheetId="1" hidden="1">"c802"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1" hidden="1">"c1176"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localSheetId="1" hidden="1">"c362"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1" hidden="1">"c868"</definedName>
    <definedName name="IQ_OTHER_CURRENT_ASSETS" hidden="1">"c1403"</definedName>
    <definedName name="IQ_OTHER_CURRENT_LIAB" localSheetId="1" hidden="1">"c877"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1" hidden="1">"c916"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1" hidden="1">"c946"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localSheetId="1" hidden="1">"c959"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1" hidden="1">"c1010"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localSheetId="1" hidden="1">"c1022"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1" hidden="1">"c8"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localSheetId="1" hidden="1">"c1034"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1" hidden="1">"c1052"</definedName>
    <definedName name="IQ_PREF_STOCK" hidden="1">"c1416"</definedName>
    <definedName name="IQ_PREF_TOT" localSheetId="1" hidden="1">"c1044"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1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localSheetId="1" hidden="1">"c1026"</definedName>
    <definedName name="IQ_PRICE_OVER_BVPS" hidden="1">"c1412"</definedName>
    <definedName name="IQ_PRICE_OVER_LTM_EPS" localSheetId="1" hidden="1">"c1029"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1" hidden="1">"c795"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localSheetId="1" hidden="1">"c518"</definedName>
    <definedName name="IQ_PROPERTY_GROSS" hidden="1">"c1379"</definedName>
    <definedName name="IQ_PROPERTY_MGMT_FEE" hidden="1">"c1074"</definedName>
    <definedName name="IQ_PROPERTY_NET" localSheetId="1" hidden="1">"c829"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localSheetId="1" hidden="1">"c1059"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localSheetId="1" hidden="1">"c1090"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localSheetId="1" hidden="1">"c1092"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localSheetId="1" hidden="1">"c1117"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1" hidden="1">"c1122"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localSheetId="1" hidden="1">39141.4277314815</definedName>
    <definedName name="IQ_REVISION_DATE_" hidden="1">39170.5951967593</definedName>
    <definedName name="IQ_REVISION_DATE__1" hidden="1">38831.7203703704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1" hidden="1">"c83"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localSheetId="1" hidden="1">"c1197"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1" hidden="1">"c1266"</definedName>
    <definedName name="IQ_TOTAL_CASH_DIVID" hidden="1">"c1455"</definedName>
    <definedName name="IQ_TOTAL_CASH_FINAN" localSheetId="1" hidden="1">"c119"</definedName>
    <definedName name="IQ_TOTAL_CASH_FINAN" hidden="1">"c1352"</definedName>
    <definedName name="IQ_TOTAL_CASH_INVEST" localSheetId="1" hidden="1">"c121"</definedName>
    <definedName name="IQ_TOTAL_CASH_INVEST" hidden="1">"c1353"</definedName>
    <definedName name="IQ_TOTAL_CASH_OPER" localSheetId="1" hidden="1">"c122"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localSheetId="1" hidden="1">"c1022"</definedName>
    <definedName name="IQ_TOTAL_COMMON" hidden="1">"c1411"</definedName>
    <definedName name="IQ_TOTAL_COMMON_EQUITY" hidden="1">"c1246"</definedName>
    <definedName name="IQ_TOTAL_CURRENT_ASSETS" localSheetId="1" hidden="1">"c1243"</definedName>
    <definedName name="IQ_TOTAL_CURRENT_ASSETS" hidden="1">"c1430"</definedName>
    <definedName name="IQ_TOTAL_CURRENT_LIAB" localSheetId="1" hidden="1">"c1245"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1" hidden="1">"c1249"</definedName>
    <definedName name="IQ_TOTAL_DEBT_OVER_EBITDA" hidden="1">"c1433"</definedName>
    <definedName name="IQ_TOTAL_DEBT_OVER_TOTAL_BV" localSheetId="1" hidden="1">"c1250"</definedName>
    <definedName name="IQ_TOTAL_DEBT_OVER_TOTAL_BV" hidden="1">"c1434"</definedName>
    <definedName name="IQ_TOTAL_DEBT_OVER_TOTAL_CAP" localSheetId="1" hidden="1">"c1248"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localSheetId="1" hidden="1">"c1522"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1" hidden="1">"c591"</definedName>
    <definedName name="IQ_TOTAL_INTEREST_EXP" hidden="1">"c1382"</definedName>
    <definedName name="IQ_TOTAL_INVENTORY" localSheetId="1" hidden="1">"c622"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1" hidden="1">"c1279"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1" hidden="1">"c1294"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localSheetId="1" hidden="1">"c1177"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localSheetId="1" hidden="1">"c40"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1" hidden="1">"c1311"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E6" hidden="1">"$E$7"</definedName>
    <definedName name="iQShowHideColumns" hidden="1">"iQShowQuarterlyAnnual"</definedName>
    <definedName name="IS">#REF!</definedName>
    <definedName name="IS_1">#REF!</definedName>
    <definedName name="IS_10">#REF!</definedName>
    <definedName name="IS_11">#REF!</definedName>
    <definedName name="IS_12">#REF!</definedName>
    <definedName name="IS_13">#REF!</definedName>
    <definedName name="IS_14">#REF!</definedName>
    <definedName name="IS_2">#REF!</definedName>
    <definedName name="IS_3">#REF!</definedName>
    <definedName name="IS_4">#REF!</definedName>
    <definedName name="IS_5">#REF!</definedName>
    <definedName name="IS_6">#REF!</definedName>
    <definedName name="IS_7">#REF!</definedName>
    <definedName name="IS_8">#REF!</definedName>
    <definedName name="IS_9">#REF!</definedName>
    <definedName name="IS_p">#REF!</definedName>
    <definedName name="Kd">#REF!</definedName>
    <definedName name="Ke">#REF!</definedName>
    <definedName name="key.new.drug.trends">#REF!</definedName>
    <definedName name="L_T_obligations_under_cap_leases">#REF!</definedName>
    <definedName name="LastListUpdate">0</definedName>
    <definedName name="Lease_thereafter">#REF!</definedName>
    <definedName name="Lease_years">#REF!</definedName>
    <definedName name="Lease_yr_1">#REF!</definedName>
    <definedName name="Lease_yr_2">#REF!</definedName>
    <definedName name="Lease_yr_3">#REF!</definedName>
    <definedName name="Lease_yr_4">#REF!</definedName>
    <definedName name="Lease_yr_5">#REF!</definedName>
    <definedName name="leerink">#REF!</definedName>
    <definedName name="LIFO_Reserve">#REF!</definedName>
    <definedName name="limcount" hidden="1">1</definedName>
    <definedName name="Loan_Loss_Provision_fore">#REF!</definedName>
    <definedName name="LT_debt">#REF!</definedName>
    <definedName name="LT_debt_growth_fore">#REF!</definedName>
    <definedName name="M_PlaceofPath" localSheetId="1" hidden="1">"g:\blabla"</definedName>
    <definedName name="M_PlaceofPath" hidden="1">"E:\ASWANSON\DATA\EXCELDAT\VDF Files\Willoughby VBA Models\drte_vdf.xls"</definedName>
    <definedName name="Market_capitalization">#REF!</definedName>
    <definedName name="Market_Implied_CAP">#REF!</definedName>
    <definedName name="MDR">#REF!</definedName>
    <definedName name="med.tech">#REF!</definedName>
    <definedName name="MIL_TMO">#REF!</definedName>
    <definedName name="Minority_Interests">#REF!</definedName>
    <definedName name="ML_6f2p1m9g">#REF!</definedName>
    <definedName name="MM">#REF!</definedName>
    <definedName name="model">#REF!</definedName>
    <definedName name="N_A">#REF!</definedName>
    <definedName name="name">#REF!</definedName>
    <definedName name="NameTar">#REF!</definedName>
    <definedName name="NAV">#REF!</definedName>
    <definedName name="NAV_SENSE">#REF!</definedName>
    <definedName name="Net_Adj_capitalized_expenses">#REF!</definedName>
    <definedName name="Net_adj_for_capitalized_expenses">#REF!</definedName>
    <definedName name="Net_Income">#REF!</definedName>
    <definedName name="Net_income_adj_cap_expenses">#REF!</definedName>
    <definedName name="Net_income_fore">#REF!</definedName>
    <definedName name="Net_income_growth">#REF!</definedName>
    <definedName name="Net_income_growth_avg">#REF!</definedName>
    <definedName name="Net_margin">#REF!</definedName>
    <definedName name="Net_margin_fore">#REF!</definedName>
    <definedName name="Net_PPE">#REF!</definedName>
    <definedName name="Net_PPE_DCF">#REF!</definedName>
    <definedName name="Net_PPE_growth_fore">#REF!</definedName>
    <definedName name="Net_property_under_capital_leases">#REF!</definedName>
    <definedName name="Net_sales">#REF!</definedName>
    <definedName name="Net_sales_DCF">#REF!</definedName>
    <definedName name="Net_sales_fore">#REF!</definedName>
    <definedName name="Net_sales_growth_fore">#REF!</definedName>
    <definedName name="Net_Tax_Benefit_of_Non_Op_Charges_Gains">#REF!</definedName>
    <definedName name="Net_Unrealized_Gains_Losses">#REF!</definedName>
    <definedName name="Net_working_capital">#REF!</definedName>
    <definedName name="Net_working_capital_DCF">#REF!</definedName>
    <definedName name="Net_working_capital_turns">#REF!</definedName>
    <definedName name="Net_working_capital_turns_DCF">#REF!</definedName>
    <definedName name="NetWC_turns_fore">#REF!</definedName>
    <definedName name="NI_BOE_1998">#REF!</definedName>
    <definedName name="NI_BOE_1999">#REF!</definedName>
    <definedName name="NI_BOE_2000">#REF!</definedName>
    <definedName name="NI_BOE_2001">#REF!</definedName>
    <definedName name="NI_BOE_2002">#REF!</definedName>
    <definedName name="NI_BOE_2003">#REF!</definedName>
    <definedName name="NI_BOE_2004">#REF!</definedName>
    <definedName name="NI_BOE_2005">#REF!</definedName>
    <definedName name="NI_BOE_2006">#REF!</definedName>
    <definedName name="NI_BOE_2007">#REF!</definedName>
    <definedName name="NI_BOE_2008">#REF!</definedName>
    <definedName name="NI_Intl_EP_2004">#REF!</definedName>
    <definedName name="NI_Total_EP_2004">#REF!</definedName>
    <definedName name="NI_US_EP_2004">#REF!</definedName>
    <definedName name="NIBCLs">#REF!</definedName>
    <definedName name="no" hidden="1">{"PR1","pr1",TRUE,"Sch PR-1"}</definedName>
    <definedName name="Non_Recurring_loss_gain">#REF!</definedName>
    <definedName name="NOPAT">#REF!</definedName>
    <definedName name="NOPAT_DCF">#REF!</definedName>
    <definedName name="NOPAT_fore">#REF!</definedName>
    <definedName name="NOPAT_growth">#REF!</definedName>
    <definedName name="NOPAT_growth_avg">#REF!</definedName>
    <definedName name="NOPAT_margin">#REF!</definedName>
    <definedName name="NOPAT_margin_fore">#REF!</definedName>
    <definedName name="NOPAT_Share">#REF!</definedName>
    <definedName name="NOPBT">#REF!</definedName>
    <definedName name="NOPBT_fore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m_ROIC">#REF!</definedName>
    <definedName name="NPT_1">#REF!</definedName>
    <definedName name="NPT_10">#REF!</definedName>
    <definedName name="NPT_11">#REF!</definedName>
    <definedName name="NPT_12">#REF!</definedName>
    <definedName name="NPT_13">#REF!</definedName>
    <definedName name="NPT_14">#REF!</definedName>
    <definedName name="NPT_2">#REF!</definedName>
    <definedName name="NPT_3">#REF!</definedName>
    <definedName name="NPT_4">#REF!</definedName>
    <definedName name="NPT_5">#REF!</definedName>
    <definedName name="NPT_6">#REF!</definedName>
    <definedName name="NPT_7">#REF!</definedName>
    <definedName name="NPT_8">#REF!</definedName>
    <definedName name="NPT_9">#REF!</definedName>
    <definedName name="NPT_EY1">#REF!</definedName>
    <definedName name="NPT_EY2">#REF!</definedName>
    <definedName name="NPT_EY3">#REF!</definedName>
    <definedName name="NPT_P">#REF!</definedName>
    <definedName name="Number_of_Shares">#REF!</definedName>
    <definedName name="OCER">#REF!</definedName>
    <definedName name="Off_B_S_Income">#REF!</definedName>
    <definedName name="Off_B_S_Income_DCF">#REF!</definedName>
    <definedName name="Off_B_S_Income_fore">#REF!</definedName>
    <definedName name="Off_B_S_Income_growth_fore">#REF!</definedName>
    <definedName name="OGBASE_TRANSFER">#REF!</definedName>
    <definedName name="OilSands">#REF!</definedName>
    <definedName name="OL_1">#REF!</definedName>
    <definedName name="OL_10">#REF!</definedName>
    <definedName name="OL_11">#REF!</definedName>
    <definedName name="OL_12">#REF!</definedName>
    <definedName name="OL_13">#REF!</definedName>
    <definedName name="OL_14">#REF!</definedName>
    <definedName name="OL_2">#REF!</definedName>
    <definedName name="OL_3">#REF!</definedName>
    <definedName name="OL_4">#REF!</definedName>
    <definedName name="OL_5">#REF!</definedName>
    <definedName name="OL_6">#REF!</definedName>
    <definedName name="OL_7">#REF!</definedName>
    <definedName name="OL_8">#REF!</definedName>
    <definedName name="OL_9">#REF!</definedName>
    <definedName name="OL_P">#REF!</definedName>
    <definedName name="Op_Margin">#REF!</definedName>
    <definedName name="Operating_Expenses">#REF!</definedName>
    <definedName name="Operating_income">#REF!</definedName>
    <definedName name="Operating_income_fore">#REF!</definedName>
    <definedName name="Operating_Lease_Expense">#REF!</definedName>
    <definedName name="Operating_Lease_Expense_fore">#REF!</definedName>
    <definedName name="Other">#REF!</definedName>
    <definedName name="Other_asset_turns">#REF!</definedName>
    <definedName name="Other_asset_turns_DCF">#REF!</definedName>
    <definedName name="Other_asset_turns_fore">#REF!</definedName>
    <definedName name="Other_assets">#REF!</definedName>
    <definedName name="Other_assets_DCF">#REF!</definedName>
    <definedName name="Other_Assets2">#REF!</definedName>
    <definedName name="Other_current_assets">#REF!</definedName>
    <definedName name="Other_current_assets_growth_fore">#REF!</definedName>
    <definedName name="Other_Current_Assets2">#REF!</definedName>
    <definedName name="Other_current_liabilities">#REF!</definedName>
    <definedName name="Other_current_liabilities_growth_fore">#REF!</definedName>
    <definedName name="Other_Current_Liabilities2">#REF!</definedName>
    <definedName name="Other_DCF">#REF!</definedName>
    <definedName name="Other_dividends">#REF!</definedName>
    <definedName name="Other_Expenses">#REF!</definedName>
    <definedName name="Other_Expenses_fore">#REF!</definedName>
    <definedName name="Other_expenses_gains">#REF!</definedName>
    <definedName name="Other_expenses_gains_fore">#REF!</definedName>
    <definedName name="Other_expenses_growth_fore">#REF!</definedName>
    <definedName name="Other_fixed_asset_turns">#REF!</definedName>
    <definedName name="Other_fixed_asset_turns_fore">#REF!</definedName>
    <definedName name="Other_fixed_assets">#REF!</definedName>
    <definedName name="Other_fixed_assets_growth_fore">#REF!</definedName>
    <definedName name="Other_fixed_assets2">#REF!</definedName>
    <definedName name="Other_growth_fore">#REF!</definedName>
    <definedName name="Other_inc_exp_fore">#REF!</definedName>
    <definedName name="Other_Income">#REF!</definedName>
    <definedName name="Other_income_growth_fore">#REF!</definedName>
    <definedName name="Other_Intangible_Assets">#REF!</definedName>
    <definedName name="Other_liabilities">#REF!</definedName>
    <definedName name="Other_liabilities_growth_fore">#REF!</definedName>
    <definedName name="Other_liabilities2">#REF!</definedName>
    <definedName name="Other_LT_Debt">#REF!</definedName>
    <definedName name="Other_ncome_expenses">#REF!</definedName>
    <definedName name="Other_reserves">#REF!</definedName>
    <definedName name="Other_Segment_Revenues">#REF!</definedName>
    <definedName name="Other_ST_Debt">#REF!</definedName>
    <definedName name="overlay">#REF!</definedName>
    <definedName name="Page_1">#REF!</definedName>
    <definedName name="Page_2">#REF!</definedName>
    <definedName name="Page_3">#REF!</definedName>
    <definedName name="Page_4">#REF!</definedName>
    <definedName name="Partial_year">#REF!</definedName>
    <definedName name="PESC">#REF!</definedName>
    <definedName name="PKD">#REF!</definedName>
    <definedName name="possibleoutcomes">#REF!</definedName>
    <definedName name="PPnE_turns_fore">#REF!</definedName>
    <definedName name="Preferred_book_value">#REF!</definedName>
    <definedName name="Preferred_Dividends">#REF!</definedName>
    <definedName name="Preferred_stock">#REF!</definedName>
    <definedName name="Preferred_stock_growth_fore">#REF!</definedName>
    <definedName name="Present_Value_Oper_lease">#REF!</definedName>
    <definedName name="Pretax_income">#REF!</definedName>
    <definedName name="Pretax_income_fore">#REF!</definedName>
    <definedName name="PRICE_SENSE">#REF!</definedName>
    <definedName name="_xlnm.Print_Area" localSheetId="4">BS!$A$1:$BS$49</definedName>
    <definedName name="_xlnm.Print_Area" localSheetId="5">CF!$A$1:$BS$48</definedName>
    <definedName name="_xlnm.Print_Area" localSheetId="2">IS!$A$1:$BS$64</definedName>
    <definedName name="_xlnm.Print_Area" localSheetId="6">'Other Accts'!$A$1:$P$61</definedName>
    <definedName name="_xlnm.Print_Area" localSheetId="3">Rev!$A$1:$BS$498</definedName>
    <definedName name="_xlnm.Print_Area" localSheetId="7">Valuation!$A$1:$AE$58</definedName>
    <definedName name="_xlnm.Print_Area">#N/A</definedName>
    <definedName name="Print_Area_MI">#REF!</definedName>
    <definedName name="prod1">#REF!</definedName>
    <definedName name="prodDO">#REF!</definedName>
    <definedName name="PROFILE_UPDATE">#REF!</definedName>
    <definedName name="Proforma">#REF!</definedName>
    <definedName name="PSA">#REF!</definedName>
    <definedName name="PV_of_Economic_Profit">#REF!</definedName>
    <definedName name="PV_of_FCF">#REF!</definedName>
    <definedName name="PV_of_Residual_Value">#REF!</definedName>
    <definedName name="PV_Oper_lease">#REF!</definedName>
    <definedName name="PVGO">#REF!</definedName>
    <definedName name="Q1.2002">#REF!</definedName>
    <definedName name="Q1.2003">#REF!</definedName>
    <definedName name="Q1.2004">#REF!</definedName>
    <definedName name="Q1.2005">#REF!</definedName>
    <definedName name="Q1.2006">#REF!</definedName>
    <definedName name="Q2.2002">#REF!</definedName>
    <definedName name="Q2.2003">#REF!</definedName>
    <definedName name="Q2.2004">#REF!</definedName>
    <definedName name="Q2.2005">#REF!</definedName>
    <definedName name="Q2.2006">#REF!</definedName>
    <definedName name="Q3.2002">#REF!</definedName>
    <definedName name="Q3.2003">#REF!</definedName>
    <definedName name="Q3.2004">#REF!</definedName>
    <definedName name="Q3.2005">#REF!</definedName>
    <definedName name="Q3.2006">#REF!</definedName>
    <definedName name="Q4.2002">#REF!</definedName>
    <definedName name="Q4.2003">#REF!</definedName>
    <definedName name="Q4.2004">#REF!</definedName>
    <definedName name="Q4.2005">#REF!</definedName>
    <definedName name="Q4.2006">#REF!</definedName>
    <definedName name="Qtrly_results">#REF!</definedName>
    <definedName name="R_D_amort_years">#REF!</definedName>
    <definedName name="R_D_Amortization">#REF!</definedName>
    <definedName name="R_D_Capzed">#REF!</definedName>
    <definedName name="R_D_expense">#REF!</definedName>
    <definedName name="R_D_expense_IS">#REF!</definedName>
    <definedName name="Range_Names">#REF!</definedName>
    <definedName name="RDC">#REF!</definedName>
    <definedName name="recent.patterns">#REF!</definedName>
    <definedName name="Regional">#REF!</definedName>
    <definedName name="Required_cash">#REF!</definedName>
    <definedName name="Required_cash_percent">#REF!</definedName>
    <definedName name="RESERVES">#REF!</definedName>
    <definedName name="Residual_Value">#REF!</definedName>
    <definedName name="Restructuring_charges">#REF!</definedName>
    <definedName name="Restructuring_charges_growth_fore">#REF!</definedName>
    <definedName name="REV">#REF!</definedName>
    <definedName name="Revenue">#REF!</definedName>
    <definedName name="REVENUE_WORKSHEET_1">#REF!</definedName>
    <definedName name="REVENUE_WORKSHEET_2">#REF!</definedName>
    <definedName name="Revenue_Worksheet_3">#REF!</definedName>
    <definedName name="Revenue_Worksheet_4">#REF!</definedName>
    <definedName name="Revenue1">#REF!</definedName>
    <definedName name="Revenue2">#REF!</definedName>
    <definedName name="RIsk_free_30yr_Treas">#REF!</definedName>
    <definedName name="RM_DDA_2004">#REF!</definedName>
    <definedName name="RM_DDA_2005">#REF!</definedName>
    <definedName name="RM_DDA_2006">#REF!</definedName>
    <definedName name="RM_DDA_2007">#REF!</definedName>
    <definedName name="RM_DDA_2008">#REF!</definedName>
    <definedName name="RnD_expense">#REF!</definedName>
    <definedName name="RnD_expense_fore">#REF!</definedName>
    <definedName name="RnD_expense_growth_fore">#REF!</definedName>
    <definedName name="RnD_expenses_fore">#REF!</definedName>
    <definedName name="ROCC_Intl_2004">#REF!</definedName>
    <definedName name="ROCC_US_2004">#REF!</definedName>
    <definedName name="ROCC_WW_2004">#REF!</definedName>
    <definedName name="ROIC">#REF!</definedName>
    <definedName name="ROIC_DCF">#REF!</definedName>
    <definedName name="ROIC_WACC">#REF!</definedName>
    <definedName name="RORIC__3_yr_rolling">#REF!</definedName>
    <definedName name="RXAnnual">#REF!</definedName>
    <definedName name="s">#REF!</definedName>
    <definedName name="S_T_obligations_under_cap_leases">#REF!</definedName>
    <definedName name="Sales_growth">#REF!</definedName>
    <definedName name="Sales_growth_avg">#REF!</definedName>
    <definedName name="sdsds" hidden="1">{"PR1","pr1",TRUE,"Sch PR-1"}</definedName>
    <definedName name="segment">#REF!</definedName>
    <definedName name="segment.op.profit">#REF!</definedName>
    <definedName name="Segment1_income">#REF!</definedName>
    <definedName name="Segment1_income_DCF">#REF!</definedName>
    <definedName name="Segment1_income_fore">#REF!</definedName>
    <definedName name="Segment1_income_growth_fore">#REF!</definedName>
    <definedName name="Segment2_income">#REF!</definedName>
    <definedName name="Segment2_income_DCF">#REF!</definedName>
    <definedName name="Segment2_income_fore">#REF!</definedName>
    <definedName name="Segment2_income_growth_fore">#REF!</definedName>
    <definedName name="segments">#REF!</definedName>
    <definedName name="sencount" hidden="1">1</definedName>
    <definedName name="SGA">#REF!</definedName>
    <definedName name="SGA_fore">#REF!</definedName>
    <definedName name="SGA_growth">#REF!</definedName>
    <definedName name="SGA_growth_avg">#REF!</definedName>
    <definedName name="SGA_growth_fore">#REF!</definedName>
    <definedName name="SGA_margin">#REF!</definedName>
    <definedName name="SGA_margin_fore">#REF!</definedName>
    <definedName name="Share_Price">#REF!</definedName>
    <definedName name="Shareholder_value">#REF!</definedName>
    <definedName name="Shareholder_Value_EVA">#REF!</definedName>
    <definedName name="Shareholders_equity">#REF!</definedName>
    <definedName name="Shares">#REF!</definedName>
    <definedName name="Shares_DCF">#REF!</definedName>
    <definedName name="Shares_fore">#REF!</definedName>
    <definedName name="Shares_growth">#REF!</definedName>
    <definedName name="Shares_growth_fore">#REF!</definedName>
    <definedName name="Shares_repurchase_liability">#REF!</definedName>
    <definedName name="SII">#REF!</definedName>
    <definedName name="SLB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10" hidden="1">#REF!</definedName>
    <definedName name="solver_lhs11" hidden="1">#REF!</definedName>
    <definedName name="solver_lhs2" hidden="1">#REF!</definedName>
    <definedName name="solver_lhs3" hidden="1">#REF!</definedName>
    <definedName name="solver_lhs4" hidden="1">#REF!</definedName>
    <definedName name="solver_lhs5" hidden="1">#REF!</definedName>
    <definedName name="solver_lhs6" hidden="1">#REF!</definedName>
    <definedName name="solver_lhs7" hidden="1">#REF!</definedName>
    <definedName name="solver_lhs8" hidden="1">#REF!</definedName>
    <definedName name="solver_lhs9" hidden="1">#REF!</definedName>
    <definedName name="solver_lin" hidden="1">2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el10" hidden="1">1</definedName>
    <definedName name="solver_rel11" hidden="1">3</definedName>
    <definedName name="solver_rel2" hidden="1">2</definedName>
    <definedName name="solver_rel3" hidden="1">2</definedName>
    <definedName name="solver_rel4" hidden="1">2</definedName>
    <definedName name="solver_rel5" hidden="1">1</definedName>
    <definedName name="solver_rel6" hidden="1">3</definedName>
    <definedName name="solver_rel7" hidden="1">2</definedName>
    <definedName name="solver_rel8" hidden="1">1</definedName>
    <definedName name="solver_rel9" hidden="1">3</definedName>
    <definedName name="solver_rhs1" hidden="1">#REF!</definedName>
    <definedName name="solver_rhs10" hidden="1">#REF!</definedName>
    <definedName name="solver_rhs11" hidden="1">#REF!</definedName>
    <definedName name="solver_rhs2" hidden="1">#REF!</definedName>
    <definedName name="solver_rhs3" hidden="1">#REF!</definedName>
    <definedName name="solver_rhs4" hidden="1">#REF!</definedName>
    <definedName name="solver_rhs5" hidden="1">#REF!</definedName>
    <definedName name="solver_rhs6" hidden="1">#REF!</definedName>
    <definedName name="solver_rhs7" hidden="1">#REF!</definedName>
    <definedName name="solver_rhs8" hidden="1">#REF!</definedName>
    <definedName name="solver_rhs9" hidden="1">#REF!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1053</definedName>
    <definedName name="SourceFolder">#REF!</definedName>
    <definedName name="Spread_on_debt">#REF!</definedName>
    <definedName name="sssssss" hidden="1">{"PR1","pr1",TRUE,"Sch PR-1"}</definedName>
    <definedName name="ST_debt">#REF!</definedName>
    <definedName name="ST_debt_growth_fore">#REF!</definedName>
    <definedName name="Staightline_charge">#REF!</definedName>
    <definedName name="Stock_price">#REF!</definedName>
    <definedName name="Stock_price_close">#REF!</definedName>
    <definedName name="Stock_price_high">#REF!</definedName>
    <definedName name="Stock_price_low">#REF!</definedName>
    <definedName name="Summary_1">#REF!</definedName>
    <definedName name="Summary_1991">#REF!</definedName>
    <definedName name="Summary_1992">#REF!</definedName>
    <definedName name="Summary_1993">#REF!</definedName>
    <definedName name="Summary_1994">#REF!</definedName>
    <definedName name="Summary_1995">#REF!</definedName>
    <definedName name="Summary_1996">#REF!</definedName>
    <definedName name="Summary_1997">#REF!</definedName>
    <definedName name="Summary_2">#REF!</definedName>
    <definedName name="Summary_3">#REF!</definedName>
    <definedName name="Summary_4">#REF!</definedName>
    <definedName name="Summary_Date">#REF!</definedName>
    <definedName name="Summary_EY1">#REF!</definedName>
    <definedName name="Summary_EY2">#REF!</definedName>
    <definedName name="Summary_P">#REF!</definedName>
    <definedName name="Target">#REF!</definedName>
    <definedName name="Target_debt_to_capital">#REF!</definedName>
    <definedName name="Tax_benefit_from_interest">#REF!</definedName>
    <definedName name="Tax_benefit_from_oper_leases">#REF!</definedName>
    <definedName name="Tax_benefit_from_ops_leases">#REF!</definedName>
    <definedName name="Tax_rate_for_WACC">#REF!</definedName>
    <definedName name="Tax_Shield_Tax_Rate">#REF!</definedName>
    <definedName name="taxtar">#REF!</definedName>
    <definedName name="taxtar2">#REF!</definedName>
    <definedName name="TECH_Theoretical">#REF!</definedName>
    <definedName name="Ticker">#REF!</definedName>
    <definedName name="Tigr_Exhibit0db6b789_2997_4d41_831b_f4e97361700d" hidden="1">#REF!</definedName>
    <definedName name="Tigr_Exhibit4d6ecd49_4aa9_49ca_8a37_5abd2dc19e2f" hidden="1">#REF!</definedName>
    <definedName name="Tigr_Exhibit8e8f182e_a8c2_4624_a28f_879dd80be0fc" hidden="1">#REF!</definedName>
    <definedName name="Tigr_Exhibitb3613579_dfe3_458b_adeb_d40774d53dd4" hidden="1">#REF!</definedName>
    <definedName name="Tigr_Exhibitbd9059e8_315a_4240_91d4_f350a136c61b" hidden="1">#REF!</definedName>
    <definedName name="Tigr_Exhibitd8c38d3f_eeb8_4bf9_be54_f0c2f9e2dc38" hidden="1">#REF!</definedName>
    <definedName name="Tigr_Exhibitda6a43c4_0787_4dc2_95cb_cd31df0ca4a6" hidden="1">#REF!</definedName>
    <definedName name="Tigr_Exhibitdbf5f840_83e6_46b9_8d04_0d08b2ecc9d1" hidden="1">#REF!</definedName>
    <definedName name="Tigr_Exhibite9ef4635_f19e_4475_bd77_e7cbce69a310" hidden="1">#REF!</definedName>
    <definedName name="top">#REF!</definedName>
    <definedName name="Total_amort_fore">#REF!</definedName>
    <definedName name="Total_Amortization">#REF!</definedName>
    <definedName name="Total_Amortization_fore">#REF!</definedName>
    <definedName name="Total_COS">#REF!</definedName>
    <definedName name="Total_COS_fore">#REF!</definedName>
    <definedName name="Total_COS_growth_fore">#REF!</definedName>
    <definedName name="Total_COS_net_DnA">#REF!</definedName>
    <definedName name="Total_COS_net_DnA_fore">#REF!</definedName>
    <definedName name="Total_debt">#REF!</definedName>
    <definedName name="Total_debt_DCF">#REF!</definedName>
    <definedName name="Total_debt_fore">#REF!</definedName>
    <definedName name="Total_debt_growth_fore">#REF!</definedName>
    <definedName name="Total_increase_in_EEs">#REF!</definedName>
    <definedName name="Total_Increase_in_EEs_fore">#REF!</definedName>
    <definedName name="Total_other_assets">#REF!</definedName>
    <definedName name="Total_Sales">#REF!</definedName>
    <definedName name="trans">#N/A</definedName>
    <definedName name="transx">#N/A</definedName>
    <definedName name="Troponin">#REF!</definedName>
    <definedName name="Ulcer_Market">#REF!</definedName>
    <definedName name="US_EP_Depr_2003">#REF!</definedName>
    <definedName name="US_EP_Depr_2004">#REF!</definedName>
    <definedName name="US_EP_NI_2004">#REF!</definedName>
    <definedName name="USGasProd_2004">#REF!</definedName>
    <definedName name="USOilProd_2004">#REF!</definedName>
    <definedName name="USOtherCosts_2004">#REF!</definedName>
    <definedName name="USProd_2004">#REF!</definedName>
    <definedName name="USProdCosts_2004">#REF!</definedName>
    <definedName name="Valuation_model">#REF!</definedName>
    <definedName name="Valuation_summary">#REF!</definedName>
    <definedName name="Value_of_Equity">#REF!</definedName>
    <definedName name="Value_of_Firm">#REF!</definedName>
    <definedName name="Value_of_Unconsol._Subs">#REF!</definedName>
    <definedName name="Value_per_share">#REF!</definedName>
    <definedName name="Valuepage">#REF!</definedName>
    <definedName name="votes_print">#REF!</definedName>
    <definedName name="VRC">#REF!</definedName>
    <definedName name="VVV">#REF!</definedName>
    <definedName name="WACC_1">#REF!</definedName>
    <definedName name="WACC_10">#REF!</definedName>
    <definedName name="WACC_11">#REF!</definedName>
    <definedName name="WACC_12">#REF!</definedName>
    <definedName name="WACC_13">#REF!</definedName>
    <definedName name="WACC_14">#REF!</definedName>
    <definedName name="WACC_2">#REF!</definedName>
    <definedName name="WACC_3">#REF!</definedName>
    <definedName name="WACC_4">#REF!</definedName>
    <definedName name="WACC_5">#REF!</definedName>
    <definedName name="WACC_6">#REF!</definedName>
    <definedName name="WACC_7">#REF!</definedName>
    <definedName name="WACC_8">#REF!</definedName>
    <definedName name="WACC_9">#REF!</definedName>
    <definedName name="WACC_fore">#REF!</definedName>
    <definedName name="WACC_P">#REF!</definedName>
    <definedName name="WACC_P_1">#REF!</definedName>
    <definedName name="WACC_P_10">#REF!</definedName>
    <definedName name="WACC_P_11">#REF!</definedName>
    <definedName name="WACC_P_12">#REF!</definedName>
    <definedName name="WACC_P_13">#REF!</definedName>
    <definedName name="WACC_P_14">#REF!</definedName>
    <definedName name="WACC_P_2">#REF!</definedName>
    <definedName name="WACC_P_3">#REF!</definedName>
    <definedName name="WACC_P_4">#REF!</definedName>
    <definedName name="WACC_P_5">#REF!</definedName>
    <definedName name="WACC_P_6">#REF!</definedName>
    <definedName name="WACC_P_7">#REF!</definedName>
    <definedName name="WACC_P_8">#REF!</definedName>
    <definedName name="WACC_P_9">#REF!</definedName>
    <definedName name="Warfarin">#REF!</definedName>
    <definedName name="workcap">#REF!</definedName>
    <definedName name="WORLDWIDE">#REF!</definedName>
    <definedName name="wrn.Aging._.and._.Trend._.Analysis." hidden="1">{#N/A,#N/A,FALSE,"Aging Summary";#N/A,#N/A,FALSE,"Ratio Analysis";#N/A,#N/A,FALSE,"Test 120 Day Accts";#N/A,#N/A,FALSE,"Tickmarks"}</definedName>
    <definedName name="wrn.Internal._.Print." hidden="1">{"Page 1",#N/A,FALSE,"Q-Breakdown";"Page 2",#N/A,FALSE,"Q-Breakdown"}</definedName>
    <definedName name="wrn.OVERVIEW." hidden="1">{"Drivers",#N/A,TRUE,"Drivers";"Financials",#N/A,TRUE,"Financials";"ASSET COVG",#N/A,TRUE,"SUMMARY OUTPUT";"RBS Income",#N/A,TRUE,"Calcs";"Calcs",#N/A,TRUE,"Calcs";"Frio Type",#N/A,TRUE,"Frio";"Yegua Type",#N/A,TRUE,"Yegua";"Wilcox Type",#N/A,TRUE,"Wilcox";"Hedges",#N/A,TRUE,"Hedges"}</definedName>
    <definedName name="wrn.Report_PR_1." hidden="1">{"PR1","pr1",TRUE,"Sch PR-1"}</definedName>
    <definedName name="wrn.Xternal._.Print." hidden="1">{"Client Page",#N/A,FALSE,"Q-Breakdown"}</definedName>
    <definedName name="WTI_2004Q3">#REF!</definedName>
    <definedName name="WTI_2004Q4">#REF!</definedName>
    <definedName name="WW_EP_Depr_2004">#REF!</definedName>
    <definedName name="WW_EP_NI_2004">#REF!</definedName>
    <definedName name="WW_EP_ROCC_1998">#REF!</definedName>
    <definedName name="WW_EP_ROCC_1999">#REF!</definedName>
    <definedName name="WW_EP_ROCC_2000">#REF!</definedName>
    <definedName name="WW_EP_ROCC_2001">#REF!</definedName>
    <definedName name="WW_EP_ROCC_2002">#REF!</definedName>
    <definedName name="WW_EP_ROCC_2003">#REF!</definedName>
    <definedName name="WW_EP_ROCC_2004">#REF!</definedName>
    <definedName name="WW_EP_ROCC_2005">#REF!</definedName>
    <definedName name="WW_EP_ROCC_2006">#REF!</definedName>
    <definedName name="WWGasProd_2004">#REF!</definedName>
    <definedName name="WWOilProd_2004">#REF!</definedName>
    <definedName name="WWOtherCosts_2004">#REF!</definedName>
    <definedName name="WWProd_2004">#REF!</definedName>
    <definedName name="WWProdCosts_2004">#REF!</definedName>
    <definedName name="XOM_CAPEX">#REF!</definedName>
    <definedName name="XOM_CAPEX_Chems">#REF!</definedName>
    <definedName name="XOM_CAPEX_EP">#REF!</definedName>
    <definedName name="XOM_CAPEX_Other">#REF!</definedName>
    <definedName name="XOM_CAPEX_RM">#REF!</definedName>
    <definedName name="Year">#REF!</definedName>
    <definedName name="Years_in_full_stream">#REF!</definedName>
    <definedName name="Years_into_futu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9" i="3" l="1"/>
  <c r="BJ47" i="2" l="1"/>
  <c r="BK47" i="2"/>
  <c r="BL47" i="2"/>
  <c r="BM47" i="2"/>
  <c r="BK163" i="3" l="1"/>
  <c r="BJ163" i="3"/>
  <c r="AJ8" i="7"/>
  <c r="BH19" i="2"/>
  <c r="BL163" i="3"/>
  <c r="BM163" i="3"/>
  <c r="BO91" i="3"/>
  <c r="BJ119" i="3"/>
  <c r="BK119" i="3" s="1"/>
  <c r="BL119" i="3" s="1"/>
  <c r="BM119" i="3" s="1"/>
  <c r="BH55" i="8"/>
  <c r="BH48" i="8"/>
  <c r="BH28" i="8"/>
  <c r="BH24" i="8"/>
  <c r="BH22" i="8"/>
  <c r="BH8" i="8"/>
  <c r="BH44" i="4"/>
  <c r="BH43" i="4"/>
  <c r="BH45" i="4" s="1"/>
  <c r="BH42" i="4"/>
  <c r="BH35" i="4"/>
  <c r="BH36" i="4" s="1"/>
  <c r="BH38" i="4" s="1"/>
  <c r="BH29" i="4"/>
  <c r="BH31" i="4" s="1"/>
  <c r="BH26" i="4"/>
  <c r="BH18" i="4"/>
  <c r="BH19" i="4" s="1"/>
  <c r="BH13" i="4"/>
  <c r="BH26" i="2"/>
  <c r="BH57" i="4" s="1"/>
  <c r="BH25" i="2"/>
  <c r="BH15" i="2"/>
  <c r="BH30" i="8" s="1"/>
  <c r="BH22" i="2"/>
  <c r="BH17" i="2"/>
  <c r="BH16" i="2"/>
  <c r="BH9" i="8" s="1"/>
  <c r="BH10" i="8" s="1"/>
  <c r="BH31" i="3"/>
  <c r="BH14" i="3"/>
  <c r="BH13" i="3"/>
  <c r="BH21" i="4" l="1"/>
  <c r="BH47" i="4"/>
  <c r="BG36" i="5" l="1"/>
  <c r="BG505" i="3"/>
  <c r="BG512" i="3"/>
  <c r="BG40" i="8" l="1"/>
  <c r="BH36" i="8" s="1"/>
  <c r="BH39" i="8" s="1"/>
  <c r="BH40" i="8" s="1"/>
  <c r="BF40" i="8"/>
  <c r="BG36" i="8" s="1"/>
  <c r="BG9" i="8"/>
  <c r="BF18" i="8"/>
  <c r="BG18" i="8" s="1"/>
  <c r="BG22" i="8"/>
  <c r="BF22" i="8"/>
  <c r="BG24" i="8"/>
  <c r="BF24" i="8"/>
  <c r="BG28" i="8"/>
  <c r="BG48" i="8"/>
  <c r="BH45" i="8" s="1"/>
  <c r="BG55" i="8"/>
  <c r="BH52" i="8" s="1"/>
  <c r="BF39" i="8"/>
  <c r="BG39" i="8" s="1"/>
  <c r="BF34" i="5"/>
  <c r="BG34" i="5" s="1"/>
  <c r="BG92" i="5"/>
  <c r="BG93" i="5"/>
  <c r="BG86" i="5"/>
  <c r="BH18" i="8" l="1"/>
  <c r="BG14" i="8"/>
  <c r="BH257" i="3"/>
  <c r="BG30" i="8"/>
  <c r="BG57" i="4"/>
  <c r="BH54" i="4" s="1"/>
  <c r="BG45" i="4"/>
  <c r="BG35" i="4"/>
  <c r="BG36" i="4" s="1"/>
  <c r="BG26" i="4"/>
  <c r="BG31" i="4" s="1"/>
  <c r="BG18" i="4"/>
  <c r="BG19" i="4" s="1"/>
  <c r="BG9" i="4"/>
  <c r="BG8" i="8" s="1"/>
  <c r="BG71" i="2"/>
  <c r="BG72" i="2" s="1"/>
  <c r="BG37" i="2"/>
  <c r="BG36" i="2"/>
  <c r="BG13" i="2"/>
  <c r="BG8" i="2"/>
  <c r="BG9" i="2" s="1"/>
  <c r="BG468" i="3"/>
  <c r="BG14" i="3"/>
  <c r="BG9" i="3"/>
  <c r="BG14" i="2" l="1"/>
  <c r="BG18" i="2" s="1"/>
  <c r="BG21" i="2" s="1"/>
  <c r="BG13" i="4"/>
  <c r="BG21" i="4" s="1"/>
  <c r="BG38" i="4"/>
  <c r="BG47" i="4" s="1"/>
  <c r="BG10" i="8"/>
  <c r="BG20" i="2" l="1"/>
  <c r="BG28" i="2"/>
  <c r="BG23" i="2"/>
  <c r="BG29" i="2"/>
  <c r="BD59" i="8" l="1"/>
  <c r="CK36" i="2"/>
  <c r="BJ37" i="2"/>
  <c r="BJ36" i="2"/>
  <c r="DA20" i="2"/>
  <c r="CZ20" i="2"/>
  <c r="CY20" i="2"/>
  <c r="CX20" i="2"/>
  <c r="CV20" i="2"/>
  <c r="CU20" i="2"/>
  <c r="CT20" i="2"/>
  <c r="CS20" i="2"/>
  <c r="CQ20" i="2"/>
  <c r="CP20" i="2"/>
  <c r="CO20" i="2"/>
  <c r="CN20" i="2"/>
  <c r="CL20" i="2"/>
  <c r="CK20" i="2"/>
  <c r="CJ20" i="2"/>
  <c r="CI20" i="2"/>
  <c r="CG20" i="2"/>
  <c r="CF20" i="2"/>
  <c r="CE20" i="2"/>
  <c r="CD20" i="2"/>
  <c r="CB20" i="2"/>
  <c r="CA20" i="2"/>
  <c r="BZ20" i="2"/>
  <c r="BY20" i="2"/>
  <c r="BW20" i="2"/>
  <c r="BV20" i="2"/>
  <c r="BU20" i="2"/>
  <c r="BT20" i="2"/>
  <c r="BR37" i="2"/>
  <c r="BQ37" i="2"/>
  <c r="BP37" i="2"/>
  <c r="BO37" i="2"/>
  <c r="BR36" i="2"/>
  <c r="BQ36" i="2"/>
  <c r="BP36" i="2"/>
  <c r="BO36" i="2"/>
  <c r="BW37" i="2"/>
  <c r="BV37" i="2"/>
  <c r="BU37" i="2"/>
  <c r="BT37" i="2"/>
  <c r="BW36" i="2"/>
  <c r="BV36" i="2"/>
  <c r="BU36" i="2"/>
  <c r="BT36" i="2"/>
  <c r="CB37" i="2"/>
  <c r="CA37" i="2"/>
  <c r="BZ37" i="2"/>
  <c r="BY37" i="2"/>
  <c r="CB36" i="2"/>
  <c r="CA36" i="2"/>
  <c r="BZ36" i="2"/>
  <c r="BY36" i="2"/>
  <c r="CG37" i="2"/>
  <c r="CF37" i="2"/>
  <c r="CE37" i="2"/>
  <c r="CD37" i="2"/>
  <c r="CG36" i="2"/>
  <c r="CF36" i="2"/>
  <c r="CE36" i="2"/>
  <c r="CD36" i="2"/>
  <c r="CL37" i="2"/>
  <c r="CK37" i="2"/>
  <c r="CJ37" i="2"/>
  <c r="CI37" i="2"/>
  <c r="CQ37" i="2"/>
  <c r="CP37" i="2"/>
  <c r="CO37" i="2"/>
  <c r="CN37" i="2"/>
  <c r="CV37" i="2"/>
  <c r="CU37" i="2"/>
  <c r="CT37" i="2"/>
  <c r="CS37" i="2"/>
  <c r="DA37" i="2"/>
  <c r="CZ37" i="2"/>
  <c r="CY37" i="2"/>
  <c r="CX37" i="2"/>
  <c r="BE13" i="2"/>
  <c r="CI36" i="2" l="1"/>
  <c r="CJ36" i="2"/>
  <c r="CL36" i="2"/>
  <c r="CR36" i="2"/>
  <c r="CN36" i="2" s="1"/>
  <c r="CP36" i="2" l="1"/>
  <c r="CQ36" i="2"/>
  <c r="CO36" i="2"/>
  <c r="CW36" i="2"/>
  <c r="CV36" i="2" l="1"/>
  <c r="DB36" i="2"/>
  <c r="CS36" i="2"/>
  <c r="CT36" i="2"/>
  <c r="CU36" i="2"/>
  <c r="DA36" i="2" l="1"/>
  <c r="CX36" i="2"/>
  <c r="CY36" i="2"/>
  <c r="CZ36" i="2"/>
  <c r="B13" i="2"/>
  <c r="BD13" i="2"/>
  <c r="BB13" i="2"/>
  <c r="BB52" i="2" s="1"/>
  <c r="BA13" i="2"/>
  <c r="BA52" i="2" s="1"/>
  <c r="AZ13" i="2"/>
  <c r="AZ52" i="2" s="1"/>
  <c r="AY13" i="2"/>
  <c r="AW13" i="2"/>
  <c r="AV13" i="2"/>
  <c r="AU13" i="2"/>
  <c r="AT13" i="2"/>
  <c r="AR13" i="2"/>
  <c r="AR52" i="2" s="1"/>
  <c r="AQ13" i="2"/>
  <c r="AQ52" i="2" s="1"/>
  <c r="AP13" i="2"/>
  <c r="AO13" i="2"/>
  <c r="AM13" i="2"/>
  <c r="AL13" i="2"/>
  <c r="AL52" i="2" s="1"/>
  <c r="AK13" i="2"/>
  <c r="AK52" i="2" s="1"/>
  <c r="AJ13" i="2"/>
  <c r="AH13" i="2"/>
  <c r="AH52" i="2" s="1"/>
  <c r="AG13" i="2"/>
  <c r="AF13" i="2"/>
  <c r="AF52" i="2" s="1"/>
  <c r="AE13" i="2"/>
  <c r="AC13" i="2"/>
  <c r="AC52" i="2" s="1"/>
  <c r="AB13" i="2"/>
  <c r="AB52" i="2" s="1"/>
  <c r="AA13" i="2"/>
  <c r="AA52" i="2" s="1"/>
  <c r="Z13" i="2"/>
  <c r="X13" i="2"/>
  <c r="X52" i="2" s="1"/>
  <c r="W13" i="2"/>
  <c r="W52" i="2" s="1"/>
  <c r="V13" i="2"/>
  <c r="V52" i="2" s="1"/>
  <c r="U13" i="2"/>
  <c r="S13" i="2"/>
  <c r="S52" i="2" s="1"/>
  <c r="R13" i="2"/>
  <c r="Q13" i="2"/>
  <c r="P13" i="2"/>
  <c r="P52" i="2" s="1"/>
  <c r="N13" i="2"/>
  <c r="N52" i="2" s="1"/>
  <c r="M13" i="2"/>
  <c r="L13" i="2"/>
  <c r="L52" i="2" s="1"/>
  <c r="K13" i="2"/>
  <c r="I13" i="2"/>
  <c r="I52" i="2" s="1"/>
  <c r="H13" i="2"/>
  <c r="H52" i="2" s="1"/>
  <c r="G13" i="2"/>
  <c r="G52" i="2" s="1"/>
  <c r="F13" i="2"/>
  <c r="F52" i="2" s="1"/>
  <c r="D13" i="2"/>
  <c r="C13" i="2"/>
  <c r="BD80" i="2"/>
  <c r="AY80" i="2"/>
  <c r="AT80" i="2"/>
  <c r="AO80" i="2"/>
  <c r="AJ80" i="2"/>
  <c r="AE80" i="2"/>
  <c r="Z80" i="2"/>
  <c r="U80" i="2"/>
  <c r="AT52" i="2" l="1"/>
  <c r="AE52" i="2"/>
  <c r="U52" i="2"/>
  <c r="BD52" i="2"/>
  <c r="R38" i="2"/>
  <c r="AG38" i="2"/>
  <c r="AV38" i="2"/>
  <c r="AM38" i="2"/>
  <c r="K38" i="2"/>
  <c r="Z38" i="2"/>
  <c r="AO38" i="2"/>
  <c r="AG52" i="2"/>
  <c r="AP38" i="2"/>
  <c r="BE38" i="2"/>
  <c r="Q38" i="2"/>
  <c r="AF38" i="2"/>
  <c r="AU38" i="2"/>
  <c r="BE52" i="2"/>
  <c r="S38" i="2"/>
  <c r="AH38" i="2"/>
  <c r="AW38" i="2"/>
  <c r="U38" i="2"/>
  <c r="AJ38" i="2"/>
  <c r="AY38" i="2"/>
  <c r="AM52" i="2"/>
  <c r="AY52" i="2"/>
  <c r="Z52" i="2"/>
  <c r="Q52" i="2"/>
  <c r="AO52" i="2"/>
  <c r="R52" i="2"/>
  <c r="AP52" i="2"/>
  <c r="M38" i="2"/>
  <c r="AB38" i="2"/>
  <c r="AQ38" i="2"/>
  <c r="K52" i="2"/>
  <c r="AU52" i="2"/>
  <c r="N38" i="2"/>
  <c r="AC38" i="2"/>
  <c r="AJ52" i="2"/>
  <c r="AV52" i="2"/>
  <c r="P38" i="2"/>
  <c r="M52" i="2"/>
  <c r="AW52" i="2"/>
  <c r="G38" i="2"/>
  <c r="V38" i="2"/>
  <c r="AK38" i="2"/>
  <c r="AZ38" i="2"/>
  <c r="H38" i="2"/>
  <c r="BA38" i="2"/>
  <c r="I38" i="2"/>
  <c r="X38" i="2"/>
  <c r="BB38" i="2"/>
  <c r="BD38" i="2"/>
  <c r="L38" i="2"/>
  <c r="AR38" i="2"/>
  <c r="AE38" i="2"/>
  <c r="AT38" i="2"/>
  <c r="W38" i="2"/>
  <c r="AL38" i="2"/>
  <c r="AA38" i="2"/>
  <c r="AW77" i="2"/>
  <c r="AV77" i="2"/>
  <c r="AU77" i="2"/>
  <c r="BB77" i="2"/>
  <c r="BA77" i="2"/>
  <c r="AZ77" i="2"/>
  <c r="BD77" i="2"/>
  <c r="AY77" i="2"/>
  <c r="AT77" i="2"/>
  <c r="AO77" i="2"/>
  <c r="AJ77" i="2"/>
  <c r="AE77" i="2"/>
  <c r="Z77" i="2"/>
  <c r="U77" i="2"/>
  <c r="P77" i="2"/>
  <c r="K77" i="2"/>
  <c r="F77" i="2"/>
  <c r="DK28" i="2" l="1"/>
  <c r="DJ28" i="2"/>
  <c r="DI28" i="2"/>
  <c r="DH28" i="2"/>
  <c r="DG28" i="2"/>
  <c r="DF28" i="2"/>
  <c r="DK26" i="2"/>
  <c r="DJ26" i="2"/>
  <c r="DI26" i="2"/>
  <c r="DH26" i="2"/>
  <c r="DG26" i="2"/>
  <c r="DF26" i="2"/>
  <c r="BN38" i="8" l="1"/>
  <c r="BS38" i="8" s="1"/>
  <c r="CZ110" i="5"/>
  <c r="CY110" i="5"/>
  <c r="CZ102" i="5"/>
  <c r="CY102" i="5"/>
  <c r="CZ94" i="5"/>
  <c r="CY94" i="5"/>
  <c r="CU110" i="5"/>
  <c r="CT110" i="5"/>
  <c r="CU102" i="5"/>
  <c r="CT102" i="5"/>
  <c r="CU94" i="5"/>
  <c r="CT94" i="5"/>
  <c r="CP110" i="5"/>
  <c r="CO110" i="5"/>
  <c r="CP102" i="5"/>
  <c r="CO102" i="5"/>
  <c r="CP94" i="5"/>
  <c r="CO94" i="5"/>
  <c r="CK110" i="5"/>
  <c r="CJ110" i="5"/>
  <c r="CK102" i="5"/>
  <c r="CJ102" i="5"/>
  <c r="CK94" i="5"/>
  <c r="CJ94" i="5"/>
  <c r="CF110" i="5"/>
  <c r="CE110" i="5"/>
  <c r="CF102" i="5"/>
  <c r="CE102" i="5"/>
  <c r="CF94" i="5"/>
  <c r="CE94" i="5"/>
  <c r="CA110" i="5"/>
  <c r="BZ110" i="5"/>
  <c r="CA102" i="5"/>
  <c r="BZ102" i="5"/>
  <c r="CA94" i="5"/>
  <c r="BZ94" i="5"/>
  <c r="BV110" i="5"/>
  <c r="BU110" i="5"/>
  <c r="BV102" i="5"/>
  <c r="BU102" i="5"/>
  <c r="BV94" i="5"/>
  <c r="BU94" i="5"/>
  <c r="BQ110" i="5"/>
  <c r="BP110" i="5"/>
  <c r="BQ102" i="5"/>
  <c r="BP102" i="5"/>
  <c r="BQ94" i="5"/>
  <c r="BP94" i="5"/>
  <c r="BL110" i="5"/>
  <c r="BK110" i="5"/>
  <c r="BL102" i="5"/>
  <c r="BK102" i="5"/>
  <c r="BL94" i="5"/>
  <c r="BK94" i="5"/>
  <c r="BG110" i="5"/>
  <c r="BG102" i="5"/>
  <c r="BG94" i="5"/>
  <c r="BF110" i="5"/>
  <c r="BF102" i="5"/>
  <c r="BF94" i="5"/>
  <c r="BF8" i="5"/>
  <c r="BG8" i="5" s="1"/>
  <c r="BA8" i="5"/>
  <c r="BB8" i="5" s="1"/>
  <c r="BC8" i="5" s="1"/>
  <c r="BF9" i="4"/>
  <c r="BF8" i="8" s="1"/>
  <c r="BO342" i="3"/>
  <c r="BP342" i="3" s="1"/>
  <c r="BF9" i="3"/>
  <c r="BF17" i="3" s="1"/>
  <c r="Q52" i="3"/>
  <c r="Q174" i="3" s="1"/>
  <c r="BF340" i="3"/>
  <c r="AS292" i="3"/>
  <c r="AR292" i="3"/>
  <c r="AP292" i="3"/>
  <c r="AQ292" i="3"/>
  <c r="AQ291" i="3" s="1"/>
  <c r="AV292" i="3" s="1"/>
  <c r="AA163" i="3"/>
  <c r="BX38" i="8" l="1"/>
  <c r="BO38" i="8"/>
  <c r="BP38" i="8" s="1"/>
  <c r="BF112" i="5"/>
  <c r="BF114" i="5" s="1"/>
  <c r="BG112" i="5"/>
  <c r="BG114" i="5" s="1"/>
  <c r="CK112" i="5"/>
  <c r="CK114" i="5" s="1"/>
  <c r="CU112" i="5"/>
  <c r="CU114" i="5" s="1"/>
  <c r="CY112" i="5"/>
  <c r="CY114" i="5" s="1"/>
  <c r="CA112" i="5"/>
  <c r="CA114" i="5" s="1"/>
  <c r="BU112" i="5"/>
  <c r="BU114" i="5" s="1"/>
  <c r="CZ112" i="5"/>
  <c r="CZ114" i="5" s="1"/>
  <c r="CE112" i="5"/>
  <c r="CE114" i="5" s="1"/>
  <c r="BZ112" i="5"/>
  <c r="BZ114" i="5" s="1"/>
  <c r="CO112" i="5"/>
  <c r="CO114" i="5" s="1"/>
  <c r="BQ112" i="5"/>
  <c r="BQ114" i="5" s="1"/>
  <c r="BK112" i="5"/>
  <c r="BK114" i="5" s="1"/>
  <c r="CP112" i="5"/>
  <c r="CP114" i="5" s="1"/>
  <c r="BL112" i="5"/>
  <c r="BL114" i="5" s="1"/>
  <c r="BV112" i="5"/>
  <c r="BV114" i="5" s="1"/>
  <c r="CF112" i="5"/>
  <c r="CF114" i="5" s="1"/>
  <c r="CJ112" i="5"/>
  <c r="CJ114" i="5" s="1"/>
  <c r="CT112" i="5"/>
  <c r="CT114" i="5" s="1"/>
  <c r="BP112" i="5"/>
  <c r="BP114" i="5" s="1"/>
  <c r="BQ342" i="3"/>
  <c r="BR342" i="3" s="1"/>
  <c r="BT342" i="3" s="1"/>
  <c r="BU342" i="3" s="1"/>
  <c r="BV342" i="3" s="1"/>
  <c r="BW342" i="3" s="1"/>
  <c r="BY342" i="3" s="1"/>
  <c r="BZ342" i="3" s="1"/>
  <c r="CA342" i="3" s="1"/>
  <c r="CB342" i="3" s="1"/>
  <c r="CD342" i="3" s="1"/>
  <c r="CE342" i="3" s="1"/>
  <c r="CF342" i="3" s="1"/>
  <c r="CG342" i="3" s="1"/>
  <c r="BL37" i="2"/>
  <c r="BL36" i="2"/>
  <c r="AV477" i="3"/>
  <c r="AX477" i="3" s="1"/>
  <c r="BF346" i="3"/>
  <c r="BQ38" i="8" l="1"/>
  <c r="BR38" i="8" s="1"/>
  <c r="CC38" i="8"/>
  <c r="BT38" i="8"/>
  <c r="BU38" i="8" s="1"/>
  <c r="CI342" i="3"/>
  <c r="CJ342" i="3" s="1"/>
  <c r="CK342" i="3" s="1"/>
  <c r="CL342" i="3" s="1"/>
  <c r="BF41" i="5"/>
  <c r="BG41" i="5" s="1"/>
  <c r="BD58" i="5"/>
  <c r="BF55" i="8"/>
  <c r="BG52" i="8" s="1"/>
  <c r="BG53" i="8" s="1"/>
  <c r="BF48" i="8"/>
  <c r="BG45" i="8" s="1"/>
  <c r="BF30" i="8"/>
  <c r="BF28" i="8"/>
  <c r="BF14" i="8" s="1"/>
  <c r="BF9" i="8"/>
  <c r="BV38" i="8" l="1"/>
  <c r="BW38" i="8" s="1"/>
  <c r="BY38" i="8"/>
  <c r="BZ38" i="8" s="1"/>
  <c r="CA38" i="8" s="1"/>
  <c r="CB38" i="8" s="1"/>
  <c r="CH38" i="8"/>
  <c r="CN342" i="3"/>
  <c r="CO342" i="3" s="1"/>
  <c r="CP342" i="3" s="1"/>
  <c r="CQ342" i="3" s="1"/>
  <c r="BG38" i="2"/>
  <c r="BF15" i="3"/>
  <c r="BF14" i="3"/>
  <c r="BD71" i="2"/>
  <c r="BE70" i="2"/>
  <c r="BE77" i="2" s="1"/>
  <c r="BE69" i="2"/>
  <c r="BE68" i="2"/>
  <c r="BF71" i="2"/>
  <c r="AZ504" i="3"/>
  <c r="AZ503" i="3"/>
  <c r="AZ502" i="3"/>
  <c r="AZ501" i="3"/>
  <c r="BA505" i="3"/>
  <c r="BF505" i="3"/>
  <c r="BF519" i="3"/>
  <c r="BF518" i="3"/>
  <c r="BF517" i="3"/>
  <c r="BA512" i="3"/>
  <c r="AZ509" i="3"/>
  <c r="AZ510" i="3"/>
  <c r="AZ511" i="3"/>
  <c r="BE511" i="3"/>
  <c r="BE510" i="3"/>
  <c r="BE509" i="3"/>
  <c r="BF512" i="3"/>
  <c r="AZ527" i="3"/>
  <c r="BE527" i="3"/>
  <c r="BA76" i="5"/>
  <c r="BF76" i="5"/>
  <c r="BG76" i="5" s="1"/>
  <c r="BF73" i="5"/>
  <c r="BG73" i="5" s="1"/>
  <c r="BF37" i="5"/>
  <c r="BG37" i="5" s="1"/>
  <c r="BF35" i="5"/>
  <c r="BG35" i="5" s="1"/>
  <c r="BF33" i="5"/>
  <c r="BG33" i="5" s="1"/>
  <c r="BF29" i="5"/>
  <c r="BG29" i="5" s="1"/>
  <c r="BF28" i="5"/>
  <c r="BG28" i="5" s="1"/>
  <c r="BF27" i="5"/>
  <c r="BG27" i="5" s="1"/>
  <c r="BF26" i="5"/>
  <c r="BG26" i="5" s="1"/>
  <c r="BF25" i="5"/>
  <c r="BG25" i="5" s="1"/>
  <c r="BF19" i="5"/>
  <c r="BG19" i="5" s="1"/>
  <c r="BF18" i="5"/>
  <c r="BG18" i="5" s="1"/>
  <c r="BF17" i="5"/>
  <c r="BG17" i="5" s="1"/>
  <c r="BF13" i="5"/>
  <c r="BG13" i="5" s="1"/>
  <c r="BF12" i="5"/>
  <c r="BG12" i="5" s="1"/>
  <c r="BF11" i="5"/>
  <c r="BG11" i="5" s="1"/>
  <c r="BF10" i="5"/>
  <c r="BG10" i="5" s="1"/>
  <c r="BF9" i="5"/>
  <c r="BG9" i="5" s="1"/>
  <c r="BF57" i="4"/>
  <c r="BG54" i="4" s="1"/>
  <c r="BG55" i="4" s="1"/>
  <c r="BF35" i="4"/>
  <c r="BF26" i="4"/>
  <c r="BF18" i="4"/>
  <c r="BE18" i="4"/>
  <c r="BC18" i="4"/>
  <c r="BB18" i="4"/>
  <c r="BA18" i="4"/>
  <c r="AZ18" i="4"/>
  <c r="BD31" i="3"/>
  <c r="AZ305" i="3"/>
  <c r="BE305" i="3"/>
  <c r="BE306" i="3"/>
  <c r="BF11" i="2"/>
  <c r="BH11" i="2" s="1"/>
  <c r="BF10" i="2"/>
  <c r="BF8" i="2"/>
  <c r="BF7" i="2"/>
  <c r="BH7" i="2" l="1"/>
  <c r="BK36" i="2"/>
  <c r="BH10" i="2"/>
  <c r="BF38" i="8"/>
  <c r="BG38" i="8"/>
  <c r="BG37" i="8" s="1"/>
  <c r="BG47" i="8"/>
  <c r="BG46" i="8" s="1"/>
  <c r="BF47" i="8"/>
  <c r="BF474" i="3"/>
  <c r="CD38" i="8"/>
  <c r="CE38" i="8" s="1"/>
  <c r="CF38" i="8" s="1"/>
  <c r="CM38" i="8"/>
  <c r="BF77" i="2"/>
  <c r="BK37" i="2"/>
  <c r="CS342" i="3"/>
  <c r="CT342" i="3" s="1"/>
  <c r="CU342" i="3" s="1"/>
  <c r="CV342" i="3" s="1"/>
  <c r="CX342" i="3" s="1"/>
  <c r="CY342" i="3" s="1"/>
  <c r="CZ342" i="3" s="1"/>
  <c r="DA342" i="3" s="1"/>
  <c r="BD72" i="2"/>
  <c r="BD73" i="2"/>
  <c r="BF36" i="2"/>
  <c r="BF13" i="2"/>
  <c r="BF52" i="2" s="1"/>
  <c r="BF37" i="2"/>
  <c r="BF38" i="5"/>
  <c r="BE518" i="3"/>
  <c r="BF9" i="2"/>
  <c r="BE519" i="3"/>
  <c r="BF72" i="2"/>
  <c r="BE71" i="2"/>
  <c r="BE72" i="2" s="1"/>
  <c r="BE517" i="3"/>
  <c r="AZ505" i="3"/>
  <c r="AZ512" i="3"/>
  <c r="BE512" i="3"/>
  <c r="BE15" i="3"/>
  <c r="BH50" i="2" l="1"/>
  <c r="BH61" i="4"/>
  <c r="BH51" i="2"/>
  <c r="BH13" i="2"/>
  <c r="CG38" i="8"/>
  <c r="CR38" i="8"/>
  <c r="CI38" i="8"/>
  <c r="BF14" i="2"/>
  <c r="BF60" i="8" s="1"/>
  <c r="BF38" i="2"/>
  <c r="BJ10" i="8"/>
  <c r="BH52" i="2" l="1"/>
  <c r="BH65" i="4"/>
  <c r="BH77" i="4"/>
  <c r="CJ38" i="8"/>
  <c r="CK38" i="8" s="1"/>
  <c r="CN38" i="8"/>
  <c r="CW38" i="8"/>
  <c r="CS38" i="8" l="1"/>
  <c r="CT38" i="8" s="1"/>
  <c r="CU38" i="8" s="1"/>
  <c r="CV38" i="8" s="1"/>
  <c r="DB38" i="8"/>
  <c r="CO38" i="8"/>
  <c r="CP38" i="8" s="1"/>
  <c r="CL38" i="8"/>
  <c r="CX38" i="8" l="1"/>
  <c r="CY38" i="8" s="1"/>
  <c r="CZ38" i="8" s="1"/>
  <c r="DA38" i="8" s="1"/>
  <c r="CQ38" i="8"/>
  <c r="BW94" i="3"/>
  <c r="CB94" i="3" s="1"/>
  <c r="CG94" i="3" s="1"/>
  <c r="CL94" i="3" s="1"/>
  <c r="CQ94" i="3" s="1"/>
  <c r="CV94" i="3" s="1"/>
  <c r="DA94" i="3" s="1"/>
  <c r="BV94" i="3"/>
  <c r="CA94" i="3" s="1"/>
  <c r="CF94" i="3" s="1"/>
  <c r="CK94" i="3" s="1"/>
  <c r="CP94" i="3" s="1"/>
  <c r="CU94" i="3" s="1"/>
  <c r="CZ94" i="3" s="1"/>
  <c r="BP94" i="3"/>
  <c r="BU94" i="3" s="1"/>
  <c r="BZ94" i="3" s="1"/>
  <c r="CE94" i="3" s="1"/>
  <c r="CJ94" i="3" s="1"/>
  <c r="CO94" i="3" s="1"/>
  <c r="CT94" i="3" s="1"/>
  <c r="CY94" i="3" s="1"/>
  <c r="BT94" i="3"/>
  <c r="BY94" i="3" s="1"/>
  <c r="CD94" i="3" s="1"/>
  <c r="CI94" i="3" s="1"/>
  <c r="CN94" i="3" s="1"/>
  <c r="CS94" i="3" s="1"/>
  <c r="CX94" i="3" s="1"/>
  <c r="AZ257" i="3"/>
  <c r="BF386" i="3"/>
  <c r="BG386" i="3" s="1"/>
  <c r="BE340" i="3"/>
  <c r="BC340" i="3"/>
  <c r="BB340" i="3"/>
  <c r="BA340" i="3"/>
  <c r="AZ340" i="3"/>
  <c r="AX340" i="3"/>
  <c r="AW340" i="3"/>
  <c r="AV340" i="3"/>
  <c r="AU340" i="3"/>
  <c r="AS340" i="3"/>
  <c r="AR340" i="3"/>
  <c r="BH386" i="3" l="1"/>
  <c r="BJ386" i="3" s="1"/>
  <c r="BK386" i="3" s="1"/>
  <c r="BL386" i="3" s="1"/>
  <c r="BM386" i="3" s="1"/>
  <c r="BI50" i="5" l="1"/>
  <c r="BD50" i="5"/>
  <c r="AY50" i="5"/>
  <c r="AS50" i="5"/>
  <c r="AT50" i="5" s="1"/>
  <c r="AR50" i="5"/>
  <c r="AQ50" i="5"/>
  <c r="AD50" i="5"/>
  <c r="AE50" i="5" s="1"/>
  <c r="AP50" i="5"/>
  <c r="AN50" i="5"/>
  <c r="AO50" i="5" s="1"/>
  <c r="AM50" i="5"/>
  <c r="AL50" i="5"/>
  <c r="AI50" i="5"/>
  <c r="AJ50" i="5" s="1"/>
  <c r="AK50" i="5"/>
  <c r="AH50" i="5"/>
  <c r="AG50" i="5"/>
  <c r="AF50" i="5"/>
  <c r="AC50" i="5"/>
  <c r="AB50" i="5"/>
  <c r="AA50" i="5"/>
  <c r="Z44" i="5"/>
  <c r="Y50" i="5"/>
  <c r="Z50" i="5" s="1"/>
  <c r="X50" i="5"/>
  <c r="W50" i="5"/>
  <c r="V50" i="5"/>
  <c r="V9" i="4"/>
  <c r="U50" i="5"/>
  <c r="P50" i="5"/>
  <c r="J50" i="5"/>
  <c r="T71" i="3"/>
  <c r="S71" i="3"/>
  <c r="T169" i="3"/>
  <c r="S169" i="3"/>
  <c r="R169" i="3"/>
  <c r="Q169" i="3"/>
  <c r="R163" i="3"/>
  <c r="Q163" i="3"/>
  <c r="BJ50" i="5" l="1"/>
  <c r="BK50" i="5" s="1"/>
  <c r="BL50" i="5" s="1"/>
  <c r="BM50" i="5" s="1"/>
  <c r="BN50" i="5" s="1"/>
  <c r="BO50" i="5" s="1"/>
  <c r="BP50" i="5" s="1"/>
  <c r="BQ50" i="5" s="1"/>
  <c r="BR50" i="5" s="1"/>
  <c r="BS50" i="5" s="1"/>
  <c r="BT50" i="5" s="1"/>
  <c r="BU50" i="5" s="1"/>
  <c r="BV50" i="5" s="1"/>
  <c r="BW50" i="5" s="1"/>
  <c r="BX50" i="5" s="1"/>
  <c r="BY50" i="5" s="1"/>
  <c r="BZ50" i="5" s="1"/>
  <c r="CA50" i="5" s="1"/>
  <c r="CB50" i="5" s="1"/>
  <c r="CC50" i="5" s="1"/>
  <c r="CD50" i="5" s="1"/>
  <c r="CE50" i="5" s="1"/>
  <c r="CF50" i="5" s="1"/>
  <c r="CG50" i="5" s="1"/>
  <c r="CH50" i="5" s="1"/>
  <c r="CI50" i="5" s="1"/>
  <c r="CJ50" i="5" s="1"/>
  <c r="CK50" i="5" s="1"/>
  <c r="CL50" i="5" s="1"/>
  <c r="CM50" i="5" s="1"/>
  <c r="CN50" i="5" s="1"/>
  <c r="CO50" i="5" s="1"/>
  <c r="CP50" i="5" s="1"/>
  <c r="CQ50" i="5" s="1"/>
  <c r="CR50" i="5" s="1"/>
  <c r="CS50" i="5" s="1"/>
  <c r="CT50" i="5" s="1"/>
  <c r="CU50" i="5" s="1"/>
  <c r="CV50" i="5" s="1"/>
  <c r="CW50" i="5" s="1"/>
  <c r="CX50" i="5" s="1"/>
  <c r="CY50" i="5" s="1"/>
  <c r="CZ50" i="5" s="1"/>
  <c r="DA50" i="5" s="1"/>
  <c r="DB50" i="5" s="1"/>
  <c r="K50" i="5"/>
  <c r="R61" i="3" l="1"/>
  <c r="Q61" i="3"/>
  <c r="P169" i="3"/>
  <c r="O165" i="3"/>
  <c r="N165" i="3"/>
  <c r="M165" i="3"/>
  <c r="J52" i="3"/>
  <c r="I165" i="3" l="1"/>
  <c r="H165" i="3"/>
  <c r="H61" i="3"/>
  <c r="H182" i="3" s="1"/>
  <c r="G165" i="3"/>
  <c r="G71" i="3"/>
  <c r="G61" i="3"/>
  <c r="G182" i="3" s="1"/>
  <c r="G52" i="3"/>
  <c r="G174" i="3" s="1"/>
  <c r="E26" i="2"/>
  <c r="E19" i="2"/>
  <c r="E17" i="2"/>
  <c r="E16" i="2"/>
  <c r="E15" i="2"/>
  <c r="E11" i="2"/>
  <c r="E10" i="2"/>
  <c r="E8" i="2"/>
  <c r="J7" i="2"/>
  <c r="E61" i="3"/>
  <c r="E182" i="3" s="1"/>
  <c r="E165" i="3"/>
  <c r="F67" i="3"/>
  <c r="D182" i="3"/>
  <c r="D7" i="2"/>
  <c r="D52" i="2" s="1"/>
  <c r="D165" i="3"/>
  <c r="D71" i="3"/>
  <c r="C165" i="3"/>
  <c r="C52" i="3"/>
  <c r="B52" i="3"/>
  <c r="B174" i="3" s="1"/>
  <c r="B182" i="3"/>
  <c r="B165" i="3"/>
  <c r="B71" i="3"/>
  <c r="E13" i="2" l="1"/>
  <c r="B178" i="3"/>
  <c r="G178" i="3"/>
  <c r="BE33" i="3" l="1"/>
  <c r="BC33" i="3"/>
  <c r="BB33" i="3"/>
  <c r="BA33" i="3"/>
  <c r="AZ33" i="3"/>
  <c r="AX33" i="3"/>
  <c r="AW33" i="3"/>
  <c r="AV33" i="3"/>
  <c r="AU33" i="3"/>
  <c r="AS33" i="3"/>
  <c r="AR33" i="3"/>
  <c r="AQ33" i="3"/>
  <c r="AP33" i="3"/>
  <c r="AN33" i="3"/>
  <c r="AM33" i="3"/>
  <c r="AL33" i="3"/>
  <c r="AK33" i="3"/>
  <c r="AI33" i="3"/>
  <c r="AH33" i="3"/>
  <c r="AG33" i="3"/>
  <c r="AF33" i="3"/>
  <c r="AD33" i="3"/>
  <c r="AC33" i="3"/>
  <c r="AB33" i="3"/>
  <c r="AA33" i="3"/>
  <c r="Y33" i="3"/>
  <c r="X33" i="3"/>
  <c r="W33" i="3"/>
  <c r="V33" i="3"/>
  <c r="T33" i="3"/>
  <c r="S33" i="3"/>
  <c r="R33" i="3"/>
  <c r="Q33" i="3"/>
  <c r="O33" i="3"/>
  <c r="N33" i="3"/>
  <c r="M33" i="3"/>
  <c r="L33" i="3"/>
  <c r="J33" i="3"/>
  <c r="I33" i="3"/>
  <c r="H33" i="3"/>
  <c r="AZ25" i="3"/>
  <c r="BH167" i="3"/>
  <c r="BG167" i="3"/>
  <c r="BF167" i="3"/>
  <c r="BE167" i="3"/>
  <c r="BC167" i="3"/>
  <c r="BB167" i="3"/>
  <c r="BA167" i="3"/>
  <c r="AZ167" i="3"/>
  <c r="AX167" i="3"/>
  <c r="AW167" i="3"/>
  <c r="AV167" i="3"/>
  <c r="AU167" i="3"/>
  <c r="AS167" i="3"/>
  <c r="AR167" i="3"/>
  <c r="AQ167" i="3"/>
  <c r="AP167" i="3"/>
  <c r="AN167" i="3"/>
  <c r="AM167" i="3"/>
  <c r="AL167" i="3"/>
  <c r="AK167" i="3"/>
  <c r="AI167" i="3"/>
  <c r="AH167" i="3"/>
  <c r="AG167" i="3"/>
  <c r="AF167" i="3"/>
  <c r="AD167" i="3"/>
  <c r="AC167" i="3"/>
  <c r="AB167" i="3"/>
  <c r="AA167" i="3"/>
  <c r="Y167" i="3"/>
  <c r="X167" i="3"/>
  <c r="W167" i="3"/>
  <c r="V167" i="3"/>
  <c r="T167" i="3"/>
  <c r="S167" i="3"/>
  <c r="R167" i="3"/>
  <c r="Q167" i="3"/>
  <c r="O167" i="3"/>
  <c r="N167" i="3"/>
  <c r="I167" i="3"/>
  <c r="H167" i="3"/>
  <c r="G167" i="3"/>
  <c r="E167" i="3"/>
  <c r="D167" i="3"/>
  <c r="C167" i="3"/>
  <c r="BJ130" i="3"/>
  <c r="BJ101" i="3"/>
  <c r="AC77" i="3"/>
  <c r="AB77" i="3"/>
  <c r="AA77" i="3"/>
  <c r="Y77" i="3"/>
  <c r="X77" i="3"/>
  <c r="W77" i="3"/>
  <c r="V77" i="3"/>
  <c r="T77" i="3"/>
  <c r="S77" i="3"/>
  <c r="R77" i="3"/>
  <c r="Q77" i="3"/>
  <c r="O77" i="3"/>
  <c r="N77" i="3"/>
  <c r="M77" i="3"/>
  <c r="L77" i="3"/>
  <c r="J77" i="3"/>
  <c r="I77" i="3"/>
  <c r="H77" i="3"/>
  <c r="G77" i="3"/>
  <c r="E77" i="3"/>
  <c r="D77" i="3"/>
  <c r="C77" i="3"/>
  <c r="AC69" i="3"/>
  <c r="AB69" i="3"/>
  <c r="AA69" i="3"/>
  <c r="Y69" i="3"/>
  <c r="X69" i="3"/>
  <c r="W69" i="3"/>
  <c r="V69" i="3"/>
  <c r="T69" i="3"/>
  <c r="S69" i="3"/>
  <c r="R69" i="3"/>
  <c r="Q69" i="3"/>
  <c r="O69" i="3"/>
  <c r="N69" i="3"/>
  <c r="M69" i="3"/>
  <c r="L69" i="3"/>
  <c r="J69" i="3"/>
  <c r="I69" i="3"/>
  <c r="H69" i="3"/>
  <c r="G69" i="3"/>
  <c r="E69" i="3"/>
  <c r="D69" i="3"/>
  <c r="C69" i="3"/>
  <c r="L25" i="3"/>
  <c r="BE25" i="3"/>
  <c r="BC25" i="3"/>
  <c r="BB25" i="3"/>
  <c r="BA25" i="3"/>
  <c r="AX25" i="3"/>
  <c r="AW25" i="3"/>
  <c r="AV25" i="3"/>
  <c r="AU25" i="3"/>
  <c r="AS25" i="3"/>
  <c r="AR25" i="3"/>
  <c r="AQ25" i="3"/>
  <c r="AP25" i="3"/>
  <c r="AN25" i="3"/>
  <c r="AM25" i="3"/>
  <c r="AL25" i="3"/>
  <c r="AK25" i="3"/>
  <c r="AI25" i="3"/>
  <c r="AH25" i="3"/>
  <c r="AG25" i="3"/>
  <c r="AF25" i="3"/>
  <c r="AA25" i="3"/>
  <c r="Q25" i="3"/>
  <c r="J25" i="3"/>
  <c r="I25" i="3"/>
  <c r="H25" i="3"/>
  <c r="G25" i="3"/>
  <c r="DB22" i="2"/>
  <c r="CW22" i="2"/>
  <c r="CR22" i="2"/>
  <c r="CM22" i="2"/>
  <c r="CH22" i="2"/>
  <c r="CC22" i="2"/>
  <c r="BX22" i="2"/>
  <c r="BS22" i="2"/>
  <c r="BN22" i="2"/>
  <c r="BI22" i="2"/>
  <c r="BE51" i="2" l="1"/>
  <c r="BD51" i="2"/>
  <c r="BB51" i="2"/>
  <c r="BA51" i="2"/>
  <c r="AZ51" i="2"/>
  <c r="AY51" i="2"/>
  <c r="AW51" i="2"/>
  <c r="AV51" i="2"/>
  <c r="AU51" i="2"/>
  <c r="AT51" i="2"/>
  <c r="AR51" i="2"/>
  <c r="AQ51" i="2"/>
  <c r="AP51" i="2"/>
  <c r="AO51" i="2"/>
  <c r="AM51" i="2"/>
  <c r="AL51" i="2"/>
  <c r="AK51" i="2"/>
  <c r="AJ51" i="2"/>
  <c r="AH51" i="2"/>
  <c r="AG51" i="2"/>
  <c r="AF51" i="2"/>
  <c r="AE51" i="2"/>
  <c r="AC51" i="2"/>
  <c r="AB51" i="2"/>
  <c r="AA51" i="2"/>
  <c r="Z51" i="2"/>
  <c r="X51" i="2"/>
  <c r="W51" i="2"/>
  <c r="V51" i="2"/>
  <c r="U51" i="2"/>
  <c r="S51" i="2"/>
  <c r="R51" i="2"/>
  <c r="Q51" i="2"/>
  <c r="P51" i="2"/>
  <c r="N51" i="2"/>
  <c r="M51" i="2"/>
  <c r="L51" i="2"/>
  <c r="K51" i="2"/>
  <c r="I51" i="2"/>
  <c r="H51" i="2"/>
  <c r="G51" i="2"/>
  <c r="F51" i="2"/>
  <c r="D51" i="2"/>
  <c r="BE50" i="2"/>
  <c r="BD50" i="2"/>
  <c r="BB50" i="2"/>
  <c r="BA50" i="2"/>
  <c r="AZ50" i="2"/>
  <c r="AY50" i="2"/>
  <c r="AW50" i="2"/>
  <c r="AV50" i="2"/>
  <c r="AU50" i="2"/>
  <c r="AT50" i="2"/>
  <c r="AR50" i="2"/>
  <c r="AQ50" i="2"/>
  <c r="AP50" i="2"/>
  <c r="AO50" i="2"/>
  <c r="AM50" i="2"/>
  <c r="AL50" i="2"/>
  <c r="AK50" i="2"/>
  <c r="AJ50" i="2"/>
  <c r="AH50" i="2"/>
  <c r="AG50" i="2"/>
  <c r="AF50" i="2"/>
  <c r="AE50" i="2"/>
  <c r="AC50" i="2"/>
  <c r="AB50" i="2"/>
  <c r="AA50" i="2"/>
  <c r="Z50" i="2"/>
  <c r="X50" i="2"/>
  <c r="W50" i="2"/>
  <c r="V50" i="2"/>
  <c r="U50" i="2"/>
  <c r="S50" i="2"/>
  <c r="R50" i="2"/>
  <c r="Q50" i="2"/>
  <c r="P50" i="2"/>
  <c r="N50" i="2"/>
  <c r="M50" i="2"/>
  <c r="L50" i="2"/>
  <c r="K50" i="2"/>
  <c r="I50" i="2"/>
  <c r="H50" i="2"/>
  <c r="G50" i="2"/>
  <c r="F50" i="2"/>
  <c r="D50" i="2"/>
  <c r="AO36" i="2"/>
  <c r="AO37" i="2"/>
  <c r="AM37" i="2"/>
  <c r="AL37" i="2"/>
  <c r="AK37" i="2"/>
  <c r="AJ37" i="2"/>
  <c r="AH37" i="2"/>
  <c r="AG37" i="2"/>
  <c r="AF37" i="2"/>
  <c r="AM36" i="2"/>
  <c r="AL36" i="2"/>
  <c r="AK36" i="2"/>
  <c r="AJ36" i="2"/>
  <c r="AH36" i="2"/>
  <c r="AG36" i="2"/>
  <c r="AF36" i="2"/>
  <c r="AE36" i="2"/>
  <c r="G37" i="2"/>
  <c r="G36" i="2"/>
  <c r="BE34" i="2"/>
  <c r="BD34" i="2"/>
  <c r="BB34" i="2"/>
  <c r="BA34" i="2"/>
  <c r="AZ34" i="2"/>
  <c r="AY34" i="2"/>
  <c r="AW34" i="2"/>
  <c r="AV34" i="2"/>
  <c r="AU34" i="2"/>
  <c r="AT34" i="2"/>
  <c r="AR34" i="2"/>
  <c r="AQ34" i="2"/>
  <c r="AP34" i="2"/>
  <c r="AO34" i="2"/>
  <c r="AM34" i="2"/>
  <c r="AL34" i="2"/>
  <c r="AK34" i="2"/>
  <c r="AJ34" i="2"/>
  <c r="AH34" i="2"/>
  <c r="AG34" i="2"/>
  <c r="AF34" i="2"/>
  <c r="AE34" i="2"/>
  <c r="AC34" i="2"/>
  <c r="AB34" i="2"/>
  <c r="AA34" i="2"/>
  <c r="Z34" i="2"/>
  <c r="X34" i="2"/>
  <c r="W34" i="2"/>
  <c r="V34" i="2"/>
  <c r="U34" i="2"/>
  <c r="S34" i="2"/>
  <c r="R34" i="2"/>
  <c r="Q34" i="2"/>
  <c r="P34" i="2"/>
  <c r="N34" i="2"/>
  <c r="M34" i="2"/>
  <c r="L34" i="2"/>
  <c r="K34" i="2"/>
  <c r="I34" i="2"/>
  <c r="P66" i="2" l="1"/>
  <c r="U66" i="2"/>
  <c r="AJ66" i="2"/>
  <c r="AY66" i="2"/>
  <c r="BD66" i="2"/>
  <c r="Z66" i="2"/>
  <c r="AO66" i="2"/>
  <c r="AE66" i="2"/>
  <c r="AT66" i="2"/>
  <c r="AX22" i="2"/>
  <c r="AT22" i="2"/>
  <c r="AD15" i="2"/>
  <c r="AD16" i="2"/>
  <c r="AD17" i="2"/>
  <c r="AD19" i="2"/>
  <c r="AD22" i="2"/>
  <c r="O25" i="2" l="1"/>
  <c r="T22" i="2"/>
  <c r="E25" i="2"/>
  <c r="B7" i="2"/>
  <c r="B52" i="2" s="1"/>
  <c r="D22" i="2"/>
  <c r="E22" i="2" s="1"/>
  <c r="C7" i="2"/>
  <c r="C52" i="2" s="1"/>
  <c r="J22" i="2"/>
  <c r="K22" i="2" s="1"/>
  <c r="O22" i="2"/>
  <c r="P22" i="2" s="1"/>
  <c r="BC7" i="2"/>
  <c r="BH34" i="2" s="1"/>
  <c r="BE36" i="2"/>
  <c r="BS10" i="5"/>
  <c r="BS11" i="5"/>
  <c r="BS13" i="5"/>
  <c r="BS25" i="5"/>
  <c r="BS26" i="5"/>
  <c r="BS28" i="5"/>
  <c r="BS29" i="5"/>
  <c r="BS34" i="5"/>
  <c r="BS35" i="5"/>
  <c r="BS37" i="5"/>
  <c r="BS41" i="5"/>
  <c r="DB11" i="5"/>
  <c r="DB10" i="5"/>
  <c r="CW11" i="5"/>
  <c r="CW10" i="5"/>
  <c r="CR11" i="5"/>
  <c r="CR10" i="5"/>
  <c r="CM11" i="5"/>
  <c r="CM10" i="5"/>
  <c r="CH11" i="5"/>
  <c r="CH10" i="5"/>
  <c r="CC11" i="5"/>
  <c r="CC10" i="5"/>
  <c r="BX11" i="5"/>
  <c r="BX10" i="5"/>
  <c r="BN11" i="5"/>
  <c r="BN10" i="5"/>
  <c r="BI11" i="5"/>
  <c r="BI10" i="5"/>
  <c r="BX41" i="5"/>
  <c r="BX37" i="5"/>
  <c r="BX35" i="5"/>
  <c r="BX34" i="5"/>
  <c r="BX29" i="5"/>
  <c r="BX28" i="5"/>
  <c r="BX26" i="5"/>
  <c r="BX25" i="5"/>
  <c r="BX13" i="5"/>
  <c r="BE9" i="8"/>
  <c r="BE38" i="8"/>
  <c r="CW14" i="8"/>
  <c r="BE30" i="8"/>
  <c r="BB30" i="8"/>
  <c r="BD30" i="8"/>
  <c r="AY30" i="8"/>
  <c r="AT30" i="8"/>
  <c r="BF25" i="8"/>
  <c r="BG25" i="8" s="1"/>
  <c r="BG26" i="8" l="1"/>
  <c r="BH25" i="8"/>
  <c r="BH26" i="8" s="1"/>
  <c r="E7" i="2"/>
  <c r="E52" i="2" s="1"/>
  <c r="C50" i="2"/>
  <c r="C51" i="2"/>
  <c r="B51" i="2"/>
  <c r="B50" i="2"/>
  <c r="C9" i="2"/>
  <c r="H34" i="2"/>
  <c r="B9" i="2"/>
  <c r="B14" i="2" s="1"/>
  <c r="G34" i="2"/>
  <c r="BE22" i="8"/>
  <c r="BC22" i="8"/>
  <c r="BD22" i="8" s="1"/>
  <c r="BB22" i="8"/>
  <c r="BA22" i="8"/>
  <c r="BE35" i="4"/>
  <c r="DB37" i="8"/>
  <c r="CW37" i="8"/>
  <c r="CR37" i="8"/>
  <c r="CM37" i="8"/>
  <c r="CH37" i="8"/>
  <c r="CC37" i="8"/>
  <c r="BX37" i="8"/>
  <c r="BS37" i="8"/>
  <c r="BN37" i="8"/>
  <c r="BE47" i="8"/>
  <c r="BA39" i="8"/>
  <c r="AZ47" i="8"/>
  <c r="AU39" i="8"/>
  <c r="AP39" i="8"/>
  <c r="AK39" i="8"/>
  <c r="AK38" i="8"/>
  <c r="AF39" i="8"/>
  <c r="AE47" i="8"/>
  <c r="AE39" i="8" s="1"/>
  <c r="AA39" i="8"/>
  <c r="G40" i="8"/>
  <c r="G39" i="8"/>
  <c r="G38" i="8"/>
  <c r="F36" i="8"/>
  <c r="C40" i="8"/>
  <c r="AA48" i="8"/>
  <c r="AB45" i="8" s="1"/>
  <c r="Y22" i="8"/>
  <c r="Z22" i="8" s="1"/>
  <c r="AN28" i="8"/>
  <c r="AM28" i="8"/>
  <c r="AL28" i="8"/>
  <c r="AK28" i="8"/>
  <c r="AI28" i="8"/>
  <c r="AH28" i="8"/>
  <c r="AG28" i="8"/>
  <c r="AF28" i="8"/>
  <c r="AD28" i="8"/>
  <c r="AC28" i="8"/>
  <c r="V28" i="8"/>
  <c r="BE20" i="5"/>
  <c r="W30" i="8"/>
  <c r="C25" i="8"/>
  <c r="D25" i="8" s="1"/>
  <c r="BF20" i="5" l="1"/>
  <c r="BG20" i="5" s="1"/>
  <c r="C48" i="2"/>
  <c r="C14" i="2"/>
  <c r="C53" i="2" s="1"/>
  <c r="B18" i="2"/>
  <c r="B48" i="2"/>
  <c r="AJ28" i="8"/>
  <c r="BB39" i="8"/>
  <c r="BC39" i="8" s="1"/>
  <c r="BD39" i="8" s="1"/>
  <c r="AO28" i="8"/>
  <c r="AE28" i="8"/>
  <c r="B59" i="2" l="1"/>
  <c r="B20" i="2"/>
  <c r="B21" i="2"/>
  <c r="B58" i="2"/>
  <c r="C18" i="2"/>
  <c r="C20" i="2" s="1"/>
  <c r="C31" i="2"/>
  <c r="C56" i="2" s="1"/>
  <c r="B31" i="2"/>
  <c r="B56" i="2" s="1"/>
  <c r="B53" i="2"/>
  <c r="C59" i="2" l="1"/>
  <c r="C58" i="2"/>
  <c r="B23" i="2"/>
  <c r="B60" i="2"/>
  <c r="B28" i="2" l="1"/>
  <c r="B61" i="2"/>
  <c r="B29" i="2"/>
  <c r="E25" i="8"/>
  <c r="DB6" i="8"/>
  <c r="DA6" i="8"/>
  <c r="CZ6" i="8"/>
  <c r="CY6" i="8"/>
  <c r="CX6" i="8"/>
  <c r="CW6" i="8"/>
  <c r="CV6" i="8"/>
  <c r="CU6" i="8"/>
  <c r="CT6" i="8"/>
  <c r="CS6" i="8"/>
  <c r="CR6" i="8"/>
  <c r="CQ6" i="8"/>
  <c r="CP6" i="8"/>
  <c r="CO6" i="8"/>
  <c r="CN6" i="8"/>
  <c r="CM6" i="8"/>
  <c r="CL6" i="8"/>
  <c r="CK6" i="8"/>
  <c r="CJ6" i="8"/>
  <c r="CI6" i="8"/>
  <c r="CH6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DA5" i="8"/>
  <c r="CZ5" i="8"/>
  <c r="CY5" i="8"/>
  <c r="CX5" i="8"/>
  <c r="CV5" i="8"/>
  <c r="CU5" i="8"/>
  <c r="CT5" i="8"/>
  <c r="CS5" i="8"/>
  <c r="CQ5" i="8"/>
  <c r="CP5" i="8"/>
  <c r="CO5" i="8"/>
  <c r="CN5" i="8"/>
  <c r="CL5" i="8"/>
  <c r="CK5" i="8"/>
  <c r="CJ5" i="8"/>
  <c r="CI5" i="8"/>
  <c r="CG5" i="8"/>
  <c r="CF5" i="8"/>
  <c r="CE5" i="8"/>
  <c r="CD5" i="8"/>
  <c r="CB5" i="8"/>
  <c r="CA5" i="8"/>
  <c r="BZ5" i="8"/>
  <c r="BY5" i="8"/>
  <c r="BW5" i="8"/>
  <c r="BV5" i="8"/>
  <c r="BU5" i="8"/>
  <c r="BT5" i="8"/>
  <c r="BR5" i="8"/>
  <c r="BQ5" i="8"/>
  <c r="BP5" i="8"/>
  <c r="BO5" i="8"/>
  <c r="BM5" i="8"/>
  <c r="BL5" i="8"/>
  <c r="BK5" i="8"/>
  <c r="BJ5" i="8"/>
  <c r="BH5" i="8"/>
  <c r="BG5" i="8"/>
  <c r="BF5" i="8"/>
  <c r="BE5" i="8"/>
  <c r="BC5" i="8"/>
  <c r="BB5" i="8"/>
  <c r="BA5" i="8"/>
  <c r="AZ5" i="8"/>
  <c r="AX5" i="8"/>
  <c r="AW5" i="8"/>
  <c r="AV5" i="8"/>
  <c r="AU5" i="8"/>
  <c r="AS5" i="8"/>
  <c r="AR5" i="8"/>
  <c r="AQ5" i="8"/>
  <c r="AP5" i="8"/>
  <c r="AN5" i="8"/>
  <c r="AM5" i="8"/>
  <c r="AL5" i="8"/>
  <c r="AK5" i="8"/>
  <c r="AI5" i="8"/>
  <c r="AH5" i="8"/>
  <c r="AG5" i="8"/>
  <c r="AF5" i="8"/>
  <c r="AD5" i="8"/>
  <c r="AC5" i="8"/>
  <c r="AB5" i="8"/>
  <c r="AA5" i="8"/>
  <c r="Y5" i="8"/>
  <c r="X5" i="8"/>
  <c r="W5" i="8"/>
  <c r="V5" i="8"/>
  <c r="T5" i="8"/>
  <c r="S5" i="8"/>
  <c r="R5" i="8"/>
  <c r="Q5" i="8"/>
  <c r="O5" i="8"/>
  <c r="N5" i="8"/>
  <c r="M5" i="8"/>
  <c r="L5" i="8"/>
  <c r="J5" i="8"/>
  <c r="I5" i="8"/>
  <c r="H5" i="8"/>
  <c r="G5" i="8"/>
  <c r="F5" i="8"/>
  <c r="E5" i="8"/>
  <c r="D5" i="8"/>
  <c r="C5" i="8"/>
  <c r="B5" i="8"/>
  <c r="A3" i="8"/>
  <c r="A1" i="8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K6" i="5"/>
  <c r="CJ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DA5" i="5"/>
  <c r="CZ5" i="5"/>
  <c r="CY5" i="5"/>
  <c r="CX5" i="5"/>
  <c r="CV5" i="5"/>
  <c r="CU5" i="5"/>
  <c r="CT5" i="5"/>
  <c r="CS5" i="5"/>
  <c r="CQ5" i="5"/>
  <c r="CP5" i="5"/>
  <c r="CO5" i="5"/>
  <c r="CN5" i="5"/>
  <c r="CL5" i="5"/>
  <c r="CK5" i="5"/>
  <c r="CJ5" i="5"/>
  <c r="CI5" i="5"/>
  <c r="CG5" i="5"/>
  <c r="CF5" i="5"/>
  <c r="CE5" i="5"/>
  <c r="CD5" i="5"/>
  <c r="CB5" i="5"/>
  <c r="CA5" i="5"/>
  <c r="BZ5" i="5"/>
  <c r="BY5" i="5"/>
  <c r="BW5" i="5"/>
  <c r="BV5" i="5"/>
  <c r="BU5" i="5"/>
  <c r="BT5" i="5"/>
  <c r="BR5" i="5"/>
  <c r="BQ5" i="5"/>
  <c r="BP5" i="5"/>
  <c r="BO5" i="5"/>
  <c r="BM5" i="5"/>
  <c r="BL5" i="5"/>
  <c r="BK5" i="5"/>
  <c r="BJ5" i="5"/>
  <c r="BH5" i="5"/>
  <c r="BG5" i="5"/>
  <c r="BF5" i="5"/>
  <c r="BE5" i="5"/>
  <c r="BC5" i="5"/>
  <c r="BB5" i="5"/>
  <c r="BA5" i="5"/>
  <c r="AZ5" i="5"/>
  <c r="AX5" i="5"/>
  <c r="AW5" i="5"/>
  <c r="AV5" i="5"/>
  <c r="AU5" i="5"/>
  <c r="AS5" i="5"/>
  <c r="AR5" i="5"/>
  <c r="AQ5" i="5"/>
  <c r="AP5" i="5"/>
  <c r="AN5" i="5"/>
  <c r="AM5" i="5"/>
  <c r="AL5" i="5"/>
  <c r="AK5" i="5"/>
  <c r="AI5" i="5"/>
  <c r="AH5" i="5"/>
  <c r="AG5" i="5"/>
  <c r="AF5" i="5"/>
  <c r="AD5" i="5"/>
  <c r="AC5" i="5"/>
  <c r="AB5" i="5"/>
  <c r="AA5" i="5"/>
  <c r="Y5" i="5"/>
  <c r="X5" i="5"/>
  <c r="W5" i="5"/>
  <c r="V5" i="5"/>
  <c r="T5" i="5"/>
  <c r="S5" i="5"/>
  <c r="R5" i="5"/>
  <c r="Q5" i="5"/>
  <c r="O5" i="5"/>
  <c r="N5" i="5"/>
  <c r="M5" i="5"/>
  <c r="L5" i="5"/>
  <c r="J5" i="5"/>
  <c r="I5" i="5"/>
  <c r="H5" i="5"/>
  <c r="G5" i="5"/>
  <c r="F5" i="5"/>
  <c r="E5" i="5"/>
  <c r="D5" i="5"/>
  <c r="C5" i="5"/>
  <c r="B5" i="5"/>
  <c r="A3" i="5"/>
  <c r="A1" i="5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DA5" i="4"/>
  <c r="CZ5" i="4"/>
  <c r="CY5" i="4"/>
  <c r="CX5" i="4"/>
  <c r="CV5" i="4"/>
  <c r="CU5" i="4"/>
  <c r="CT5" i="4"/>
  <c r="CS5" i="4"/>
  <c r="CQ5" i="4"/>
  <c r="CP5" i="4"/>
  <c r="CO5" i="4"/>
  <c r="CN5" i="4"/>
  <c r="CL5" i="4"/>
  <c r="CK5" i="4"/>
  <c r="CJ5" i="4"/>
  <c r="CI5" i="4"/>
  <c r="CG5" i="4"/>
  <c r="CF5" i="4"/>
  <c r="CE5" i="4"/>
  <c r="CD5" i="4"/>
  <c r="CB5" i="4"/>
  <c r="CA5" i="4"/>
  <c r="BZ5" i="4"/>
  <c r="BY5" i="4"/>
  <c r="BW5" i="4"/>
  <c r="BV5" i="4"/>
  <c r="BU5" i="4"/>
  <c r="BT5" i="4"/>
  <c r="BR5" i="4"/>
  <c r="BQ5" i="4"/>
  <c r="BP5" i="4"/>
  <c r="BO5" i="4"/>
  <c r="BM5" i="4"/>
  <c r="BL5" i="4"/>
  <c r="BK5" i="4"/>
  <c r="BJ5" i="4"/>
  <c r="BH5" i="4"/>
  <c r="BG5" i="4"/>
  <c r="BF5" i="4"/>
  <c r="BE5" i="4"/>
  <c r="BC5" i="4"/>
  <c r="BB5" i="4"/>
  <c r="BA5" i="4"/>
  <c r="AZ5" i="4"/>
  <c r="AX5" i="4"/>
  <c r="AW5" i="4"/>
  <c r="AV5" i="4"/>
  <c r="AU5" i="4"/>
  <c r="AS5" i="4"/>
  <c r="AR5" i="4"/>
  <c r="AQ5" i="4"/>
  <c r="AP5" i="4"/>
  <c r="AN5" i="4"/>
  <c r="AM5" i="4"/>
  <c r="AL5" i="4"/>
  <c r="AK5" i="4"/>
  <c r="AI5" i="4"/>
  <c r="AH5" i="4"/>
  <c r="AG5" i="4"/>
  <c r="AF5" i="4"/>
  <c r="AD5" i="4"/>
  <c r="AC5" i="4"/>
  <c r="AB5" i="4"/>
  <c r="AA5" i="4"/>
  <c r="Y5" i="4"/>
  <c r="X5" i="4"/>
  <c r="W5" i="4"/>
  <c r="V5" i="4"/>
  <c r="T5" i="4"/>
  <c r="S5" i="4"/>
  <c r="R5" i="4"/>
  <c r="Q5" i="4"/>
  <c r="O5" i="4"/>
  <c r="N5" i="4"/>
  <c r="M5" i="4"/>
  <c r="L5" i="4"/>
  <c r="J5" i="4"/>
  <c r="I5" i="4"/>
  <c r="H5" i="4"/>
  <c r="G5" i="4"/>
  <c r="F5" i="4"/>
  <c r="E5" i="4"/>
  <c r="D5" i="4"/>
  <c r="C5" i="4"/>
  <c r="B5" i="4"/>
  <c r="A3" i="4"/>
  <c r="A1" i="4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DA5" i="3"/>
  <c r="CZ5" i="3"/>
  <c r="CY5" i="3"/>
  <c r="CX5" i="3"/>
  <c r="CV5" i="3"/>
  <c r="CU5" i="3"/>
  <c r="CT5" i="3"/>
  <c r="CS5" i="3"/>
  <c r="CQ5" i="3"/>
  <c r="CP5" i="3"/>
  <c r="CO5" i="3"/>
  <c r="CN5" i="3"/>
  <c r="CL5" i="3"/>
  <c r="CK5" i="3"/>
  <c r="CJ5" i="3"/>
  <c r="CI5" i="3"/>
  <c r="CG5" i="3"/>
  <c r="CF5" i="3"/>
  <c r="CE5" i="3"/>
  <c r="CD5" i="3"/>
  <c r="CB5" i="3"/>
  <c r="CA5" i="3"/>
  <c r="BZ5" i="3"/>
  <c r="BY5" i="3"/>
  <c r="BW5" i="3"/>
  <c r="BV5" i="3"/>
  <c r="BU5" i="3"/>
  <c r="BT5" i="3"/>
  <c r="BR5" i="3"/>
  <c r="BQ5" i="3"/>
  <c r="BP5" i="3"/>
  <c r="BO5" i="3"/>
  <c r="BM5" i="3"/>
  <c r="BL5" i="3"/>
  <c r="BK5" i="3"/>
  <c r="BJ5" i="3"/>
  <c r="BH5" i="3"/>
  <c r="BG5" i="3"/>
  <c r="BF5" i="3"/>
  <c r="BE5" i="3"/>
  <c r="BC5" i="3"/>
  <c r="BB5" i="3"/>
  <c r="BA5" i="3"/>
  <c r="AZ5" i="3"/>
  <c r="AX5" i="3"/>
  <c r="AW5" i="3"/>
  <c r="AV5" i="3"/>
  <c r="AU5" i="3"/>
  <c r="AS5" i="3"/>
  <c r="AR5" i="3"/>
  <c r="AQ5" i="3"/>
  <c r="AP5" i="3"/>
  <c r="AN5" i="3"/>
  <c r="AM5" i="3"/>
  <c r="AL5" i="3"/>
  <c r="AK5" i="3"/>
  <c r="AI5" i="3"/>
  <c r="AH5" i="3"/>
  <c r="AG5" i="3"/>
  <c r="AF5" i="3"/>
  <c r="AD5" i="3"/>
  <c r="AC5" i="3"/>
  <c r="AB5" i="3"/>
  <c r="AA5" i="3"/>
  <c r="Y5" i="3"/>
  <c r="X5" i="3"/>
  <c r="W5" i="3"/>
  <c r="V5" i="3"/>
  <c r="T5" i="3"/>
  <c r="S5" i="3"/>
  <c r="R5" i="3"/>
  <c r="Q5" i="3"/>
  <c r="O5" i="3"/>
  <c r="N5" i="3"/>
  <c r="M5" i="3"/>
  <c r="L5" i="3"/>
  <c r="J5" i="3"/>
  <c r="I5" i="3"/>
  <c r="H5" i="3"/>
  <c r="G5" i="3"/>
  <c r="F5" i="3"/>
  <c r="E5" i="3"/>
  <c r="D5" i="3"/>
  <c r="C5" i="3"/>
  <c r="B6" i="3"/>
  <c r="B5" i="3"/>
  <c r="A3" i="3"/>
  <c r="A1" i="3"/>
  <c r="K5" i="2"/>
  <c r="P5" i="2" s="1"/>
  <c r="U5" i="2" s="1"/>
  <c r="Z5" i="2" s="1"/>
  <c r="AE5" i="2" s="1"/>
  <c r="AJ5" i="2" s="1"/>
  <c r="AO5" i="2" s="1"/>
  <c r="AT5" i="2" s="1"/>
  <c r="AY5" i="2" s="1"/>
  <c r="BD5" i="2" s="1"/>
  <c r="BI5" i="2" s="1"/>
  <c r="BN5" i="2" s="1"/>
  <c r="BS5" i="2" s="1"/>
  <c r="BX5" i="2" s="1"/>
  <c r="CC5" i="2" s="1"/>
  <c r="CH5" i="2" s="1"/>
  <c r="CM5" i="2" s="1"/>
  <c r="CR5" i="2" s="1"/>
  <c r="CW5" i="2" s="1"/>
  <c r="DB5" i="2" s="1"/>
  <c r="DB5" i="3" s="1"/>
  <c r="F25" i="8" l="1"/>
  <c r="G25" i="8"/>
  <c r="H25" i="8" s="1"/>
  <c r="I25" i="8" s="1"/>
  <c r="J25" i="8" s="1"/>
  <c r="K25" i="8" s="1"/>
  <c r="BN5" i="4"/>
  <c r="DB5" i="5"/>
  <c r="Z5" i="8"/>
  <c r="Z5" i="3"/>
  <c r="CH5" i="3"/>
  <c r="AE5" i="4"/>
  <c r="CM5" i="4"/>
  <c r="K5" i="5"/>
  <c r="BS5" i="5"/>
  <c r="AY5" i="8"/>
  <c r="CH5" i="8"/>
  <c r="AY5" i="3"/>
  <c r="BD5" i="4"/>
  <c r="AJ5" i="5"/>
  <c r="CR5" i="5"/>
  <c r="P5" i="8"/>
  <c r="BX5" i="8"/>
  <c r="AT5" i="5"/>
  <c r="P5" i="3"/>
  <c r="BX5" i="3"/>
  <c r="U5" i="4"/>
  <c r="CC5" i="4"/>
  <c r="BI5" i="5"/>
  <c r="AO5" i="8"/>
  <c r="CW5" i="8"/>
  <c r="AO5" i="3"/>
  <c r="CW5" i="3"/>
  <c r="AT5" i="4"/>
  <c r="DB5" i="4"/>
  <c r="Z5" i="5"/>
  <c r="CH5" i="5"/>
  <c r="BN5" i="8"/>
  <c r="AY5" i="5"/>
  <c r="AE5" i="8"/>
  <c r="CM5" i="8"/>
  <c r="BN5" i="3"/>
  <c r="K5" i="4"/>
  <c r="BS5" i="4"/>
  <c r="AE5" i="3"/>
  <c r="CM5" i="3"/>
  <c r="AJ5" i="4"/>
  <c r="CR5" i="4"/>
  <c r="P5" i="5"/>
  <c r="BX5" i="5"/>
  <c r="BD5" i="8"/>
  <c r="BD5" i="3"/>
  <c r="AO5" i="5"/>
  <c r="CW5" i="5"/>
  <c r="U5" i="8"/>
  <c r="CC5" i="8"/>
  <c r="BI5" i="4"/>
  <c r="U5" i="3"/>
  <c r="CC5" i="3"/>
  <c r="Z5" i="4"/>
  <c r="CH5" i="4"/>
  <c r="BN5" i="5"/>
  <c r="AT5" i="8"/>
  <c r="DB5" i="8"/>
  <c r="AJ5" i="3"/>
  <c r="BI5" i="3"/>
  <c r="AT5" i="3"/>
  <c r="AY5" i="4"/>
  <c r="AE5" i="5"/>
  <c r="CM5" i="5"/>
  <c r="K5" i="8"/>
  <c r="BS5" i="8"/>
  <c r="CR5" i="3"/>
  <c r="K5" i="3"/>
  <c r="BS5" i="3"/>
  <c r="P5" i="4"/>
  <c r="BX5" i="4"/>
  <c r="BD5" i="5"/>
  <c r="AJ5" i="8"/>
  <c r="CR5" i="8"/>
  <c r="AO5" i="4"/>
  <c r="CW5" i="4"/>
  <c r="U5" i="5"/>
  <c r="CC5" i="5"/>
  <c r="BI5" i="8"/>
  <c r="BC306" i="3"/>
  <c r="BB306" i="3"/>
  <c r="BA306" i="3"/>
  <c r="AZ306" i="3"/>
  <c r="BE505" i="3"/>
  <c r="BE342" i="3" l="1"/>
  <c r="BE346" i="3" s="1"/>
  <c r="BE468" i="3" l="1"/>
  <c r="BE448" i="3"/>
  <c r="BE447" i="3"/>
  <c r="BE14" i="3"/>
  <c r="BE21" i="5"/>
  <c r="BE14" i="5"/>
  <c r="BC22" i="2"/>
  <c r="BE55" i="8"/>
  <c r="BE48" i="8"/>
  <c r="BF14" i="5" l="1"/>
  <c r="BG14" i="5" s="1"/>
  <c r="BF21" i="5"/>
  <c r="BG21" i="5"/>
  <c r="BE40" i="8"/>
  <c r="BE57" i="4"/>
  <c r="BE30" i="4"/>
  <c r="BE24" i="8" s="1"/>
  <c r="BF26" i="8" s="1"/>
  <c r="BE29" i="4"/>
  <c r="BE26" i="4"/>
  <c r="BE12" i="4"/>
  <c r="BE9" i="4"/>
  <c r="BE8" i="2"/>
  <c r="BH8" i="2" s="1"/>
  <c r="BH474" i="3" l="1"/>
  <c r="BH9" i="2"/>
  <c r="BG22" i="5"/>
  <c r="BE474" i="3"/>
  <c r="BE471" i="3" s="1"/>
  <c r="BE9" i="2"/>
  <c r="BI9" i="2" s="1"/>
  <c r="BE28" i="8"/>
  <c r="BE14" i="8" s="1"/>
  <c r="BE8" i="8"/>
  <c r="BE91" i="4"/>
  <c r="BM13" i="3"/>
  <c r="BK13" i="3"/>
  <c r="BJ13" i="3"/>
  <c r="BC15" i="3"/>
  <c r="BB15" i="3"/>
  <c r="BA15" i="3"/>
  <c r="AX15" i="3"/>
  <c r="AW15" i="3"/>
  <c r="AV15" i="3"/>
  <c r="AS15" i="3"/>
  <c r="AR15" i="3"/>
  <c r="AQ15" i="3"/>
  <c r="AN15" i="3"/>
  <c r="AM15" i="3"/>
  <c r="AL15" i="3"/>
  <c r="AI15" i="3"/>
  <c r="AH15" i="3"/>
  <c r="AG15" i="3"/>
  <c r="AF15" i="3"/>
  <c r="AD15" i="3"/>
  <c r="AC15" i="3"/>
  <c r="AB15" i="3"/>
  <c r="AA15" i="3"/>
  <c r="Y15" i="3"/>
  <c r="X15" i="3"/>
  <c r="W15" i="3"/>
  <c r="V15" i="3"/>
  <c r="T15" i="3"/>
  <c r="S15" i="3"/>
  <c r="R15" i="3"/>
  <c r="Q15" i="3"/>
  <c r="O15" i="3"/>
  <c r="N15" i="3"/>
  <c r="M15" i="3"/>
  <c r="L15" i="3"/>
  <c r="J15" i="3"/>
  <c r="I15" i="3"/>
  <c r="H15" i="3"/>
  <c r="BC14" i="3"/>
  <c r="BB14" i="3"/>
  <c r="BA14" i="3"/>
  <c r="AZ14" i="3"/>
  <c r="AX14" i="3"/>
  <c r="AW14" i="3"/>
  <c r="AV14" i="3"/>
  <c r="AU14" i="3"/>
  <c r="AS14" i="3"/>
  <c r="AR14" i="3"/>
  <c r="AQ14" i="3"/>
  <c r="AP14" i="3"/>
  <c r="AN14" i="3"/>
  <c r="AM14" i="3"/>
  <c r="AL14" i="3"/>
  <c r="AK14" i="3"/>
  <c r="AI14" i="3"/>
  <c r="AH14" i="3"/>
  <c r="AG14" i="3"/>
  <c r="AF14" i="3"/>
  <c r="AD14" i="3"/>
  <c r="AC14" i="3"/>
  <c r="AB14" i="3"/>
  <c r="AA14" i="3"/>
  <c r="Y14" i="3"/>
  <c r="X14" i="3"/>
  <c r="W14" i="3"/>
  <c r="V14" i="3"/>
  <c r="T14" i="3"/>
  <c r="S14" i="3"/>
  <c r="R14" i="3"/>
  <c r="Q14" i="3"/>
  <c r="O14" i="3"/>
  <c r="N14" i="3"/>
  <c r="M14" i="3"/>
  <c r="L14" i="3"/>
  <c r="BD13" i="3"/>
  <c r="BB9" i="3"/>
  <c r="BA9" i="3"/>
  <c r="AZ9" i="3"/>
  <c r="AY13" i="3"/>
  <c r="AZ15" i="3" s="1"/>
  <c r="AX9" i="3"/>
  <c r="AX17" i="3" s="1"/>
  <c r="AW9" i="3"/>
  <c r="AV9" i="3"/>
  <c r="AV17" i="3" s="1"/>
  <c r="AU9" i="3"/>
  <c r="AT13" i="3"/>
  <c r="AU15" i="3" s="1"/>
  <c r="AS9" i="3"/>
  <c r="AS17" i="3" s="1"/>
  <c r="AR9" i="3"/>
  <c r="AR17" i="3" s="1"/>
  <c r="AR20" i="3" s="1"/>
  <c r="AQ9" i="3"/>
  <c r="AQ17" i="3" s="1"/>
  <c r="AQ20" i="3" s="1"/>
  <c r="AP9" i="3"/>
  <c r="AN9" i="3"/>
  <c r="AN17" i="3" s="1"/>
  <c r="AM9" i="3"/>
  <c r="AL9" i="3"/>
  <c r="AL17" i="3" s="1"/>
  <c r="AL20" i="3" s="1"/>
  <c r="AK9" i="3"/>
  <c r="AJ13" i="3"/>
  <c r="AK15" i="3" s="1"/>
  <c r="AI9" i="3"/>
  <c r="AI17" i="3" s="1"/>
  <c r="AH9" i="3"/>
  <c r="AH17" i="3" s="1"/>
  <c r="AH20" i="3" s="1"/>
  <c r="AG9" i="3"/>
  <c r="AG17" i="3" s="1"/>
  <c r="AG20" i="3" s="1"/>
  <c r="AF9" i="3"/>
  <c r="AF17" i="3" s="1"/>
  <c r="AF20" i="3" s="1"/>
  <c r="AE13" i="3"/>
  <c r="AD9" i="3"/>
  <c r="AD17" i="3" s="1"/>
  <c r="AC9" i="3"/>
  <c r="AC17" i="3" s="1"/>
  <c r="AC20" i="3" s="1"/>
  <c r="AB9" i="3"/>
  <c r="AA9" i="3"/>
  <c r="AA17" i="3" s="1"/>
  <c r="AA20" i="3" s="1"/>
  <c r="Z13" i="3"/>
  <c r="Y9" i="3"/>
  <c r="Y17" i="3" s="1"/>
  <c r="X9" i="3"/>
  <c r="X17" i="3" s="1"/>
  <c r="X20" i="3" s="1"/>
  <c r="W9" i="3"/>
  <c r="W17" i="3" s="1"/>
  <c r="W20" i="3" s="1"/>
  <c r="V9" i="3"/>
  <c r="V17" i="3" s="1"/>
  <c r="V20" i="3" s="1"/>
  <c r="T9" i="3"/>
  <c r="T17" i="3" s="1"/>
  <c r="S9" i="3"/>
  <c r="R9" i="3"/>
  <c r="R17" i="3" s="1"/>
  <c r="Q9" i="3"/>
  <c r="Q17" i="3" s="1"/>
  <c r="O9" i="3"/>
  <c r="O17" i="3" s="1"/>
  <c r="N9" i="3"/>
  <c r="M9" i="3"/>
  <c r="M17" i="3" s="1"/>
  <c r="M20" i="3" s="1"/>
  <c r="L9" i="3"/>
  <c r="L17" i="3" s="1"/>
  <c r="L20" i="3" s="1"/>
  <c r="J9" i="3"/>
  <c r="J17" i="3" s="1"/>
  <c r="I9" i="3"/>
  <c r="I17" i="3" s="1"/>
  <c r="H9" i="3"/>
  <c r="K13" i="3"/>
  <c r="G9" i="3"/>
  <c r="DB477" i="3"/>
  <c r="CW477" i="3"/>
  <c r="CR477" i="3"/>
  <c r="CM477" i="3"/>
  <c r="CH477" i="3"/>
  <c r="CC477" i="3"/>
  <c r="BX477" i="3"/>
  <c r="BS477" i="3"/>
  <c r="BN477" i="3"/>
  <c r="BD477" i="3"/>
  <c r="BI477" i="3"/>
  <c r="BE149" i="3"/>
  <c r="BG427" i="3"/>
  <c r="AS291" i="3"/>
  <c r="AX292" i="3" s="1"/>
  <c r="AR291" i="3"/>
  <c r="AV291" i="3"/>
  <c r="BA291" i="3" s="1"/>
  <c r="AP291" i="3"/>
  <c r="AC169" i="3"/>
  <c r="AB169" i="3"/>
  <c r="AA169" i="3"/>
  <c r="Y169" i="3"/>
  <c r="X169" i="3"/>
  <c r="W169" i="3"/>
  <c r="V169" i="3"/>
  <c r="P474" i="3"/>
  <c r="N474" i="3"/>
  <c r="M474" i="3"/>
  <c r="L474" i="3"/>
  <c r="K474" i="3"/>
  <c r="I474" i="3"/>
  <c r="H474" i="3"/>
  <c r="G474" i="3"/>
  <c r="BC468" i="3"/>
  <c r="BB468" i="3"/>
  <c r="BA468" i="3"/>
  <c r="AZ468" i="3"/>
  <c r="BE469" i="3" s="1"/>
  <c r="AX468" i="3"/>
  <c r="AW468" i="3"/>
  <c r="AV468" i="3"/>
  <c r="AU468" i="3"/>
  <c r="AS468" i="3"/>
  <c r="AR468" i="3"/>
  <c r="AQ468" i="3"/>
  <c r="AP468" i="3"/>
  <c r="AN468" i="3"/>
  <c r="AM468" i="3"/>
  <c r="AL468" i="3"/>
  <c r="AK468" i="3"/>
  <c r="AI468" i="3"/>
  <c r="AH468" i="3"/>
  <c r="AG468" i="3"/>
  <c r="AF468" i="3"/>
  <c r="AD468" i="3"/>
  <c r="AC468" i="3"/>
  <c r="AB468" i="3"/>
  <c r="AA468" i="3"/>
  <c r="Y468" i="3"/>
  <c r="X468" i="3"/>
  <c r="W468" i="3"/>
  <c r="V468" i="3"/>
  <c r="T468" i="3"/>
  <c r="S468" i="3"/>
  <c r="R468" i="3"/>
  <c r="Q468" i="3"/>
  <c r="O468" i="3"/>
  <c r="N468" i="3"/>
  <c r="M468" i="3"/>
  <c r="L468" i="3"/>
  <c r="J468" i="3"/>
  <c r="I468" i="3"/>
  <c r="H468" i="3"/>
  <c r="G468" i="3"/>
  <c r="E468" i="3"/>
  <c r="D468" i="3"/>
  <c r="C468" i="3"/>
  <c r="B468" i="3"/>
  <c r="BU163" i="3"/>
  <c r="BZ163" i="3" s="1"/>
  <c r="CE163" i="3" s="1"/>
  <c r="CJ163" i="3" s="1"/>
  <c r="DA101" i="3"/>
  <c r="CZ101" i="3"/>
  <c r="CY101" i="3"/>
  <c r="CX101" i="3"/>
  <c r="DA100" i="3"/>
  <c r="CZ100" i="3"/>
  <c r="CY100" i="3"/>
  <c r="CX100" i="3"/>
  <c r="CV101" i="3"/>
  <c r="CU101" i="3"/>
  <c r="CT101" i="3"/>
  <c r="CS101" i="3"/>
  <c r="CV100" i="3"/>
  <c r="CU100" i="3"/>
  <c r="CT100" i="3"/>
  <c r="CS100" i="3"/>
  <c r="CQ101" i="3"/>
  <c r="CP101" i="3"/>
  <c r="CO101" i="3"/>
  <c r="CN101" i="3"/>
  <c r="CQ100" i="3"/>
  <c r="CP100" i="3"/>
  <c r="CO100" i="3"/>
  <c r="CN100" i="3"/>
  <c r="CL101" i="3"/>
  <c r="CK101" i="3"/>
  <c r="CJ101" i="3"/>
  <c r="CI101" i="3"/>
  <c r="CL100" i="3"/>
  <c r="CK100" i="3"/>
  <c r="CJ100" i="3"/>
  <c r="CI100" i="3"/>
  <c r="CG101" i="3"/>
  <c r="CF101" i="3"/>
  <c r="CE101" i="3"/>
  <c r="CD101" i="3"/>
  <c r="CG100" i="3"/>
  <c r="CF100" i="3"/>
  <c r="CE100" i="3"/>
  <c r="CD100" i="3"/>
  <c r="CB101" i="3"/>
  <c r="CA101" i="3"/>
  <c r="BZ101" i="3"/>
  <c r="BY101" i="3"/>
  <c r="CB100" i="3"/>
  <c r="CA100" i="3"/>
  <c r="BZ100" i="3"/>
  <c r="BY100" i="3"/>
  <c r="BV101" i="3"/>
  <c r="BU101" i="3"/>
  <c r="BV100" i="3"/>
  <c r="BU100" i="3"/>
  <c r="BT100" i="3"/>
  <c r="BQ101" i="3"/>
  <c r="BP101" i="3"/>
  <c r="BQ100" i="3"/>
  <c r="BP100" i="3"/>
  <c r="BO100" i="3"/>
  <c r="AX94" i="3"/>
  <c r="AW94" i="3"/>
  <c r="AV94" i="3"/>
  <c r="AU94" i="3"/>
  <c r="AZ94" i="3" s="1"/>
  <c r="DA180" i="3"/>
  <c r="CZ180" i="3"/>
  <c r="CY180" i="3"/>
  <c r="CX180" i="3"/>
  <c r="DA179" i="3"/>
  <c r="CZ179" i="3"/>
  <c r="CY179" i="3"/>
  <c r="CX179" i="3"/>
  <c r="CV180" i="3"/>
  <c r="CU180" i="3"/>
  <c r="CT180" i="3"/>
  <c r="CS180" i="3"/>
  <c r="CV179" i="3"/>
  <c r="CU179" i="3"/>
  <c r="CT179" i="3"/>
  <c r="CS179" i="3"/>
  <c r="CQ180" i="3"/>
  <c r="CP180" i="3"/>
  <c r="CO180" i="3"/>
  <c r="CN180" i="3"/>
  <c r="CQ179" i="3"/>
  <c r="CP179" i="3"/>
  <c r="CO179" i="3"/>
  <c r="CN179" i="3"/>
  <c r="CL180" i="3"/>
  <c r="CK180" i="3"/>
  <c r="CJ180" i="3"/>
  <c r="CI180" i="3"/>
  <c r="CL179" i="3"/>
  <c r="CK179" i="3"/>
  <c r="CJ179" i="3"/>
  <c r="CI179" i="3"/>
  <c r="CG180" i="3"/>
  <c r="CF180" i="3"/>
  <c r="CE180" i="3"/>
  <c r="CD180" i="3"/>
  <c r="CG179" i="3"/>
  <c r="CF179" i="3"/>
  <c r="CE179" i="3"/>
  <c r="CD179" i="3"/>
  <c r="CB180" i="3"/>
  <c r="CA180" i="3"/>
  <c r="BZ180" i="3"/>
  <c r="BY180" i="3"/>
  <c r="CB179" i="3"/>
  <c r="CA179" i="3"/>
  <c r="BZ179" i="3"/>
  <c r="BY179" i="3"/>
  <c r="BW180" i="3"/>
  <c r="BV180" i="3"/>
  <c r="BU180" i="3"/>
  <c r="BT180" i="3"/>
  <c r="BW179" i="3"/>
  <c r="BV179" i="3"/>
  <c r="BU179" i="3"/>
  <c r="BT179" i="3"/>
  <c r="BR180" i="3"/>
  <c r="BQ180" i="3"/>
  <c r="BP180" i="3"/>
  <c r="BO180" i="3"/>
  <c r="BR179" i="3"/>
  <c r="BQ179" i="3"/>
  <c r="BP179" i="3"/>
  <c r="BO179" i="3"/>
  <c r="BM180" i="3"/>
  <c r="BL180" i="3"/>
  <c r="BK180" i="3"/>
  <c r="CY152" i="3"/>
  <c r="CX152" i="3"/>
  <c r="DA152" i="3"/>
  <c r="DA153" i="3"/>
  <c r="CY153" i="3"/>
  <c r="CX153" i="3"/>
  <c r="CU153" i="3"/>
  <c r="CU152" i="3"/>
  <c r="CT152" i="3"/>
  <c r="CS152" i="3"/>
  <c r="CV153" i="3"/>
  <c r="CT153" i="3"/>
  <c r="CO153" i="3"/>
  <c r="CN153" i="3"/>
  <c r="CQ152" i="3"/>
  <c r="CP152" i="3"/>
  <c r="CO152" i="3"/>
  <c r="CN152" i="3"/>
  <c r="CQ153" i="3"/>
  <c r="CP153" i="3"/>
  <c r="CK153" i="3"/>
  <c r="CL153" i="3"/>
  <c r="CK152" i="3"/>
  <c r="CJ152" i="3"/>
  <c r="CJ153" i="3"/>
  <c r="CG153" i="3"/>
  <c r="CF153" i="3"/>
  <c r="CE153" i="3"/>
  <c r="CE152" i="3"/>
  <c r="CG152" i="3"/>
  <c r="CF152" i="3"/>
  <c r="CD153" i="3"/>
  <c r="BZ152" i="3"/>
  <c r="BY152" i="3"/>
  <c r="CB153" i="3"/>
  <c r="CA153" i="3"/>
  <c r="BZ153" i="3"/>
  <c r="BY153" i="3"/>
  <c r="BW153" i="3"/>
  <c r="BW152" i="3"/>
  <c r="BV152" i="3"/>
  <c r="BV153" i="3"/>
  <c r="BT153" i="3"/>
  <c r="BP152" i="3"/>
  <c r="BO152" i="3"/>
  <c r="BR153" i="3"/>
  <c r="BQ153" i="3"/>
  <c r="BP153" i="3"/>
  <c r="BO153" i="3"/>
  <c r="BM153" i="3"/>
  <c r="BL153" i="3"/>
  <c r="BK153" i="3"/>
  <c r="DA130" i="3"/>
  <c r="CZ130" i="3"/>
  <c r="CY130" i="3"/>
  <c r="CX130" i="3"/>
  <c r="DA129" i="3"/>
  <c r="CZ129" i="3"/>
  <c r="CY129" i="3"/>
  <c r="CX129" i="3"/>
  <c r="CV130" i="3"/>
  <c r="CU130" i="3"/>
  <c r="CT130" i="3"/>
  <c r="CS130" i="3"/>
  <c r="CV129" i="3"/>
  <c r="CU129" i="3"/>
  <c r="CT129" i="3"/>
  <c r="CS129" i="3"/>
  <c r="CQ130" i="3"/>
  <c r="CP130" i="3"/>
  <c r="CO130" i="3"/>
  <c r="CN130" i="3"/>
  <c r="CQ129" i="3"/>
  <c r="CP129" i="3"/>
  <c r="CO129" i="3"/>
  <c r="CN129" i="3"/>
  <c r="CL130" i="3"/>
  <c r="CK130" i="3"/>
  <c r="CJ130" i="3"/>
  <c r="CI130" i="3"/>
  <c r="CL129" i="3"/>
  <c r="CK129" i="3"/>
  <c r="CJ129" i="3"/>
  <c r="CI129" i="3"/>
  <c r="CG130" i="3"/>
  <c r="CF130" i="3"/>
  <c r="CE130" i="3"/>
  <c r="CD130" i="3"/>
  <c r="CG129" i="3"/>
  <c r="CF129" i="3"/>
  <c r="CE129" i="3"/>
  <c r="CD129" i="3"/>
  <c r="CB130" i="3"/>
  <c r="CA130" i="3"/>
  <c r="BZ130" i="3"/>
  <c r="BY130" i="3"/>
  <c r="CB129" i="3"/>
  <c r="CA129" i="3"/>
  <c r="BZ129" i="3"/>
  <c r="BY129" i="3"/>
  <c r="BW130" i="3"/>
  <c r="BV130" i="3"/>
  <c r="BU130" i="3"/>
  <c r="BT130" i="3"/>
  <c r="BW129" i="3"/>
  <c r="BV129" i="3"/>
  <c r="BU129" i="3"/>
  <c r="BT129" i="3"/>
  <c r="BR130" i="3"/>
  <c r="BQ130" i="3"/>
  <c r="BP130" i="3"/>
  <c r="BO130" i="3"/>
  <c r="BR129" i="3"/>
  <c r="BQ129" i="3"/>
  <c r="BP129" i="3"/>
  <c r="BO129" i="3"/>
  <c r="BM130" i="3"/>
  <c r="BL130" i="3"/>
  <c r="BK130" i="3"/>
  <c r="BM129" i="3"/>
  <c r="BL129" i="3"/>
  <c r="BK129" i="3"/>
  <c r="BJ129" i="3"/>
  <c r="BW101" i="3"/>
  <c r="BW100" i="3"/>
  <c r="BR101" i="3"/>
  <c r="BR100" i="3"/>
  <c r="BM101" i="3"/>
  <c r="BL101" i="3"/>
  <c r="BK101" i="3"/>
  <c r="BM100" i="3"/>
  <c r="BL100" i="3"/>
  <c r="BK100" i="3"/>
  <c r="BJ100" i="3"/>
  <c r="I52" i="3"/>
  <c r="I174" i="3" s="1"/>
  <c r="BH166" i="3"/>
  <c r="BG166" i="3"/>
  <c r="BF166" i="3"/>
  <c r="BE166" i="3"/>
  <c r="BL152" i="3"/>
  <c r="BK152" i="3"/>
  <c r="BJ152" i="3"/>
  <c r="BH130" i="3"/>
  <c r="BH101" i="3"/>
  <c r="BG101" i="3"/>
  <c r="BF101" i="3"/>
  <c r="BE101" i="3"/>
  <c r="BH100" i="3"/>
  <c r="BG100" i="3"/>
  <c r="BF100" i="3"/>
  <c r="BE100" i="3"/>
  <c r="BH48" i="2" l="1"/>
  <c r="BH14" i="2"/>
  <c r="BB17" i="3"/>
  <c r="BB20" i="3" s="1"/>
  <c r="BE48" i="2"/>
  <c r="BE14" i="2"/>
  <c r="BL13" i="3"/>
  <c r="BQ13" i="3" s="1"/>
  <c r="BV13" i="3" s="1"/>
  <c r="CA13" i="3" s="1"/>
  <c r="BI13" i="3"/>
  <c r="AU292" i="3"/>
  <c r="AU291" i="3" s="1"/>
  <c r="AZ291" i="3" s="1"/>
  <c r="BE291" i="3" s="1"/>
  <c r="AW292" i="3"/>
  <c r="AW291" i="3" s="1"/>
  <c r="BB291" i="3" s="1"/>
  <c r="AV20" i="3"/>
  <c r="AV524" i="3"/>
  <c r="AV523" i="3"/>
  <c r="AV522" i="3"/>
  <c r="AV521" i="3"/>
  <c r="AP11" i="3"/>
  <c r="AZ11" i="3"/>
  <c r="AK17" i="3"/>
  <c r="AL19" i="3" s="1"/>
  <c r="AK11" i="3"/>
  <c r="AU17" i="3"/>
  <c r="AV19" i="3" s="1"/>
  <c r="AU11" i="3"/>
  <c r="BO13" i="3"/>
  <c r="BT13" i="3" s="1"/>
  <c r="BJ15" i="3"/>
  <c r="BV163" i="3"/>
  <c r="CA163" i="3" s="1"/>
  <c r="CF163" i="3" s="1"/>
  <c r="CK163" i="3" s="1"/>
  <c r="CP163" i="3" s="1"/>
  <c r="BW163" i="3"/>
  <c r="CB163" i="3" s="1"/>
  <c r="CG163" i="3" s="1"/>
  <c r="CL163" i="3" s="1"/>
  <c r="CQ163" i="3" s="1"/>
  <c r="AX291" i="3"/>
  <c r="BC291" i="3" s="1"/>
  <c r="BC298" i="3" s="1"/>
  <c r="N171" i="3"/>
  <c r="Y171" i="3"/>
  <c r="C171" i="3"/>
  <c r="R171" i="3"/>
  <c r="AC171" i="3"/>
  <c r="O171" i="3"/>
  <c r="Q171" i="3"/>
  <c r="BU165" i="3"/>
  <c r="BK167" i="3"/>
  <c r="BL167" i="3"/>
  <c r="D171" i="3"/>
  <c r="S171" i="3"/>
  <c r="BM167" i="3"/>
  <c r="E171" i="3"/>
  <c r="T171" i="3"/>
  <c r="G171" i="3"/>
  <c r="V171" i="3"/>
  <c r="H171" i="3"/>
  <c r="W171" i="3"/>
  <c r="I171" i="3"/>
  <c r="X171" i="3"/>
  <c r="BJ167" i="3"/>
  <c r="AA171" i="3"/>
  <c r="AB171" i="3"/>
  <c r="AZ17" i="3"/>
  <c r="I479" i="3"/>
  <c r="L479" i="3"/>
  <c r="M479" i="3"/>
  <c r="AM11" i="3"/>
  <c r="T18" i="3"/>
  <c r="AE14" i="3"/>
  <c r="BD14" i="3"/>
  <c r="H11" i="3"/>
  <c r="X19" i="3"/>
  <c r="J11" i="3"/>
  <c r="AP10" i="3"/>
  <c r="Q19" i="3"/>
  <c r="AD19" i="3"/>
  <c r="BA10" i="3"/>
  <c r="S11" i="3"/>
  <c r="AS18" i="3"/>
  <c r="Q11" i="3"/>
  <c r="AI18" i="3"/>
  <c r="AX11" i="3"/>
  <c r="AM17" i="3"/>
  <c r="AM20" i="3" s="1"/>
  <c r="S10" i="3"/>
  <c r="AC18" i="3"/>
  <c r="M19" i="3"/>
  <c r="Y19" i="3"/>
  <c r="X10" i="3"/>
  <c r="N11" i="3"/>
  <c r="AW11" i="3"/>
  <c r="AD10" i="3"/>
  <c r="O18" i="3"/>
  <c r="AA18" i="3"/>
  <c r="BB10" i="3"/>
  <c r="AA19" i="3"/>
  <c r="AB10" i="3"/>
  <c r="AS19" i="3"/>
  <c r="O11" i="3"/>
  <c r="T11" i="3"/>
  <c r="S17" i="3"/>
  <c r="AR19" i="3"/>
  <c r="AI11" i="3"/>
  <c r="AS11" i="3"/>
  <c r="H17" i="3"/>
  <c r="H479" i="3" s="1"/>
  <c r="V18" i="3"/>
  <c r="AH18" i="3"/>
  <c r="O10" i="3"/>
  <c r="W19" i="3"/>
  <c r="R10" i="3"/>
  <c r="AL18" i="3"/>
  <c r="R19" i="3"/>
  <c r="R18" i="3"/>
  <c r="W18" i="3"/>
  <c r="BR13" i="3"/>
  <c r="AF19" i="3"/>
  <c r="AF18" i="3"/>
  <c r="AG19" i="3"/>
  <c r="J19" i="3"/>
  <c r="T10" i="3"/>
  <c r="AF10" i="3"/>
  <c r="AR10" i="3"/>
  <c r="W11" i="3"/>
  <c r="AL11" i="3"/>
  <c r="BA11" i="3"/>
  <c r="Y18" i="3"/>
  <c r="V19" i="3"/>
  <c r="AJ14" i="3"/>
  <c r="AG10" i="3"/>
  <c r="AS10" i="3"/>
  <c r="I11" i="3"/>
  <c r="X11" i="3"/>
  <c r="BB11" i="3"/>
  <c r="AX18" i="3"/>
  <c r="V11" i="3"/>
  <c r="N17" i="3"/>
  <c r="N20" i="3" s="1"/>
  <c r="V10" i="3"/>
  <c r="AH10" i="3"/>
  <c r="Y11" i="3"/>
  <c r="AN11" i="3"/>
  <c r="U9" i="3"/>
  <c r="AO9" i="3"/>
  <c r="AP17" i="3"/>
  <c r="BA17" i="3"/>
  <c r="W10" i="3"/>
  <c r="AI10" i="3"/>
  <c r="AU10" i="3"/>
  <c r="L11" i="3"/>
  <c r="AA11" i="3"/>
  <c r="AN18" i="3"/>
  <c r="AY14" i="3"/>
  <c r="AH19" i="3"/>
  <c r="AQ10" i="3"/>
  <c r="AV18" i="3"/>
  <c r="L10" i="3"/>
  <c r="AV10" i="3"/>
  <c r="M11" i="3"/>
  <c r="AB11" i="3"/>
  <c r="AQ11" i="3"/>
  <c r="Q18" i="3"/>
  <c r="L19" i="3"/>
  <c r="AI19" i="3"/>
  <c r="M10" i="3"/>
  <c r="Y10" i="3"/>
  <c r="AK10" i="3"/>
  <c r="AW10" i="3"/>
  <c r="AC11" i="3"/>
  <c r="AR11" i="3"/>
  <c r="AD18" i="3"/>
  <c r="N10" i="3"/>
  <c r="AL10" i="3"/>
  <c r="AX10" i="3"/>
  <c r="AD11" i="3"/>
  <c r="AQ18" i="3"/>
  <c r="BP13" i="3"/>
  <c r="AA10" i="3"/>
  <c r="AM10" i="3"/>
  <c r="AF11" i="3"/>
  <c r="AB17" i="3"/>
  <c r="AB20" i="3" s="1"/>
  <c r="AN10" i="3"/>
  <c r="AZ10" i="3"/>
  <c r="R11" i="3"/>
  <c r="AG11" i="3"/>
  <c r="AV11" i="3"/>
  <c r="AJ9" i="3"/>
  <c r="AW17" i="3"/>
  <c r="AW20" i="3" s="1"/>
  <c r="Q10" i="3"/>
  <c r="AC10" i="3"/>
  <c r="AH11" i="3"/>
  <c r="BK15" i="3"/>
  <c r="BG15" i="3"/>
  <c r="BH15" i="3"/>
  <c r="AY9" i="3"/>
  <c r="AT9" i="3"/>
  <c r="AO13" i="3"/>
  <c r="AE9" i="3"/>
  <c r="Z9" i="3"/>
  <c r="U13" i="3"/>
  <c r="P9" i="3"/>
  <c r="P13" i="3"/>
  <c r="P14" i="3" s="1"/>
  <c r="G17" i="3"/>
  <c r="G479" i="3" s="1"/>
  <c r="K9" i="3"/>
  <c r="K17" i="3" s="1"/>
  <c r="K479" i="3" s="1"/>
  <c r="L469" i="3"/>
  <c r="AP469" i="3"/>
  <c r="L475" i="3"/>
  <c r="N469" i="3"/>
  <c r="AR469" i="3"/>
  <c r="O469" i="3"/>
  <c r="Q469" i="3"/>
  <c r="Y469" i="3"/>
  <c r="AX469" i="3"/>
  <c r="AL469" i="3"/>
  <c r="P475" i="3"/>
  <c r="AN469" i="3"/>
  <c r="M475" i="3"/>
  <c r="AA469" i="3"/>
  <c r="AK469" i="3"/>
  <c r="J469" i="3"/>
  <c r="AM469" i="3"/>
  <c r="AW469" i="3"/>
  <c r="AS469" i="3"/>
  <c r="AZ469" i="3"/>
  <c r="AU469" i="3"/>
  <c r="AV469" i="3"/>
  <c r="AC469" i="3"/>
  <c r="BA469" i="3"/>
  <c r="R469" i="3"/>
  <c r="AD469" i="3"/>
  <c r="BB469" i="3"/>
  <c r="G471" i="3"/>
  <c r="G469" i="3"/>
  <c r="S469" i="3"/>
  <c r="AQ469" i="3"/>
  <c r="BC469" i="3"/>
  <c r="L471" i="3"/>
  <c r="H469" i="3"/>
  <c r="T469" i="3"/>
  <c r="AF469" i="3"/>
  <c r="N471" i="3"/>
  <c r="I469" i="3"/>
  <c r="AG469" i="3"/>
  <c r="V469" i="3"/>
  <c r="AH469" i="3"/>
  <c r="AB469" i="3"/>
  <c r="H471" i="3"/>
  <c r="W469" i="3"/>
  <c r="AI469" i="3"/>
  <c r="M471" i="3"/>
  <c r="X469" i="3"/>
  <c r="M469" i="3"/>
  <c r="N475" i="3"/>
  <c r="I471" i="3"/>
  <c r="BT163" i="3"/>
  <c r="BY163" i="3" s="1"/>
  <c r="CD163" i="3" s="1"/>
  <c r="CI163" i="3" s="1"/>
  <c r="CN163" i="3" s="1"/>
  <c r="CS163" i="3" s="1"/>
  <c r="CX163" i="3" s="1"/>
  <c r="BK166" i="3"/>
  <c r="BM166" i="3"/>
  <c r="CO163" i="3"/>
  <c r="CT163" i="3" s="1"/>
  <c r="CY163" i="3" s="1"/>
  <c r="BJ166" i="3"/>
  <c r="BL166" i="3"/>
  <c r="BH153" i="3"/>
  <c r="BM152" i="3"/>
  <c r="BJ153" i="3"/>
  <c r="CZ152" i="3"/>
  <c r="CZ153" i="3"/>
  <c r="CV152" i="3"/>
  <c r="CS153" i="3"/>
  <c r="CI152" i="3"/>
  <c r="CL152" i="3"/>
  <c r="CI153" i="3"/>
  <c r="CD152" i="3"/>
  <c r="CA152" i="3"/>
  <c r="CB152" i="3"/>
  <c r="BU152" i="3"/>
  <c r="BT152" i="3"/>
  <c r="BU153" i="3"/>
  <c r="BQ152" i="3"/>
  <c r="BR152" i="3"/>
  <c r="BG153" i="3"/>
  <c r="BF130" i="3"/>
  <c r="BG130" i="3"/>
  <c r="BF153" i="3"/>
  <c r="BL15" i="3" l="1"/>
  <c r="BN13" i="3"/>
  <c r="BH18" i="2"/>
  <c r="BH53" i="2"/>
  <c r="BM15" i="3"/>
  <c r="BQ15" i="3"/>
  <c r="BE298" i="3"/>
  <c r="AK18" i="3"/>
  <c r="BO15" i="3"/>
  <c r="BA524" i="3"/>
  <c r="BA523" i="3"/>
  <c r="BA522" i="3"/>
  <c r="BA521" i="3"/>
  <c r="AZ522" i="3"/>
  <c r="AZ524" i="3"/>
  <c r="AZ523" i="3"/>
  <c r="AZ521" i="3"/>
  <c r="AU524" i="3"/>
  <c r="AU522" i="3"/>
  <c r="AU521" i="3"/>
  <c r="AU523" i="3"/>
  <c r="BA20" i="3"/>
  <c r="BA514" i="3"/>
  <c r="AP19" i="3"/>
  <c r="AP20" i="3"/>
  <c r="BE53" i="2"/>
  <c r="AZ18" i="3"/>
  <c r="AZ19" i="3"/>
  <c r="AZ20" i="3"/>
  <c r="AU19" i="3"/>
  <c r="AU20" i="3"/>
  <c r="AK19" i="3"/>
  <c r="AK20" i="3"/>
  <c r="BQ167" i="3"/>
  <c r="BR167" i="3"/>
  <c r="BU166" i="3"/>
  <c r="BT165" i="3"/>
  <c r="BT167" i="3" s="1"/>
  <c r="BO167" i="3"/>
  <c r="BW165" i="3"/>
  <c r="CB165" i="3" s="1"/>
  <c r="BR166" i="3"/>
  <c r="BP167" i="3"/>
  <c r="BE31" i="2"/>
  <c r="BE56" i="2" s="1"/>
  <c r="BE18" i="2"/>
  <c r="BE20" i="2" s="1"/>
  <c r="AG18" i="3"/>
  <c r="AQ19" i="3"/>
  <c r="S19" i="3"/>
  <c r="G484" i="3"/>
  <c r="G494" i="3" s="1"/>
  <c r="G490" i="3"/>
  <c r="AR18" i="3"/>
  <c r="I484" i="3"/>
  <c r="I494" i="3" s="1"/>
  <c r="M484" i="3"/>
  <c r="M494" i="3" s="1"/>
  <c r="L484" i="3"/>
  <c r="L494" i="3" s="1"/>
  <c r="K484" i="3"/>
  <c r="M490" i="3"/>
  <c r="M480" i="3"/>
  <c r="I490" i="3"/>
  <c r="I480" i="3"/>
  <c r="L490" i="3"/>
  <c r="L480" i="3"/>
  <c r="N479" i="3"/>
  <c r="M18" i="3"/>
  <c r="BP15" i="3"/>
  <c r="AM18" i="3"/>
  <c r="AN19" i="3"/>
  <c r="I19" i="3"/>
  <c r="H19" i="3"/>
  <c r="P10" i="3"/>
  <c r="AM19" i="3"/>
  <c r="X18" i="3"/>
  <c r="S18" i="3"/>
  <c r="T19" i="3"/>
  <c r="CF13" i="3"/>
  <c r="AW19" i="3"/>
  <c r="AX19" i="3"/>
  <c r="AW18" i="3"/>
  <c r="BR15" i="3"/>
  <c r="BW13" i="3"/>
  <c r="AJ17" i="3"/>
  <c r="AJ20" i="3" s="1"/>
  <c r="AJ10" i="3"/>
  <c r="BB18" i="3"/>
  <c r="BA18" i="3"/>
  <c r="BA19" i="3"/>
  <c r="O19" i="3"/>
  <c r="N19" i="3"/>
  <c r="N18" i="3"/>
  <c r="L18" i="3"/>
  <c r="U14" i="3"/>
  <c r="AU18" i="3"/>
  <c r="AP18" i="3"/>
  <c r="U17" i="3"/>
  <c r="U20" i="3" s="1"/>
  <c r="AO10" i="3"/>
  <c r="Z17" i="3"/>
  <c r="Z20" i="3" s="1"/>
  <c r="Z10" i="3"/>
  <c r="BU13" i="3"/>
  <c r="U10" i="3"/>
  <c r="BY13" i="3"/>
  <c r="AE17" i="3"/>
  <c r="AE20" i="3" s="1"/>
  <c r="AE10" i="3"/>
  <c r="BS13" i="3"/>
  <c r="BT15" i="3" s="1"/>
  <c r="BB19" i="3"/>
  <c r="AO17" i="3"/>
  <c r="AO20" i="3" s="1"/>
  <c r="AO14" i="3"/>
  <c r="AT14" i="3"/>
  <c r="AP15" i="3"/>
  <c r="AT17" i="3"/>
  <c r="AT10" i="3"/>
  <c r="AY17" i="3"/>
  <c r="AY10" i="3"/>
  <c r="AC19" i="3"/>
  <c r="AB19" i="3"/>
  <c r="AB18" i="3"/>
  <c r="Z14" i="3"/>
  <c r="BN14" i="3"/>
  <c r="BI14" i="3"/>
  <c r="P17" i="3"/>
  <c r="P20" i="3" s="1"/>
  <c r="L472" i="3"/>
  <c r="M472" i="3"/>
  <c r="N472" i="3"/>
  <c r="BZ165" i="3"/>
  <c r="BP166" i="3"/>
  <c r="BQ166" i="3"/>
  <c r="BO166" i="3"/>
  <c r="CU163" i="3"/>
  <c r="CZ163" i="3" s="1"/>
  <c r="BV165" i="3"/>
  <c r="BV167" i="3" s="1"/>
  <c r="CV163" i="3"/>
  <c r="DA163" i="3" s="1"/>
  <c r="BH59" i="2" l="1"/>
  <c r="BH21" i="2"/>
  <c r="BH20" i="2"/>
  <c r="BH58" i="2"/>
  <c r="AY20" i="3"/>
  <c r="AY523" i="3"/>
  <c r="AY522" i="3"/>
  <c r="AY521" i="3"/>
  <c r="AT20" i="3"/>
  <c r="AT523" i="3"/>
  <c r="AT522" i="3"/>
  <c r="AT521" i="3"/>
  <c r="BW166" i="3"/>
  <c r="BW167" i="3"/>
  <c r="CB166" i="3"/>
  <c r="CE165" i="3"/>
  <c r="CJ165" i="3" s="1"/>
  <c r="BU167" i="3"/>
  <c r="BE59" i="2"/>
  <c r="BE58" i="2"/>
  <c r="BE21" i="2"/>
  <c r="M492" i="3"/>
  <c r="G485" i="3"/>
  <c r="K485" i="3"/>
  <c r="L495" i="3"/>
  <c r="M496" i="3"/>
  <c r="L485" i="3"/>
  <c r="L487" i="3" s="1"/>
  <c r="L488" i="3"/>
  <c r="N484" i="3"/>
  <c r="N494" i="3" s="1"/>
  <c r="M485" i="3"/>
  <c r="M487" i="3" s="1"/>
  <c r="I485" i="3"/>
  <c r="I487" i="3" s="1"/>
  <c r="L482" i="3"/>
  <c r="H484" i="3"/>
  <c r="M482" i="3"/>
  <c r="N482" i="3"/>
  <c r="N490" i="3"/>
  <c r="N480" i="3"/>
  <c r="N481" i="3" s="1"/>
  <c r="L491" i="3"/>
  <c r="G480" i="3"/>
  <c r="L481" i="3" s="1"/>
  <c r="H490" i="3"/>
  <c r="H480" i="3"/>
  <c r="P18" i="3"/>
  <c r="P479" i="3"/>
  <c r="P484" i="3" s="1"/>
  <c r="K480" i="3"/>
  <c r="CG165" i="3"/>
  <c r="AE18" i="3"/>
  <c r="U18" i="3"/>
  <c r="AY18" i="3"/>
  <c r="CD13" i="3"/>
  <c r="AJ18" i="3"/>
  <c r="CB13" i="3"/>
  <c r="BW15" i="3"/>
  <c r="BS14" i="3"/>
  <c r="AT18" i="3"/>
  <c r="BZ13" i="3"/>
  <c r="BX13" i="3"/>
  <c r="BX14" i="3" s="1"/>
  <c r="BU15" i="3"/>
  <c r="BV15" i="3"/>
  <c r="Z18" i="3"/>
  <c r="AO18" i="3"/>
  <c r="CK13" i="3"/>
  <c r="BZ166" i="3"/>
  <c r="BV166" i="3"/>
  <c r="CA165" i="3"/>
  <c r="CA167" i="3" s="1"/>
  <c r="BT166" i="3"/>
  <c r="BY165" i="3"/>
  <c r="BY167" i="3" s="1"/>
  <c r="BH23" i="2" l="1"/>
  <c r="BH29" i="2"/>
  <c r="BH28" i="2"/>
  <c r="BH60" i="2"/>
  <c r="CE166" i="3"/>
  <c r="BZ167" i="3"/>
  <c r="CB167" i="3"/>
  <c r="CL165" i="3"/>
  <c r="CL166" i="3" s="1"/>
  <c r="BE23" i="2"/>
  <c r="BE61" i="2" s="1"/>
  <c r="BE60" i="2"/>
  <c r="BE29" i="2"/>
  <c r="BE28" i="2"/>
  <c r="K487" i="3"/>
  <c r="L486" i="3"/>
  <c r="M488" i="3"/>
  <c r="H494" i="3"/>
  <c r="M491" i="3"/>
  <c r="H492" i="3"/>
  <c r="N491" i="3"/>
  <c r="N492" i="3"/>
  <c r="N496" i="3"/>
  <c r="N495" i="3"/>
  <c r="I492" i="3"/>
  <c r="N485" i="3"/>
  <c r="N486" i="3" s="1"/>
  <c r="N488" i="3"/>
  <c r="P485" i="3"/>
  <c r="P486" i="3" s="1"/>
  <c r="P488" i="3"/>
  <c r="H485" i="3"/>
  <c r="H487" i="3" s="1"/>
  <c r="G487" i="3"/>
  <c r="M481" i="3"/>
  <c r="P482" i="3"/>
  <c r="P480" i="3"/>
  <c r="CG166" i="3"/>
  <c r="BY15" i="3"/>
  <c r="CC13" i="3"/>
  <c r="CC14" i="3" s="1"/>
  <c r="CB15" i="3"/>
  <c r="CG13" i="3"/>
  <c r="CP13" i="3"/>
  <c r="CI13" i="3"/>
  <c r="CE13" i="3"/>
  <c r="BZ15" i="3"/>
  <c r="CA15" i="3"/>
  <c r="CO165" i="3"/>
  <c r="CJ166" i="3"/>
  <c r="CF165" i="3"/>
  <c r="CF167" i="3" s="1"/>
  <c r="CA166" i="3"/>
  <c r="CD165" i="3"/>
  <c r="CD167" i="3" s="1"/>
  <c r="BY166" i="3"/>
  <c r="BH61" i="2" l="1"/>
  <c r="M486" i="3"/>
  <c r="CQ165" i="3"/>
  <c r="CV165" i="3" s="1"/>
  <c r="CG167" i="3"/>
  <c r="CE167" i="3"/>
  <c r="N487" i="3"/>
  <c r="H496" i="3"/>
  <c r="M495" i="3"/>
  <c r="I496" i="3"/>
  <c r="CD15" i="3"/>
  <c r="P487" i="3"/>
  <c r="P481" i="3"/>
  <c r="CJ13" i="3"/>
  <c r="CE15" i="3"/>
  <c r="CF15" i="3"/>
  <c r="CH13" i="3"/>
  <c r="CH14" i="3" s="1"/>
  <c r="CN13" i="3"/>
  <c r="CU13" i="3"/>
  <c r="CG15" i="3"/>
  <c r="CL13" i="3"/>
  <c r="CT165" i="3"/>
  <c r="CO166" i="3"/>
  <c r="CD166" i="3"/>
  <c r="CI165" i="3"/>
  <c r="CF166" i="3"/>
  <c r="CK165" i="3"/>
  <c r="CK167" i="3" s="1"/>
  <c r="CQ166" i="3" l="1"/>
  <c r="CI167" i="3"/>
  <c r="CJ167" i="3"/>
  <c r="CL167" i="3"/>
  <c r="CI15" i="3"/>
  <c r="CM13" i="3"/>
  <c r="CM14" i="3" s="1"/>
  <c r="CS13" i="3"/>
  <c r="CZ13" i="3"/>
  <c r="CO13" i="3"/>
  <c r="CJ15" i="3"/>
  <c r="CK15" i="3"/>
  <c r="CQ13" i="3"/>
  <c r="CL15" i="3"/>
  <c r="DA165" i="3"/>
  <c r="CV166" i="3"/>
  <c r="CP165" i="3"/>
  <c r="CK166" i="3"/>
  <c r="CN165" i="3"/>
  <c r="CI166" i="3"/>
  <c r="CT166" i="3"/>
  <c r="CY165" i="3"/>
  <c r="CN167" i="3" l="1"/>
  <c r="CO167" i="3"/>
  <c r="CP167" i="3"/>
  <c r="CQ167" i="3"/>
  <c r="CN15" i="3"/>
  <c r="CT13" i="3"/>
  <c r="CO15" i="3"/>
  <c r="CP15" i="3"/>
  <c r="CQ15" i="3"/>
  <c r="CV13" i="3"/>
  <c r="CR13" i="3"/>
  <c r="CR14" i="3" s="1"/>
  <c r="CX13" i="3"/>
  <c r="CS165" i="3"/>
  <c r="CN166" i="3"/>
  <c r="CU165" i="3"/>
  <c r="CP166" i="3"/>
  <c r="CY166" i="3"/>
  <c r="DA166" i="3"/>
  <c r="CS167" i="3" l="1"/>
  <c r="CT167" i="3"/>
  <c r="CU167" i="3"/>
  <c r="CV167" i="3"/>
  <c r="CW13" i="3"/>
  <c r="CW14" i="3" s="1"/>
  <c r="CS15" i="3"/>
  <c r="CV15" i="3"/>
  <c r="DA13" i="3"/>
  <c r="DA15" i="3" s="1"/>
  <c r="CY13" i="3"/>
  <c r="CT15" i="3"/>
  <c r="CU15" i="3"/>
  <c r="CZ165" i="3"/>
  <c r="CU166" i="3"/>
  <c r="CS166" i="3"/>
  <c r="CX165" i="3"/>
  <c r="CZ167" i="3" l="1"/>
  <c r="DA167" i="3"/>
  <c r="CX167" i="3"/>
  <c r="CY167" i="3"/>
  <c r="CX15" i="3"/>
  <c r="CY15" i="3"/>
  <c r="CZ15" i="3"/>
  <c r="DB13" i="3"/>
  <c r="DB14" i="3" s="1"/>
  <c r="CZ166" i="3"/>
  <c r="CX166" i="3"/>
  <c r="T52" i="3" l="1"/>
  <c r="S52" i="3"/>
  <c r="R52" i="3"/>
  <c r="O52" i="3"/>
  <c r="O174" i="3" s="1"/>
  <c r="N52" i="3"/>
  <c r="M52" i="3"/>
  <c r="L52" i="3"/>
  <c r="J54" i="3"/>
  <c r="H52" i="3"/>
  <c r="H174" i="3" s="1"/>
  <c r="E52" i="3"/>
  <c r="D52" i="3"/>
  <c r="D174" i="3" s="1"/>
  <c r="D178" i="3" s="1"/>
  <c r="G27" i="3"/>
  <c r="BC305" i="3"/>
  <c r="BB305" i="3"/>
  <c r="BA305" i="3"/>
  <c r="AX305" i="3"/>
  <c r="AW305" i="3"/>
  <c r="AV305" i="3"/>
  <c r="AU305" i="3"/>
  <c r="AS305" i="3"/>
  <c r="AR305" i="3"/>
  <c r="BC304" i="3"/>
  <c r="BB304" i="3"/>
  <c r="BA304" i="3"/>
  <c r="AZ304" i="3"/>
  <c r="AX304" i="3"/>
  <c r="AW304" i="3"/>
  <c r="AV304" i="3"/>
  <c r="BD303" i="3"/>
  <c r="AY303" i="3"/>
  <c r="DA461" i="3"/>
  <c r="CZ461" i="3"/>
  <c r="CY461" i="3"/>
  <c r="CX461" i="3"/>
  <c r="CV461" i="3"/>
  <c r="CU461" i="3"/>
  <c r="CT461" i="3"/>
  <c r="CS461" i="3"/>
  <c r="CQ461" i="3"/>
  <c r="CP461" i="3"/>
  <c r="CO461" i="3"/>
  <c r="CN461" i="3"/>
  <c r="CL461" i="3"/>
  <c r="CK461" i="3"/>
  <c r="CJ461" i="3"/>
  <c r="CI461" i="3"/>
  <c r="CG461" i="3"/>
  <c r="CF461" i="3"/>
  <c r="CE461" i="3"/>
  <c r="CD461" i="3"/>
  <c r="CB461" i="3"/>
  <c r="CA461" i="3"/>
  <c r="BZ461" i="3"/>
  <c r="BY461" i="3"/>
  <c r="BW461" i="3"/>
  <c r="BV461" i="3"/>
  <c r="BU461" i="3"/>
  <c r="BT461" i="3"/>
  <c r="BR461" i="3"/>
  <c r="BQ461" i="3"/>
  <c r="BP461" i="3"/>
  <c r="BO461" i="3"/>
  <c r="BM461" i="3"/>
  <c r="BL461" i="3"/>
  <c r="BK461" i="3"/>
  <c r="BJ461" i="3"/>
  <c r="BH461" i="3"/>
  <c r="BG461" i="3"/>
  <c r="BF461" i="3"/>
  <c r="BE461" i="3"/>
  <c r="BC461" i="3"/>
  <c r="BB461" i="3"/>
  <c r="BA461" i="3"/>
  <c r="AZ461" i="3"/>
  <c r="AX461" i="3"/>
  <c r="AW461" i="3"/>
  <c r="AV461" i="3"/>
  <c r="AU461" i="3"/>
  <c r="AS461" i="3"/>
  <c r="AR461" i="3"/>
  <c r="AQ461" i="3"/>
  <c r="AP461" i="3"/>
  <c r="AW338" i="3"/>
  <c r="AV338" i="3"/>
  <c r="BD312" i="3" l="1"/>
  <c r="BD46" i="3" s="1"/>
  <c r="E54" i="3"/>
  <c r="E174" i="3"/>
  <c r="E178" i="3" s="1"/>
  <c r="L54" i="3"/>
  <c r="G54" i="3"/>
  <c r="H54" i="3"/>
  <c r="I54" i="3"/>
  <c r="M54" i="3"/>
  <c r="N54" i="3"/>
  <c r="O54" i="3"/>
  <c r="Q54" i="3"/>
  <c r="R54" i="3"/>
  <c r="C54" i="3"/>
  <c r="S54" i="3"/>
  <c r="D54" i="3"/>
  <c r="T54" i="3"/>
  <c r="O27" i="3"/>
  <c r="O32" i="3"/>
  <c r="AD27" i="3"/>
  <c r="AD32" i="3"/>
  <c r="AS27" i="3"/>
  <c r="AS32" i="3"/>
  <c r="G53" i="3"/>
  <c r="Q32" i="3"/>
  <c r="AF32" i="3"/>
  <c r="AU32" i="3"/>
  <c r="H53" i="3"/>
  <c r="R27" i="3"/>
  <c r="R32" i="3"/>
  <c r="AG27" i="3"/>
  <c r="AG32" i="3"/>
  <c r="AV27" i="3"/>
  <c r="AV32" i="3"/>
  <c r="J53" i="3"/>
  <c r="S27" i="3"/>
  <c r="S32" i="3"/>
  <c r="AH27" i="3"/>
  <c r="AH32" i="3"/>
  <c r="AW27" i="3"/>
  <c r="AW32" i="3"/>
  <c r="L53" i="3"/>
  <c r="T27" i="3"/>
  <c r="T32" i="3"/>
  <c r="AI27" i="3"/>
  <c r="AI32" i="3"/>
  <c r="AX27" i="3"/>
  <c r="AX32" i="3"/>
  <c r="M53" i="3"/>
  <c r="V32" i="3"/>
  <c r="AK32" i="3"/>
  <c r="AZ32" i="3"/>
  <c r="N53" i="3"/>
  <c r="H27" i="3"/>
  <c r="H29" i="3" s="1"/>
  <c r="W27" i="3"/>
  <c r="W32" i="3"/>
  <c r="AL27" i="3"/>
  <c r="AL32" i="3"/>
  <c r="BA27" i="3"/>
  <c r="BA32" i="3"/>
  <c r="O53" i="3"/>
  <c r="I27" i="3"/>
  <c r="X27" i="3"/>
  <c r="X32" i="3"/>
  <c r="AM27" i="3"/>
  <c r="AM32" i="3"/>
  <c r="BB27" i="3"/>
  <c r="BB32" i="3"/>
  <c r="Q53" i="3"/>
  <c r="J27" i="3"/>
  <c r="Y27" i="3"/>
  <c r="Y32" i="3"/>
  <c r="AN27" i="3"/>
  <c r="AN32" i="3"/>
  <c r="R53" i="3"/>
  <c r="L27" i="3"/>
  <c r="L32" i="3"/>
  <c r="AA27" i="3"/>
  <c r="AA32" i="3"/>
  <c r="AP27" i="3"/>
  <c r="AP32" i="3"/>
  <c r="S53" i="3"/>
  <c r="M27" i="3"/>
  <c r="M32" i="3"/>
  <c r="AB27" i="3"/>
  <c r="AB32" i="3"/>
  <c r="AQ27" i="3"/>
  <c r="AQ32" i="3"/>
  <c r="I53" i="3"/>
  <c r="T53" i="3"/>
  <c r="N27" i="3"/>
  <c r="N32" i="3"/>
  <c r="AC27" i="3"/>
  <c r="AC32" i="3"/>
  <c r="AR27" i="3"/>
  <c r="AR32" i="3"/>
  <c r="S61" i="3"/>
  <c r="T61" i="3"/>
  <c r="J61" i="3"/>
  <c r="L61" i="3"/>
  <c r="M61" i="3"/>
  <c r="N61" i="3"/>
  <c r="I61" i="3"/>
  <c r="O61" i="3"/>
  <c r="Z31" i="3"/>
  <c r="AO31" i="3"/>
  <c r="AK27" i="3"/>
  <c r="V27" i="3"/>
  <c r="U31" i="3"/>
  <c r="AJ31" i="3"/>
  <c r="AY31" i="3"/>
  <c r="AU27" i="3"/>
  <c r="AZ27" i="3"/>
  <c r="Q27" i="3"/>
  <c r="Q29" i="3" s="1"/>
  <c r="K31" i="3"/>
  <c r="K61" i="3" s="1"/>
  <c r="P31" i="3"/>
  <c r="AE31" i="3"/>
  <c r="AT31" i="3"/>
  <c r="AF27" i="3"/>
  <c r="BD304" i="3"/>
  <c r="Y318" i="3"/>
  <c r="Y303" i="3" s="1"/>
  <c r="Y52" i="3" s="1"/>
  <c r="X318" i="3"/>
  <c r="X303" i="3" s="1"/>
  <c r="X52" i="3" s="1"/>
  <c r="W318" i="3"/>
  <c r="W303" i="3" s="1"/>
  <c r="W52" i="3" s="1"/>
  <c r="V318" i="3"/>
  <c r="V303" i="3" s="1"/>
  <c r="Y450" i="3"/>
  <c r="Y325" i="3" s="1"/>
  <c r="Y312" i="3" s="1"/>
  <c r="Y61" i="3" s="1"/>
  <c r="X450" i="3"/>
  <c r="X325" i="3" s="1"/>
  <c r="X312" i="3" s="1"/>
  <c r="X61" i="3" s="1"/>
  <c r="W450" i="3"/>
  <c r="W325" i="3" s="1"/>
  <c r="W312" i="3" s="1"/>
  <c r="W61" i="3" s="1"/>
  <c r="V450" i="3"/>
  <c r="V325" i="3" s="1"/>
  <c r="V312" i="3" s="1"/>
  <c r="V61" i="3" s="1"/>
  <c r="AD442" i="3"/>
  <c r="AI442" i="3" s="1"/>
  <c r="AC442" i="3"/>
  <c r="AB442" i="3"/>
  <c r="AG442" i="3" s="1"/>
  <c r="AG450" i="3" s="1"/>
  <c r="AA442" i="3"/>
  <c r="AF442" i="3" s="1"/>
  <c r="AF450" i="3" s="1"/>
  <c r="Z442" i="3"/>
  <c r="Z318" i="3" s="1"/>
  <c r="BC344" i="3"/>
  <c r="BB344" i="3"/>
  <c r="BA344" i="3"/>
  <c r="AX344" i="3"/>
  <c r="AW344" i="3"/>
  <c r="AV344" i="3"/>
  <c r="AS344" i="3"/>
  <c r="AR344" i="3"/>
  <c r="AQ344" i="3"/>
  <c r="AN344" i="3"/>
  <c r="AM344" i="3"/>
  <c r="AL344" i="3"/>
  <c r="AI344" i="3"/>
  <c r="AH344" i="3"/>
  <c r="AG344" i="3"/>
  <c r="BC343" i="3"/>
  <c r="BB343" i="3"/>
  <c r="BA343" i="3"/>
  <c r="AZ343" i="3"/>
  <c r="AX343" i="3"/>
  <c r="AW343" i="3"/>
  <c r="AV343" i="3"/>
  <c r="AU343" i="3"/>
  <c r="AS343" i="3"/>
  <c r="AR343" i="3"/>
  <c r="AQ343" i="3"/>
  <c r="AP343" i="3"/>
  <c r="AN343" i="3"/>
  <c r="AM343" i="3"/>
  <c r="AL343" i="3"/>
  <c r="AK343" i="3"/>
  <c r="AX334" i="3"/>
  <c r="AW334" i="3"/>
  <c r="AV334" i="3"/>
  <c r="AU334" i="3"/>
  <c r="AX333" i="3"/>
  <c r="AW333" i="3"/>
  <c r="AV333" i="3"/>
  <c r="AU333" i="3"/>
  <c r="AS334" i="3"/>
  <c r="AR334" i="3"/>
  <c r="AQ334" i="3"/>
  <c r="AP334" i="3"/>
  <c r="AS333" i="3"/>
  <c r="AR333" i="3"/>
  <c r="AQ333" i="3"/>
  <c r="AP333" i="3"/>
  <c r="AN336" i="3"/>
  <c r="AM336" i="3"/>
  <c r="AL336" i="3"/>
  <c r="AK336" i="3"/>
  <c r="AN334" i="3"/>
  <c r="AM334" i="3"/>
  <c r="AL334" i="3"/>
  <c r="AK334" i="3"/>
  <c r="AN333" i="3"/>
  <c r="AM333" i="3"/>
  <c r="AL333" i="3"/>
  <c r="AK333" i="3"/>
  <c r="AI336" i="3"/>
  <c r="AH336" i="3"/>
  <c r="AG336" i="3"/>
  <c r="AF336" i="3"/>
  <c r="AI334" i="3"/>
  <c r="AH334" i="3"/>
  <c r="AG334" i="3"/>
  <c r="AF334" i="3"/>
  <c r="AI333" i="3"/>
  <c r="AH333" i="3"/>
  <c r="AG333" i="3"/>
  <c r="AF333" i="3"/>
  <c r="AS437" i="3"/>
  <c r="AX437" i="3" s="1"/>
  <c r="AX336" i="3" s="1"/>
  <c r="AR437" i="3"/>
  <c r="AR336" i="3" s="1"/>
  <c r="AQ437" i="3"/>
  <c r="AQ336" i="3" s="1"/>
  <c r="AP437" i="3"/>
  <c r="AU437" i="3" s="1"/>
  <c r="AU336" i="3" s="1"/>
  <c r="AN438" i="3"/>
  <c r="AM438" i="3"/>
  <c r="AL438" i="3"/>
  <c r="AK438" i="3"/>
  <c r="AN439" i="3"/>
  <c r="AM439" i="3"/>
  <c r="AL439" i="3"/>
  <c r="AI439" i="3"/>
  <c r="AH439" i="3"/>
  <c r="AG439" i="3"/>
  <c r="AO437" i="3"/>
  <c r="AJ437" i="3"/>
  <c r="BE434" i="3"/>
  <c r="DA430" i="3"/>
  <c r="CZ430" i="3"/>
  <c r="CY430" i="3"/>
  <c r="CX430" i="3"/>
  <c r="CV430" i="3"/>
  <c r="CU430" i="3"/>
  <c r="CT430" i="3"/>
  <c r="CS430" i="3"/>
  <c r="CQ430" i="3"/>
  <c r="CP430" i="3"/>
  <c r="CO430" i="3"/>
  <c r="CN430" i="3"/>
  <c r="CL430" i="3"/>
  <c r="CK430" i="3"/>
  <c r="CJ430" i="3"/>
  <c r="CI430" i="3"/>
  <c r="CG430" i="3"/>
  <c r="CF430" i="3"/>
  <c r="CE430" i="3"/>
  <c r="CD430" i="3"/>
  <c r="CB430" i="3"/>
  <c r="CA430" i="3"/>
  <c r="BZ430" i="3"/>
  <c r="BY430" i="3"/>
  <c r="BW430" i="3"/>
  <c r="BV430" i="3"/>
  <c r="BU430" i="3"/>
  <c r="BT430" i="3"/>
  <c r="BR430" i="3"/>
  <c r="BQ430" i="3"/>
  <c r="BP430" i="3"/>
  <c r="BO430" i="3"/>
  <c r="BM430" i="3"/>
  <c r="BL430" i="3"/>
  <c r="BK430" i="3"/>
  <c r="BJ430" i="3"/>
  <c r="BH430" i="3"/>
  <c r="BG430" i="3"/>
  <c r="BF430" i="3"/>
  <c r="BE430" i="3"/>
  <c r="BC430" i="3"/>
  <c r="BC431" i="3" s="1"/>
  <c r="BC335" i="3" s="1"/>
  <c r="BB430" i="3"/>
  <c r="BB431" i="3" s="1"/>
  <c r="BB335" i="3" s="1"/>
  <c r="BA430" i="3"/>
  <c r="BA431" i="3" s="1"/>
  <c r="BA335" i="3" s="1"/>
  <c r="AZ430" i="3"/>
  <c r="AZ431" i="3" s="1"/>
  <c r="AX430" i="3"/>
  <c r="AW430" i="3"/>
  <c r="AV430" i="3"/>
  <c r="AU430" i="3"/>
  <c r="AU431" i="3" s="1"/>
  <c r="AU335" i="3" s="1"/>
  <c r="AS430" i="3"/>
  <c r="AS431" i="3" s="1"/>
  <c r="AR430" i="3"/>
  <c r="AR431" i="3" s="1"/>
  <c r="AQ430" i="3"/>
  <c r="AQ431" i="3" s="1"/>
  <c r="AP430" i="3"/>
  <c r="AP431" i="3" s="1"/>
  <c r="AN430" i="3"/>
  <c r="AM430" i="3"/>
  <c r="AL430" i="3"/>
  <c r="AK430" i="3"/>
  <c r="AK431" i="3" s="1"/>
  <c r="AK335" i="3" s="1"/>
  <c r="AI430" i="3"/>
  <c r="AI431" i="3" s="1"/>
  <c r="AI335" i="3" s="1"/>
  <c r="AH430" i="3"/>
  <c r="AH431" i="3" s="1"/>
  <c r="AH335" i="3" s="1"/>
  <c r="AG430" i="3"/>
  <c r="AF430" i="3"/>
  <c r="AF431" i="3" s="1"/>
  <c r="AF335" i="3" s="1"/>
  <c r="BM427" i="3"/>
  <c r="BL427" i="3"/>
  <c r="BK427" i="3"/>
  <c r="BJ427" i="3"/>
  <c r="BH427" i="3"/>
  <c r="BF427" i="3"/>
  <c r="BE427" i="3"/>
  <c r="DB425" i="3"/>
  <c r="CW425" i="3"/>
  <c r="CR425" i="3"/>
  <c r="CM425" i="3"/>
  <c r="CH425" i="3"/>
  <c r="CC425" i="3"/>
  <c r="BX425" i="3"/>
  <c r="BS425" i="3"/>
  <c r="BN425" i="3"/>
  <c r="BI425" i="3"/>
  <c r="DA423" i="3"/>
  <c r="CZ423" i="3"/>
  <c r="CY423" i="3"/>
  <c r="CX423" i="3"/>
  <c r="CV423" i="3"/>
  <c r="CU423" i="3"/>
  <c r="CT423" i="3"/>
  <c r="CS423" i="3"/>
  <c r="CQ423" i="3"/>
  <c r="CP423" i="3"/>
  <c r="CO423" i="3"/>
  <c r="CN423" i="3"/>
  <c r="CL423" i="3"/>
  <c r="CK423" i="3"/>
  <c r="CJ423" i="3"/>
  <c r="CI423" i="3"/>
  <c r="CG423" i="3"/>
  <c r="CF423" i="3"/>
  <c r="CE423" i="3"/>
  <c r="CD423" i="3"/>
  <c r="CB423" i="3"/>
  <c r="CA423" i="3"/>
  <c r="BZ423" i="3"/>
  <c r="BY423" i="3"/>
  <c r="BW423" i="3"/>
  <c r="BV423" i="3"/>
  <c r="BU423" i="3"/>
  <c r="BT423" i="3"/>
  <c r="BR423" i="3"/>
  <c r="BQ423" i="3"/>
  <c r="BP423" i="3"/>
  <c r="BO423" i="3"/>
  <c r="BM423" i="3"/>
  <c r="BL423" i="3"/>
  <c r="BK423" i="3"/>
  <c r="BJ423" i="3"/>
  <c r="BH423" i="3"/>
  <c r="BG423" i="3"/>
  <c r="BF423" i="3"/>
  <c r="BE423" i="3"/>
  <c r="BC423" i="3"/>
  <c r="BB423" i="3"/>
  <c r="BB424" i="3" s="1"/>
  <c r="BB334" i="3" s="1"/>
  <c r="BA423" i="3"/>
  <c r="BA424" i="3" s="1"/>
  <c r="BA334" i="3" s="1"/>
  <c r="AZ423" i="3"/>
  <c r="AZ424" i="3" s="1"/>
  <c r="AZ334" i="3" s="1"/>
  <c r="DB418" i="3"/>
  <c r="DA416" i="3"/>
  <c r="CZ416" i="3"/>
  <c r="CY416" i="3"/>
  <c r="CX416" i="3"/>
  <c r="CW418" i="3"/>
  <c r="CV416" i="3"/>
  <c r="CU416" i="3"/>
  <c r="CT416" i="3"/>
  <c r="CS416" i="3"/>
  <c r="BJ420" i="3"/>
  <c r="BK420" i="3" s="1"/>
  <c r="CR418" i="3"/>
  <c r="CQ416" i="3"/>
  <c r="CP416" i="3"/>
  <c r="CO416" i="3"/>
  <c r="CN416" i="3"/>
  <c r="CM418" i="3"/>
  <c r="CL416" i="3"/>
  <c r="CK416" i="3"/>
  <c r="CJ416" i="3"/>
  <c r="CI416" i="3"/>
  <c r="CH418" i="3"/>
  <c r="CG416" i="3"/>
  <c r="CF416" i="3"/>
  <c r="CE416" i="3"/>
  <c r="CD416" i="3"/>
  <c r="CC418" i="3"/>
  <c r="CB416" i="3"/>
  <c r="CA416" i="3"/>
  <c r="BZ416" i="3"/>
  <c r="BY416" i="3"/>
  <c r="BX418" i="3"/>
  <c r="BW416" i="3"/>
  <c r="BV416" i="3"/>
  <c r="BU416" i="3"/>
  <c r="BT416" i="3"/>
  <c r="BS418" i="3"/>
  <c r="BR416" i="3"/>
  <c r="BQ416" i="3"/>
  <c r="BP416" i="3"/>
  <c r="BO416" i="3"/>
  <c r="BN418" i="3"/>
  <c r="BM416" i="3"/>
  <c r="BL416" i="3"/>
  <c r="BK416" i="3"/>
  <c r="BJ416" i="3"/>
  <c r="BH416" i="3"/>
  <c r="BG416" i="3"/>
  <c r="BG417" i="3" s="1"/>
  <c r="BG333" i="3" s="1"/>
  <c r="BF416" i="3"/>
  <c r="BF417" i="3" s="1"/>
  <c r="BF333" i="3" s="1"/>
  <c r="BE416" i="3"/>
  <c r="BE417" i="3" s="1"/>
  <c r="BE333" i="3" s="1"/>
  <c r="BI418" i="3"/>
  <c r="BC416" i="3"/>
  <c r="BC417" i="3" s="1"/>
  <c r="BC333" i="3" s="1"/>
  <c r="BB416" i="3"/>
  <c r="BA416" i="3"/>
  <c r="BA417" i="3" s="1"/>
  <c r="BA333" i="3" s="1"/>
  <c r="AZ416" i="3"/>
  <c r="BO405" i="3"/>
  <c r="BP405" i="3" s="1"/>
  <c r="BQ405" i="3" s="1"/>
  <c r="BR405" i="3" s="1"/>
  <c r="BE396" i="3"/>
  <c r="Y398" i="3"/>
  <c r="Y400" i="3" s="1"/>
  <c r="Y402" i="3" s="1"/>
  <c r="X398" i="3"/>
  <c r="W398" i="3"/>
  <c r="V398" i="3"/>
  <c r="V400" i="3" s="1"/>
  <c r="V402" i="3" s="1"/>
  <c r="Y389" i="3"/>
  <c r="Y391" i="3" s="1"/>
  <c r="Y393" i="3" s="1"/>
  <c r="X389" i="3"/>
  <c r="AC389" i="3" s="1"/>
  <c r="AC391" i="3" s="1"/>
  <c r="AC393" i="3" s="1"/>
  <c r="W389" i="3"/>
  <c r="W391" i="3" s="1"/>
  <c r="W393" i="3" s="1"/>
  <c r="V389" i="3"/>
  <c r="BD49" i="3" l="1"/>
  <c r="BF396" i="3"/>
  <c r="BG396" i="3" s="1"/>
  <c r="BF434" i="3"/>
  <c r="BG434" i="3" s="1"/>
  <c r="BH434" i="3" s="1"/>
  <c r="BJ434" i="3" s="1"/>
  <c r="AB29" i="3"/>
  <c r="AN29" i="3"/>
  <c r="S29" i="3"/>
  <c r="M29" i="3"/>
  <c r="I29" i="3"/>
  <c r="AF29" i="3"/>
  <c r="AK29" i="3"/>
  <c r="V29" i="3"/>
  <c r="V52" i="3"/>
  <c r="W54" i="3" s="1"/>
  <c r="X29" i="3"/>
  <c r="AH29" i="3"/>
  <c r="X54" i="3"/>
  <c r="AQ29" i="3"/>
  <c r="AR29" i="3"/>
  <c r="Y29" i="3"/>
  <c r="BA29" i="3"/>
  <c r="AX29" i="3"/>
  <c r="J29" i="3"/>
  <c r="AC29" i="3"/>
  <c r="AL29" i="3"/>
  <c r="AI29" i="3"/>
  <c r="AV29" i="3"/>
  <c r="AS29" i="3"/>
  <c r="AZ29" i="3"/>
  <c r="AP29" i="3"/>
  <c r="AU29" i="3"/>
  <c r="N29" i="3"/>
  <c r="BB29" i="3"/>
  <c r="W29" i="3"/>
  <c r="T29" i="3"/>
  <c r="AG29" i="3"/>
  <c r="AD29" i="3"/>
  <c r="AA29" i="3"/>
  <c r="AM29" i="3"/>
  <c r="R29" i="3"/>
  <c r="O29" i="3"/>
  <c r="Y54" i="3"/>
  <c r="L29" i="3"/>
  <c r="AW29" i="3"/>
  <c r="AE32" i="3"/>
  <c r="AC318" i="3"/>
  <c r="AC303" i="3" s="1"/>
  <c r="AT32" i="3"/>
  <c r="AJ32" i="3"/>
  <c r="AY32" i="3"/>
  <c r="V63" i="3"/>
  <c r="V62" i="3"/>
  <c r="P61" i="3"/>
  <c r="P62" i="3" s="1"/>
  <c r="P32" i="3"/>
  <c r="BB28" i="3"/>
  <c r="AH28" i="3"/>
  <c r="Q62" i="3"/>
  <c r="Q63" i="3"/>
  <c r="W63" i="3"/>
  <c r="W62" i="3"/>
  <c r="O63" i="3"/>
  <c r="O62" i="3"/>
  <c r="BA28" i="3"/>
  <c r="AI28" i="3"/>
  <c r="X63" i="3"/>
  <c r="X62" i="3"/>
  <c r="Q28" i="3"/>
  <c r="I63" i="3"/>
  <c r="AR28" i="3"/>
  <c r="AN28" i="3"/>
  <c r="R28" i="3"/>
  <c r="Y63" i="3"/>
  <c r="Y62" i="3"/>
  <c r="AZ28" i="3"/>
  <c r="N63" i="3"/>
  <c r="N62" i="3"/>
  <c r="AQ28" i="3"/>
  <c r="AP28" i="3"/>
  <c r="AM28" i="3"/>
  <c r="S28" i="3"/>
  <c r="AU28" i="3"/>
  <c r="H63" i="3"/>
  <c r="AL28" i="3"/>
  <c r="T28" i="3"/>
  <c r="W53" i="3"/>
  <c r="M62" i="3"/>
  <c r="M63" i="3"/>
  <c r="AC28" i="3"/>
  <c r="Y28" i="3"/>
  <c r="AS28" i="3"/>
  <c r="X53" i="3"/>
  <c r="L63" i="3"/>
  <c r="L62" i="3"/>
  <c r="AB28" i="3"/>
  <c r="AA28" i="3"/>
  <c r="X28" i="3"/>
  <c r="Y53" i="3"/>
  <c r="U61" i="3"/>
  <c r="U32" i="3"/>
  <c r="J63" i="3"/>
  <c r="W28" i="3"/>
  <c r="V28" i="3"/>
  <c r="T62" i="3"/>
  <c r="T63" i="3"/>
  <c r="N28" i="3"/>
  <c r="AV28" i="3"/>
  <c r="AD28" i="3"/>
  <c r="AF28" i="3"/>
  <c r="AK28" i="3"/>
  <c r="S63" i="3"/>
  <c r="S62" i="3"/>
  <c r="M28" i="3"/>
  <c r="L28" i="3"/>
  <c r="AW28" i="3"/>
  <c r="AO32" i="3"/>
  <c r="R63" i="3"/>
  <c r="R62" i="3"/>
  <c r="AX28" i="3"/>
  <c r="Z32" i="3"/>
  <c r="AG28" i="3"/>
  <c r="O28" i="3"/>
  <c r="V308" i="3"/>
  <c r="X305" i="3"/>
  <c r="Z303" i="3"/>
  <c r="W314" i="3"/>
  <c r="W308" i="3"/>
  <c r="X314" i="3"/>
  <c r="X308" i="3"/>
  <c r="W305" i="3"/>
  <c r="Y305" i="3"/>
  <c r="Y308" i="3"/>
  <c r="Y327" i="3"/>
  <c r="Y314" i="3"/>
  <c r="BM426" i="3"/>
  <c r="BY418" i="3"/>
  <c r="BE418" i="3"/>
  <c r="BU419" i="3"/>
  <c r="BV419" i="3"/>
  <c r="AT333" i="3"/>
  <c r="AY334" i="3"/>
  <c r="W322" i="3"/>
  <c r="CI425" i="3"/>
  <c r="AZ432" i="3"/>
  <c r="BP426" i="3"/>
  <c r="BT418" i="3"/>
  <c r="AO438" i="3"/>
  <c r="AL442" i="3"/>
  <c r="AL450" i="3" s="1"/>
  <c r="CP418" i="3"/>
  <c r="X327" i="3"/>
  <c r="CD426" i="3"/>
  <c r="CS426" i="3"/>
  <c r="W327" i="3"/>
  <c r="V322" i="3"/>
  <c r="BF419" i="3"/>
  <c r="CJ418" i="3"/>
  <c r="AH442" i="3"/>
  <c r="AJ442" i="3" s="1"/>
  <c r="AJ336" i="3"/>
  <c r="AO336" i="3"/>
  <c r="AK442" i="3"/>
  <c r="AK450" i="3" s="1"/>
  <c r="CO425" i="3"/>
  <c r="Y322" i="3"/>
  <c r="CB419" i="3"/>
  <c r="X322" i="3"/>
  <c r="W320" i="3"/>
  <c r="AA318" i="3"/>
  <c r="AA303" i="3" s="1"/>
  <c r="AA52" i="3" s="1"/>
  <c r="X320" i="3"/>
  <c r="BH419" i="3"/>
  <c r="CF418" i="3"/>
  <c r="CS425" i="3"/>
  <c r="AA450" i="3"/>
  <c r="AA325" i="3" s="1"/>
  <c r="AA312" i="3" s="1"/>
  <c r="AA61" i="3" s="1"/>
  <c r="AB318" i="3"/>
  <c r="Y320" i="3"/>
  <c r="CE426" i="3"/>
  <c r="AV437" i="3"/>
  <c r="AV439" i="3" s="1"/>
  <c r="AC450" i="3"/>
  <c r="AC325" i="3" s="1"/>
  <c r="AC312" i="3" s="1"/>
  <c r="AC61" i="3" s="1"/>
  <c r="AW437" i="3"/>
  <c r="BB437" i="3" s="1"/>
  <c r="AD450" i="3"/>
  <c r="AD325" i="3" s="1"/>
  <c r="AD312" i="3" s="1"/>
  <c r="AD61" i="3" s="1"/>
  <c r="AD318" i="3"/>
  <c r="AD303" i="3" s="1"/>
  <c r="AD52" i="3" s="1"/>
  <c r="AP432" i="3"/>
  <c r="AP335" i="3"/>
  <c r="AQ335" i="3"/>
  <c r="AQ433" i="3"/>
  <c r="AS433" i="3"/>
  <c r="AR335" i="3"/>
  <c r="AR433" i="3"/>
  <c r="CV419" i="3"/>
  <c r="BF425" i="3"/>
  <c r="BU425" i="3"/>
  <c r="CJ425" i="3"/>
  <c r="BT426" i="3"/>
  <c r="AZ437" i="3"/>
  <c r="BP419" i="3"/>
  <c r="CY418" i="3"/>
  <c r="CN425" i="3"/>
  <c r="BA433" i="3"/>
  <c r="BB433" i="3"/>
  <c r="BR426" i="3"/>
  <c r="DA418" i="3"/>
  <c r="CP425" i="3"/>
  <c r="AI433" i="3"/>
  <c r="BC433" i="3"/>
  <c r="CZ418" i="3"/>
  <c r="CE418" i="3"/>
  <c r="CQ418" i="3"/>
  <c r="AU432" i="3"/>
  <c r="AI450" i="3"/>
  <c r="AN442" i="3"/>
  <c r="BC426" i="3"/>
  <c r="BE426" i="3"/>
  <c r="CD425" i="3"/>
  <c r="AS335" i="3"/>
  <c r="AZ335" i="3"/>
  <c r="BD335" i="3" s="1"/>
  <c r="AO334" i="3"/>
  <c r="AB450" i="3"/>
  <c r="AP336" i="3"/>
  <c r="AJ333" i="3"/>
  <c r="AS336" i="3"/>
  <c r="AT334" i="3"/>
  <c r="AJ334" i="3"/>
  <c r="AO333" i="3"/>
  <c r="AY333" i="3"/>
  <c r="Z450" i="3"/>
  <c r="AE442" i="3"/>
  <c r="BC437" i="3"/>
  <c r="BC336" i="3" s="1"/>
  <c r="AS439" i="3"/>
  <c r="AQ439" i="3"/>
  <c r="AR439" i="3"/>
  <c r="AT437" i="3"/>
  <c r="AT438" i="3" s="1"/>
  <c r="AT431" i="3"/>
  <c r="AG431" i="3"/>
  <c r="AH433" i="3" s="1"/>
  <c r="AL431" i="3"/>
  <c r="AM431" i="3"/>
  <c r="AN431" i="3"/>
  <c r="AV431" i="3"/>
  <c r="AW431" i="3"/>
  <c r="BB432" i="3" s="1"/>
  <c r="AX431" i="3"/>
  <c r="BD431" i="3"/>
  <c r="BE431" i="3"/>
  <c r="BF431" i="3"/>
  <c r="BE419" i="3"/>
  <c r="CA426" i="3"/>
  <c r="CS418" i="3"/>
  <c r="CQ419" i="3"/>
  <c r="CK418" i="3"/>
  <c r="CT418" i="3"/>
  <c r="CG419" i="3"/>
  <c r="BW419" i="3"/>
  <c r="CD418" i="3"/>
  <c r="CU418" i="3"/>
  <c r="BZ425" i="3"/>
  <c r="BC419" i="3"/>
  <c r="BU418" i="3"/>
  <c r="CO418" i="3"/>
  <c r="BH425" i="3"/>
  <c r="BL420" i="3"/>
  <c r="BL417" i="3" s="1"/>
  <c r="BL333" i="3" s="1"/>
  <c r="BP427" i="3"/>
  <c r="BP424" i="3" s="1"/>
  <c r="BH418" i="3"/>
  <c r="BB417" i="3"/>
  <c r="BB333" i="3" s="1"/>
  <c r="BK419" i="3"/>
  <c r="BO419" i="3"/>
  <c r="CG418" i="3"/>
  <c r="CV418" i="3"/>
  <c r="CB426" i="3"/>
  <c r="BF426" i="3"/>
  <c r="BG419" i="3"/>
  <c r="BG426" i="3"/>
  <c r="BO418" i="3"/>
  <c r="BG424" i="3"/>
  <c r="BG334" i="3" s="1"/>
  <c r="BG418" i="3"/>
  <c r="CZ419" i="3"/>
  <c r="BE425" i="3"/>
  <c r="BO425" i="3"/>
  <c r="CP426" i="3"/>
  <c r="CL419" i="3"/>
  <c r="CY426" i="3"/>
  <c r="BV426" i="3"/>
  <c r="BF418" i="3"/>
  <c r="BL425" i="3"/>
  <c r="BO427" i="3"/>
  <c r="BO424" i="3" s="1"/>
  <c r="BA419" i="3"/>
  <c r="BM419" i="3"/>
  <c r="BT419" i="3"/>
  <c r="CT425" i="3"/>
  <c r="CQ426" i="3"/>
  <c r="BU426" i="3"/>
  <c r="CK426" i="3"/>
  <c r="CN419" i="3"/>
  <c r="BB419" i="3"/>
  <c r="BK418" i="3"/>
  <c r="CI419" i="3"/>
  <c r="BQ425" i="3"/>
  <c r="CF426" i="3"/>
  <c r="CU425" i="3"/>
  <c r="BP425" i="3"/>
  <c r="AZ417" i="3"/>
  <c r="BK425" i="3"/>
  <c r="BL418" i="3"/>
  <c r="BV418" i="3"/>
  <c r="CX418" i="3"/>
  <c r="CG425" i="3"/>
  <c r="CV425" i="3"/>
  <c r="CZ426" i="3"/>
  <c r="BQ419" i="3"/>
  <c r="CA425" i="3"/>
  <c r="BR419" i="3"/>
  <c r="CF419" i="3"/>
  <c r="CK419" i="3"/>
  <c r="BJ425" i="3"/>
  <c r="CO426" i="3"/>
  <c r="BF424" i="3"/>
  <c r="BF334" i="3" s="1"/>
  <c r="CB425" i="3"/>
  <c r="BL426" i="3"/>
  <c r="BK424" i="3"/>
  <c r="BK334" i="3" s="1"/>
  <c r="BM425" i="3"/>
  <c r="BW426" i="3"/>
  <c r="DA426" i="3"/>
  <c r="CL425" i="3"/>
  <c r="CX425" i="3"/>
  <c r="BJ426" i="3"/>
  <c r="BY426" i="3"/>
  <c r="CN426" i="3"/>
  <c r="BC424" i="3"/>
  <c r="BY425" i="3"/>
  <c r="CK425" i="3"/>
  <c r="BH426" i="3"/>
  <c r="CL426" i="3"/>
  <c r="BE424" i="3"/>
  <c r="BE334" i="3" s="1"/>
  <c r="CY425" i="3"/>
  <c r="BK426" i="3"/>
  <c r="BZ426" i="3"/>
  <c r="CZ425" i="3"/>
  <c r="BG425" i="3"/>
  <c r="CE425" i="3"/>
  <c r="CQ425" i="3"/>
  <c r="BA426" i="3"/>
  <c r="CT426" i="3"/>
  <c r="DA425" i="3"/>
  <c r="BH424" i="3"/>
  <c r="BH334" i="3" s="1"/>
  <c r="BR425" i="3"/>
  <c r="BO426" i="3"/>
  <c r="BJ424" i="3"/>
  <c r="BJ334" i="3" s="1"/>
  <c r="BT425" i="3"/>
  <c r="CF425" i="3"/>
  <c r="BB426" i="3"/>
  <c r="BQ426" i="3"/>
  <c r="CU426" i="3"/>
  <c r="CV426" i="3"/>
  <c r="BV425" i="3"/>
  <c r="CI426" i="3"/>
  <c r="CX426" i="3"/>
  <c r="CG426" i="3"/>
  <c r="BW425" i="3"/>
  <c r="CJ426" i="3"/>
  <c r="CX419" i="3"/>
  <c r="CY419" i="3"/>
  <c r="DA419" i="3"/>
  <c r="CS419" i="3"/>
  <c r="CT419" i="3"/>
  <c r="CU419" i="3"/>
  <c r="BJ417" i="3"/>
  <c r="BJ333" i="3" s="1"/>
  <c r="CN418" i="3"/>
  <c r="CO419" i="3"/>
  <c r="CP419" i="3"/>
  <c r="CI418" i="3"/>
  <c r="CL418" i="3"/>
  <c r="CJ419" i="3"/>
  <c r="CD419" i="3"/>
  <c r="CE419" i="3"/>
  <c r="BZ418" i="3"/>
  <c r="CA418" i="3"/>
  <c r="CB418" i="3"/>
  <c r="BY419" i="3"/>
  <c r="BZ419" i="3"/>
  <c r="CA419" i="3"/>
  <c r="BW418" i="3"/>
  <c r="BP418" i="3"/>
  <c r="BQ418" i="3"/>
  <c r="BR418" i="3"/>
  <c r="BJ418" i="3"/>
  <c r="BM418" i="3"/>
  <c r="BJ419" i="3"/>
  <c r="BL419" i="3"/>
  <c r="BK417" i="3"/>
  <c r="BK333" i="3" s="1"/>
  <c r="BH417" i="3"/>
  <c r="Y410" i="3"/>
  <c r="AA398" i="3"/>
  <c r="AA400" i="3" s="1"/>
  <c r="AA402" i="3" s="1"/>
  <c r="AA404" i="3" s="1"/>
  <c r="AD398" i="3"/>
  <c r="AD400" i="3" s="1"/>
  <c r="AD402" i="3" s="1"/>
  <c r="AD403" i="3" s="1"/>
  <c r="Y407" i="3"/>
  <c r="AB389" i="3"/>
  <c r="AB391" i="3" s="1"/>
  <c r="AB393" i="3" s="1"/>
  <c r="AH389" i="3"/>
  <c r="W400" i="3"/>
  <c r="AB398" i="3"/>
  <c r="X400" i="3"/>
  <c r="X402" i="3" s="1"/>
  <c r="AC398" i="3"/>
  <c r="V391" i="3"/>
  <c r="AA389" i="3"/>
  <c r="X391" i="3"/>
  <c r="X393" i="3" s="1"/>
  <c r="X395" i="3" s="1"/>
  <c r="AD389" i="3"/>
  <c r="BO386" i="3"/>
  <c r="BP386" i="3" s="1"/>
  <c r="BQ386" i="3" s="1"/>
  <c r="BR386" i="3" s="1"/>
  <c r="BT386" i="3" s="1"/>
  <c r="BU386" i="3" s="1"/>
  <c r="BV386" i="3" s="1"/>
  <c r="BW386" i="3" s="1"/>
  <c r="BY386" i="3" s="1"/>
  <c r="CA386" i="3" s="1"/>
  <c r="Y375" i="3"/>
  <c r="Y377" i="3" s="1"/>
  <c r="X375" i="3"/>
  <c r="X377" i="3" s="1"/>
  <c r="W375" i="3"/>
  <c r="W377" i="3" s="1"/>
  <c r="V375" i="3"/>
  <c r="AA375" i="3" s="1"/>
  <c r="Y370" i="3"/>
  <c r="AD370" i="3" s="1"/>
  <c r="X370" i="3"/>
  <c r="X372" i="3" s="1"/>
  <c r="W370" i="3"/>
  <c r="W372" i="3" s="1"/>
  <c r="V370" i="3"/>
  <c r="V372" i="3" s="1"/>
  <c r="Y356" i="3"/>
  <c r="Y358" i="3" s="1"/>
  <c r="X356" i="3"/>
  <c r="X358" i="3" s="1"/>
  <c r="W356" i="3"/>
  <c r="W358" i="3" s="1"/>
  <c r="V356" i="3"/>
  <c r="V358" i="3" s="1"/>
  <c r="Y351" i="3"/>
  <c r="AD351" i="3" s="1"/>
  <c r="X351" i="3"/>
  <c r="X353" i="3" s="1"/>
  <c r="W351" i="3"/>
  <c r="AB351" i="3" s="1"/>
  <c r="V351" i="3"/>
  <c r="V353" i="3" s="1"/>
  <c r="AN296" i="3"/>
  <c r="AM296" i="3"/>
  <c r="AL296" i="3"/>
  <c r="AK296" i="3"/>
  <c r="BR295" i="3"/>
  <c r="BR296" i="3" s="1"/>
  <c r="BQ295" i="3"/>
  <c r="BV295" i="3" s="1"/>
  <c r="BP295" i="3"/>
  <c r="BU295" i="3" s="1"/>
  <c r="BO295" i="3"/>
  <c r="BO296" i="3" s="1"/>
  <c r="AZ24" i="3"/>
  <c r="BL296" i="3"/>
  <c r="BK296" i="3"/>
  <c r="BJ296" i="3"/>
  <c r="AR296" i="3"/>
  <c r="AQ296" i="3"/>
  <c r="AP296" i="3"/>
  <c r="AG298" i="3"/>
  <c r="AF298" i="3"/>
  <c r="BH232" i="3"/>
  <c r="BG232" i="3"/>
  <c r="BF232" i="3"/>
  <c r="BE232" i="3"/>
  <c r="BC232" i="3"/>
  <c r="BB232" i="3"/>
  <c r="BA232" i="3"/>
  <c r="AZ232" i="3"/>
  <c r="AX232" i="3"/>
  <c r="AW232" i="3"/>
  <c r="AV232" i="3"/>
  <c r="AU232" i="3"/>
  <c r="AS232" i="3"/>
  <c r="AR232" i="3"/>
  <c r="AQ232" i="3"/>
  <c r="AP232" i="3"/>
  <c r="AN232" i="3"/>
  <c r="AM232" i="3"/>
  <c r="AL232" i="3"/>
  <c r="AK232" i="3"/>
  <c r="AI232" i="3"/>
  <c r="AH232" i="3"/>
  <c r="AG232" i="3"/>
  <c r="AF232" i="3"/>
  <c r="AE232" i="3"/>
  <c r="AD232" i="3"/>
  <c r="AC232" i="3"/>
  <c r="AB232" i="3"/>
  <c r="AA232" i="3"/>
  <c r="AE258" i="3"/>
  <c r="AE284" i="3"/>
  <c r="BH283" i="3"/>
  <c r="BG283" i="3"/>
  <c r="BF283" i="3"/>
  <c r="BE283" i="3"/>
  <c r="BC283" i="3"/>
  <c r="BB283" i="3"/>
  <c r="BA283" i="3"/>
  <c r="AZ283" i="3"/>
  <c r="AX283" i="3"/>
  <c r="AW283" i="3"/>
  <c r="AV283" i="3"/>
  <c r="AU283" i="3"/>
  <c r="AS283" i="3"/>
  <c r="AR283" i="3"/>
  <c r="AQ283" i="3"/>
  <c r="AP283" i="3"/>
  <c r="AN283" i="3"/>
  <c r="AM283" i="3"/>
  <c r="AL283" i="3"/>
  <c r="AK283" i="3"/>
  <c r="AI283" i="3"/>
  <c r="AH283" i="3"/>
  <c r="AG283" i="3"/>
  <c r="AF283" i="3"/>
  <c r="AD283" i="3"/>
  <c r="AC283" i="3"/>
  <c r="AB283" i="3"/>
  <c r="AA283" i="3"/>
  <c r="Y283" i="3"/>
  <c r="X283" i="3"/>
  <c r="W283" i="3"/>
  <c r="V283" i="3"/>
  <c r="BG257" i="3"/>
  <c r="BF257" i="3"/>
  <c r="BE257" i="3"/>
  <c r="BC257" i="3"/>
  <c r="BB257" i="3"/>
  <c r="BA257" i="3"/>
  <c r="AX257" i="3"/>
  <c r="AW257" i="3"/>
  <c r="AV257" i="3"/>
  <c r="AU257" i="3"/>
  <c r="AS257" i="3"/>
  <c r="AR257" i="3"/>
  <c r="AQ257" i="3"/>
  <c r="AP257" i="3"/>
  <c r="AN257" i="3"/>
  <c r="AM257" i="3"/>
  <c r="AL257" i="3"/>
  <c r="AK257" i="3"/>
  <c r="AI257" i="3"/>
  <c r="AH257" i="3"/>
  <c r="AG257" i="3"/>
  <c r="AF257" i="3"/>
  <c r="AD257" i="3"/>
  <c r="AC257" i="3"/>
  <c r="AB257" i="3"/>
  <c r="AA257" i="3"/>
  <c r="Y257" i="3"/>
  <c r="X257" i="3"/>
  <c r="W257" i="3"/>
  <c r="V257" i="3"/>
  <c r="BH281" i="3"/>
  <c r="BM281" i="3" s="1"/>
  <c r="BR281" i="3" s="1"/>
  <c r="BW281" i="3" s="1"/>
  <c r="CB281" i="3" s="1"/>
  <c r="CG281" i="3" s="1"/>
  <c r="CL281" i="3" s="1"/>
  <c r="CQ281" i="3" s="1"/>
  <c r="CV281" i="3" s="1"/>
  <c r="DA281" i="3" s="1"/>
  <c r="BG281" i="3"/>
  <c r="BL281" i="3" s="1"/>
  <c r="BQ281" i="3" s="1"/>
  <c r="BV281" i="3" s="1"/>
  <c r="CA281" i="3" s="1"/>
  <c r="CF281" i="3" s="1"/>
  <c r="CK281" i="3" s="1"/>
  <c r="CP281" i="3" s="1"/>
  <c r="CU281" i="3" s="1"/>
  <c r="CZ281" i="3" s="1"/>
  <c r="BF281" i="3"/>
  <c r="BK281" i="3" s="1"/>
  <c r="BP281" i="3" s="1"/>
  <c r="BU281" i="3" s="1"/>
  <c r="BZ281" i="3" s="1"/>
  <c r="CE281" i="3" s="1"/>
  <c r="CJ281" i="3" s="1"/>
  <c r="CO281" i="3" s="1"/>
  <c r="CT281" i="3" s="1"/>
  <c r="CY281" i="3" s="1"/>
  <c r="BE281" i="3"/>
  <c r="BJ281" i="3" s="1"/>
  <c r="BO281" i="3" s="1"/>
  <c r="BT281" i="3" s="1"/>
  <c r="BY281" i="3" s="1"/>
  <c r="CD281" i="3" s="1"/>
  <c r="CI281" i="3" s="1"/>
  <c r="CN281" i="3" s="1"/>
  <c r="CS281" i="3" s="1"/>
  <c r="CX281" i="3" s="1"/>
  <c r="Y270" i="3"/>
  <c r="AD270" i="3" s="1"/>
  <c r="AD272" i="3" s="1"/>
  <c r="X270" i="3"/>
  <c r="X272" i="3" s="1"/>
  <c r="W270" i="3"/>
  <c r="AB270" i="3" s="1"/>
  <c r="V270" i="3"/>
  <c r="AA270" i="3" s="1"/>
  <c r="Y265" i="3"/>
  <c r="X265" i="3"/>
  <c r="X267" i="3" s="1"/>
  <c r="W265" i="3"/>
  <c r="W267" i="3" s="1"/>
  <c r="V265" i="3"/>
  <c r="V267" i="3" s="1"/>
  <c r="BF255" i="3"/>
  <c r="BK255" i="3" s="1"/>
  <c r="BP255" i="3" s="1"/>
  <c r="BU255" i="3" s="1"/>
  <c r="BZ255" i="3" s="1"/>
  <c r="CE255" i="3" s="1"/>
  <c r="CJ255" i="3" s="1"/>
  <c r="CO255" i="3" s="1"/>
  <c r="CT255" i="3" s="1"/>
  <c r="CY255" i="3" s="1"/>
  <c r="BE255" i="3"/>
  <c r="BH255" i="3"/>
  <c r="BM255" i="3" s="1"/>
  <c r="BR255" i="3" s="1"/>
  <c r="BW255" i="3" s="1"/>
  <c r="CB255" i="3" s="1"/>
  <c r="CG255" i="3" s="1"/>
  <c r="CL255" i="3" s="1"/>
  <c r="CQ255" i="3" s="1"/>
  <c r="CV255" i="3" s="1"/>
  <c r="DA255" i="3" s="1"/>
  <c r="BG255" i="3"/>
  <c r="BL255" i="3" s="1"/>
  <c r="BQ255" i="3" s="1"/>
  <c r="BV255" i="3" s="1"/>
  <c r="CA255" i="3" s="1"/>
  <c r="CF255" i="3" s="1"/>
  <c r="CK255" i="3" s="1"/>
  <c r="CP255" i="3" s="1"/>
  <c r="CU255" i="3" s="1"/>
  <c r="CZ255" i="3" s="1"/>
  <c r="Y244" i="3"/>
  <c r="Y246" i="3" s="1"/>
  <c r="X244" i="3"/>
  <c r="X246" i="3" s="1"/>
  <c r="W244" i="3"/>
  <c r="AB244" i="3" s="1"/>
  <c r="AB246" i="3" s="1"/>
  <c r="V244" i="3"/>
  <c r="V246" i="3" s="1"/>
  <c r="Y239" i="3"/>
  <c r="X239" i="3"/>
  <c r="W239" i="3"/>
  <c r="W241" i="3" s="1"/>
  <c r="V239" i="3"/>
  <c r="V241" i="3" s="1"/>
  <c r="DA232" i="3"/>
  <c r="BU283" i="3"/>
  <c r="CX283" i="3"/>
  <c r="Y218" i="3"/>
  <c r="Y220" i="3" s="1"/>
  <c r="X218" i="3"/>
  <c r="X220" i="3" s="1"/>
  <c r="W218" i="3"/>
  <c r="W220" i="3" s="1"/>
  <c r="V218" i="3"/>
  <c r="V220" i="3" s="1"/>
  <c r="Y213" i="3"/>
  <c r="Y215" i="3" s="1"/>
  <c r="X213" i="3"/>
  <c r="AC213" i="3" s="1"/>
  <c r="AC215" i="3" s="1"/>
  <c r="W213" i="3"/>
  <c r="AB213" i="3" s="1"/>
  <c r="AB215" i="3" s="1"/>
  <c r="V213" i="3"/>
  <c r="AA213" i="3" s="1"/>
  <c r="AF213" i="3" s="1"/>
  <c r="AD25" i="3"/>
  <c r="AC25" i="3"/>
  <c r="AB25" i="3"/>
  <c r="Y25" i="3"/>
  <c r="X25" i="3"/>
  <c r="W25" i="3"/>
  <c r="V25" i="3"/>
  <c r="T25" i="3"/>
  <c r="S25" i="3"/>
  <c r="R25" i="3"/>
  <c r="O25" i="3"/>
  <c r="N25" i="3"/>
  <c r="M25" i="3"/>
  <c r="E25" i="3"/>
  <c r="D25" i="3"/>
  <c r="C25" i="3"/>
  <c r="BC24" i="3"/>
  <c r="BB24" i="3"/>
  <c r="BA24" i="3"/>
  <c r="AX24" i="3"/>
  <c r="AW24" i="3"/>
  <c r="AV24" i="3"/>
  <c r="AU24" i="3"/>
  <c r="AS24" i="3"/>
  <c r="AR24" i="3"/>
  <c r="AQ24" i="3"/>
  <c r="AP24" i="3"/>
  <c r="AN24" i="3"/>
  <c r="AM24" i="3"/>
  <c r="AL24" i="3"/>
  <c r="AK24" i="3"/>
  <c r="AI24" i="3"/>
  <c r="AH24" i="3"/>
  <c r="AG24" i="3"/>
  <c r="AF24" i="3"/>
  <c r="AD24" i="3"/>
  <c r="AC24" i="3"/>
  <c r="AB24" i="3"/>
  <c r="AA24" i="3"/>
  <c r="Y24" i="3"/>
  <c r="X24" i="3"/>
  <c r="W24" i="3"/>
  <c r="V24" i="3"/>
  <c r="T24" i="3"/>
  <c r="S24" i="3"/>
  <c r="R24" i="3"/>
  <c r="Q24" i="3"/>
  <c r="O24" i="3"/>
  <c r="N24" i="3"/>
  <c r="M24" i="3"/>
  <c r="L24" i="3"/>
  <c r="J24" i="3"/>
  <c r="I24" i="3"/>
  <c r="H24" i="3"/>
  <c r="G24" i="3"/>
  <c r="BD23" i="3"/>
  <c r="AY23" i="3"/>
  <c r="AT23" i="3"/>
  <c r="AT468" i="3" s="1"/>
  <c r="AO23" i="3"/>
  <c r="AO468" i="3" s="1"/>
  <c r="AJ23" i="3"/>
  <c r="AJ468" i="3" s="1"/>
  <c r="AE23" i="3"/>
  <c r="AE468" i="3" s="1"/>
  <c r="Z23" i="3"/>
  <c r="Z468" i="3" s="1"/>
  <c r="U23" i="3"/>
  <c r="U468" i="3" s="1"/>
  <c r="P23" i="3"/>
  <c r="P468" i="3" s="1"/>
  <c r="K23" i="3"/>
  <c r="K468" i="3" s="1"/>
  <c r="F23" i="3"/>
  <c r="BC166" i="3"/>
  <c r="BB166" i="3"/>
  <c r="BA166" i="3"/>
  <c r="AZ166" i="3"/>
  <c r="AX166" i="3"/>
  <c r="AW166" i="3"/>
  <c r="AV166" i="3"/>
  <c r="AU166" i="3"/>
  <c r="AS166" i="3"/>
  <c r="AR166" i="3"/>
  <c r="AQ166" i="3"/>
  <c r="AP166" i="3"/>
  <c r="AN166" i="3"/>
  <c r="AM166" i="3"/>
  <c r="AL166" i="3"/>
  <c r="AK166" i="3"/>
  <c r="Y182" i="3"/>
  <c r="X182" i="3"/>
  <c r="W182" i="3"/>
  <c r="V182" i="3"/>
  <c r="T182" i="3"/>
  <c r="S182" i="3"/>
  <c r="R182" i="3"/>
  <c r="Q182" i="3"/>
  <c r="F143" i="3"/>
  <c r="F139" i="3" s="1"/>
  <c r="AC76" i="3"/>
  <c r="AB76" i="3"/>
  <c r="AA76" i="3"/>
  <c r="Y76" i="3"/>
  <c r="X76" i="3"/>
  <c r="W76" i="3"/>
  <c r="V76" i="3"/>
  <c r="T76" i="3"/>
  <c r="S76" i="3"/>
  <c r="R76" i="3"/>
  <c r="Q76" i="3"/>
  <c r="O76" i="3"/>
  <c r="N76" i="3"/>
  <c r="M76" i="3"/>
  <c r="L76" i="3"/>
  <c r="J76" i="3"/>
  <c r="I76" i="3"/>
  <c r="H76" i="3"/>
  <c r="G76" i="3"/>
  <c r="Z75" i="3"/>
  <c r="U75" i="3"/>
  <c r="P75" i="3"/>
  <c r="K75" i="3"/>
  <c r="F75" i="3"/>
  <c r="BF152" i="3"/>
  <c r="E140" i="3"/>
  <c r="J140" i="3" s="1"/>
  <c r="D140" i="3"/>
  <c r="C140" i="3"/>
  <c r="H140" i="3" s="1"/>
  <c r="B140" i="3"/>
  <c r="G140" i="3" s="1"/>
  <c r="E137" i="3"/>
  <c r="E143" i="3" s="1"/>
  <c r="D137" i="3"/>
  <c r="I137" i="3" s="1"/>
  <c r="C137" i="3"/>
  <c r="C143" i="3" s="1"/>
  <c r="B137" i="3"/>
  <c r="G137" i="3" s="1"/>
  <c r="G143" i="3" s="1"/>
  <c r="BG129" i="3"/>
  <c r="BF129" i="3"/>
  <c r="BE129" i="3"/>
  <c r="F114" i="3"/>
  <c r="F110" i="3" s="1"/>
  <c r="D111" i="3"/>
  <c r="I111" i="3" s="1"/>
  <c r="N111" i="3" s="1"/>
  <c r="S111" i="3" s="1"/>
  <c r="X111" i="3" s="1"/>
  <c r="C111" i="3"/>
  <c r="B111" i="3"/>
  <c r="C108" i="3"/>
  <c r="BC91" i="3"/>
  <c r="BB91" i="3"/>
  <c r="BA91" i="3"/>
  <c r="BG91" i="3" s="1"/>
  <c r="Y91" i="3"/>
  <c r="BH396" i="3" l="1"/>
  <c r="BJ396" i="3" s="1"/>
  <c r="BK396" i="3" s="1"/>
  <c r="BL396" i="3" s="1"/>
  <c r="BM396" i="3" s="1"/>
  <c r="BO396" i="3" s="1"/>
  <c r="BP396" i="3" s="1"/>
  <c r="BQ396" i="3" s="1"/>
  <c r="BR396" i="3" s="1"/>
  <c r="BT396" i="3" s="1"/>
  <c r="BU396" i="3" s="1"/>
  <c r="BV396" i="3" s="1"/>
  <c r="BW396" i="3" s="1"/>
  <c r="BY396" i="3" s="1"/>
  <c r="BZ396" i="3" s="1"/>
  <c r="CA396" i="3" s="1"/>
  <c r="CB396" i="3" s="1"/>
  <c r="CD396" i="3" s="1"/>
  <c r="CE396" i="3" s="1"/>
  <c r="CF396" i="3" s="1"/>
  <c r="CG396" i="3" s="1"/>
  <c r="CI396" i="3" s="1"/>
  <c r="CJ396" i="3" s="1"/>
  <c r="CK396" i="3" s="1"/>
  <c r="CL396" i="3" s="1"/>
  <c r="CN396" i="3" s="1"/>
  <c r="CO396" i="3" s="1"/>
  <c r="CP396" i="3" s="1"/>
  <c r="CQ396" i="3" s="1"/>
  <c r="AA54" i="3"/>
  <c r="AA174" i="3"/>
  <c r="BG431" i="3"/>
  <c r="V53" i="3"/>
  <c r="I143" i="3"/>
  <c r="I146" i="3" s="1"/>
  <c r="I155" i="3" s="1"/>
  <c r="N137" i="3"/>
  <c r="N143" i="3" s="1"/>
  <c r="V54" i="3"/>
  <c r="K490" i="3"/>
  <c r="K494" i="3"/>
  <c r="P490" i="3"/>
  <c r="P494" i="3"/>
  <c r="AC319" i="3"/>
  <c r="AY468" i="3"/>
  <c r="AY469" i="3" s="1"/>
  <c r="AY306" i="3"/>
  <c r="BD468" i="3"/>
  <c r="BD306" i="3"/>
  <c r="U62" i="3"/>
  <c r="AC52" i="3"/>
  <c r="AC304" i="3"/>
  <c r="AE469" i="3"/>
  <c r="AT469" i="3"/>
  <c r="AJ469" i="3"/>
  <c r="Z469" i="3"/>
  <c r="AO469" i="3"/>
  <c r="K471" i="3"/>
  <c r="P469" i="3"/>
  <c r="P471" i="3"/>
  <c r="U469" i="3"/>
  <c r="BJ255" i="3"/>
  <c r="BO255" i="3" s="1"/>
  <c r="BT255" i="3" s="1"/>
  <c r="BY255" i="3" s="1"/>
  <c r="CD255" i="3" s="1"/>
  <c r="CI255" i="3" s="1"/>
  <c r="CN255" i="3" s="1"/>
  <c r="CS255" i="3" s="1"/>
  <c r="CX255" i="3" s="1"/>
  <c r="F52" i="3"/>
  <c r="F468" i="3"/>
  <c r="K469" i="3" s="1"/>
  <c r="V174" i="3"/>
  <c r="V178" i="3" s="1"/>
  <c r="AD63" i="3"/>
  <c r="AD62" i="3"/>
  <c r="AA53" i="3"/>
  <c r="AC62" i="3"/>
  <c r="AA63" i="3"/>
  <c r="AA62" i="3"/>
  <c r="AD53" i="3"/>
  <c r="BH152" i="3"/>
  <c r="BE153" i="3"/>
  <c r="BE130" i="3"/>
  <c r="BH129" i="3"/>
  <c r="C174" i="3"/>
  <c r="T174" i="3"/>
  <c r="R174" i="3"/>
  <c r="W174" i="3"/>
  <c r="W178" i="3" s="1"/>
  <c r="Y174" i="3"/>
  <c r="X174" i="3"/>
  <c r="X178" i="3" s="1"/>
  <c r="J174" i="3"/>
  <c r="Y310" i="3"/>
  <c r="AA182" i="3"/>
  <c r="K27" i="3"/>
  <c r="K52" i="3"/>
  <c r="P27" i="3"/>
  <c r="P52" i="3"/>
  <c r="U27" i="3"/>
  <c r="U52" i="3"/>
  <c r="Z27" i="3"/>
  <c r="Z52" i="3"/>
  <c r="AC182" i="3"/>
  <c r="AO27" i="3"/>
  <c r="AT27" i="3"/>
  <c r="AA71" i="3"/>
  <c r="J71" i="3"/>
  <c r="AB71" i="3"/>
  <c r="H71" i="3"/>
  <c r="L71" i="3"/>
  <c r="M71" i="3"/>
  <c r="C71" i="3"/>
  <c r="Q71" i="3"/>
  <c r="R71" i="3"/>
  <c r="V71" i="3"/>
  <c r="AY27" i="3"/>
  <c r="W310" i="3"/>
  <c r="AJ27" i="3"/>
  <c r="AE27" i="3"/>
  <c r="AQ442" i="3"/>
  <c r="AV442" i="3" s="1"/>
  <c r="X310" i="3"/>
  <c r="AC313" i="3"/>
  <c r="AC308" i="3"/>
  <c r="AC320" i="3"/>
  <c r="AB303" i="3"/>
  <c r="AB52" i="3" s="1"/>
  <c r="AB54" i="3" s="1"/>
  <c r="AA308" i="3"/>
  <c r="AA313" i="3"/>
  <c r="AA314" i="3"/>
  <c r="AD304" i="3"/>
  <c r="AD305" i="3"/>
  <c r="AD308" i="3"/>
  <c r="AD314" i="3"/>
  <c r="AD313" i="3"/>
  <c r="AA305" i="3"/>
  <c r="AA304" i="3"/>
  <c r="AX439" i="3"/>
  <c r="AY437" i="3"/>
  <c r="AY438" i="3" s="1"/>
  <c r="AP442" i="3"/>
  <c r="AP450" i="3" s="1"/>
  <c r="AT336" i="3"/>
  <c r="AJ443" i="3"/>
  <c r="AD322" i="3"/>
  <c r="AD323" i="3" s="1"/>
  <c r="AD319" i="3"/>
  <c r="AD320" i="3"/>
  <c r="AB320" i="3"/>
  <c r="AB319" i="3"/>
  <c r="Z446" i="3"/>
  <c r="Z325" i="3"/>
  <c r="AA327" i="3"/>
  <c r="AA326" i="3"/>
  <c r="AD327" i="3"/>
  <c r="AD326" i="3"/>
  <c r="AE443" i="3"/>
  <c r="AE318" i="3"/>
  <c r="AH450" i="3"/>
  <c r="AJ450" i="3" s="1"/>
  <c r="AJ446" i="3" s="1"/>
  <c r="AM442" i="3"/>
  <c r="AO442" i="3" s="1"/>
  <c r="AO443" i="3" s="1"/>
  <c r="AW439" i="3"/>
  <c r="AW336" i="3"/>
  <c r="AE450" i="3"/>
  <c r="AB325" i="3"/>
  <c r="AA322" i="3"/>
  <c r="AA323" i="3" s="1"/>
  <c r="AA320" i="3"/>
  <c r="AA319" i="3"/>
  <c r="AC326" i="3"/>
  <c r="AC322" i="3"/>
  <c r="AC323" i="3" s="1"/>
  <c r="BA437" i="3"/>
  <c r="BD437" i="3" s="1"/>
  <c r="AV336" i="3"/>
  <c r="BD434" i="3"/>
  <c r="BD417" i="3"/>
  <c r="BD420" i="3" s="1"/>
  <c r="AZ333" i="3"/>
  <c r="BD333" i="3" s="1"/>
  <c r="AX335" i="3"/>
  <c r="AX432" i="3"/>
  <c r="AX433" i="3"/>
  <c r="AS442" i="3"/>
  <c r="AN450" i="3"/>
  <c r="AW335" i="3"/>
  <c r="AW432" i="3"/>
  <c r="AW433" i="3"/>
  <c r="AV335" i="3"/>
  <c r="AV432" i="3"/>
  <c r="AV433" i="3"/>
  <c r="AN335" i="3"/>
  <c r="AN433" i="3"/>
  <c r="BI334" i="3"/>
  <c r="AM335" i="3"/>
  <c r="AM433" i="3"/>
  <c r="AS432" i="3"/>
  <c r="AR432" i="3"/>
  <c r="AL335" i="3"/>
  <c r="AL433" i="3"/>
  <c r="BI417" i="3"/>
  <c r="BI420" i="3" s="1"/>
  <c r="BH333" i="3"/>
  <c r="BI333" i="3" s="1"/>
  <c r="AJ431" i="3"/>
  <c r="AJ434" i="3" s="1"/>
  <c r="AG335" i="3"/>
  <c r="AJ335" i="3" s="1"/>
  <c r="AG433" i="3"/>
  <c r="BA432" i="3"/>
  <c r="BG437" i="3"/>
  <c r="BG336" i="3" s="1"/>
  <c r="BB336" i="3"/>
  <c r="AQ432" i="3"/>
  <c r="AT434" i="3"/>
  <c r="BC432" i="3"/>
  <c r="BD424" i="3"/>
  <c r="BD427" i="3" s="1"/>
  <c r="BC334" i="3"/>
  <c r="BD334" i="3" s="1"/>
  <c r="BF335" i="3"/>
  <c r="BF432" i="3"/>
  <c r="BF433" i="3"/>
  <c r="BE437" i="3"/>
  <c r="BE439" i="3" s="1"/>
  <c r="AZ336" i="3"/>
  <c r="AT335" i="3"/>
  <c r="BE335" i="3"/>
  <c r="BE432" i="3"/>
  <c r="BE433" i="3"/>
  <c r="BC439" i="3"/>
  <c r="BH437" i="3"/>
  <c r="AY431" i="3"/>
  <c r="AO431" i="3"/>
  <c r="AO434" i="3" s="1"/>
  <c r="Y395" i="3"/>
  <c r="BM420" i="3"/>
  <c r="BQ427" i="3"/>
  <c r="BQ424" i="3" s="1"/>
  <c r="BO334" i="3"/>
  <c r="BL424" i="3"/>
  <c r="BL334" i="3" s="1"/>
  <c r="BM424" i="3"/>
  <c r="BM334" i="3" s="1"/>
  <c r="BI424" i="3"/>
  <c r="BI427" i="3" s="1"/>
  <c r="AA403" i="3"/>
  <c r="V407" i="3"/>
  <c r="V393" i="3"/>
  <c r="AB394" i="3"/>
  <c r="X410" i="3"/>
  <c r="AC394" i="3"/>
  <c r="AC395" i="3"/>
  <c r="Y404" i="3"/>
  <c r="Y413" i="3"/>
  <c r="W407" i="3"/>
  <c r="W402" i="3"/>
  <c r="X404" i="3" s="1"/>
  <c r="AF398" i="3"/>
  <c r="AF400" i="3" s="1"/>
  <c r="AF402" i="3" s="1"/>
  <c r="AI398" i="3"/>
  <c r="AI400" i="3" s="1"/>
  <c r="AI402" i="3" s="1"/>
  <c r="AC351" i="3"/>
  <c r="AC353" i="3" s="1"/>
  <c r="AB375" i="3"/>
  <c r="AB377" i="3" s="1"/>
  <c r="X361" i="3"/>
  <c r="X364" i="3" s="1"/>
  <c r="V377" i="3"/>
  <c r="Z377" i="3" s="1"/>
  <c r="Z378" i="3" s="1"/>
  <c r="AA351" i="3"/>
  <c r="AF351" i="3" s="1"/>
  <c r="AF353" i="3" s="1"/>
  <c r="AG389" i="3"/>
  <c r="AL389" i="3" s="1"/>
  <c r="AC400" i="3"/>
  <c r="AH398" i="3"/>
  <c r="AG398" i="3"/>
  <c r="AB400" i="3"/>
  <c r="AI389" i="3"/>
  <c r="AD391" i="3"/>
  <c r="AH391" i="3"/>
  <c r="AH393" i="3" s="1"/>
  <c r="AM389" i="3"/>
  <c r="AE398" i="3"/>
  <c r="AE399" i="3" s="1"/>
  <c r="X407" i="3"/>
  <c r="AA391" i="3"/>
  <c r="AA393" i="3" s="1"/>
  <c r="AE389" i="3"/>
  <c r="AE390" i="3" s="1"/>
  <c r="AF389" i="3"/>
  <c r="Z391" i="3"/>
  <c r="Z392" i="3" s="1"/>
  <c r="Z400" i="3"/>
  <c r="Z401" i="3" s="1"/>
  <c r="AB353" i="3"/>
  <c r="AG351" i="3"/>
  <c r="AD353" i="3"/>
  <c r="AI351" i="3"/>
  <c r="W353" i="3"/>
  <c r="W361" i="3" s="1"/>
  <c r="W364" i="3" s="1"/>
  <c r="Y353" i="3"/>
  <c r="Y361" i="3" s="1"/>
  <c r="V361" i="3"/>
  <c r="V364" i="3" s="1"/>
  <c r="AB356" i="3"/>
  <c r="AA377" i="3"/>
  <c r="AF375" i="3"/>
  <c r="AF377" i="3" s="1"/>
  <c r="W380" i="3"/>
  <c r="W383" i="3" s="1"/>
  <c r="X380" i="3"/>
  <c r="X383" i="3" s="1"/>
  <c r="Y372" i="3"/>
  <c r="Y380" i="3" s="1"/>
  <c r="Y383" i="3" s="1"/>
  <c r="AC370" i="3"/>
  <c r="AH370" i="3" s="1"/>
  <c r="AD372" i="3"/>
  <c r="AI370" i="3"/>
  <c r="AA370" i="3"/>
  <c r="AC375" i="3"/>
  <c r="AB370" i="3"/>
  <c r="AD375" i="3"/>
  <c r="AA356" i="3"/>
  <c r="AA358" i="3" s="1"/>
  <c r="AC356" i="3"/>
  <c r="AD356" i="3"/>
  <c r="Z358" i="3"/>
  <c r="Z359" i="3" s="1"/>
  <c r="AS293" i="3"/>
  <c r="AX296" i="3"/>
  <c r="AG293" i="3"/>
  <c r="AW298" i="3"/>
  <c r="AX298" i="3"/>
  <c r="AH258" i="3"/>
  <c r="AM284" i="3"/>
  <c r="BB284" i="3"/>
  <c r="AU293" i="3"/>
  <c r="BA296" i="3"/>
  <c r="AH293" i="3"/>
  <c r="BE296" i="3"/>
  <c r="BT295" i="3"/>
  <c r="BT296" i="3" s="1"/>
  <c r="BG296" i="3"/>
  <c r="BH296" i="3"/>
  <c r="AZ293" i="3"/>
  <c r="AI293" i="3"/>
  <c r="BB298" i="3"/>
  <c r="AR298" i="3"/>
  <c r="AK258" i="3"/>
  <c r="AZ258" i="3"/>
  <c r="AG300" i="3"/>
  <c r="AU298" i="3"/>
  <c r="AH298" i="3"/>
  <c r="BW295" i="3"/>
  <c r="BW296" i="3" s="1"/>
  <c r="AI298" i="3"/>
  <c r="BA293" i="3"/>
  <c r="AZ296" i="3"/>
  <c r="BM296" i="3"/>
  <c r="BP296" i="3"/>
  <c r="BB296" i="3"/>
  <c r="BH291" i="3"/>
  <c r="BH298" i="3" s="1"/>
  <c r="AT291" i="3"/>
  <c r="AU296" i="3"/>
  <c r="BC296" i="3"/>
  <c r="AR293" i="3"/>
  <c r="AV296" i="3"/>
  <c r="AZ298" i="3"/>
  <c r="AV293" i="3"/>
  <c r="AW296" i="3"/>
  <c r="AG258" i="3"/>
  <c r="AJ291" i="3"/>
  <c r="BZ295" i="3"/>
  <c r="BU296" i="3"/>
  <c r="BV296" i="3"/>
  <c r="CA295" i="3"/>
  <c r="AW293" i="3"/>
  <c r="AX293" i="3"/>
  <c r="AP298" i="3"/>
  <c r="BA298" i="3"/>
  <c r="BF291" i="3"/>
  <c r="AS296" i="3"/>
  <c r="BQ296" i="3"/>
  <c r="AB258" i="3"/>
  <c r="BF258" i="3"/>
  <c r="AG284" i="3"/>
  <c r="AV284" i="3"/>
  <c r="AQ298" i="3"/>
  <c r="BG291" i="3"/>
  <c r="BF296" i="3"/>
  <c r="BB293" i="3"/>
  <c r="BC293" i="3"/>
  <c r="AS298" i="3"/>
  <c r="BD291" i="3"/>
  <c r="AQ293" i="3"/>
  <c r="AV298" i="3"/>
  <c r="AY291" i="3"/>
  <c r="AC258" i="3"/>
  <c r="BG258" i="3"/>
  <c r="AD258" i="3"/>
  <c r="BH258" i="3"/>
  <c r="AN284" i="3"/>
  <c r="AF258" i="3"/>
  <c r="AU258" i="3"/>
  <c r="AD284" i="3"/>
  <c r="BH284" i="3"/>
  <c r="BC284" i="3"/>
  <c r="AA284" i="3"/>
  <c r="AP284" i="3"/>
  <c r="BE284" i="3"/>
  <c r="W215" i="3"/>
  <c r="W223" i="3" s="1"/>
  <c r="W226" i="3" s="1"/>
  <c r="AB284" i="3"/>
  <c r="AQ284" i="3"/>
  <c r="BF284" i="3"/>
  <c r="BE258" i="3"/>
  <c r="AC284" i="3"/>
  <c r="AW284" i="3"/>
  <c r="AK284" i="3"/>
  <c r="AZ284" i="3"/>
  <c r="BR283" i="3"/>
  <c r="BT232" i="3"/>
  <c r="BV283" i="3"/>
  <c r="CB257" i="3"/>
  <c r="AV258" i="3"/>
  <c r="CG257" i="3"/>
  <c r="BA284" i="3"/>
  <c r="AC265" i="3"/>
  <c r="AC267" i="3" s="1"/>
  <c r="AL258" i="3"/>
  <c r="BA258" i="3"/>
  <c r="CQ257" i="3"/>
  <c r="AH284" i="3"/>
  <c r="BW283" i="3"/>
  <c r="AM258" i="3"/>
  <c r="BB258" i="3"/>
  <c r="CV257" i="3"/>
  <c r="AI284" i="3"/>
  <c r="AX284" i="3"/>
  <c r="CG283" i="3"/>
  <c r="AA244" i="3"/>
  <c r="AA246" i="3" s="1"/>
  <c r="AN258" i="3"/>
  <c r="BC258" i="3"/>
  <c r="CL283" i="3"/>
  <c r="AA258" i="3"/>
  <c r="AP258" i="3"/>
  <c r="AL284" i="3"/>
  <c r="DA283" i="3"/>
  <c r="AQ258" i="3"/>
  <c r="BM257" i="3"/>
  <c r="BM258" i="3" s="1"/>
  <c r="BU232" i="3"/>
  <c r="BQ257" i="3"/>
  <c r="BG284" i="3"/>
  <c r="CG232" i="3"/>
  <c r="AW258" i="3"/>
  <c r="BR257" i="3"/>
  <c r="AS284" i="3"/>
  <c r="CS232" i="3"/>
  <c r="AI258" i="3"/>
  <c r="AX258" i="3"/>
  <c r="AU284" i="3"/>
  <c r="CA257" i="3"/>
  <c r="CA232" i="3"/>
  <c r="CA283" i="3"/>
  <c r="AC270" i="3"/>
  <c r="AC272" i="3" s="1"/>
  <c r="BT257" i="3"/>
  <c r="CI257" i="3"/>
  <c r="CX257" i="3"/>
  <c r="BJ283" i="3"/>
  <c r="BJ284" i="3" s="1"/>
  <c r="BY283" i="3"/>
  <c r="CN283" i="3"/>
  <c r="BJ232" i="3"/>
  <c r="BV232" i="3"/>
  <c r="AS258" i="3"/>
  <c r="W272" i="3"/>
  <c r="W275" i="3" s="1"/>
  <c r="W278" i="3" s="1"/>
  <c r="W286" i="3" s="1"/>
  <c r="BU257" i="3"/>
  <c r="BK283" i="3"/>
  <c r="BK284" i="3" s="1"/>
  <c r="BK232" i="3"/>
  <c r="BW232" i="3"/>
  <c r="CI232" i="3"/>
  <c r="AR258" i="3"/>
  <c r="Y272" i="3"/>
  <c r="BV257" i="3"/>
  <c r="BL283" i="3"/>
  <c r="BL284" i="3" s="1"/>
  <c r="AF284" i="3"/>
  <c r="AR284" i="3"/>
  <c r="BL232" i="3"/>
  <c r="CV232" i="3"/>
  <c r="BW257" i="3"/>
  <c r="CL257" i="3"/>
  <c r="DA257" i="3"/>
  <c r="BM283" i="3"/>
  <c r="BM284" i="3" s="1"/>
  <c r="CB283" i="3"/>
  <c r="CQ283" i="3"/>
  <c r="BM232" i="3"/>
  <c r="BY232" i="3"/>
  <c r="BJ257" i="3"/>
  <c r="BJ258" i="3" s="1"/>
  <c r="BY257" i="3"/>
  <c r="CN257" i="3"/>
  <c r="BO283" i="3"/>
  <c r="CD283" i="3"/>
  <c r="CS283" i="3"/>
  <c r="CL232" i="3"/>
  <c r="CX232" i="3"/>
  <c r="BK257" i="3"/>
  <c r="BK258" i="3" s="1"/>
  <c r="BP283" i="3"/>
  <c r="BO232" i="3"/>
  <c r="BL257" i="3"/>
  <c r="BL258" i="3" s="1"/>
  <c r="BQ283" i="3"/>
  <c r="BP232" i="3"/>
  <c r="CB232" i="3"/>
  <c r="CN232" i="3"/>
  <c r="CV283" i="3"/>
  <c r="BQ232" i="3"/>
  <c r="BO257" i="3"/>
  <c r="CD257" i="3"/>
  <c r="CS257" i="3"/>
  <c r="BT283" i="3"/>
  <c r="CI283" i="3"/>
  <c r="BR232" i="3"/>
  <c r="CD232" i="3"/>
  <c r="BP257" i="3"/>
  <c r="CQ232" i="3"/>
  <c r="X275" i="3"/>
  <c r="X278" i="3" s="1"/>
  <c r="X286" i="3" s="1"/>
  <c r="AA265" i="3"/>
  <c r="AA267" i="3" s="1"/>
  <c r="AB265" i="3"/>
  <c r="AA272" i="3"/>
  <c r="AF270" i="3"/>
  <c r="AI270" i="3"/>
  <c r="V272" i="3"/>
  <c r="Y267" i="3"/>
  <c r="Z267" i="3" s="1"/>
  <c r="Z268" i="3" s="1"/>
  <c r="AD265" i="3"/>
  <c r="AB272" i="3"/>
  <c r="AG270" i="3"/>
  <c r="W246" i="3"/>
  <c r="W249" i="3" s="1"/>
  <c r="W252" i="3" s="1"/>
  <c r="W260" i="3" s="1"/>
  <c r="V249" i="3"/>
  <c r="V252" i="3" s="1"/>
  <c r="X241" i="3"/>
  <c r="X249" i="3" s="1"/>
  <c r="X252" i="3" s="1"/>
  <c r="AC239" i="3"/>
  <c r="Y241" i="3"/>
  <c r="Y249" i="3" s="1"/>
  <c r="Y252" i="3" s="1"/>
  <c r="AD239" i="3"/>
  <c r="AA239" i="3"/>
  <c r="AC244" i="3"/>
  <c r="AB239" i="3"/>
  <c r="AD244" i="3"/>
  <c r="AG244" i="3"/>
  <c r="BD24" i="3"/>
  <c r="AD166" i="3"/>
  <c r="W162" i="3"/>
  <c r="X215" i="3"/>
  <c r="X223" i="3" s="1"/>
  <c r="X226" i="3" s="1"/>
  <c r="K24" i="3"/>
  <c r="AO24" i="3"/>
  <c r="AT24" i="3"/>
  <c r="R162" i="3"/>
  <c r="X161" i="3"/>
  <c r="AY24" i="3"/>
  <c r="P24" i="3"/>
  <c r="Y223" i="3"/>
  <c r="Y226" i="3" s="1"/>
  <c r="AF215" i="3"/>
  <c r="AK213" i="3"/>
  <c r="AD213" i="3"/>
  <c r="AE213" i="3" s="1"/>
  <c r="AE214" i="3" s="1"/>
  <c r="V215" i="3"/>
  <c r="X71" i="3"/>
  <c r="C162" i="3"/>
  <c r="U24" i="3"/>
  <c r="Z24" i="3"/>
  <c r="F160" i="3"/>
  <c r="AA218" i="3"/>
  <c r="AF218" i="3" s="1"/>
  <c r="AG213" i="3"/>
  <c r="J163" i="3"/>
  <c r="AH213" i="3"/>
  <c r="AA215" i="3"/>
  <c r="AJ24" i="3"/>
  <c r="Y162" i="3"/>
  <c r="AB218" i="3"/>
  <c r="AE24" i="3"/>
  <c r="AC218" i="3"/>
  <c r="AC162" i="3"/>
  <c r="AD218" i="3"/>
  <c r="AA170" i="3"/>
  <c r="I163" i="3"/>
  <c r="D163" i="3"/>
  <c r="V161" i="3"/>
  <c r="Z220" i="3"/>
  <c r="Z221" i="3" s="1"/>
  <c r="V163" i="3"/>
  <c r="W161" i="3"/>
  <c r="X162" i="3"/>
  <c r="Y161" i="3"/>
  <c r="W163" i="3"/>
  <c r="B163" i="3"/>
  <c r="X163" i="3"/>
  <c r="D162" i="3"/>
  <c r="Y163" i="3"/>
  <c r="T163" i="3"/>
  <c r="S162" i="3"/>
  <c r="W170" i="3"/>
  <c r="AG166" i="3"/>
  <c r="AB170" i="3"/>
  <c r="E162" i="3"/>
  <c r="AB163" i="3"/>
  <c r="U169" i="3"/>
  <c r="AC161" i="3"/>
  <c r="AC163" i="3"/>
  <c r="Z160" i="3"/>
  <c r="AA161" i="3"/>
  <c r="Y170" i="3"/>
  <c r="U160" i="3"/>
  <c r="AB162" i="3"/>
  <c r="T162" i="3"/>
  <c r="AC170" i="3"/>
  <c r="C163" i="3"/>
  <c r="AA162" i="3"/>
  <c r="Z169" i="3"/>
  <c r="J161" i="3"/>
  <c r="X170" i="3"/>
  <c r="AB161" i="3"/>
  <c r="V162" i="3"/>
  <c r="V170" i="3"/>
  <c r="AI166" i="3"/>
  <c r="K76" i="3"/>
  <c r="H68" i="3"/>
  <c r="O68" i="3"/>
  <c r="N71" i="3"/>
  <c r="P76" i="3"/>
  <c r="AH153" i="3"/>
  <c r="AI153" i="3"/>
  <c r="AM153" i="3"/>
  <c r="U76" i="3"/>
  <c r="T130" i="3"/>
  <c r="I68" i="3"/>
  <c r="O71" i="3"/>
  <c r="L68" i="3"/>
  <c r="G68" i="3"/>
  <c r="H153" i="3"/>
  <c r="J153" i="3"/>
  <c r="L152" i="3"/>
  <c r="K67" i="3"/>
  <c r="B143" i="3"/>
  <c r="B139" i="3" s="1"/>
  <c r="Z76" i="3"/>
  <c r="AC71" i="3"/>
  <c r="D143" i="3"/>
  <c r="D139" i="3" s="1"/>
  <c r="I153" i="3"/>
  <c r="I71" i="3"/>
  <c r="AA68" i="3"/>
  <c r="AB68" i="3"/>
  <c r="AC68" i="3"/>
  <c r="V68" i="3"/>
  <c r="Y71" i="3"/>
  <c r="Z67" i="3"/>
  <c r="W68" i="3"/>
  <c r="W71" i="3"/>
  <c r="Y68" i="3"/>
  <c r="Q68" i="3"/>
  <c r="R68" i="3"/>
  <c r="T68" i="3"/>
  <c r="P67" i="3"/>
  <c r="M68" i="3"/>
  <c r="N68" i="3"/>
  <c r="N153" i="3"/>
  <c r="S152" i="3"/>
  <c r="AI152" i="3"/>
  <c r="AF152" i="3"/>
  <c r="AC153" i="3"/>
  <c r="AH152" i="3"/>
  <c r="AD152" i="3"/>
  <c r="O152" i="3"/>
  <c r="X152" i="3"/>
  <c r="AA153" i="3"/>
  <c r="L153" i="3"/>
  <c r="AB153" i="3"/>
  <c r="O153" i="3"/>
  <c r="AD153" i="3"/>
  <c r="AD130" i="3"/>
  <c r="W153" i="3"/>
  <c r="AN153" i="3"/>
  <c r="Y153" i="3"/>
  <c r="AK152" i="3"/>
  <c r="AL152" i="3"/>
  <c r="AM152" i="3"/>
  <c r="AN152" i="3"/>
  <c r="AK153" i="3"/>
  <c r="AL153" i="3"/>
  <c r="AG152" i="3"/>
  <c r="AF153" i="3"/>
  <c r="AG153" i="3"/>
  <c r="AA152" i="3"/>
  <c r="AB152" i="3"/>
  <c r="AC152" i="3"/>
  <c r="V152" i="3"/>
  <c r="X153" i="3"/>
  <c r="Q152" i="3"/>
  <c r="Q153" i="3"/>
  <c r="M152" i="3"/>
  <c r="N152" i="3"/>
  <c r="M153" i="3"/>
  <c r="Y129" i="3"/>
  <c r="AS130" i="3"/>
  <c r="F142" i="3"/>
  <c r="AR130" i="3"/>
  <c r="E142" i="3"/>
  <c r="G139" i="3"/>
  <c r="L140" i="3"/>
  <c r="L137" i="3"/>
  <c r="L143" i="3" s="1"/>
  <c r="M140" i="3"/>
  <c r="J137" i="3"/>
  <c r="J143" i="3" s="1"/>
  <c r="O140" i="3"/>
  <c r="C142" i="3"/>
  <c r="H137" i="3"/>
  <c r="H143" i="3" s="1"/>
  <c r="H146" i="3" s="1"/>
  <c r="H155" i="3" s="1"/>
  <c r="I140" i="3"/>
  <c r="B120" i="3"/>
  <c r="C120" i="3"/>
  <c r="AP129" i="3"/>
  <c r="BC130" i="3"/>
  <c r="AL130" i="3"/>
  <c r="Y130" i="3"/>
  <c r="AK129" i="3"/>
  <c r="W130" i="3"/>
  <c r="D120" i="3"/>
  <c r="N120" i="3"/>
  <c r="AC111" i="3"/>
  <c r="X120" i="3"/>
  <c r="AI130" i="3"/>
  <c r="L130" i="3"/>
  <c r="I120" i="3"/>
  <c r="AQ129" i="3"/>
  <c r="X130" i="3"/>
  <c r="N130" i="3"/>
  <c r="Q129" i="3"/>
  <c r="AL129" i="3"/>
  <c r="AK130" i="3"/>
  <c r="X129" i="3"/>
  <c r="M130" i="3"/>
  <c r="S129" i="3"/>
  <c r="AG129" i="3"/>
  <c r="V129" i="3"/>
  <c r="AH129" i="3"/>
  <c r="AH130" i="3"/>
  <c r="T129" i="3"/>
  <c r="AF129" i="3"/>
  <c r="AR129" i="3"/>
  <c r="Q130" i="3"/>
  <c r="AF130" i="3"/>
  <c r="AU130" i="3"/>
  <c r="AS129" i="3"/>
  <c r="AG130" i="3"/>
  <c r="AI129" i="3"/>
  <c r="AU129" i="3"/>
  <c r="AN130" i="3"/>
  <c r="O130" i="3"/>
  <c r="V130" i="3"/>
  <c r="BA130" i="3"/>
  <c r="AM130" i="3"/>
  <c r="BB130" i="3"/>
  <c r="O129" i="3"/>
  <c r="AA129" i="3"/>
  <c r="AM129" i="3"/>
  <c r="AB129" i="3"/>
  <c r="AN129" i="3"/>
  <c r="AZ129" i="3"/>
  <c r="AA130" i="3"/>
  <c r="AP130" i="3"/>
  <c r="AC129" i="3"/>
  <c r="AB130" i="3"/>
  <c r="AQ130" i="3"/>
  <c r="AD129" i="3"/>
  <c r="AC130" i="3"/>
  <c r="H108" i="3"/>
  <c r="C114" i="3"/>
  <c r="C113" i="3" s="1"/>
  <c r="F113" i="3"/>
  <c r="B108" i="3"/>
  <c r="E111" i="3"/>
  <c r="E120" i="3" s="1"/>
  <c r="D108" i="3"/>
  <c r="G111" i="3"/>
  <c r="L111" i="3" s="1"/>
  <c r="Q111" i="3" s="1"/>
  <c r="E108" i="3"/>
  <c r="H111" i="3"/>
  <c r="M111" i="3" s="1"/>
  <c r="R111" i="3" s="1"/>
  <c r="W111" i="3" s="1"/>
  <c r="W120" i="3" s="1"/>
  <c r="BG432" i="3" l="1"/>
  <c r="BG335" i="3"/>
  <c r="BG433" i="3"/>
  <c r="BK434" i="3"/>
  <c r="BL434" i="3" s="1"/>
  <c r="BM434" i="3" s="1"/>
  <c r="BH431" i="3"/>
  <c r="AC73" i="3"/>
  <c r="I73" i="3"/>
  <c r="M73" i="3"/>
  <c r="F174" i="3"/>
  <c r="R73" i="3"/>
  <c r="O73" i="3"/>
  <c r="D73" i="3"/>
  <c r="Y73" i="3"/>
  <c r="N73" i="3"/>
  <c r="W73" i="3"/>
  <c r="AC54" i="3"/>
  <c r="Q73" i="3"/>
  <c r="C73" i="3"/>
  <c r="L73" i="3"/>
  <c r="X73" i="3"/>
  <c r="H73" i="3"/>
  <c r="AB73" i="3"/>
  <c r="J73" i="3"/>
  <c r="AA73" i="3"/>
  <c r="V73" i="3"/>
  <c r="AD54" i="3"/>
  <c r="P491" i="3"/>
  <c r="P495" i="3"/>
  <c r="BD469" i="3"/>
  <c r="BW284" i="3"/>
  <c r="P472" i="3"/>
  <c r="AC174" i="3"/>
  <c r="AC175" i="3" s="1"/>
  <c r="AC53" i="3"/>
  <c r="Z28" i="3"/>
  <c r="K53" i="3"/>
  <c r="Q72" i="3"/>
  <c r="H72" i="3"/>
  <c r="P28" i="3"/>
  <c r="V72" i="3"/>
  <c r="AE28" i="3"/>
  <c r="P53" i="3"/>
  <c r="AY28" i="3"/>
  <c r="U53" i="3"/>
  <c r="U28" i="3"/>
  <c r="AT28" i="3"/>
  <c r="AB174" i="3"/>
  <c r="AB53" i="3"/>
  <c r="AO28" i="3"/>
  <c r="AJ28" i="3"/>
  <c r="Z53" i="3"/>
  <c r="O72" i="3"/>
  <c r="AB72" i="3"/>
  <c r="R72" i="3"/>
  <c r="L72" i="3"/>
  <c r="AA72" i="3"/>
  <c r="G72" i="3"/>
  <c r="M72" i="3"/>
  <c r="Z174" i="3"/>
  <c r="K71" i="3"/>
  <c r="BD438" i="3"/>
  <c r="AQ450" i="3"/>
  <c r="AA309" i="3"/>
  <c r="AA310" i="3"/>
  <c r="AB304" i="3"/>
  <c r="AB305" i="3"/>
  <c r="AC305" i="3"/>
  <c r="AD309" i="3"/>
  <c r="AD310" i="3"/>
  <c r="AB322" i="3"/>
  <c r="AB323" i="3" s="1"/>
  <c r="AB312" i="3"/>
  <c r="AB61" i="3" s="1"/>
  <c r="Z322" i="3"/>
  <c r="Z312" i="3"/>
  <c r="AC309" i="3"/>
  <c r="AE303" i="3"/>
  <c r="AE52" i="3" s="1"/>
  <c r="AE53" i="3" s="1"/>
  <c r="BB439" i="3"/>
  <c r="AU442" i="3"/>
  <c r="AU450" i="3" s="1"/>
  <c r="BN334" i="3"/>
  <c r="AY336" i="3"/>
  <c r="AY335" i="3"/>
  <c r="AE446" i="3"/>
  <c r="AE325" i="3"/>
  <c r="BF437" i="3"/>
  <c r="BG439" i="3" s="1"/>
  <c r="BA439" i="3"/>
  <c r="BA336" i="3"/>
  <c r="BD336" i="3" s="1"/>
  <c r="AM450" i="3"/>
  <c r="AO450" i="3" s="1"/>
  <c r="AO446" i="3" s="1"/>
  <c r="AR442" i="3"/>
  <c r="AT442" i="3" s="1"/>
  <c r="AT443" i="3" s="1"/>
  <c r="AB327" i="3"/>
  <c r="AB326" i="3"/>
  <c r="AE319" i="3"/>
  <c r="AC327" i="3"/>
  <c r="BE336" i="3"/>
  <c r="BJ437" i="3"/>
  <c r="AX442" i="3"/>
  <c r="BC442" i="3" s="1"/>
  <c r="BC318" i="3" s="1"/>
  <c r="AS450" i="3"/>
  <c r="BM437" i="3"/>
  <c r="BH336" i="3"/>
  <c r="BL437" i="3"/>
  <c r="AO335" i="3"/>
  <c r="AT432" i="3"/>
  <c r="AY434" i="3"/>
  <c r="AY432" i="3"/>
  <c r="BA442" i="3"/>
  <c r="BA318" i="3" s="1"/>
  <c r="AV450" i="3"/>
  <c r="BD432" i="3"/>
  <c r="BH439" i="3"/>
  <c r="AH351" i="3"/>
  <c r="AJ351" i="3" s="1"/>
  <c r="BM417" i="3"/>
  <c r="BR427" i="3"/>
  <c r="BR424" i="3" s="1"/>
  <c r="BO420" i="3"/>
  <c r="BT427" i="3" s="1"/>
  <c r="BN424" i="3"/>
  <c r="BN427" i="3" s="1"/>
  <c r="BP334" i="3"/>
  <c r="AH394" i="3"/>
  <c r="AD407" i="3"/>
  <c r="AD408" i="3" s="1"/>
  <c r="AD393" i="3"/>
  <c r="AE393" i="3" s="1"/>
  <c r="AB407" i="3"/>
  <c r="AB408" i="3" s="1"/>
  <c r="AB402" i="3"/>
  <c r="AI403" i="3"/>
  <c r="AF404" i="3"/>
  <c r="AF403" i="3"/>
  <c r="X413" i="3"/>
  <c r="AC407" i="3"/>
  <c r="AC408" i="3" s="1"/>
  <c r="AC402" i="3"/>
  <c r="Z393" i="3"/>
  <c r="V410" i="3"/>
  <c r="V413" i="3" s="1"/>
  <c r="W395" i="3"/>
  <c r="AA395" i="3"/>
  <c r="AA410" i="3"/>
  <c r="AA394" i="3"/>
  <c r="W404" i="3"/>
  <c r="W410" i="3"/>
  <c r="W413" i="3" s="1"/>
  <c r="Z402" i="3"/>
  <c r="Z405" i="3" s="1"/>
  <c r="AB395" i="3"/>
  <c r="AK351" i="3"/>
  <c r="AP351" i="3" s="1"/>
  <c r="AG391" i="3"/>
  <c r="AG393" i="3" s="1"/>
  <c r="X366" i="3"/>
  <c r="AK398" i="3"/>
  <c r="AK400" i="3" s="1"/>
  <c r="AK402" i="3" s="1"/>
  <c r="AK404" i="3" s="1"/>
  <c r="AN398" i="3"/>
  <c r="AN400" i="3" s="1"/>
  <c r="AN402" i="3" s="1"/>
  <c r="AG375" i="3"/>
  <c r="AG377" i="3" s="1"/>
  <c r="AA353" i="3"/>
  <c r="AE353" i="3" s="1"/>
  <c r="AC372" i="3"/>
  <c r="AE351" i="3"/>
  <c r="AE352" i="3" s="1"/>
  <c r="AK375" i="3"/>
  <c r="AK377" i="3" s="1"/>
  <c r="V380" i="3"/>
  <c r="V383" i="3" s="1"/>
  <c r="AJ398" i="3"/>
  <c r="AJ399" i="3" s="1"/>
  <c r="AM391" i="3"/>
  <c r="AM393" i="3" s="1"/>
  <c r="AR389" i="3"/>
  <c r="AF391" i="3"/>
  <c r="AF393" i="3" s="1"/>
  <c r="AK389" i="3"/>
  <c r="AJ389" i="3"/>
  <c r="AJ390" i="3" s="1"/>
  <c r="AI391" i="3"/>
  <c r="AN389" i="3"/>
  <c r="AA407" i="3"/>
  <c r="AE391" i="3"/>
  <c r="AE392" i="3" s="1"/>
  <c r="AE400" i="3"/>
  <c r="AE401" i="3" s="1"/>
  <c r="Z407" i="3"/>
  <c r="Y412" i="3"/>
  <c r="AG400" i="3"/>
  <c r="AG402" i="3" s="1"/>
  <c r="AL398" i="3"/>
  <c r="AH400" i="3"/>
  <c r="AM398" i="3"/>
  <c r="AL391" i="3"/>
  <c r="AL393" i="3" s="1"/>
  <c r="AQ389" i="3"/>
  <c r="Y364" i="3"/>
  <c r="Y366" i="3" s="1"/>
  <c r="Z361" i="3"/>
  <c r="Z353" i="3"/>
  <c r="Z354" i="3" s="1"/>
  <c r="AG356" i="3"/>
  <c r="AB358" i="3"/>
  <c r="AB361" i="3" s="1"/>
  <c r="AI353" i="3"/>
  <c r="AN351" i="3"/>
  <c r="AG353" i="3"/>
  <c r="AL351" i="3"/>
  <c r="Z372" i="3"/>
  <c r="Z373" i="3" s="1"/>
  <c r="Y385" i="3"/>
  <c r="X385" i="3"/>
  <c r="AI372" i="3"/>
  <c r="AN370" i="3"/>
  <c r="AH372" i="3"/>
  <c r="AM370" i="3"/>
  <c r="AD377" i="3"/>
  <c r="AD380" i="3" s="1"/>
  <c r="AI375" i="3"/>
  <c r="AB372" i="3"/>
  <c r="AB380" i="3" s="1"/>
  <c r="AG370" i="3"/>
  <c r="AC377" i="3"/>
  <c r="AH375" i="3"/>
  <c r="AE375" i="3"/>
  <c r="AE376" i="3" s="1"/>
  <c r="AA372" i="3"/>
  <c r="AF370" i="3"/>
  <c r="AE370" i="3"/>
  <c r="AE371" i="3" s="1"/>
  <c r="AI356" i="3"/>
  <c r="AD358" i="3"/>
  <c r="AD361" i="3" s="1"/>
  <c r="AD364" i="3" s="1"/>
  <c r="AC358" i="3"/>
  <c r="AC361" i="3" s="1"/>
  <c r="AH356" i="3"/>
  <c r="AE356" i="3"/>
  <c r="AE357" i="3" s="1"/>
  <c r="AF356" i="3"/>
  <c r="W366" i="3"/>
  <c r="AI300" i="3"/>
  <c r="BZ257" i="3"/>
  <c r="BZ258" i="3" s="1"/>
  <c r="BC300" i="3"/>
  <c r="CB295" i="3"/>
  <c r="CB296" i="3" s="1"/>
  <c r="AZ300" i="3"/>
  <c r="CL258" i="3"/>
  <c r="BE300" i="3"/>
  <c r="AX300" i="3"/>
  <c r="AW299" i="3"/>
  <c r="BB299" i="3"/>
  <c r="BJ291" i="3"/>
  <c r="CQ284" i="3"/>
  <c r="BD292" i="3"/>
  <c r="Y166" i="3"/>
  <c r="CB284" i="3"/>
  <c r="BM291" i="3"/>
  <c r="BM298" i="3" s="1"/>
  <c r="AH300" i="3"/>
  <c r="BC299" i="3"/>
  <c r="AJ298" i="3"/>
  <c r="BO284" i="3"/>
  <c r="BE293" i="3"/>
  <c r="BY295" i="3"/>
  <c r="BY296" i="3" s="1"/>
  <c r="BH293" i="3"/>
  <c r="BI291" i="3"/>
  <c r="BI292" i="3" s="1"/>
  <c r="BD298" i="3"/>
  <c r="BD295" i="3" s="1"/>
  <c r="BB300" i="3"/>
  <c r="BO258" i="3"/>
  <c r="BZ232" i="3"/>
  <c r="AZ299" i="3"/>
  <c r="BR258" i="3"/>
  <c r="AY292" i="3"/>
  <c r="CE257" i="3"/>
  <c r="BE299" i="3"/>
  <c r="AV299" i="3"/>
  <c r="AV300" i="3"/>
  <c r="AS300" i="3"/>
  <c r="AU300" i="3"/>
  <c r="BG293" i="3"/>
  <c r="BL291" i="3"/>
  <c r="BG298" i="3"/>
  <c r="BH300" i="3" s="1"/>
  <c r="BF298" i="3"/>
  <c r="BF293" i="3"/>
  <c r="BK291" i="3"/>
  <c r="CA296" i="3"/>
  <c r="CF295" i="3"/>
  <c r="AQ300" i="3"/>
  <c r="BA299" i="3"/>
  <c r="BA300" i="3"/>
  <c r="AT298" i="3"/>
  <c r="AU299" i="3"/>
  <c r="AX299" i="3"/>
  <c r="BZ296" i="3"/>
  <c r="CE295" i="3"/>
  <c r="BH299" i="3"/>
  <c r="AW300" i="3"/>
  <c r="AY298" i="3"/>
  <c r="AR300" i="3"/>
  <c r="CE283" i="3"/>
  <c r="CE232" i="3"/>
  <c r="CD258" i="3"/>
  <c r="CN284" i="3"/>
  <c r="AH270" i="3"/>
  <c r="AM270" i="3" s="1"/>
  <c r="BZ283" i="3"/>
  <c r="BZ284" i="3" s="1"/>
  <c r="CI284" i="3"/>
  <c r="AF244" i="3"/>
  <c r="AK244" i="3" s="1"/>
  <c r="BV258" i="3"/>
  <c r="CA284" i="3"/>
  <c r="AE244" i="3"/>
  <c r="AE245" i="3" s="1"/>
  <c r="CG258" i="3"/>
  <c r="CV258" i="3"/>
  <c r="X201" i="3"/>
  <c r="AH265" i="3"/>
  <c r="AM265" i="3" s="1"/>
  <c r="BQ284" i="3"/>
  <c r="CN258" i="3"/>
  <c r="AE265" i="3"/>
  <c r="AE266" i="3" s="1"/>
  <c r="BP284" i="3"/>
  <c r="Y234" i="3"/>
  <c r="AE270" i="3"/>
  <c r="AE271" i="3" s="1"/>
  <c r="CS258" i="3"/>
  <c r="DA284" i="3"/>
  <c r="DA258" i="3"/>
  <c r="CD284" i="3"/>
  <c r="CL284" i="3"/>
  <c r="W234" i="3"/>
  <c r="W208" i="3" s="1"/>
  <c r="W201" i="3"/>
  <c r="AC275" i="3"/>
  <c r="AC276" i="3" s="1"/>
  <c r="BT258" i="3"/>
  <c r="CJ283" i="3"/>
  <c r="CJ232" i="3"/>
  <c r="CJ257" i="3"/>
  <c r="BY284" i="3"/>
  <c r="CV284" i="3"/>
  <c r="X288" i="3"/>
  <c r="CS284" i="3"/>
  <c r="CX258" i="3"/>
  <c r="CF232" i="3"/>
  <c r="CF283" i="3"/>
  <c r="CF284" i="3" s="1"/>
  <c r="CF257" i="3"/>
  <c r="CF258" i="3" s="1"/>
  <c r="BW258" i="3"/>
  <c r="CB258" i="3"/>
  <c r="CI258" i="3"/>
  <c r="CA258" i="3"/>
  <c r="Y275" i="3"/>
  <c r="Y278" i="3" s="1"/>
  <c r="Y280" i="3" s="1"/>
  <c r="BU284" i="3"/>
  <c r="BP258" i="3"/>
  <c r="Z246" i="3"/>
  <c r="Z247" i="3" s="1"/>
  <c r="Z272" i="3"/>
  <c r="Z273" i="3" s="1"/>
  <c r="BY258" i="3"/>
  <c r="BU258" i="3"/>
  <c r="BQ258" i="3"/>
  <c r="CG284" i="3"/>
  <c r="BR284" i="3"/>
  <c r="CX284" i="3"/>
  <c r="BT284" i="3"/>
  <c r="CQ258" i="3"/>
  <c r="AF265" i="3"/>
  <c r="AF267" i="3" s="1"/>
  <c r="BV284" i="3"/>
  <c r="AE272" i="3"/>
  <c r="X280" i="3"/>
  <c r="AG265" i="3"/>
  <c r="AB267" i="3"/>
  <c r="AB275" i="3" s="1"/>
  <c r="AI272" i="3"/>
  <c r="AN270" i="3"/>
  <c r="AA275" i="3"/>
  <c r="AD267" i="3"/>
  <c r="AD275" i="3" s="1"/>
  <c r="AI265" i="3"/>
  <c r="AG272" i="3"/>
  <c r="AL270" i="3"/>
  <c r="V275" i="3"/>
  <c r="AF272" i="3"/>
  <c r="AK270" i="3"/>
  <c r="Z215" i="3"/>
  <c r="Z216" i="3" s="1"/>
  <c r="Z241" i="3"/>
  <c r="Z242" i="3" s="1"/>
  <c r="AD241" i="3"/>
  <c r="AI239" i="3"/>
  <c r="Z249" i="3"/>
  <c r="Y260" i="3"/>
  <c r="Y254" i="3"/>
  <c r="AG246" i="3"/>
  <c r="AL244" i="3"/>
  <c r="AA241" i="3"/>
  <c r="AF239" i="3"/>
  <c r="AE239" i="3"/>
  <c r="AE240" i="3" s="1"/>
  <c r="AC241" i="3"/>
  <c r="AH239" i="3"/>
  <c r="AD246" i="3"/>
  <c r="AI244" i="3"/>
  <c r="X260" i="3"/>
  <c r="X262" i="3" s="1"/>
  <c r="X254" i="3"/>
  <c r="AB241" i="3"/>
  <c r="AB249" i="3" s="1"/>
  <c r="AG239" i="3"/>
  <c r="AC246" i="3"/>
  <c r="AH244" i="3"/>
  <c r="AA220" i="3"/>
  <c r="AA223" i="3" s="1"/>
  <c r="AA226" i="3" s="1"/>
  <c r="X234" i="3"/>
  <c r="X228" i="3"/>
  <c r="AA176" i="3"/>
  <c r="X176" i="3"/>
  <c r="C176" i="3"/>
  <c r="Y176" i="3"/>
  <c r="V175" i="3"/>
  <c r="Y228" i="3"/>
  <c r="Y175" i="3"/>
  <c r="V223" i="3"/>
  <c r="V226" i="3" s="1"/>
  <c r="AB220" i="3"/>
  <c r="AB223" i="3" s="1"/>
  <c r="AG218" i="3"/>
  <c r="V176" i="3"/>
  <c r="AF220" i="3"/>
  <c r="AK218" i="3"/>
  <c r="AD220" i="3"/>
  <c r="AI218" i="3"/>
  <c r="AD215" i="3"/>
  <c r="AE215" i="3" s="1"/>
  <c r="AE216" i="3" s="1"/>
  <c r="AI213" i="3"/>
  <c r="AG215" i="3"/>
  <c r="AL213" i="3"/>
  <c r="AC220" i="3"/>
  <c r="AC223" i="3" s="1"/>
  <c r="AH218" i="3"/>
  <c r="AK215" i="3"/>
  <c r="AP213" i="3"/>
  <c r="AM213" i="3"/>
  <c r="AH215" i="3"/>
  <c r="AA175" i="3"/>
  <c r="W176" i="3"/>
  <c r="AE218" i="3"/>
  <c r="AE219" i="3" s="1"/>
  <c r="W175" i="3"/>
  <c r="J176" i="3"/>
  <c r="D176" i="3"/>
  <c r="R176" i="3"/>
  <c r="I175" i="3"/>
  <c r="AB166" i="3"/>
  <c r="W166" i="3"/>
  <c r="U165" i="3"/>
  <c r="Z163" i="3"/>
  <c r="Z161" i="3"/>
  <c r="X166" i="3"/>
  <c r="AC166" i="3"/>
  <c r="AH166" i="3"/>
  <c r="Z165" i="3"/>
  <c r="Z170" i="3"/>
  <c r="V166" i="3"/>
  <c r="AF166" i="3"/>
  <c r="AA166" i="3"/>
  <c r="N72" i="3"/>
  <c r="D142" i="3"/>
  <c r="AC72" i="3"/>
  <c r="I72" i="3"/>
  <c r="W72" i="3"/>
  <c r="Z71" i="3"/>
  <c r="Y72" i="3"/>
  <c r="T72" i="3"/>
  <c r="P68" i="3"/>
  <c r="P71" i="3"/>
  <c r="E139" i="3"/>
  <c r="G142" i="3"/>
  <c r="G144" i="3"/>
  <c r="B142" i="3"/>
  <c r="R140" i="3"/>
  <c r="Q137" i="3"/>
  <c r="Q143" i="3" s="1"/>
  <c r="L144" i="3"/>
  <c r="Q140" i="3"/>
  <c r="M137" i="3"/>
  <c r="M143" i="3" s="1"/>
  <c r="K137" i="3"/>
  <c r="K143" i="3" s="1"/>
  <c r="N140" i="3"/>
  <c r="P140" i="3" s="1"/>
  <c r="T140" i="3"/>
  <c r="S137" i="3"/>
  <c r="S143" i="3" s="1"/>
  <c r="K140" i="3"/>
  <c r="K141" i="3" s="1"/>
  <c r="J139" i="3"/>
  <c r="O137" i="3"/>
  <c r="O143" i="3" s="1"/>
  <c r="C139" i="3"/>
  <c r="F120" i="3"/>
  <c r="F122" i="3" s="1"/>
  <c r="V111" i="3"/>
  <c r="G120" i="3"/>
  <c r="M108" i="3"/>
  <c r="H120" i="3"/>
  <c r="AC120" i="3"/>
  <c r="AC121" i="3" s="1"/>
  <c r="AH111" i="3"/>
  <c r="M120" i="3"/>
  <c r="AB111" i="3"/>
  <c r="L120" i="3"/>
  <c r="C110" i="3"/>
  <c r="J108" i="3"/>
  <c r="E114" i="3"/>
  <c r="E110" i="3" s="1"/>
  <c r="D114" i="3"/>
  <c r="D113" i="3" s="1"/>
  <c r="I108" i="3"/>
  <c r="J111" i="3"/>
  <c r="B114" i="3"/>
  <c r="B113" i="3" s="1"/>
  <c r="G108" i="3"/>
  <c r="H114" i="3"/>
  <c r="H113" i="3" s="1"/>
  <c r="BC455" i="3" l="1"/>
  <c r="BA455" i="3"/>
  <c r="BH335" i="3"/>
  <c r="BI335" i="3" s="1"/>
  <c r="BH433" i="3"/>
  <c r="BH432" i="3"/>
  <c r="BI431" i="3"/>
  <c r="BJ431" i="3"/>
  <c r="AC176" i="3"/>
  <c r="AB176" i="3"/>
  <c r="AB175" i="3"/>
  <c r="AB182" i="3"/>
  <c r="AB62" i="3"/>
  <c r="AB63" i="3"/>
  <c r="AC63" i="3"/>
  <c r="P72" i="3"/>
  <c r="Z308" i="3"/>
  <c r="Z61" i="3"/>
  <c r="Z62" i="3" s="1"/>
  <c r="BI437" i="3"/>
  <c r="BI438" i="3" s="1"/>
  <c r="AE326" i="3"/>
  <c r="AE312" i="3"/>
  <c r="AB308" i="3"/>
  <c r="AB313" i="3"/>
  <c r="AB314" i="3"/>
  <c r="AC314" i="3"/>
  <c r="AE304" i="3"/>
  <c r="AZ442" i="3"/>
  <c r="AM351" i="3"/>
  <c r="AM353" i="3" s="1"/>
  <c r="AH353" i="3"/>
  <c r="AJ353" i="3" s="1"/>
  <c r="AJ354" i="3" s="1"/>
  <c r="BF439" i="3"/>
  <c r="AE322" i="3"/>
  <c r="AE323" i="3" s="1"/>
  <c r="AK353" i="3"/>
  <c r="AW442" i="3"/>
  <c r="AY442" i="3" s="1"/>
  <c r="AY443" i="3" s="1"/>
  <c r="AR450" i="3"/>
  <c r="AT450" i="3" s="1"/>
  <c r="AT446" i="3" s="1"/>
  <c r="X412" i="3"/>
  <c r="BF336" i="3"/>
  <c r="BK437" i="3"/>
  <c r="BN437" i="3" s="1"/>
  <c r="AX450" i="3"/>
  <c r="BM439" i="3"/>
  <c r="BR437" i="3"/>
  <c r="BM336" i="3"/>
  <c r="BQ437" i="3"/>
  <c r="BL336" i="3"/>
  <c r="BO437" i="3"/>
  <c r="BJ336" i="3"/>
  <c r="BN417" i="3"/>
  <c r="BN420" i="3" s="1"/>
  <c r="BM333" i="3"/>
  <c r="BN333" i="3" s="1"/>
  <c r="BA450" i="3"/>
  <c r="BF442" i="3"/>
  <c r="AC380" i="3"/>
  <c r="AC383" i="3" s="1"/>
  <c r="BO417" i="3"/>
  <c r="BO333" i="3" s="1"/>
  <c r="BP420" i="3"/>
  <c r="BU427" i="3" s="1"/>
  <c r="BQ334" i="3"/>
  <c r="AL394" i="3"/>
  <c r="AI407" i="3"/>
  <c r="AI408" i="3" s="1"/>
  <c r="AI393" i="3"/>
  <c r="AJ393" i="3" s="1"/>
  <c r="AE396" i="3"/>
  <c r="AE394" i="3"/>
  <c r="AF410" i="3"/>
  <c r="AF332" i="3" s="1"/>
  <c r="AF394" i="3"/>
  <c r="AF395" i="3"/>
  <c r="AH407" i="3"/>
  <c r="AH408" i="3" s="1"/>
  <c r="AH402" i="3"/>
  <c r="AJ402" i="3" s="1"/>
  <c r="AA413" i="3"/>
  <c r="AE402" i="3"/>
  <c r="AE410" i="3" s="1"/>
  <c r="AB404" i="3"/>
  <c r="AB403" i="3"/>
  <c r="AB410" i="3"/>
  <c r="AB413" i="3" s="1"/>
  <c r="AN403" i="3"/>
  <c r="Z396" i="3"/>
  <c r="Z410" i="3"/>
  <c r="Z413" i="3" s="1"/>
  <c r="AD395" i="3"/>
  <c r="AD394" i="3"/>
  <c r="AD410" i="3"/>
  <c r="AD413" i="3" s="1"/>
  <c r="AM394" i="3"/>
  <c r="AM395" i="3"/>
  <c r="AK403" i="3"/>
  <c r="AC403" i="3"/>
  <c r="AC404" i="3"/>
  <c r="AC410" i="3"/>
  <c r="AC413" i="3" s="1"/>
  <c r="AD404" i="3"/>
  <c r="AG404" i="3"/>
  <c r="AG403" i="3"/>
  <c r="AG394" i="3"/>
  <c r="AG410" i="3"/>
  <c r="AG332" i="3" s="1"/>
  <c r="AG395" i="3"/>
  <c r="AH395" i="3"/>
  <c r="AP375" i="3"/>
  <c r="AP377" i="3" s="1"/>
  <c r="AS398" i="3"/>
  <c r="AX398" i="3" s="1"/>
  <c r="CG295" i="3"/>
  <c r="CG296" i="3" s="1"/>
  <c r="AP398" i="3"/>
  <c r="AU398" i="3" s="1"/>
  <c r="Z380" i="3"/>
  <c r="AE354" i="3"/>
  <c r="Z364" i="3"/>
  <c r="Z367" i="3" s="1"/>
  <c r="AA361" i="3"/>
  <c r="AA362" i="3" s="1"/>
  <c r="AL375" i="3"/>
  <c r="AL377" i="3" s="1"/>
  <c r="AJ375" i="3"/>
  <c r="AJ376" i="3" s="1"/>
  <c r="AJ400" i="3"/>
  <c r="AJ401" i="3" s="1"/>
  <c r="AJ352" i="3"/>
  <c r="AG407" i="3"/>
  <c r="AG408" i="3" s="1"/>
  <c r="AO398" i="3"/>
  <c r="AO399" i="3" s="1"/>
  <c r="AF407" i="3"/>
  <c r="AJ391" i="3"/>
  <c r="AJ392" i="3" s="1"/>
  <c r="W412" i="3"/>
  <c r="AK391" i="3"/>
  <c r="AK393" i="3" s="1"/>
  <c r="AK410" i="3" s="1"/>
  <c r="AK332" i="3" s="1"/>
  <c r="AP389" i="3"/>
  <c r="AO389" i="3"/>
  <c r="AO390" i="3" s="1"/>
  <c r="AM400" i="3"/>
  <c r="AR398" i="3"/>
  <c r="AA408" i="3"/>
  <c r="AE407" i="3"/>
  <c r="AN391" i="3"/>
  <c r="AS389" i="3"/>
  <c r="AW389" i="3"/>
  <c r="AR391" i="3"/>
  <c r="AR393" i="3" s="1"/>
  <c r="AV389" i="3"/>
  <c r="AQ391" i="3"/>
  <c r="AQ393" i="3" s="1"/>
  <c r="AL400" i="3"/>
  <c r="AQ398" i="3"/>
  <c r="AB364" i="3"/>
  <c r="AB365" i="3" s="1"/>
  <c r="AB362" i="3"/>
  <c r="AL353" i="3"/>
  <c r="AQ351" i="3"/>
  <c r="AC364" i="3"/>
  <c r="AC362" i="3"/>
  <c r="AN353" i="3"/>
  <c r="AS351" i="3"/>
  <c r="AG358" i="3"/>
  <c r="AG361" i="3" s="1"/>
  <c r="AL356" i="3"/>
  <c r="AD365" i="3"/>
  <c r="AD362" i="3"/>
  <c r="AU351" i="3"/>
  <c r="AP353" i="3"/>
  <c r="AD383" i="3"/>
  <c r="AD381" i="3"/>
  <c r="AF372" i="3"/>
  <c r="AK370" i="3"/>
  <c r="AJ370" i="3"/>
  <c r="AJ371" i="3" s="1"/>
  <c r="AA380" i="3"/>
  <c r="AE372" i="3"/>
  <c r="AE373" i="3" s="1"/>
  <c r="AI377" i="3"/>
  <c r="AI380" i="3" s="1"/>
  <c r="AN375" i="3"/>
  <c r="AB383" i="3"/>
  <c r="AB381" i="3"/>
  <c r="Z383" i="3"/>
  <c r="W385" i="3"/>
  <c r="AM372" i="3"/>
  <c r="AR370" i="3"/>
  <c r="AG372" i="3"/>
  <c r="AG380" i="3" s="1"/>
  <c r="AL370" i="3"/>
  <c r="AN372" i="3"/>
  <c r="AS370" i="3"/>
  <c r="AH377" i="3"/>
  <c r="AH380" i="3" s="1"/>
  <c r="AM375" i="3"/>
  <c r="AE377" i="3"/>
  <c r="AE378" i="3" s="1"/>
  <c r="AJ356" i="3"/>
  <c r="AJ357" i="3" s="1"/>
  <c r="AF358" i="3"/>
  <c r="AK356" i="3"/>
  <c r="AH358" i="3"/>
  <c r="AM356" i="3"/>
  <c r="AI358" i="3"/>
  <c r="AI361" i="3" s="1"/>
  <c r="AN356" i="3"/>
  <c r="AE358" i="3"/>
  <c r="AE359" i="3" s="1"/>
  <c r="AJ295" i="3"/>
  <c r="BR291" i="3"/>
  <c r="BW291" i="3" s="1"/>
  <c r="CE258" i="3"/>
  <c r="BN291" i="3"/>
  <c r="BN292" i="3" s="1"/>
  <c r="AF246" i="3"/>
  <c r="BJ298" i="3"/>
  <c r="BJ300" i="3" s="1"/>
  <c r="BO291" i="3"/>
  <c r="BT291" i="3" s="1"/>
  <c r="BJ293" i="3"/>
  <c r="AH272" i="3"/>
  <c r="AJ272" i="3" s="1"/>
  <c r="CD295" i="3"/>
  <c r="CD296" i="3" s="1"/>
  <c r="AK265" i="3"/>
  <c r="AP265" i="3" s="1"/>
  <c r="CJ258" i="3"/>
  <c r="AJ270" i="3"/>
  <c r="AJ271" i="3" s="1"/>
  <c r="AJ265" i="3"/>
  <c r="AJ266" i="3" s="1"/>
  <c r="BP291" i="3"/>
  <c r="BK298" i="3"/>
  <c r="BK293" i="3"/>
  <c r="CK295" i="3"/>
  <c r="CF296" i="3"/>
  <c r="Y236" i="3"/>
  <c r="AY295" i="3"/>
  <c r="AY299" i="3"/>
  <c r="BF299" i="3"/>
  <c r="BF300" i="3"/>
  <c r="BI298" i="3"/>
  <c r="AE273" i="3"/>
  <c r="BG299" i="3"/>
  <c r="BG300" i="3"/>
  <c r="CE284" i="3"/>
  <c r="BM299" i="3"/>
  <c r="BL298" i="3"/>
  <c r="BM300" i="3" s="1"/>
  <c r="BQ291" i="3"/>
  <c r="BL293" i="3"/>
  <c r="CJ295" i="3"/>
  <c r="CE296" i="3"/>
  <c r="BM293" i="3"/>
  <c r="AT295" i="3"/>
  <c r="AC278" i="3"/>
  <c r="AC279" i="3" s="1"/>
  <c r="BD299" i="3"/>
  <c r="CJ284" i="3"/>
  <c r="X203" i="3"/>
  <c r="AH267" i="3"/>
  <c r="Y286" i="3"/>
  <c r="Y288" i="3" s="1"/>
  <c r="X236" i="3"/>
  <c r="X208" i="3"/>
  <c r="X210" i="3" s="1"/>
  <c r="Y201" i="3"/>
  <c r="Y203" i="3" s="1"/>
  <c r="Y262" i="3"/>
  <c r="CK283" i="3"/>
  <c r="CK284" i="3" s="1"/>
  <c r="CK232" i="3"/>
  <c r="CK257" i="3"/>
  <c r="CK258" i="3" s="1"/>
  <c r="CO232" i="3"/>
  <c r="CO257" i="3"/>
  <c r="CO258" i="3" s="1"/>
  <c r="CO283" i="3"/>
  <c r="CO284" i="3" s="1"/>
  <c r="AB278" i="3"/>
  <c r="AB279" i="3" s="1"/>
  <c r="AB276" i="3"/>
  <c r="AG267" i="3"/>
  <c r="AG275" i="3" s="1"/>
  <c r="AG278" i="3" s="1"/>
  <c r="AL265" i="3"/>
  <c r="AO270" i="3"/>
  <c r="AK272" i="3"/>
  <c r="AP270" i="3"/>
  <c r="AM267" i="3"/>
  <c r="AR265" i="3"/>
  <c r="AE267" i="3"/>
  <c r="AE268" i="3" s="1"/>
  <c r="AM272" i="3"/>
  <c r="AR270" i="3"/>
  <c r="AI267" i="3"/>
  <c r="AI275" i="3" s="1"/>
  <c r="AN265" i="3"/>
  <c r="AQ270" i="3"/>
  <c r="AL272" i="3"/>
  <c r="AD278" i="3"/>
  <c r="AD276" i="3"/>
  <c r="AN272" i="3"/>
  <c r="AS270" i="3"/>
  <c r="Z275" i="3"/>
  <c r="V278" i="3"/>
  <c r="V201" i="3" s="1"/>
  <c r="W203" i="3" s="1"/>
  <c r="AA276" i="3"/>
  <c r="AA278" i="3"/>
  <c r="AE275" i="3"/>
  <c r="AF275" i="3"/>
  <c r="AE246" i="3"/>
  <c r="AE247" i="3" s="1"/>
  <c r="AJ244" i="3"/>
  <c r="AJ245" i="3" s="1"/>
  <c r="AD249" i="3"/>
  <c r="AD252" i="3" s="1"/>
  <c r="AN244" i="3"/>
  <c r="AI246" i="3"/>
  <c r="AK246" i="3"/>
  <c r="AP244" i="3"/>
  <c r="AL246" i="3"/>
  <c r="AQ244" i="3"/>
  <c r="AH241" i="3"/>
  <c r="AM239" i="3"/>
  <c r="AC249" i="3"/>
  <c r="V260" i="3"/>
  <c r="Z252" i="3"/>
  <c r="Z255" i="3" s="1"/>
  <c r="W254" i="3"/>
  <c r="AM244" i="3"/>
  <c r="AH246" i="3"/>
  <c r="AJ239" i="3"/>
  <c r="AJ240" i="3" s="1"/>
  <c r="AF241" i="3"/>
  <c r="AK239" i="3"/>
  <c r="AB252" i="3"/>
  <c r="AB250" i="3"/>
  <c r="AG241" i="3"/>
  <c r="AG249" i="3" s="1"/>
  <c r="AL239" i="3"/>
  <c r="AA249" i="3"/>
  <c r="AE241" i="3"/>
  <c r="AE242" i="3" s="1"/>
  <c r="AI241" i="3"/>
  <c r="AN239" i="3"/>
  <c r="Z223" i="3"/>
  <c r="Z166" i="3"/>
  <c r="AD223" i="3"/>
  <c r="AD224" i="3" s="1"/>
  <c r="AI220" i="3"/>
  <c r="AN218" i="3"/>
  <c r="AR213" i="3"/>
  <c r="AM215" i="3"/>
  <c r="AE220" i="3"/>
  <c r="AE221" i="3" s="1"/>
  <c r="AF223" i="3"/>
  <c r="AF229" i="3" s="1"/>
  <c r="AF226" i="3" s="1"/>
  <c r="AH220" i="3"/>
  <c r="AH223" i="3" s="1"/>
  <c r="AH229" i="3" s="1"/>
  <c r="AM218" i="3"/>
  <c r="AL215" i="3"/>
  <c r="AQ213" i="3"/>
  <c r="AK220" i="3"/>
  <c r="AK223" i="3" s="1"/>
  <c r="AK229" i="3" s="1"/>
  <c r="AP218" i="3"/>
  <c r="Z226" i="3"/>
  <c r="V234" i="3"/>
  <c r="W228" i="3"/>
  <c r="AA234" i="3"/>
  <c r="AA227" i="3"/>
  <c r="AA228" i="3"/>
  <c r="AG220" i="3"/>
  <c r="AG223" i="3" s="1"/>
  <c r="AG229" i="3" s="1"/>
  <c r="AL218" i="3"/>
  <c r="AJ218" i="3"/>
  <c r="AJ219" i="3" s="1"/>
  <c r="AU213" i="3"/>
  <c r="AP215" i="3"/>
  <c r="AC224" i="3"/>
  <c r="AC226" i="3"/>
  <c r="AI215" i="3"/>
  <c r="AN213" i="3"/>
  <c r="AO213" i="3" s="1"/>
  <c r="AB224" i="3"/>
  <c r="AB226" i="3"/>
  <c r="AJ213" i="3"/>
  <c r="AJ214" i="3" s="1"/>
  <c r="AA224" i="3"/>
  <c r="P141" i="3"/>
  <c r="L142" i="3"/>
  <c r="L139" i="3"/>
  <c r="H144" i="3"/>
  <c r="H142" i="3"/>
  <c r="J144" i="3"/>
  <c r="J142" i="3"/>
  <c r="H139" i="3"/>
  <c r="N142" i="3"/>
  <c r="T137" i="3"/>
  <c r="T143" i="3" s="1"/>
  <c r="R137" i="3"/>
  <c r="R143" i="3" s="1"/>
  <c r="M139" i="3"/>
  <c r="X137" i="3"/>
  <c r="X143" i="3" s="1"/>
  <c r="V140" i="3"/>
  <c r="Y140" i="3"/>
  <c r="K138" i="3"/>
  <c r="K144" i="3"/>
  <c r="P137" i="3"/>
  <c r="P143" i="3" s="1"/>
  <c r="I144" i="3"/>
  <c r="I139" i="3"/>
  <c r="Q144" i="3"/>
  <c r="V137" i="3"/>
  <c r="V143" i="3" s="1"/>
  <c r="S140" i="3"/>
  <c r="I142" i="3"/>
  <c r="W140" i="3"/>
  <c r="E113" i="3"/>
  <c r="D110" i="3"/>
  <c r="L108" i="3"/>
  <c r="K111" i="3"/>
  <c r="K112" i="3" s="1"/>
  <c r="O111" i="3"/>
  <c r="J120" i="3"/>
  <c r="K120" i="3" s="1"/>
  <c r="AA111" i="3"/>
  <c r="V120" i="3"/>
  <c r="AM111" i="3"/>
  <c r="AH120" i="3"/>
  <c r="AH121" i="3" s="1"/>
  <c r="N108" i="3"/>
  <c r="AB120" i="3"/>
  <c r="AB121" i="3" s="1"/>
  <c r="AG111" i="3"/>
  <c r="M117" i="3"/>
  <c r="R108" i="3"/>
  <c r="M114" i="3"/>
  <c r="O108" i="3"/>
  <c r="I114" i="3"/>
  <c r="H115" i="3"/>
  <c r="H110" i="3"/>
  <c r="B110" i="3"/>
  <c r="K108" i="3"/>
  <c r="G114" i="3"/>
  <c r="J114" i="3"/>
  <c r="J115" i="3" s="1"/>
  <c r="BJ433" i="3" l="1"/>
  <c r="BJ432" i="3"/>
  <c r="BJ335" i="3"/>
  <c r="BK431" i="3"/>
  <c r="BI432" i="3"/>
  <c r="BI434" i="3"/>
  <c r="BI336" i="3"/>
  <c r="AE408" i="3"/>
  <c r="AZ450" i="3"/>
  <c r="BE442" i="3"/>
  <c r="BE318" i="3" s="1"/>
  <c r="AE313" i="3"/>
  <c r="AE61" i="3"/>
  <c r="AE62" i="3" s="1"/>
  <c r="AC381" i="3"/>
  <c r="BN438" i="3"/>
  <c r="AE308" i="3"/>
  <c r="AE309" i="3" s="1"/>
  <c r="AR351" i="3"/>
  <c r="AT351" i="3" s="1"/>
  <c r="AO351" i="3"/>
  <c r="AO352" i="3" s="1"/>
  <c r="AB309" i="3"/>
  <c r="AB310" i="3"/>
  <c r="AC310" i="3"/>
  <c r="AH361" i="3"/>
  <c r="AH364" i="3" s="1"/>
  <c r="AH330" i="3" s="1"/>
  <c r="Z386" i="3"/>
  <c r="BK439" i="3"/>
  <c r="BP437" i="3"/>
  <c r="BS437" i="3" s="1"/>
  <c r="BS438" i="3" s="1"/>
  <c r="BK336" i="3"/>
  <c r="BN336" i="3" s="1"/>
  <c r="BL439" i="3"/>
  <c r="BB442" i="3"/>
  <c r="AW450" i="3"/>
  <c r="AY450" i="3" s="1"/>
  <c r="AY446" i="3" s="1"/>
  <c r="AD411" i="3"/>
  <c r="BF450" i="3"/>
  <c r="BF451" i="3" s="1"/>
  <c r="BK442" i="3"/>
  <c r="BV437" i="3"/>
  <c r="BQ336" i="3"/>
  <c r="BW437" i="3"/>
  <c r="BR336" i="3"/>
  <c r="BR439" i="3"/>
  <c r="AQ375" i="3"/>
  <c r="AQ377" i="3" s="1"/>
  <c r="BT437" i="3"/>
  <c r="BO336" i="3"/>
  <c r="BH442" i="3"/>
  <c r="BC450" i="3"/>
  <c r="AB412" i="3"/>
  <c r="AB411" i="3"/>
  <c r="AS400" i="3"/>
  <c r="AS402" i="3" s="1"/>
  <c r="AS403" i="3" s="1"/>
  <c r="BQ420" i="3"/>
  <c r="BV427" i="3" s="1"/>
  <c r="BP417" i="3"/>
  <c r="BP333" i="3" s="1"/>
  <c r="AU375" i="3"/>
  <c r="AU377" i="3" s="1"/>
  <c r="AC411" i="3"/>
  <c r="AD412" i="3"/>
  <c r="AC412" i="3"/>
  <c r="AJ396" i="3"/>
  <c r="AJ394" i="3"/>
  <c r="AJ410" i="3"/>
  <c r="AF413" i="3"/>
  <c r="AL407" i="3"/>
  <c r="AL408" i="3" s="1"/>
  <c r="AL402" i="3"/>
  <c r="AE413" i="3"/>
  <c r="AI395" i="3"/>
  <c r="AI410" i="3"/>
  <c r="AI394" i="3"/>
  <c r="AQ394" i="3"/>
  <c r="AR394" i="3"/>
  <c r="AR395" i="3"/>
  <c r="AG413" i="3"/>
  <c r="AE405" i="3"/>
  <c r="AE403" i="3"/>
  <c r="AM407" i="3"/>
  <c r="AM408" i="3" s="1"/>
  <c r="AM402" i="3"/>
  <c r="AK394" i="3"/>
  <c r="AK395" i="3"/>
  <c r="AH403" i="3"/>
  <c r="AH404" i="3"/>
  <c r="AH410" i="3"/>
  <c r="AI404" i="3"/>
  <c r="AJ403" i="3"/>
  <c r="AJ405" i="3"/>
  <c r="AN407" i="3"/>
  <c r="AN408" i="3" s="1"/>
  <c r="AN393" i="3"/>
  <c r="AL395" i="3"/>
  <c r="AP400" i="3"/>
  <c r="AP402" i="3" s="1"/>
  <c r="CL295" i="3"/>
  <c r="CQ295" i="3" s="1"/>
  <c r="AA364" i="3"/>
  <c r="AB366" i="3" s="1"/>
  <c r="AE361" i="3"/>
  <c r="AG411" i="3"/>
  <c r="AC366" i="3"/>
  <c r="CI295" i="3"/>
  <c r="CI296" i="3" s="1"/>
  <c r="AO353" i="3"/>
  <c r="AC365" i="3"/>
  <c r="AD366" i="3"/>
  <c r="AO400" i="3"/>
  <c r="AO401" i="3" s="1"/>
  <c r="AT398" i="3"/>
  <c r="AT399" i="3" s="1"/>
  <c r="AR400" i="3"/>
  <c r="AR402" i="3" s="1"/>
  <c r="AW398" i="3"/>
  <c r="AU400" i="3"/>
  <c r="AU402" i="3" s="1"/>
  <c r="AZ398" i="3"/>
  <c r="AF408" i="3"/>
  <c r="AJ407" i="3"/>
  <c r="AQ400" i="3"/>
  <c r="AV398" i="3"/>
  <c r="AO391" i="3"/>
  <c r="AO392" i="3" s="1"/>
  <c r="AK407" i="3"/>
  <c r="AK413" i="3" s="1"/>
  <c r="AA411" i="3"/>
  <c r="AA412" i="3"/>
  <c r="AV391" i="3"/>
  <c r="AV393" i="3" s="1"/>
  <c r="BA389" i="3"/>
  <c r="AW391" i="3"/>
  <c r="AW393" i="3" s="1"/>
  <c r="BB389" i="3"/>
  <c r="AS391" i="3"/>
  <c r="AX389" i="3"/>
  <c r="AX400" i="3"/>
  <c r="AX402" i="3" s="1"/>
  <c r="BC398" i="3"/>
  <c r="AT389" i="3"/>
  <c r="AT390" i="3" s="1"/>
  <c r="AP391" i="3"/>
  <c r="AP393" i="3" s="1"/>
  <c r="AU389" i="3"/>
  <c r="AG364" i="3"/>
  <c r="AG362" i="3"/>
  <c r="AI364" i="3"/>
  <c r="AI362" i="3"/>
  <c r="AQ353" i="3"/>
  <c r="AV351" i="3"/>
  <c r="AS353" i="3"/>
  <c r="AX351" i="3"/>
  <c r="AU353" i="3"/>
  <c r="AZ351" i="3"/>
  <c r="AL358" i="3"/>
  <c r="AL361" i="3" s="1"/>
  <c r="AQ356" i="3"/>
  <c r="AI381" i="3"/>
  <c r="AI383" i="3"/>
  <c r="AI331" i="3" s="1"/>
  <c r="AN377" i="3"/>
  <c r="AN380" i="3" s="1"/>
  <c r="AS375" i="3"/>
  <c r="AJ377" i="3"/>
  <c r="AJ378" i="3" s="1"/>
  <c r="AH383" i="3"/>
  <c r="AH331" i="3" s="1"/>
  <c r="AH381" i="3"/>
  <c r="AE380" i="3"/>
  <c r="AA383" i="3"/>
  <c r="AA381" i="3"/>
  <c r="AB384" i="3"/>
  <c r="AL372" i="3"/>
  <c r="AL380" i="3" s="1"/>
  <c r="AQ370" i="3"/>
  <c r="AG383" i="3"/>
  <c r="AG331" i="3" s="1"/>
  <c r="AG381" i="3"/>
  <c r="AC385" i="3"/>
  <c r="AC384" i="3"/>
  <c r="AR375" i="3"/>
  <c r="AM377" i="3"/>
  <c r="AM380" i="3" s="1"/>
  <c r="AO375" i="3"/>
  <c r="AO376" i="3" s="1"/>
  <c r="AR372" i="3"/>
  <c r="AW370" i="3"/>
  <c r="AK372" i="3"/>
  <c r="AP370" i="3"/>
  <c r="AO370" i="3"/>
  <c r="AO371" i="3" s="1"/>
  <c r="AS372" i="3"/>
  <c r="AX370" i="3"/>
  <c r="AF380" i="3"/>
  <c r="AJ372" i="3"/>
  <c r="AJ373" i="3" s="1"/>
  <c r="AD384" i="3"/>
  <c r="AD385" i="3"/>
  <c r="AM358" i="3"/>
  <c r="AM361" i="3" s="1"/>
  <c r="AR356" i="3"/>
  <c r="AN358" i="3"/>
  <c r="AN361" i="3" s="1"/>
  <c r="AS356" i="3"/>
  <c r="AO356" i="3"/>
  <c r="AO357" i="3" s="1"/>
  <c r="AK358" i="3"/>
  <c r="AP356" i="3"/>
  <c r="AU356" i="3" s="1"/>
  <c r="AF361" i="3"/>
  <c r="AF362" i="3" s="1"/>
  <c r="AJ358" i="3"/>
  <c r="AJ359" i="3" s="1"/>
  <c r="BR293" i="3"/>
  <c r="BR298" i="3"/>
  <c r="BR299" i="3" s="1"/>
  <c r="AO271" i="3"/>
  <c r="AJ246" i="3"/>
  <c r="AJ247" i="3" s="1"/>
  <c r="BJ299" i="3"/>
  <c r="AH275" i="3"/>
  <c r="AH276" i="3" s="1"/>
  <c r="BO298" i="3"/>
  <c r="BO300" i="3" s="1"/>
  <c r="BO293" i="3"/>
  <c r="AK267" i="3"/>
  <c r="AK275" i="3" s="1"/>
  <c r="BN298" i="3"/>
  <c r="BN299" i="3" s="1"/>
  <c r="AJ273" i="3"/>
  <c r="BS291" i="3"/>
  <c r="BS292" i="3" s="1"/>
  <c r="AC286" i="3"/>
  <c r="AC287" i="3" s="1"/>
  <c r="AY296" i="3"/>
  <c r="CJ296" i="3"/>
  <c r="CO295" i="3"/>
  <c r="BT298" i="3"/>
  <c r="BY291" i="3"/>
  <c r="BT293" i="3"/>
  <c r="BW298" i="3"/>
  <c r="CB291" i="3"/>
  <c r="CP295" i="3"/>
  <c r="CK296" i="3"/>
  <c r="BQ293" i="3"/>
  <c r="BV291" i="3"/>
  <c r="BQ298" i="3"/>
  <c r="BL300" i="3"/>
  <c r="BL299" i="3"/>
  <c r="BK300" i="3"/>
  <c r="BK299" i="3"/>
  <c r="BI299" i="3"/>
  <c r="BI295" i="3"/>
  <c r="BI296" i="3" s="1"/>
  <c r="BP298" i="3"/>
  <c r="BP293" i="3"/>
  <c r="BU291" i="3"/>
  <c r="BD296" i="3"/>
  <c r="AE223" i="3"/>
  <c r="AE224" i="3" s="1"/>
  <c r="Y208" i="3"/>
  <c r="Y210" i="3" s="1"/>
  <c r="AB201" i="3"/>
  <c r="Z201" i="3"/>
  <c r="AG276" i="3"/>
  <c r="Z260" i="3"/>
  <c r="W262" i="3"/>
  <c r="CT257" i="3"/>
  <c r="CT258" i="3" s="1"/>
  <c r="CT283" i="3"/>
  <c r="CT284" i="3" s="1"/>
  <c r="CT232" i="3"/>
  <c r="AA236" i="3"/>
  <c r="AA235" i="3"/>
  <c r="CP232" i="3"/>
  <c r="CP257" i="3"/>
  <c r="CP258" i="3" s="1"/>
  <c r="CP283" i="3"/>
  <c r="CP284" i="3" s="1"/>
  <c r="Z234" i="3"/>
  <c r="W236" i="3"/>
  <c r="AB280" i="3"/>
  <c r="AB286" i="3"/>
  <c r="AC280" i="3"/>
  <c r="AL267" i="3"/>
  <c r="AL275" i="3" s="1"/>
  <c r="AL278" i="3" s="1"/>
  <c r="AQ265" i="3"/>
  <c r="AO265" i="3"/>
  <c r="AO266" i="3" s="1"/>
  <c r="V286" i="3"/>
  <c r="V208" i="3" s="1"/>
  <c r="Z278" i="3"/>
  <c r="Z281" i="3" s="1"/>
  <c r="W280" i="3"/>
  <c r="AF276" i="3"/>
  <c r="AF278" i="3"/>
  <c r="AG280" i="3" s="1"/>
  <c r="AR272" i="3"/>
  <c r="AW270" i="3"/>
  <c r="AI278" i="3"/>
  <c r="AI276" i="3"/>
  <c r="AJ267" i="3"/>
  <c r="AJ268" i="3" s="1"/>
  <c r="AM275" i="3"/>
  <c r="AD279" i="3"/>
  <c r="AD280" i="3"/>
  <c r="AD286" i="3"/>
  <c r="AS272" i="3"/>
  <c r="AX270" i="3"/>
  <c r="AE276" i="3"/>
  <c r="AT270" i="3"/>
  <c r="AT271" i="3" s="1"/>
  <c r="AU270" i="3"/>
  <c r="AP272" i="3"/>
  <c r="AE278" i="3"/>
  <c r="AA286" i="3"/>
  <c r="AA279" i="3"/>
  <c r="AA280" i="3"/>
  <c r="AQ272" i="3"/>
  <c r="AV270" i="3"/>
  <c r="AO272" i="3"/>
  <c r="AO273" i="3" s="1"/>
  <c r="AP267" i="3"/>
  <c r="AU265" i="3"/>
  <c r="AR267" i="3"/>
  <c r="AW265" i="3"/>
  <c r="AN267" i="3"/>
  <c r="AN275" i="3" s="1"/>
  <c r="AS265" i="3"/>
  <c r="AG286" i="3"/>
  <c r="AG279" i="3"/>
  <c r="AH249" i="3"/>
  <c r="AH252" i="3" s="1"/>
  <c r="AI249" i="3"/>
  <c r="AI252" i="3" s="1"/>
  <c r="AD250" i="3"/>
  <c r="AK241" i="3"/>
  <c r="AP239" i="3"/>
  <c r="AO239" i="3"/>
  <c r="AO240" i="3" s="1"/>
  <c r="AC252" i="3"/>
  <c r="AD254" i="3" s="1"/>
  <c r="AC250" i="3"/>
  <c r="AB260" i="3"/>
  <c r="AB253" i="3"/>
  <c r="AF249" i="3"/>
  <c r="AJ241" i="3"/>
  <c r="AJ242" i="3" s="1"/>
  <c r="AM241" i="3"/>
  <c r="AR239" i="3"/>
  <c r="AN241" i="3"/>
  <c r="AS239" i="3"/>
  <c r="AM246" i="3"/>
  <c r="AR244" i="3"/>
  <c r="AO244" i="3"/>
  <c r="AO245" i="3" s="1"/>
  <c r="AQ246" i="3"/>
  <c r="AV244" i="3"/>
  <c r="AA252" i="3"/>
  <c r="AA250" i="3"/>
  <c r="AE249" i="3"/>
  <c r="AE250" i="3" s="1"/>
  <c r="AP246" i="3"/>
  <c r="AU244" i="3"/>
  <c r="AL241" i="3"/>
  <c r="AL249" i="3" s="1"/>
  <c r="AQ239" i="3"/>
  <c r="AG252" i="3"/>
  <c r="AG250" i="3"/>
  <c r="AD260" i="3"/>
  <c r="AD253" i="3"/>
  <c r="AN246" i="3"/>
  <c r="AS244" i="3"/>
  <c r="AD226" i="3"/>
  <c r="Z229" i="3"/>
  <c r="AO218" i="3"/>
  <c r="AO219" i="3" s="1"/>
  <c r="AI223" i="3"/>
  <c r="AJ220" i="3"/>
  <c r="AJ221" i="3" s="1"/>
  <c r="AJ215" i="3"/>
  <c r="AJ216" i="3" s="1"/>
  <c r="AG224" i="3"/>
  <c r="AG226" i="3"/>
  <c r="AZ213" i="3"/>
  <c r="AU215" i="3"/>
  <c r="AF224" i="3"/>
  <c r="AB234" i="3"/>
  <c r="AB227" i="3"/>
  <c r="AB228" i="3"/>
  <c r="AO214" i="3"/>
  <c r="AU218" i="3"/>
  <c r="AP220" i="3"/>
  <c r="AQ215" i="3"/>
  <c r="AV213" i="3"/>
  <c r="AN215" i="3"/>
  <c r="AS213" i="3"/>
  <c r="AH224" i="3"/>
  <c r="AH226" i="3"/>
  <c r="AK224" i="3"/>
  <c r="AK226" i="3"/>
  <c r="AR218" i="3"/>
  <c r="AM220" i="3"/>
  <c r="AM223" i="3" s="1"/>
  <c r="AM229" i="3" s="1"/>
  <c r="AN220" i="3"/>
  <c r="AS218" i="3"/>
  <c r="AL220" i="3"/>
  <c r="AQ218" i="3"/>
  <c r="AR215" i="3"/>
  <c r="AW213" i="3"/>
  <c r="AC234" i="3"/>
  <c r="AC227" i="3"/>
  <c r="AC228" i="3"/>
  <c r="K122" i="3"/>
  <c r="Q139" i="3"/>
  <c r="X140" i="3"/>
  <c r="Z140" i="3" s="1"/>
  <c r="U140" i="3"/>
  <c r="U141" i="3" s="1"/>
  <c r="T139" i="3"/>
  <c r="Y137" i="3"/>
  <c r="Y143" i="3" s="1"/>
  <c r="R139" i="3"/>
  <c r="W137" i="3"/>
  <c r="W143" i="3" s="1"/>
  <c r="O144" i="3"/>
  <c r="O142" i="3"/>
  <c r="O139" i="3"/>
  <c r="Q142" i="3"/>
  <c r="N144" i="3"/>
  <c r="N139" i="3"/>
  <c r="V144" i="3"/>
  <c r="AA137" i="3"/>
  <c r="AA143" i="3" s="1"/>
  <c r="AA140" i="3"/>
  <c r="U137" i="3"/>
  <c r="U143" i="3" s="1"/>
  <c r="AC137" i="3"/>
  <c r="AC143" i="3" s="1"/>
  <c r="X139" i="3"/>
  <c r="AD140" i="3"/>
  <c r="S142" i="3"/>
  <c r="P139" i="3"/>
  <c r="P138" i="3"/>
  <c r="K142" i="3"/>
  <c r="AB140" i="3"/>
  <c r="K139" i="3"/>
  <c r="M144" i="3"/>
  <c r="M142" i="3"/>
  <c r="AL111" i="3"/>
  <c r="AG120" i="3"/>
  <c r="AG121" i="3" s="1"/>
  <c r="AA120" i="3"/>
  <c r="AF111" i="3"/>
  <c r="N114" i="3"/>
  <c r="N110" i="3" s="1"/>
  <c r="S108" i="3"/>
  <c r="N117" i="3"/>
  <c r="T111" i="3"/>
  <c r="O120" i="3"/>
  <c r="P120" i="3" s="1"/>
  <c r="P111" i="3"/>
  <c r="T108" i="3"/>
  <c r="O114" i="3"/>
  <c r="O115" i="3" s="1"/>
  <c r="O117" i="3"/>
  <c r="Q108" i="3"/>
  <c r="L117" i="3"/>
  <c r="P108" i="3"/>
  <c r="L114" i="3"/>
  <c r="L110" i="3" s="1"/>
  <c r="M124" i="3"/>
  <c r="M115" i="3"/>
  <c r="M113" i="3"/>
  <c r="M110" i="3"/>
  <c r="AR111" i="3"/>
  <c r="AM120" i="3"/>
  <c r="AM121" i="3" s="1"/>
  <c r="R114" i="3"/>
  <c r="R110" i="3" s="1"/>
  <c r="W108" i="3"/>
  <c r="G115" i="3"/>
  <c r="G113" i="3"/>
  <c r="J113" i="3"/>
  <c r="K114" i="3"/>
  <c r="K110" i="3" s="1"/>
  <c r="K109" i="3"/>
  <c r="J110" i="3"/>
  <c r="I115" i="3"/>
  <c r="I113" i="3"/>
  <c r="I110" i="3"/>
  <c r="G110" i="3"/>
  <c r="AI229" i="3" l="1"/>
  <c r="AI226" i="3" s="1"/>
  <c r="BE455" i="3"/>
  <c r="BE458" i="3" s="1"/>
  <c r="BK432" i="3"/>
  <c r="BK433" i="3"/>
  <c r="BK335" i="3"/>
  <c r="BL431" i="3"/>
  <c r="BE444" i="3"/>
  <c r="AE362" i="3"/>
  <c r="AE381" i="3"/>
  <c r="AJ408" i="3"/>
  <c r="BD442" i="3"/>
  <c r="BD443" i="3" s="1"/>
  <c r="AO354" i="3"/>
  <c r="AT352" i="3"/>
  <c r="AW351" i="3"/>
  <c r="BB351" i="3" s="1"/>
  <c r="AR353" i="3"/>
  <c r="AT353" i="3" s="1"/>
  <c r="AT354" i="3" s="1"/>
  <c r="AH362" i="3"/>
  <c r="BP439" i="3"/>
  <c r="BQ439" i="3"/>
  <c r="BJ442" i="3"/>
  <c r="BE450" i="3"/>
  <c r="BE325" i="3" s="1"/>
  <c r="CL296" i="3"/>
  <c r="AZ375" i="3"/>
  <c r="AZ377" i="3" s="1"/>
  <c r="AV375" i="3"/>
  <c r="AV377" i="3" s="1"/>
  <c r="CN295" i="3"/>
  <c r="CS295" i="3" s="1"/>
  <c r="BB450" i="3"/>
  <c r="BD450" i="3" s="1"/>
  <c r="BG442" i="3"/>
  <c r="BU437" i="3"/>
  <c r="BX437" i="3" s="1"/>
  <c r="BX438" i="3" s="1"/>
  <c r="BP336" i="3"/>
  <c r="BS336" i="3" s="1"/>
  <c r="BY437" i="3"/>
  <c r="BT336" i="3"/>
  <c r="BV336" i="3"/>
  <c r="CA437" i="3"/>
  <c r="BW336" i="3"/>
  <c r="CB437" i="3"/>
  <c r="BW439" i="3"/>
  <c r="AI365" i="3"/>
  <c r="AI330" i="3"/>
  <c r="AH413" i="3"/>
  <c r="AH332" i="3"/>
  <c r="BS424" i="3"/>
  <c r="BS427" i="3" s="1"/>
  <c r="BR334" i="3"/>
  <c r="BS334" i="3" s="1"/>
  <c r="BK450" i="3"/>
  <c r="BP442" i="3"/>
  <c r="AH365" i="3"/>
  <c r="AI413" i="3"/>
  <c r="AI332" i="3"/>
  <c r="BH450" i="3"/>
  <c r="BH451" i="3" s="1"/>
  <c r="BM442" i="3"/>
  <c r="AG365" i="3"/>
  <c r="AG330" i="3"/>
  <c r="AG337" i="3" s="1"/>
  <c r="AA366" i="3"/>
  <c r="AH411" i="3"/>
  <c r="BR420" i="3"/>
  <c r="BW427" i="3" s="1"/>
  <c r="BQ417" i="3"/>
  <c r="BQ333" i="3" s="1"/>
  <c r="BT424" i="3"/>
  <c r="BT334" i="3" s="1"/>
  <c r="AP395" i="3"/>
  <c r="AP394" i="3"/>
  <c r="AP410" i="3"/>
  <c r="AP332" i="3" s="1"/>
  <c r="AI412" i="3"/>
  <c r="AN410" i="3"/>
  <c r="AN395" i="3"/>
  <c r="AN394" i="3"/>
  <c r="AV394" i="3"/>
  <c r="AI411" i="3"/>
  <c r="AL404" i="3"/>
  <c r="AL403" i="3"/>
  <c r="AL410" i="3"/>
  <c r="AL411" i="3" s="1"/>
  <c r="AO402" i="3"/>
  <c r="AP403" i="3"/>
  <c r="AP404" i="3"/>
  <c r="AM404" i="3"/>
  <c r="AM403" i="3"/>
  <c r="AM410" i="3"/>
  <c r="AN404" i="3"/>
  <c r="AX403" i="3"/>
  <c r="AQ407" i="3"/>
  <c r="AQ408" i="3" s="1"/>
  <c r="AQ402" i="3"/>
  <c r="AT402" i="3" s="1"/>
  <c r="AJ413" i="3"/>
  <c r="AR403" i="3"/>
  <c r="AR410" i="3"/>
  <c r="AR332" i="3" s="1"/>
  <c r="AS404" i="3"/>
  <c r="AS407" i="3"/>
  <c r="AS408" i="3" s="1"/>
  <c r="AS393" i="3"/>
  <c r="AT393" i="3" s="1"/>
  <c r="AW395" i="3"/>
  <c r="AW394" i="3"/>
  <c r="AU403" i="3"/>
  <c r="AU404" i="3"/>
  <c r="AQ395" i="3"/>
  <c r="AO393" i="3"/>
  <c r="AE364" i="3"/>
  <c r="AE367" i="3" s="1"/>
  <c r="AA365" i="3"/>
  <c r="AH412" i="3"/>
  <c r="AI366" i="3"/>
  <c r="BR300" i="3"/>
  <c r="AH366" i="3"/>
  <c r="AT400" i="3"/>
  <c r="AT401" i="3" s="1"/>
  <c r="AY398" i="3"/>
  <c r="AY399" i="3" s="1"/>
  <c r="AR407" i="3"/>
  <c r="AF412" i="3"/>
  <c r="AF411" i="3"/>
  <c r="AG412" i="3"/>
  <c r="BA391" i="3"/>
  <c r="BA393" i="3" s="1"/>
  <c r="BF389" i="3"/>
  <c r="BE398" i="3"/>
  <c r="AZ400" i="3"/>
  <c r="AZ402" i="3" s="1"/>
  <c r="AE411" i="3"/>
  <c r="AW400" i="3"/>
  <c r="BB398" i="3"/>
  <c r="AY389" i="3"/>
  <c r="AY390" i="3" s="1"/>
  <c r="AU391" i="3"/>
  <c r="AU393" i="3" s="1"/>
  <c r="AV395" i="3" s="1"/>
  <c r="AZ389" i="3"/>
  <c r="BC400" i="3"/>
  <c r="BC402" i="3" s="1"/>
  <c r="BH398" i="3"/>
  <c r="AO407" i="3"/>
  <c r="AK408" i="3"/>
  <c r="AP407" i="3"/>
  <c r="AT391" i="3"/>
  <c r="AT392" i="3" s="1"/>
  <c r="AV400" i="3"/>
  <c r="BA398" i="3"/>
  <c r="AX391" i="3"/>
  <c r="BC389" i="3"/>
  <c r="BB391" i="3"/>
  <c r="BB393" i="3" s="1"/>
  <c r="BG389" i="3"/>
  <c r="AN364" i="3"/>
  <c r="AN330" i="3" s="1"/>
  <c r="AN362" i="3"/>
  <c r="AZ353" i="3"/>
  <c r="BE351" i="3"/>
  <c r="AV353" i="3"/>
  <c r="BA351" i="3"/>
  <c r="AR358" i="3"/>
  <c r="AW356" i="3"/>
  <c r="AQ358" i="3"/>
  <c r="AQ361" i="3" s="1"/>
  <c r="AV356" i="3"/>
  <c r="AM364" i="3"/>
  <c r="AM362" i="3"/>
  <c r="AL364" i="3"/>
  <c r="AL362" i="3"/>
  <c r="AU358" i="3"/>
  <c r="AU361" i="3" s="1"/>
  <c r="AZ356" i="3"/>
  <c r="AS358" i="3"/>
  <c r="AS361" i="3" s="1"/>
  <c r="AX356" i="3"/>
  <c r="BC351" i="3"/>
  <c r="AX353" i="3"/>
  <c r="AO377" i="3"/>
  <c r="AO378" i="3" s="1"/>
  <c r="AG384" i="3"/>
  <c r="AA385" i="3"/>
  <c r="AE383" i="3"/>
  <c r="AA384" i="3"/>
  <c r="AP372" i="3"/>
  <c r="AU370" i="3"/>
  <c r="AT370" i="3"/>
  <c r="AT371" i="3" s="1"/>
  <c r="AF383" i="3"/>
  <c r="AF331" i="3" s="1"/>
  <c r="AJ331" i="3" s="1"/>
  <c r="AF381" i="3"/>
  <c r="AJ380" i="3"/>
  <c r="AK380" i="3"/>
  <c r="AO372" i="3"/>
  <c r="AO373" i="3" s="1"/>
  <c r="AH384" i="3"/>
  <c r="AH385" i="3"/>
  <c r="AM383" i="3"/>
  <c r="AM331" i="3" s="1"/>
  <c r="AM381" i="3"/>
  <c r="AW372" i="3"/>
  <c r="BB370" i="3"/>
  <c r="AS377" i="3"/>
  <c r="AS380" i="3" s="1"/>
  <c r="AX375" i="3"/>
  <c r="AX372" i="3"/>
  <c r="BC370" i="3"/>
  <c r="AN383" i="3"/>
  <c r="AN331" i="3" s="1"/>
  <c r="AN381" i="3"/>
  <c r="AL383" i="3"/>
  <c r="AL331" i="3" s="1"/>
  <c r="AL381" i="3"/>
  <c r="AI384" i="3"/>
  <c r="AI385" i="3"/>
  <c r="AQ372" i="3"/>
  <c r="AQ380" i="3" s="1"/>
  <c r="AV370" i="3"/>
  <c r="AR377" i="3"/>
  <c r="AR380" i="3" s="1"/>
  <c r="AW375" i="3"/>
  <c r="AT375" i="3"/>
  <c r="AT376" i="3" s="1"/>
  <c r="AB385" i="3"/>
  <c r="AT356" i="3"/>
  <c r="AT357" i="3" s="1"/>
  <c r="AP358" i="3"/>
  <c r="AK361" i="3"/>
  <c r="AK362" i="3" s="1"/>
  <c r="AO358" i="3"/>
  <c r="AO359" i="3" s="1"/>
  <c r="AF364" i="3"/>
  <c r="AF330" i="3" s="1"/>
  <c r="AJ361" i="3"/>
  <c r="AJ275" i="3"/>
  <c r="AJ276" i="3" s="1"/>
  <c r="BO299" i="3"/>
  <c r="AH278" i="3"/>
  <c r="AH286" i="3" s="1"/>
  <c r="BN295" i="3"/>
  <c r="BN296" i="3" s="1"/>
  <c r="AC288" i="3"/>
  <c r="BU298" i="3"/>
  <c r="BZ291" i="3"/>
  <c r="BU293" i="3"/>
  <c r="CU295" i="3"/>
  <c r="CP296" i="3"/>
  <c r="BT299" i="3"/>
  <c r="BT300" i="3"/>
  <c r="BP300" i="3"/>
  <c r="BP299" i="3"/>
  <c r="CV295" i="3"/>
  <c r="CQ296" i="3"/>
  <c r="CA291" i="3"/>
  <c r="CB293" i="3" s="1"/>
  <c r="BV293" i="3"/>
  <c r="BV298" i="3"/>
  <c r="BW300" i="3" s="1"/>
  <c r="CB298" i="3"/>
  <c r="CG291" i="3"/>
  <c r="BW299" i="3"/>
  <c r="BS298" i="3"/>
  <c r="BW293" i="3"/>
  <c r="BX291" i="3"/>
  <c r="BX292" i="3" s="1"/>
  <c r="CT295" i="3"/>
  <c r="CO296" i="3"/>
  <c r="BQ299" i="3"/>
  <c r="BQ300" i="3"/>
  <c r="BY298" i="3"/>
  <c r="BY293" i="3"/>
  <c r="CD291" i="3"/>
  <c r="AB208" i="3"/>
  <c r="AB209" i="3" s="1"/>
  <c r="AI250" i="3"/>
  <c r="AT265" i="3"/>
  <c r="AT266" i="3" s="1"/>
  <c r="AG201" i="3"/>
  <c r="AB254" i="3"/>
  <c r="AA201" i="3"/>
  <c r="AB203" i="3" s="1"/>
  <c r="AD234" i="3"/>
  <c r="AD208" i="3" s="1"/>
  <c r="AD201" i="3"/>
  <c r="Z208" i="3"/>
  <c r="W210" i="3"/>
  <c r="AO267" i="3"/>
  <c r="AO268" i="3" s="1"/>
  <c r="AC201" i="3"/>
  <c r="AR275" i="3"/>
  <c r="AR276" i="3" s="1"/>
  <c r="AH250" i="3"/>
  <c r="AB202" i="3"/>
  <c r="Z286" i="3"/>
  <c r="W288" i="3"/>
  <c r="AB235" i="3"/>
  <c r="AB236" i="3"/>
  <c r="CU283" i="3"/>
  <c r="CU284" i="3" s="1"/>
  <c r="CU257" i="3"/>
  <c r="CU258" i="3" s="1"/>
  <c r="CU232" i="3"/>
  <c r="AB287" i="3"/>
  <c r="AB288" i="3"/>
  <c r="AD261" i="3"/>
  <c r="AL276" i="3"/>
  <c r="AC235" i="3"/>
  <c r="AC236" i="3"/>
  <c r="AB261" i="3"/>
  <c r="AG287" i="3"/>
  <c r="AD287" i="3"/>
  <c r="AD288" i="3"/>
  <c r="CY283" i="3"/>
  <c r="CY284" i="3" s="1"/>
  <c r="CY232" i="3"/>
  <c r="CY257" i="3"/>
  <c r="CY258" i="3" s="1"/>
  <c r="AE286" i="3"/>
  <c r="AA287" i="3"/>
  <c r="AA288" i="3"/>
  <c r="AO246" i="3"/>
  <c r="AO247" i="3" s="1"/>
  <c r="AQ267" i="3"/>
  <c r="AQ275" i="3" s="1"/>
  <c r="AQ276" i="3" s="1"/>
  <c r="AV265" i="3"/>
  <c r="AU267" i="3"/>
  <c r="AZ265" i="3"/>
  <c r="AI286" i="3"/>
  <c r="AI279" i="3"/>
  <c r="AM276" i="3"/>
  <c r="AM278" i="3"/>
  <c r="AP275" i="3"/>
  <c r="AV272" i="3"/>
  <c r="BA270" i="3"/>
  <c r="BB270" i="3"/>
  <c r="AW272" i="3"/>
  <c r="AX272" i="3"/>
  <c r="BC270" i="3"/>
  <c r="AF280" i="3"/>
  <c r="AF286" i="3"/>
  <c r="AG288" i="3" s="1"/>
  <c r="AF279" i="3"/>
  <c r="AK278" i="3"/>
  <c r="AL280" i="3" s="1"/>
  <c r="AK276" i="3"/>
  <c r="AO275" i="3"/>
  <c r="AZ270" i="3"/>
  <c r="AY270" i="3"/>
  <c r="AY271" i="3" s="1"/>
  <c r="AU272" i="3"/>
  <c r="AN278" i="3"/>
  <c r="AN276" i="3"/>
  <c r="AE281" i="3"/>
  <c r="AE279" i="3"/>
  <c r="AL286" i="3"/>
  <c r="AL279" i="3"/>
  <c r="AS267" i="3"/>
  <c r="AS275" i="3" s="1"/>
  <c r="AX265" i="3"/>
  <c r="AW267" i="3"/>
  <c r="BB265" i="3"/>
  <c r="AT272" i="3"/>
  <c r="AT273" i="3" s="1"/>
  <c r="AT244" i="3"/>
  <c r="AT245" i="3" s="1"/>
  <c r="AJ249" i="3"/>
  <c r="AJ250" i="3" s="1"/>
  <c r="AF252" i="3"/>
  <c r="AF250" i="3"/>
  <c r="AZ244" i="3"/>
  <c r="AU246" i="3"/>
  <c r="AS241" i="3"/>
  <c r="AX239" i="3"/>
  <c r="AL252" i="3"/>
  <c r="AL250" i="3"/>
  <c r="AR246" i="3"/>
  <c r="AW244" i="3"/>
  <c r="AN249" i="3"/>
  <c r="AA260" i="3"/>
  <c r="AA253" i="3"/>
  <c r="AA254" i="3"/>
  <c r="AE252" i="3"/>
  <c r="AH260" i="3"/>
  <c r="AH253" i="3"/>
  <c r="AH254" i="3"/>
  <c r="AS246" i="3"/>
  <c r="AX244" i="3"/>
  <c r="AI254" i="3"/>
  <c r="AI260" i="3"/>
  <c r="AI253" i="3"/>
  <c r="AC260" i="3"/>
  <c r="AC208" i="3" s="1"/>
  <c r="AC253" i="3"/>
  <c r="AC254" i="3"/>
  <c r="AR241" i="3"/>
  <c r="AW239" i="3"/>
  <c r="AP241" i="3"/>
  <c r="AU239" i="3"/>
  <c r="AT239" i="3"/>
  <c r="AT240" i="3" s="1"/>
  <c r="AG260" i="3"/>
  <c r="AG253" i="3"/>
  <c r="AV246" i="3"/>
  <c r="BA244" i="3"/>
  <c r="AQ241" i="3"/>
  <c r="AQ249" i="3" s="1"/>
  <c r="AV239" i="3"/>
  <c r="AM249" i="3"/>
  <c r="AK249" i="3"/>
  <c r="AO241" i="3"/>
  <c r="AO242" i="3" s="1"/>
  <c r="AE226" i="3"/>
  <c r="AE229" i="3" s="1"/>
  <c r="AD227" i="3"/>
  <c r="AD228" i="3"/>
  <c r="AI224" i="3"/>
  <c r="AJ223" i="3"/>
  <c r="AJ224" i="3" s="1"/>
  <c r="AO220" i="3"/>
  <c r="AO221" i="3" s="1"/>
  <c r="AN223" i="3"/>
  <c r="AT218" i="3"/>
  <c r="AT219" i="3" s="1"/>
  <c r="AV215" i="3"/>
  <c r="BA213" i="3"/>
  <c r="AK227" i="3"/>
  <c r="AK234" i="3"/>
  <c r="AF227" i="3"/>
  <c r="AF234" i="3"/>
  <c r="AF228" i="3"/>
  <c r="AM224" i="3"/>
  <c r="AM226" i="3"/>
  <c r="AL223" i="3"/>
  <c r="AL229" i="3" s="1"/>
  <c r="AH227" i="3"/>
  <c r="AH234" i="3"/>
  <c r="AH228" i="3"/>
  <c r="AP223" i="3"/>
  <c r="AW215" i="3"/>
  <c r="BB213" i="3"/>
  <c r="AZ215" i="3"/>
  <c r="BE213" i="3"/>
  <c r="AS220" i="3"/>
  <c r="AX218" i="3"/>
  <c r="AS215" i="3"/>
  <c r="AT215" i="3" s="1"/>
  <c r="AX213" i="3"/>
  <c r="AY213" i="3" s="1"/>
  <c r="AT213" i="3"/>
  <c r="AT214" i="3" s="1"/>
  <c r="AO215" i="3"/>
  <c r="AO216" i="3" s="1"/>
  <c r="AW218" i="3"/>
  <c r="AR220" i="3"/>
  <c r="AR223" i="3" s="1"/>
  <c r="AG227" i="3"/>
  <c r="AG234" i="3"/>
  <c r="AG228" i="3"/>
  <c r="AZ218" i="3"/>
  <c r="AU220" i="3"/>
  <c r="AU223" i="3" s="1"/>
  <c r="AQ220" i="3"/>
  <c r="AV218" i="3"/>
  <c r="Z141" i="3"/>
  <c r="V139" i="3"/>
  <c r="AG140" i="3"/>
  <c r="U144" i="3"/>
  <c r="U138" i="3"/>
  <c r="AI140" i="3"/>
  <c r="AH137" i="3"/>
  <c r="AH143" i="3" s="1"/>
  <c r="AH146" i="3" s="1"/>
  <c r="AF140" i="3"/>
  <c r="AF137" i="3"/>
  <c r="AF143" i="3" s="1"/>
  <c r="AF146" i="3" s="1"/>
  <c r="AA144" i="3"/>
  <c r="V142" i="3"/>
  <c r="AB137" i="3"/>
  <c r="W139" i="3"/>
  <c r="S144" i="3"/>
  <c r="S139" i="3"/>
  <c r="P144" i="3"/>
  <c r="P142" i="3"/>
  <c r="Z137" i="3"/>
  <c r="Z143" i="3" s="1"/>
  <c r="R144" i="3"/>
  <c r="R142" i="3"/>
  <c r="AD137" i="3"/>
  <c r="AD143" i="3" s="1"/>
  <c r="AD146" i="3" s="1"/>
  <c r="Y139" i="3"/>
  <c r="T144" i="3"/>
  <c r="T142" i="3"/>
  <c r="X144" i="3"/>
  <c r="X142" i="3"/>
  <c r="AC140" i="3"/>
  <c r="O113" i="3"/>
  <c r="P122" i="3"/>
  <c r="P109" i="3"/>
  <c r="P114" i="3"/>
  <c r="P115" i="3" s="1"/>
  <c r="N124" i="3"/>
  <c r="AA121" i="3"/>
  <c r="Y111" i="3"/>
  <c r="T120" i="3"/>
  <c r="U111" i="3"/>
  <c r="P117" i="3"/>
  <c r="L124" i="3"/>
  <c r="M126" i="3" s="1"/>
  <c r="S114" i="3"/>
  <c r="S110" i="3" s="1"/>
  <c r="S117" i="3"/>
  <c r="X108" i="3"/>
  <c r="P112" i="3"/>
  <c r="W114" i="3"/>
  <c r="AB108" i="3"/>
  <c r="W117" i="3"/>
  <c r="L115" i="3"/>
  <c r="L113" i="3"/>
  <c r="U108" i="3"/>
  <c r="V108" i="3"/>
  <c r="Q114" i="3"/>
  <c r="Q110" i="3" s="1"/>
  <c r="N115" i="3"/>
  <c r="N113" i="3"/>
  <c r="R115" i="3"/>
  <c r="R113" i="3"/>
  <c r="AW111" i="3"/>
  <c r="AR120" i="3"/>
  <c r="AR121" i="3" s="1"/>
  <c r="O124" i="3"/>
  <c r="AQ111" i="3"/>
  <c r="AL120" i="3"/>
  <c r="AF120" i="3"/>
  <c r="AK111" i="3"/>
  <c r="M132" i="3"/>
  <c r="T114" i="3"/>
  <c r="T115" i="3" s="1"/>
  <c r="T117" i="3"/>
  <c r="Y108" i="3"/>
  <c r="O110" i="3"/>
  <c r="K115" i="3"/>
  <c r="K113" i="3"/>
  <c r="AI228" i="3" l="1"/>
  <c r="AI227" i="3"/>
  <c r="AK228" i="3"/>
  <c r="AI201" i="3"/>
  <c r="AI187" i="3" s="1"/>
  <c r="AJ226" i="3"/>
  <c r="AJ229" i="3" s="1"/>
  <c r="AI234" i="3"/>
  <c r="AK236" i="3" s="1"/>
  <c r="AN229" i="3"/>
  <c r="AN226" i="3" s="1"/>
  <c r="AG254" i="3"/>
  <c r="AF201" i="3"/>
  <c r="AF187" i="3" s="1"/>
  <c r="BL335" i="3"/>
  <c r="BL432" i="3"/>
  <c r="BL433" i="3"/>
  <c r="BO434" i="3"/>
  <c r="BM431" i="3"/>
  <c r="BE322" i="3"/>
  <c r="AG318" i="3"/>
  <c r="AG303" i="3" s="1"/>
  <c r="BD446" i="3"/>
  <c r="AJ381" i="3"/>
  <c r="AJ362" i="3"/>
  <c r="AO408" i="3"/>
  <c r="BE451" i="3"/>
  <c r="BE452" i="3"/>
  <c r="AY375" i="3"/>
  <c r="AY376" i="3" s="1"/>
  <c r="BE375" i="3"/>
  <c r="BJ375" i="3" s="1"/>
  <c r="BA375" i="3"/>
  <c r="BF375" i="3" s="1"/>
  <c r="AY351" i="3"/>
  <c r="AY352" i="3" s="1"/>
  <c r="CN296" i="3"/>
  <c r="AR361" i="3"/>
  <c r="AR362" i="3" s="1"/>
  <c r="AW353" i="3"/>
  <c r="AY353" i="3" s="1"/>
  <c r="BJ450" i="3"/>
  <c r="BO442" i="3"/>
  <c r="AE365" i="3"/>
  <c r="BU439" i="3"/>
  <c r="AI337" i="3"/>
  <c r="BZ437" i="3"/>
  <c r="CC437" i="3" s="1"/>
  <c r="CC438" i="3" s="1"/>
  <c r="BU336" i="3"/>
  <c r="BX336" i="3" s="1"/>
  <c r="BL442" i="3"/>
  <c r="BI442" i="3"/>
  <c r="BI443" i="3" s="1"/>
  <c r="BG450" i="3"/>
  <c r="BV439" i="3"/>
  <c r="AJ330" i="3"/>
  <c r="AF337" i="3"/>
  <c r="AM413" i="3"/>
  <c r="AM332" i="3"/>
  <c r="CB336" i="3"/>
  <c r="CG437" i="3"/>
  <c r="CB439" i="3"/>
  <c r="AN413" i="3"/>
  <c r="AN332" i="3"/>
  <c r="AN337" i="3" s="1"/>
  <c r="AG346" i="3"/>
  <c r="BP450" i="3"/>
  <c r="BU442" i="3"/>
  <c r="CA336" i="3"/>
  <c r="CF437" i="3"/>
  <c r="AL365" i="3"/>
  <c r="AL330" i="3"/>
  <c r="AM411" i="3"/>
  <c r="AL413" i="3"/>
  <c r="AL332" i="3"/>
  <c r="BM450" i="3"/>
  <c r="BR442" i="3"/>
  <c r="AM365" i="3"/>
  <c r="AM330" i="3"/>
  <c r="AH337" i="3"/>
  <c r="AJ332" i="3"/>
  <c r="BY336" i="3"/>
  <c r="CD437" i="3"/>
  <c r="AR404" i="3"/>
  <c r="AN411" i="3"/>
  <c r="BT420" i="3"/>
  <c r="BR417" i="3"/>
  <c r="BU424" i="3"/>
  <c r="BU334" i="3" s="1"/>
  <c r="AT405" i="3"/>
  <c r="AT403" i="3"/>
  <c r="AV407" i="3"/>
  <c r="AV408" i="3" s="1"/>
  <c r="AV402" i="3"/>
  <c r="AZ403" i="3"/>
  <c r="AZ404" i="3"/>
  <c r="AS410" i="3"/>
  <c r="AS394" i="3"/>
  <c r="AS395" i="3"/>
  <c r="AN366" i="3"/>
  <c r="AN412" i="3"/>
  <c r="AR413" i="3"/>
  <c r="BB395" i="3"/>
  <c r="BB394" i="3"/>
  <c r="AO410" i="3"/>
  <c r="AO413" i="3" s="1"/>
  <c r="AO396" i="3"/>
  <c r="AO394" i="3"/>
  <c r="AW407" i="3"/>
  <c r="AW408" i="3" s="1"/>
  <c r="AW402" i="3"/>
  <c r="BC403" i="3"/>
  <c r="BA394" i="3"/>
  <c r="AX407" i="3"/>
  <c r="AX408" i="3" s="1"/>
  <c r="AX393" i="3"/>
  <c r="AY393" i="3" s="1"/>
  <c r="AU410" i="3"/>
  <c r="AU332" i="3" s="1"/>
  <c r="AU395" i="3"/>
  <c r="AU394" i="3"/>
  <c r="AM412" i="3"/>
  <c r="AQ403" i="3"/>
  <c r="AQ404" i="3"/>
  <c r="AQ410" i="3"/>
  <c r="AP413" i="3"/>
  <c r="AO405" i="3"/>
  <c r="AO403" i="3"/>
  <c r="AT396" i="3"/>
  <c r="AT394" i="3"/>
  <c r="AT410" i="3"/>
  <c r="AR408" i="3"/>
  <c r="AN365" i="3"/>
  <c r="AZ391" i="3"/>
  <c r="AZ393" i="3" s="1"/>
  <c r="BA395" i="3" s="1"/>
  <c r="BE389" i="3"/>
  <c r="BD389" i="3"/>
  <c r="BD390" i="3" s="1"/>
  <c r="BF391" i="3"/>
  <c r="BF393" i="3" s="1"/>
  <c r="BK389" i="3"/>
  <c r="BF398" i="3"/>
  <c r="BA400" i="3"/>
  <c r="AU407" i="3"/>
  <c r="AY391" i="3"/>
  <c r="AY392" i="3" s="1"/>
  <c r="AY400" i="3"/>
  <c r="AY401" i="3" s="1"/>
  <c r="BG391" i="3"/>
  <c r="BG393" i="3" s="1"/>
  <c r="BL389" i="3"/>
  <c r="AR411" i="3"/>
  <c r="BB400" i="3"/>
  <c r="BG398" i="3"/>
  <c r="AT407" i="3"/>
  <c r="AP408" i="3"/>
  <c r="BH389" i="3"/>
  <c r="BC391" i="3"/>
  <c r="AK411" i="3"/>
  <c r="AK412" i="3"/>
  <c r="BJ398" i="3"/>
  <c r="BE400" i="3"/>
  <c r="BE402" i="3" s="1"/>
  <c r="AJ411" i="3"/>
  <c r="AL412" i="3"/>
  <c r="BH400" i="3"/>
  <c r="BH402" i="3" s="1"/>
  <c r="BM398" i="3"/>
  <c r="BD398" i="3"/>
  <c r="BD399" i="3" s="1"/>
  <c r="AG202" i="3"/>
  <c r="AG187" i="3"/>
  <c r="BD351" i="3"/>
  <c r="BH351" i="3"/>
  <c r="BC353" i="3"/>
  <c r="AV358" i="3"/>
  <c r="AV361" i="3" s="1"/>
  <c r="BA356" i="3"/>
  <c r="AQ362" i="3"/>
  <c r="AY356" i="3"/>
  <c r="AY357" i="3" s="1"/>
  <c r="BC356" i="3"/>
  <c r="AX358" i="3"/>
  <c r="AW358" i="3"/>
  <c r="BB356" i="3"/>
  <c r="AS362" i="3"/>
  <c r="AM366" i="3"/>
  <c r="BA353" i="3"/>
  <c r="BF351" i="3"/>
  <c r="AZ358" i="3"/>
  <c r="BE356" i="3"/>
  <c r="BG351" i="3"/>
  <c r="BB353" i="3"/>
  <c r="BE353" i="3"/>
  <c r="BJ351" i="3"/>
  <c r="AS381" i="3"/>
  <c r="AR383" i="3"/>
  <c r="AR331" i="3" s="1"/>
  <c r="AR330" i="3" s="1"/>
  <c r="AR364" i="3" s="1"/>
  <c r="AR381" i="3"/>
  <c r="AN384" i="3"/>
  <c r="AN385" i="3"/>
  <c r="AL384" i="3"/>
  <c r="BB372" i="3"/>
  <c r="BG370" i="3"/>
  <c r="AF384" i="3"/>
  <c r="AF385" i="3"/>
  <c r="AJ383" i="3"/>
  <c r="AW377" i="3"/>
  <c r="BB375" i="3"/>
  <c r="AM385" i="3"/>
  <c r="AM384" i="3"/>
  <c r="AU372" i="3"/>
  <c r="AZ370" i="3"/>
  <c r="AY370" i="3"/>
  <c r="AY371" i="3" s="1"/>
  <c r="AT377" i="3"/>
  <c r="AT378" i="3" s="1"/>
  <c r="BC372" i="3"/>
  <c r="BH370" i="3"/>
  <c r="AP380" i="3"/>
  <c r="AT372" i="3"/>
  <c r="AT373" i="3" s="1"/>
  <c r="AV372" i="3"/>
  <c r="AV380" i="3" s="1"/>
  <c r="BA370" i="3"/>
  <c r="AQ383" i="3"/>
  <c r="AQ331" i="3" s="1"/>
  <c r="AQ381" i="3"/>
  <c r="BC375" i="3"/>
  <c r="AX377" i="3"/>
  <c r="AX380" i="3" s="1"/>
  <c r="AE386" i="3"/>
  <c r="AE384" i="3"/>
  <c r="AG385" i="3"/>
  <c r="AO380" i="3"/>
  <c r="AK381" i="3"/>
  <c r="AK383" i="3"/>
  <c r="AF365" i="3"/>
  <c r="AF366" i="3"/>
  <c r="AG366" i="3"/>
  <c r="AJ364" i="3"/>
  <c r="AO361" i="3"/>
  <c r="AK364" i="3"/>
  <c r="AK330" i="3" s="1"/>
  <c r="AT358" i="3"/>
  <c r="AT359" i="3" s="1"/>
  <c r="AP361" i="3"/>
  <c r="AP362" i="3" s="1"/>
  <c r="AH201" i="3"/>
  <c r="AI280" i="3"/>
  <c r="AJ278" i="3"/>
  <c r="AJ279" i="3" s="1"/>
  <c r="CC291" i="3"/>
  <c r="CC292" i="3" s="1"/>
  <c r="AO276" i="3"/>
  <c r="AH280" i="3"/>
  <c r="AH279" i="3"/>
  <c r="AD236" i="3"/>
  <c r="BX298" i="3"/>
  <c r="BX295" i="3" s="1"/>
  <c r="CD298" i="3"/>
  <c r="CD293" i="3"/>
  <c r="CI291" i="3"/>
  <c r="AQ278" i="3"/>
  <c r="AQ286" i="3" s="1"/>
  <c r="CS296" i="3"/>
  <c r="CX295" i="3"/>
  <c r="CX296" i="3" s="1"/>
  <c r="BV299" i="3"/>
  <c r="BV300" i="3"/>
  <c r="CB299" i="3"/>
  <c r="CL291" i="3"/>
  <c r="CG298" i="3"/>
  <c r="CT296" i="3"/>
  <c r="CY295" i="3"/>
  <c r="CY296" i="3" s="1"/>
  <c r="CF291" i="3"/>
  <c r="CA293" i="3"/>
  <c r="CA298" i="3"/>
  <c r="CU296" i="3"/>
  <c r="CZ295" i="3"/>
  <c r="CZ296" i="3" s="1"/>
  <c r="CV296" i="3"/>
  <c r="DA295" i="3"/>
  <c r="DA296" i="3" s="1"/>
  <c r="CE291" i="3"/>
  <c r="BZ298" i="3"/>
  <c r="BZ293" i="3"/>
  <c r="BY299" i="3"/>
  <c r="BY300" i="3"/>
  <c r="BS299" i="3"/>
  <c r="BS295" i="3"/>
  <c r="BS296" i="3" s="1"/>
  <c r="BU299" i="3"/>
  <c r="BU300" i="3"/>
  <c r="AR278" i="3"/>
  <c r="AR286" i="3" s="1"/>
  <c r="AE234" i="3"/>
  <c r="AE235" i="3" s="1"/>
  <c r="AE287" i="3"/>
  <c r="AG208" i="3"/>
  <c r="AC209" i="3"/>
  <c r="AC210" i="3"/>
  <c r="AB262" i="3"/>
  <c r="AA208" i="3"/>
  <c r="AE208" i="3" s="1"/>
  <c r="AE209" i="3" s="1"/>
  <c r="AC203" i="3"/>
  <c r="AC202" i="3"/>
  <c r="AD209" i="3"/>
  <c r="AD210" i="3"/>
  <c r="AH208" i="3"/>
  <c r="AH195" i="3" s="1"/>
  <c r="AN224" i="3"/>
  <c r="AA202" i="3"/>
  <c r="AA203" i="3"/>
  <c r="AE201" i="3"/>
  <c r="AE202" i="3" s="1"/>
  <c r="AD203" i="3"/>
  <c r="AD202" i="3"/>
  <c r="AD235" i="3"/>
  <c r="AI202" i="3"/>
  <c r="AH287" i="3"/>
  <c r="AH288" i="3"/>
  <c r="AI235" i="3"/>
  <c r="AH262" i="3"/>
  <c r="AH261" i="3"/>
  <c r="CZ232" i="3"/>
  <c r="CZ257" i="3"/>
  <c r="CZ258" i="3" s="1"/>
  <c r="CZ283" i="3"/>
  <c r="CZ284" i="3" s="1"/>
  <c r="AL287" i="3"/>
  <c r="AG235" i="3"/>
  <c r="AG236" i="3"/>
  <c r="AF235" i="3"/>
  <c r="AF236" i="3"/>
  <c r="AC261" i="3"/>
  <c r="AC262" i="3"/>
  <c r="AA261" i="3"/>
  <c r="AA262" i="3"/>
  <c r="AH235" i="3"/>
  <c r="AH236" i="3"/>
  <c r="AF288" i="3"/>
  <c r="AF287" i="3"/>
  <c r="AG261" i="3"/>
  <c r="AK235" i="3"/>
  <c r="AI262" i="3"/>
  <c r="AI261" i="3"/>
  <c r="AI287" i="3"/>
  <c r="AI288" i="3"/>
  <c r="AD262" i="3"/>
  <c r="AW275" i="3"/>
  <c r="AW278" i="3" s="1"/>
  <c r="AJ286" i="3"/>
  <c r="BA265" i="3"/>
  <c r="AV267" i="3"/>
  <c r="AV275" i="3" s="1"/>
  <c r="AK279" i="3"/>
  <c r="AK280" i="3"/>
  <c r="AK286" i="3"/>
  <c r="AL288" i="3" s="1"/>
  <c r="AO278" i="3"/>
  <c r="BA272" i="3"/>
  <c r="BF270" i="3"/>
  <c r="BB267" i="3"/>
  <c r="BG265" i="3"/>
  <c r="AN279" i="3"/>
  <c r="AN280" i="3"/>
  <c r="AN286" i="3"/>
  <c r="AT267" i="3"/>
  <c r="AT268" i="3" s="1"/>
  <c r="AX267" i="3"/>
  <c r="AX275" i="3" s="1"/>
  <c r="BC265" i="3"/>
  <c r="AT275" i="3"/>
  <c r="AT276" i="3" s="1"/>
  <c r="AP278" i="3"/>
  <c r="AP276" i="3"/>
  <c r="AS278" i="3"/>
  <c r="AS276" i="3"/>
  <c r="AY272" i="3"/>
  <c r="AY273" i="3" s="1"/>
  <c r="BC272" i="3"/>
  <c r="BH270" i="3"/>
  <c r="AM280" i="3"/>
  <c r="AM286" i="3"/>
  <c r="AM279" i="3"/>
  <c r="BE265" i="3"/>
  <c r="AZ267" i="3"/>
  <c r="AZ272" i="3"/>
  <c r="BE270" i="3"/>
  <c r="BD270" i="3"/>
  <c r="BD271" i="3" s="1"/>
  <c r="AU275" i="3"/>
  <c r="BB272" i="3"/>
  <c r="BG270" i="3"/>
  <c r="AY265" i="3"/>
  <c r="AY266" i="3" s="1"/>
  <c r="AE227" i="3"/>
  <c r="AT246" i="3"/>
  <c r="AT247" i="3" s="1"/>
  <c r="AS249" i="3"/>
  <c r="AS250" i="3" s="1"/>
  <c r="AR249" i="3"/>
  <c r="AR250" i="3" s="1"/>
  <c r="AY244" i="3"/>
  <c r="AY245" i="3" s="1"/>
  <c r="AE260" i="3"/>
  <c r="AE261" i="3" s="1"/>
  <c r="AQ250" i="3"/>
  <c r="AQ252" i="3"/>
  <c r="BA246" i="3"/>
  <c r="BF244" i="3"/>
  <c r="AL260" i="3"/>
  <c r="AL253" i="3"/>
  <c r="AX241" i="3"/>
  <c r="BC239" i="3"/>
  <c r="AN252" i="3"/>
  <c r="AN250" i="3"/>
  <c r="AU241" i="3"/>
  <c r="AZ239" i="3"/>
  <c r="AY239" i="3"/>
  <c r="AY240" i="3" s="1"/>
  <c r="AX246" i="3"/>
  <c r="BC244" i="3"/>
  <c r="AW246" i="3"/>
  <c r="BB244" i="3"/>
  <c r="AP249" i="3"/>
  <c r="AT241" i="3"/>
  <c r="AT242" i="3" s="1"/>
  <c r="AZ246" i="3"/>
  <c r="BE244" i="3"/>
  <c r="AK252" i="3"/>
  <c r="AK201" i="3" s="1"/>
  <c r="AK250" i="3"/>
  <c r="AO249" i="3"/>
  <c r="AO250" i="3" s="1"/>
  <c r="AM252" i="3"/>
  <c r="AM201" i="3" s="1"/>
  <c r="AM250" i="3"/>
  <c r="AF260" i="3"/>
  <c r="AF208" i="3" s="1"/>
  <c r="AF195" i="3" s="1"/>
  <c r="AF253" i="3"/>
  <c r="AF254" i="3"/>
  <c r="AJ252" i="3"/>
  <c r="AE253" i="3"/>
  <c r="AE255" i="3"/>
  <c r="AW241" i="3"/>
  <c r="BB239" i="3"/>
  <c r="AV241" i="3"/>
  <c r="AV249" i="3" s="1"/>
  <c r="BA239" i="3"/>
  <c r="AT220" i="3"/>
  <c r="AT221" i="3" s="1"/>
  <c r="AY214" i="3"/>
  <c r="AT216" i="3"/>
  <c r="AQ223" i="3"/>
  <c r="AY218" i="3"/>
  <c r="AY219" i="3" s="1"/>
  <c r="AU224" i="3"/>
  <c r="BE218" i="3"/>
  <c r="AZ220" i="3"/>
  <c r="AZ223" i="3" s="1"/>
  <c r="AS223" i="3"/>
  <c r="AX220" i="3"/>
  <c r="BC218" i="3"/>
  <c r="BB215" i="3"/>
  <c r="BG213" i="3"/>
  <c r="AW220" i="3"/>
  <c r="AW223" i="3" s="1"/>
  <c r="BB218" i="3"/>
  <c r="AR224" i="3"/>
  <c r="AL224" i="3"/>
  <c r="AL226" i="3"/>
  <c r="AO223" i="3"/>
  <c r="AO224" i="3" s="1"/>
  <c r="AV220" i="3"/>
  <c r="AV223" i="3" s="1"/>
  <c r="BA218" i="3"/>
  <c r="AP224" i="3"/>
  <c r="BE215" i="3"/>
  <c r="BJ213" i="3"/>
  <c r="AM234" i="3"/>
  <c r="AM227" i="3"/>
  <c r="AJ234" i="3"/>
  <c r="BA215" i="3"/>
  <c r="BF213" i="3"/>
  <c r="AX215" i="3"/>
  <c r="BC213" i="3"/>
  <c r="P113" i="3"/>
  <c r="T113" i="3"/>
  <c r="AE137" i="3"/>
  <c r="AE143" i="3" s="1"/>
  <c r="AB143" i="3"/>
  <c r="AB139" i="3" s="1"/>
  <c r="AD155" i="3"/>
  <c r="AH155" i="3"/>
  <c r="AF155" i="3"/>
  <c r="AF148" i="3"/>
  <c r="U142" i="3"/>
  <c r="U139" i="3"/>
  <c r="AC144" i="3"/>
  <c r="AC139" i="3"/>
  <c r="AK140" i="3"/>
  <c r="AA142" i="3"/>
  <c r="Y144" i="3"/>
  <c r="Y142" i="3"/>
  <c r="W144" i="3"/>
  <c r="W142" i="3"/>
  <c r="AM137" i="3"/>
  <c r="AM143" i="3" s="1"/>
  <c r="AM146" i="3" s="1"/>
  <c r="AG137" i="3"/>
  <c r="AG143" i="3" s="1"/>
  <c r="AG146" i="3" s="1"/>
  <c r="AH148" i="3" s="1"/>
  <c r="Z138" i="3"/>
  <c r="AD139" i="3"/>
  <c r="AI137" i="3"/>
  <c r="AI143" i="3" s="1"/>
  <c r="AI146" i="3" s="1"/>
  <c r="AN140" i="3"/>
  <c r="AC142" i="3"/>
  <c r="AH140" i="3"/>
  <c r="AJ140" i="3" s="1"/>
  <c r="AF144" i="3"/>
  <c r="AK137" i="3"/>
  <c r="AK143" i="3" s="1"/>
  <c r="AK146" i="3" s="1"/>
  <c r="AA139" i="3"/>
  <c r="AL140" i="3"/>
  <c r="AE140" i="3"/>
  <c r="P110" i="3"/>
  <c r="T110" i="3"/>
  <c r="AB114" i="3"/>
  <c r="AB110" i="3" s="1"/>
  <c r="AG108" i="3"/>
  <c r="AB117" i="3"/>
  <c r="U112" i="3"/>
  <c r="W115" i="3"/>
  <c r="W113" i="3"/>
  <c r="AF121" i="3"/>
  <c r="W124" i="3"/>
  <c r="Y120" i="3"/>
  <c r="AD111" i="3"/>
  <c r="Z111" i="3"/>
  <c r="Q113" i="3"/>
  <c r="Q115" i="3"/>
  <c r="AL121" i="3"/>
  <c r="T121" i="3"/>
  <c r="X114" i="3"/>
  <c r="X110" i="3" s="1"/>
  <c r="X117" i="3"/>
  <c r="AC108" i="3"/>
  <c r="N132" i="3"/>
  <c r="N126" i="3"/>
  <c r="P119" i="3"/>
  <c r="P124" i="3"/>
  <c r="AP111" i="3"/>
  <c r="AK120" i="3"/>
  <c r="AK121" i="3" s="1"/>
  <c r="W110" i="3"/>
  <c r="O132" i="3"/>
  <c r="O126" i="3"/>
  <c r="U109" i="3"/>
  <c r="U114" i="3"/>
  <c r="U115" i="3" s="1"/>
  <c r="S113" i="3"/>
  <c r="S115" i="3"/>
  <c r="AV111" i="3"/>
  <c r="AQ120" i="3"/>
  <c r="AQ121" i="3" s="1"/>
  <c r="Y114" i="3"/>
  <c r="Y115" i="3" s="1"/>
  <c r="Y117" i="3"/>
  <c r="AD108" i="3"/>
  <c r="AA108" i="3"/>
  <c r="V117" i="3"/>
  <c r="V114" i="3"/>
  <c r="V110" i="3" s="1"/>
  <c r="Z108" i="3"/>
  <c r="S118" i="3"/>
  <c r="T118" i="3"/>
  <c r="T124" i="3"/>
  <c r="L132" i="3"/>
  <c r="M134" i="3" s="1"/>
  <c r="BB111" i="3"/>
  <c r="BG111" i="3" s="1"/>
  <c r="BL111" i="3" s="1"/>
  <c r="BI450" i="3" l="1"/>
  <c r="BG451" i="3"/>
  <c r="AJ227" i="3"/>
  <c r="AI236" i="3"/>
  <c r="AI208" i="3"/>
  <c r="AI205" i="3" s="1"/>
  <c r="AN227" i="3"/>
  <c r="AN234" i="3"/>
  <c r="AN235" i="3" s="1"/>
  <c r="AN228" i="3"/>
  <c r="AQ229" i="3"/>
  <c r="AQ226" i="3" s="1"/>
  <c r="AN201" i="3"/>
  <c r="AN202" i="3" s="1"/>
  <c r="BM433" i="3"/>
  <c r="BM335" i="3"/>
  <c r="BN335" i="3" s="1"/>
  <c r="BM432" i="3"/>
  <c r="BP434" i="3"/>
  <c r="BO431" i="3"/>
  <c r="BN431" i="3"/>
  <c r="AG319" i="3"/>
  <c r="AI340" i="3"/>
  <c r="AG52" i="3"/>
  <c r="AG304" i="3"/>
  <c r="AN318" i="3"/>
  <c r="AN455" i="3" s="1"/>
  <c r="AN303" i="3" s="1"/>
  <c r="AI318" i="3"/>
  <c r="AI319" i="3" s="1"/>
  <c r="AO381" i="3"/>
  <c r="AO362" i="3"/>
  <c r="AT408" i="3"/>
  <c r="BE377" i="3"/>
  <c r="BD352" i="3"/>
  <c r="AY354" i="3"/>
  <c r="AI346" i="3"/>
  <c r="AI325" i="3" s="1"/>
  <c r="AI312" i="3" s="1"/>
  <c r="AI313" i="3" s="1"/>
  <c r="BQ111" i="3"/>
  <c r="BA377" i="3"/>
  <c r="AW361" i="3"/>
  <c r="AW362" i="3" s="1"/>
  <c r="AR367" i="3"/>
  <c r="AG339" i="3"/>
  <c r="AF318" i="3"/>
  <c r="AF303" i="3" s="1"/>
  <c r="BO450" i="3"/>
  <c r="BT442" i="3"/>
  <c r="BI446" i="3"/>
  <c r="AM337" i="3"/>
  <c r="AJ337" i="3"/>
  <c r="AJ318" i="3" s="1"/>
  <c r="AJ319" i="3" s="1"/>
  <c r="BL450" i="3"/>
  <c r="BN450" i="3" s="1"/>
  <c r="BQ442" i="3"/>
  <c r="BN442" i="3"/>
  <c r="BN443" i="3" s="1"/>
  <c r="BZ439" i="3"/>
  <c r="CA439" i="3"/>
  <c r="AI339" i="3"/>
  <c r="AH318" i="3"/>
  <c r="AH303" i="3" s="1"/>
  <c r="AG325" i="3"/>
  <c r="AG312" i="3" s="1"/>
  <c r="AF346" i="3"/>
  <c r="AF325" i="3" s="1"/>
  <c r="AF312" i="3" s="1"/>
  <c r="AF61" i="3" s="1"/>
  <c r="CE437" i="3"/>
  <c r="CF439" i="3" s="1"/>
  <c r="BZ336" i="3"/>
  <c r="CC336" i="3" s="1"/>
  <c r="AQ413" i="3"/>
  <c r="AQ332" i="3"/>
  <c r="AQ330" i="3" s="1"/>
  <c r="AQ364" i="3" s="1"/>
  <c r="BU450" i="3"/>
  <c r="BZ442" i="3"/>
  <c r="AS413" i="3"/>
  <c r="AS332" i="3"/>
  <c r="AS318" i="3" s="1"/>
  <c r="AS455" i="3" s="1"/>
  <c r="AR318" i="3"/>
  <c r="AR455" i="3" s="1"/>
  <c r="AO330" i="3"/>
  <c r="AS411" i="3"/>
  <c r="AL337" i="3"/>
  <c r="AO332" i="3"/>
  <c r="AS412" i="3"/>
  <c r="AN338" i="3"/>
  <c r="AN346" i="3"/>
  <c r="AN325" i="3" s="1"/>
  <c r="BS417" i="3"/>
  <c r="BS420" i="3" s="1"/>
  <c r="BR333" i="3"/>
  <c r="BS333" i="3" s="1"/>
  <c r="CI437" i="3"/>
  <c r="CD336" i="3"/>
  <c r="BR450" i="3"/>
  <c r="BW442" i="3"/>
  <c r="CG439" i="3"/>
  <c r="CL437" i="3"/>
  <c r="CG336" i="3"/>
  <c r="CK437" i="3"/>
  <c r="CF336" i="3"/>
  <c r="AL385" i="3"/>
  <c r="AK331" i="3"/>
  <c r="AO331" i="3" s="1"/>
  <c r="AH339" i="3"/>
  <c r="AH346" i="3"/>
  <c r="AQ411" i="3"/>
  <c r="AR412" i="3"/>
  <c r="BY427" i="3"/>
  <c r="BT417" i="3"/>
  <c r="BT333" i="3" s="1"/>
  <c r="BU420" i="3"/>
  <c r="BV424" i="3"/>
  <c r="BV334" i="3" s="1"/>
  <c r="AY396" i="3"/>
  <c r="AY394" i="3"/>
  <c r="BG394" i="3"/>
  <c r="BG395" i="3"/>
  <c r="AZ410" i="3"/>
  <c r="AZ332" i="3" s="1"/>
  <c r="BC407" i="3"/>
  <c r="BC408" i="3" s="1"/>
  <c r="BC393" i="3"/>
  <c r="AW404" i="3"/>
  <c r="AW403" i="3"/>
  <c r="AX404" i="3"/>
  <c r="AW410" i="3"/>
  <c r="AW411" i="3" s="1"/>
  <c r="AT413" i="3"/>
  <c r="AU413" i="3"/>
  <c r="BA407" i="3"/>
  <c r="BA408" i="3" s="1"/>
  <c r="BA402" i="3"/>
  <c r="AZ394" i="3"/>
  <c r="BH403" i="3"/>
  <c r="BB407" i="3"/>
  <c r="BB408" i="3" s="1"/>
  <c r="BB402" i="3"/>
  <c r="AV403" i="3"/>
  <c r="AV404" i="3"/>
  <c r="AY402" i="3"/>
  <c r="AY410" i="3" s="1"/>
  <c r="AV410" i="3"/>
  <c r="AV411" i="3" s="1"/>
  <c r="AZ395" i="3"/>
  <c r="AX394" i="3"/>
  <c r="AX395" i="3"/>
  <c r="AX410" i="3"/>
  <c r="BE403" i="3"/>
  <c r="BE404" i="3"/>
  <c r="BF394" i="3"/>
  <c r="AJ281" i="3"/>
  <c r="BI351" i="3"/>
  <c r="BI352" i="3" s="1"/>
  <c r="BD353" i="3"/>
  <c r="BD354" i="3" s="1"/>
  <c r="BD400" i="3"/>
  <c r="BD401" i="3" s="1"/>
  <c r="AO411" i="3"/>
  <c r="BF400" i="3"/>
  <c r="BK398" i="3"/>
  <c r="BM400" i="3"/>
  <c r="BM402" i="3" s="1"/>
  <c r="BR398" i="3"/>
  <c r="BL391" i="3"/>
  <c r="BL393" i="3" s="1"/>
  <c r="BQ389" i="3"/>
  <c r="BK391" i="3"/>
  <c r="BK393" i="3" s="1"/>
  <c r="BP389" i="3"/>
  <c r="BH391" i="3"/>
  <c r="BM389" i="3"/>
  <c r="BE391" i="3"/>
  <c r="BE393" i="3" s="1"/>
  <c r="BF395" i="3" s="1"/>
  <c r="BJ389" i="3"/>
  <c r="BI389" i="3"/>
  <c r="BI390" i="3" s="1"/>
  <c r="AP412" i="3"/>
  <c r="AP411" i="3"/>
  <c r="BD391" i="3"/>
  <c r="BD392" i="3" s="1"/>
  <c r="AZ407" i="3"/>
  <c r="BI398" i="3"/>
  <c r="BI399" i="3" s="1"/>
  <c r="AQ412" i="3"/>
  <c r="AU408" i="3"/>
  <c r="AY407" i="3"/>
  <c r="BJ400" i="3"/>
  <c r="BJ402" i="3" s="1"/>
  <c r="BO398" i="3"/>
  <c r="BG400" i="3"/>
  <c r="BL398" i="3"/>
  <c r="AV362" i="3"/>
  <c r="AF192" i="3"/>
  <c r="BA358" i="3"/>
  <c r="BA361" i="3" s="1"/>
  <c r="BF356" i="3"/>
  <c r="AR365" i="3"/>
  <c r="AG205" i="3"/>
  <c r="AG195" i="3"/>
  <c r="BL351" i="3"/>
  <c r="BG353" i="3"/>
  <c r="BH353" i="3"/>
  <c r="BM351" i="3"/>
  <c r="BE358" i="3"/>
  <c r="BE361" i="3" s="1"/>
  <c r="BJ356" i="3"/>
  <c r="BB358" i="3"/>
  <c r="BB361" i="3" s="1"/>
  <c r="BG356" i="3"/>
  <c r="AG189" i="3"/>
  <c r="AY358" i="3"/>
  <c r="AY359" i="3" s="1"/>
  <c r="AH202" i="3"/>
  <c r="AH187" i="3"/>
  <c r="BF353" i="3"/>
  <c r="BK351" i="3"/>
  <c r="BD356" i="3"/>
  <c r="BD357" i="3" s="1"/>
  <c r="BH356" i="3"/>
  <c r="BC358" i="3"/>
  <c r="BC361" i="3" s="1"/>
  <c r="AZ361" i="3"/>
  <c r="AG209" i="3"/>
  <c r="AX361" i="3"/>
  <c r="BJ353" i="3"/>
  <c r="BO351" i="3"/>
  <c r="AU362" i="3"/>
  <c r="AY377" i="3"/>
  <c r="AY378" i="3" s="1"/>
  <c r="AX383" i="3"/>
  <c r="AX331" i="3" s="1"/>
  <c r="AX381" i="3"/>
  <c r="AK384" i="3"/>
  <c r="AK385" i="3"/>
  <c r="AO383" i="3"/>
  <c r="AQ384" i="3"/>
  <c r="BF377" i="3"/>
  <c r="BK375" i="3"/>
  <c r="BA372" i="3"/>
  <c r="BF370" i="3"/>
  <c r="BB377" i="3"/>
  <c r="BG375" i="3"/>
  <c r="BD375" i="3"/>
  <c r="BD376" i="3" s="1"/>
  <c r="AV383" i="3"/>
  <c r="AV331" i="3" s="1"/>
  <c r="AV381" i="3"/>
  <c r="AW380" i="3"/>
  <c r="BC377" i="3"/>
  <c r="BC380" i="3" s="1"/>
  <c r="BH375" i="3"/>
  <c r="AJ384" i="3"/>
  <c r="AJ386" i="3"/>
  <c r="AU380" i="3"/>
  <c r="AY372" i="3"/>
  <c r="AY373" i="3" s="1"/>
  <c r="BO375" i="3"/>
  <c r="BJ377" i="3"/>
  <c r="AP383" i="3"/>
  <c r="AP381" i="3"/>
  <c r="AT380" i="3"/>
  <c r="AR384" i="3"/>
  <c r="AR385" i="3"/>
  <c r="BM370" i="3"/>
  <c r="BH372" i="3"/>
  <c r="AZ372" i="3"/>
  <c r="BE370" i="3"/>
  <c r="BD370" i="3"/>
  <c r="BD371" i="3" s="1"/>
  <c r="BG372" i="3"/>
  <c r="BL370" i="3"/>
  <c r="AT361" i="3"/>
  <c r="AP364" i="3"/>
  <c r="AO364" i="3"/>
  <c r="AO367" i="3" s="1"/>
  <c r="AK365" i="3"/>
  <c r="AL366" i="3"/>
  <c r="AK366" i="3"/>
  <c r="AJ365" i="3"/>
  <c r="AJ367" i="3"/>
  <c r="BX299" i="3"/>
  <c r="AJ201" i="3"/>
  <c r="AJ202" i="3" s="1"/>
  <c r="AH203" i="3"/>
  <c r="AI203" i="3"/>
  <c r="AQ280" i="3"/>
  <c r="AQ279" i="3"/>
  <c r="CC298" i="3"/>
  <c r="CC295" i="3" s="1"/>
  <c r="CC296" i="3" s="1"/>
  <c r="AS252" i="3"/>
  <c r="AY246" i="3"/>
  <c r="AY247" i="3" s="1"/>
  <c r="AR279" i="3"/>
  <c r="AR280" i="3"/>
  <c r="CA299" i="3"/>
  <c r="CA300" i="3"/>
  <c r="CF298" i="3"/>
  <c r="CG300" i="3" s="1"/>
  <c r="CK291" i="3"/>
  <c r="CL293" i="3" s="1"/>
  <c r="CF293" i="3"/>
  <c r="BX296" i="3"/>
  <c r="CG299" i="3"/>
  <c r="CI298" i="3"/>
  <c r="CI293" i="3"/>
  <c r="CN291" i="3"/>
  <c r="BZ299" i="3"/>
  <c r="BZ300" i="3"/>
  <c r="CG293" i="3"/>
  <c r="CE298" i="3"/>
  <c r="CJ291" i="3"/>
  <c r="CE293" i="3"/>
  <c r="CL298" i="3"/>
  <c r="CQ291" i="3"/>
  <c r="CH291" i="3"/>
  <c r="CH292" i="3" s="1"/>
  <c r="CB300" i="3"/>
  <c r="CD299" i="3"/>
  <c r="CD300" i="3"/>
  <c r="AF205" i="3"/>
  <c r="AF209" i="3"/>
  <c r="AF210" i="3"/>
  <c r="AG210" i="3"/>
  <c r="AM202" i="3"/>
  <c r="AM228" i="3"/>
  <c r="AL201" i="3"/>
  <c r="AL254" i="3"/>
  <c r="AA210" i="3"/>
  <c r="AA209" i="3"/>
  <c r="AB210" i="3"/>
  <c r="AH205" i="3"/>
  <c r="AH209" i="3"/>
  <c r="AH210" i="3"/>
  <c r="AF202" i="3"/>
  <c r="AF203" i="3"/>
  <c r="AG203" i="3"/>
  <c r="AM287" i="3"/>
  <c r="AM288" i="3"/>
  <c r="AJ283" i="3"/>
  <c r="AJ284" i="3" s="1"/>
  <c r="AJ287" i="3"/>
  <c r="BD265" i="3"/>
  <c r="BD266" i="3" s="1"/>
  <c r="AJ260" i="3"/>
  <c r="AJ261" i="3" s="1"/>
  <c r="AF261" i="3"/>
  <c r="AF262" i="3"/>
  <c r="AQ287" i="3"/>
  <c r="AW276" i="3"/>
  <c r="AR288" i="3"/>
  <c r="AR287" i="3"/>
  <c r="AL261" i="3"/>
  <c r="AJ231" i="3"/>
  <c r="AJ232" i="3" s="1"/>
  <c r="AJ235" i="3"/>
  <c r="AK287" i="3"/>
  <c r="AK288" i="3"/>
  <c r="AR252" i="3"/>
  <c r="AM235" i="3"/>
  <c r="AN287" i="3"/>
  <c r="AN288" i="3"/>
  <c r="AG262" i="3"/>
  <c r="AV276" i="3"/>
  <c r="AV278" i="3"/>
  <c r="AW280" i="3" s="1"/>
  <c r="AY267" i="3"/>
  <c r="AY268" i="3" s="1"/>
  <c r="BF265" i="3"/>
  <c r="BA267" i="3"/>
  <c r="BA275" i="3" s="1"/>
  <c r="BA276" i="3" s="1"/>
  <c r="BJ265" i="3"/>
  <c r="BE267" i="3"/>
  <c r="AP279" i="3"/>
  <c r="AP280" i="3"/>
  <c r="AT278" i="3"/>
  <c r="AP286" i="3"/>
  <c r="AQ288" i="3" s="1"/>
  <c r="AS286" i="3"/>
  <c r="AS280" i="3"/>
  <c r="AS279" i="3"/>
  <c r="BG272" i="3"/>
  <c r="BL270" i="3"/>
  <c r="BC267" i="3"/>
  <c r="BC275" i="3" s="1"/>
  <c r="BH265" i="3"/>
  <c r="AX278" i="3"/>
  <c r="AX276" i="3"/>
  <c r="BL265" i="3"/>
  <c r="BG267" i="3"/>
  <c r="AO279" i="3"/>
  <c r="AO281" i="3"/>
  <c r="AY275" i="3"/>
  <c r="AY276" i="3" s="1"/>
  <c r="AU278" i="3"/>
  <c r="AU276" i="3"/>
  <c r="BB275" i="3"/>
  <c r="AO286" i="3"/>
  <c r="BH272" i="3"/>
  <c r="BM270" i="3"/>
  <c r="BF272" i="3"/>
  <c r="BK270" i="3"/>
  <c r="BE272" i="3"/>
  <c r="BJ270" i="3"/>
  <c r="BI270" i="3"/>
  <c r="BI271" i="3" s="1"/>
  <c r="BD272" i="3"/>
  <c r="BD273" i="3" s="1"/>
  <c r="AW279" i="3"/>
  <c r="AW286" i="3"/>
  <c r="AZ275" i="3"/>
  <c r="AW249" i="3"/>
  <c r="AW250" i="3" s="1"/>
  <c r="AT223" i="3"/>
  <c r="AT224" i="3" s="1"/>
  <c r="AX249" i="3"/>
  <c r="AX252" i="3" s="1"/>
  <c r="BB246" i="3"/>
  <c r="BG244" i="3"/>
  <c r="AK254" i="3"/>
  <c r="AO252" i="3"/>
  <c r="AK260" i="3"/>
  <c r="AK208" i="3" s="1"/>
  <c r="AK253" i="3"/>
  <c r="BC246" i="3"/>
  <c r="BH244" i="3"/>
  <c r="AJ255" i="3"/>
  <c r="AJ253" i="3"/>
  <c r="BD244" i="3"/>
  <c r="BD245" i="3" s="1"/>
  <c r="BE246" i="3"/>
  <c r="BJ244" i="3"/>
  <c r="AM260" i="3"/>
  <c r="AM208" i="3" s="1"/>
  <c r="AM253" i="3"/>
  <c r="AM254" i="3"/>
  <c r="AZ241" i="3"/>
  <c r="BE239" i="3"/>
  <c r="BD239" i="3"/>
  <c r="BD240" i="3" s="1"/>
  <c r="BC241" i="3"/>
  <c r="BH239" i="3"/>
  <c r="AU249" i="3"/>
  <c r="AY241" i="3"/>
  <c r="AY242" i="3" s="1"/>
  <c r="BF246" i="3"/>
  <c r="BK244" i="3"/>
  <c r="AP252" i="3"/>
  <c r="AP250" i="3"/>
  <c r="AT249" i="3"/>
  <c r="AT250" i="3" s="1"/>
  <c r="BB241" i="3"/>
  <c r="BG239" i="3"/>
  <c r="BA241" i="3"/>
  <c r="BA249" i="3" s="1"/>
  <c r="BF239" i="3"/>
  <c r="AN260" i="3"/>
  <c r="AN253" i="3"/>
  <c r="AN254" i="3"/>
  <c r="AQ260" i="3"/>
  <c r="AQ253" i="3"/>
  <c r="AV252" i="3"/>
  <c r="AV250" i="3"/>
  <c r="AQ224" i="3"/>
  <c r="AX223" i="3"/>
  <c r="AY223" i="3" s="1"/>
  <c r="AW224" i="3"/>
  <c r="AV224" i="3"/>
  <c r="BC215" i="3"/>
  <c r="BH213" i="3"/>
  <c r="AY220" i="3"/>
  <c r="AY221" i="3" s="1"/>
  <c r="BA220" i="3"/>
  <c r="BA223" i="3" s="1"/>
  <c r="BF218" i="3"/>
  <c r="BG215" i="3"/>
  <c r="BL213" i="3"/>
  <c r="AS224" i="3"/>
  <c r="BE220" i="3"/>
  <c r="BE223" i="3" s="1"/>
  <c r="BJ218" i="3"/>
  <c r="BD218" i="3"/>
  <c r="BD219" i="3" s="1"/>
  <c r="BG218" i="3"/>
  <c r="BB220" i="3"/>
  <c r="BB223" i="3" s="1"/>
  <c r="AL228" i="3"/>
  <c r="AL234" i="3"/>
  <c r="AL208" i="3" s="1"/>
  <c r="AL227" i="3"/>
  <c r="AO226" i="3"/>
  <c r="BJ215" i="3"/>
  <c r="BO213" i="3"/>
  <c r="BC220" i="3"/>
  <c r="BH218" i="3"/>
  <c r="BF215" i="3"/>
  <c r="BK213" i="3"/>
  <c r="AZ224" i="3"/>
  <c r="AY215" i="3"/>
  <c r="AY216" i="3" s="1"/>
  <c r="BD213" i="3"/>
  <c r="BD214" i="3" s="1"/>
  <c r="Y110" i="3"/>
  <c r="AM155" i="3"/>
  <c r="AM147" i="3"/>
  <c r="AI148" i="3"/>
  <c r="AI147" i="3"/>
  <c r="AI155" i="3"/>
  <c r="AI157" i="3" s="1"/>
  <c r="AK155" i="3"/>
  <c r="AK148" i="3"/>
  <c r="AK147" i="3"/>
  <c r="AE138" i="3"/>
  <c r="AG148" i="3"/>
  <c r="AG155" i="3"/>
  <c r="AG157" i="3" s="1"/>
  <c r="AJ146" i="3"/>
  <c r="AJ141" i="3"/>
  <c r="AE142" i="3"/>
  <c r="AE141" i="3"/>
  <c r="AN137" i="3"/>
  <c r="AN143" i="3" s="1"/>
  <c r="AN146" i="3" s="1"/>
  <c r="AQ140" i="3"/>
  <c r="AJ137" i="3"/>
  <c r="AJ143" i="3" s="1"/>
  <c r="Z144" i="3"/>
  <c r="Z142" i="3"/>
  <c r="AP137" i="3"/>
  <c r="AP143" i="3" s="1"/>
  <c r="AP146" i="3" s="1"/>
  <c r="AK144" i="3"/>
  <c r="Z139" i="3"/>
  <c r="AF139" i="3"/>
  <c r="AB144" i="3"/>
  <c r="AB142" i="3"/>
  <c r="AP140" i="3"/>
  <c r="AS140" i="3"/>
  <c r="AD144" i="3"/>
  <c r="AD142" i="3"/>
  <c r="AG139" i="3"/>
  <c r="AL137" i="3"/>
  <c r="AL143" i="3" s="1"/>
  <c r="AL146" i="3" s="1"/>
  <c r="AM148" i="3" s="1"/>
  <c r="AF142" i="3"/>
  <c r="AM140" i="3"/>
  <c r="AO140" i="3" s="1"/>
  <c r="AO141" i="3" s="1"/>
  <c r="AR137" i="3"/>
  <c r="AR143" i="3" s="1"/>
  <c r="AR146" i="3" s="1"/>
  <c r="U110" i="3"/>
  <c r="Z114" i="3"/>
  <c r="Z115" i="3" s="1"/>
  <c r="Z109" i="3"/>
  <c r="BA111" i="3"/>
  <c r="BF111" i="3" s="1"/>
  <c r="BK111" i="3" s="1"/>
  <c r="V124" i="3"/>
  <c r="W126" i="3" s="1"/>
  <c r="Z117" i="3"/>
  <c r="AC114" i="3"/>
  <c r="AC110" i="3" s="1"/>
  <c r="AH108" i="3"/>
  <c r="AC117" i="3"/>
  <c r="U113" i="3"/>
  <c r="X124" i="3"/>
  <c r="X118" i="3"/>
  <c r="N134" i="3"/>
  <c r="X113" i="3"/>
  <c r="X115" i="3"/>
  <c r="Z112" i="3"/>
  <c r="AB118" i="3"/>
  <c r="AB124" i="3"/>
  <c r="V115" i="3"/>
  <c r="V113" i="3"/>
  <c r="AA114" i="3"/>
  <c r="AA117" i="3"/>
  <c r="AF108" i="3"/>
  <c r="AE108" i="3"/>
  <c r="AI108" i="3"/>
  <c r="AD114" i="3"/>
  <c r="AD115" i="3" s="1"/>
  <c r="AD117" i="3"/>
  <c r="AP120" i="3"/>
  <c r="AU111" i="3"/>
  <c r="Y113" i="3"/>
  <c r="P132" i="3"/>
  <c r="Y124" i="3"/>
  <c r="Y118" i="3"/>
  <c r="O134" i="3"/>
  <c r="AI111" i="3"/>
  <c r="AD120" i="3"/>
  <c r="AE111" i="3"/>
  <c r="AG114" i="3"/>
  <c r="AG110" i="3" s="1"/>
  <c r="AL108" i="3"/>
  <c r="AG117" i="3"/>
  <c r="W132" i="3"/>
  <c r="T132" i="3"/>
  <c r="T125" i="3"/>
  <c r="Y121" i="3"/>
  <c r="Z120" i="3"/>
  <c r="AB115" i="3"/>
  <c r="AB113" i="3"/>
  <c r="AN236" i="3" l="1"/>
  <c r="AN208" i="3"/>
  <c r="AJ208" i="3"/>
  <c r="AJ209" i="3" s="1"/>
  <c r="AI210" i="3"/>
  <c r="AI195" i="3"/>
  <c r="AI192" i="3" s="1"/>
  <c r="AI209" i="3"/>
  <c r="AN203" i="3"/>
  <c r="AV229" i="3"/>
  <c r="AV226" i="3" s="1"/>
  <c r="AV201" i="3" s="1"/>
  <c r="AV187" i="3" s="1"/>
  <c r="AR260" i="3"/>
  <c r="AR261" i="3" s="1"/>
  <c r="AR229" i="3"/>
  <c r="AR226" i="3" s="1"/>
  <c r="AR201" i="3" s="1"/>
  <c r="AX229" i="3"/>
  <c r="AX226" i="3" s="1"/>
  <c r="AX234" i="3" s="1"/>
  <c r="AQ254" i="3"/>
  <c r="AP229" i="3"/>
  <c r="AP226" i="3" s="1"/>
  <c r="AQ228" i="3" s="1"/>
  <c r="AS260" i="3"/>
  <c r="AS229" i="3"/>
  <c r="AS226" i="3" s="1"/>
  <c r="AS227" i="3" s="1"/>
  <c r="AG53" i="3"/>
  <c r="BN432" i="3"/>
  <c r="BN434" i="3"/>
  <c r="BO335" i="3"/>
  <c r="BO432" i="3"/>
  <c r="BO433" i="3"/>
  <c r="BQ434" i="3"/>
  <c r="BP431" i="3"/>
  <c r="AM340" i="3"/>
  <c r="AF52" i="3"/>
  <c r="AN340" i="3"/>
  <c r="AN319" i="3"/>
  <c r="AI303" i="3"/>
  <c r="AM318" i="3"/>
  <c r="AN320" i="3" s="1"/>
  <c r="AL318" i="3"/>
  <c r="AL455" i="3" s="1"/>
  <c r="AL303" i="3" s="1"/>
  <c r="AT362" i="3"/>
  <c r="AT381" i="3"/>
  <c r="AY408" i="3"/>
  <c r="AI326" i="3"/>
  <c r="BA380" i="3"/>
  <c r="BA383" i="3" s="1"/>
  <c r="BA331" i="3" s="1"/>
  <c r="AI322" i="3"/>
  <c r="AI323" i="3" s="1"/>
  <c r="AF62" i="3"/>
  <c r="AF63" i="3"/>
  <c r="BP111" i="3"/>
  <c r="BV111" i="3"/>
  <c r="AH197" i="3"/>
  <c r="AG61" i="3"/>
  <c r="AJ187" i="3"/>
  <c r="AH52" i="3"/>
  <c r="AM346" i="3"/>
  <c r="AM325" i="3" s="1"/>
  <c r="AS304" i="3"/>
  <c r="AQ367" i="3"/>
  <c r="AQ365" i="3"/>
  <c r="AR366" i="3"/>
  <c r="AN463" i="3"/>
  <c r="AN312" i="3" s="1"/>
  <c r="AF304" i="3"/>
  <c r="AF305" i="3"/>
  <c r="AG305" i="3"/>
  <c r="AH304" i="3"/>
  <c r="AH305" i="3"/>
  <c r="AR458" i="3"/>
  <c r="AR463" i="3"/>
  <c r="AS458" i="3"/>
  <c r="AS463" i="3"/>
  <c r="AS456" i="3"/>
  <c r="AS457" i="3"/>
  <c r="AF308" i="3"/>
  <c r="AF313" i="3"/>
  <c r="AF314" i="3"/>
  <c r="AG308" i="3"/>
  <c r="AG313" i="3"/>
  <c r="AG314" i="3"/>
  <c r="BY442" i="3"/>
  <c r="BT450" i="3"/>
  <c r="AM338" i="3"/>
  <c r="AN339" i="3"/>
  <c r="AV412" i="3"/>
  <c r="AQ318" i="3"/>
  <c r="AM339" i="3"/>
  <c r="AS319" i="3"/>
  <c r="AS320" i="3"/>
  <c r="AJ346" i="3"/>
  <c r="AN326" i="3"/>
  <c r="CJ437" i="3"/>
  <c r="CK439" i="3" s="1"/>
  <c r="CE336" i="3"/>
  <c r="CH336" i="3" s="1"/>
  <c r="AF322" i="3"/>
  <c r="AF323" i="3" s="1"/>
  <c r="AF319" i="3"/>
  <c r="AF320" i="3"/>
  <c r="AG320" i="3"/>
  <c r="AH348" i="3"/>
  <c r="AH325" i="3"/>
  <c r="AH312" i="3" s="1"/>
  <c r="AH61" i="3" s="1"/>
  <c r="CE439" i="3"/>
  <c r="AN322" i="3"/>
  <c r="AF327" i="3"/>
  <c r="AF326" i="3"/>
  <c r="CH437" i="3"/>
  <c r="CH438" i="3" s="1"/>
  <c r="AG326" i="3"/>
  <c r="AG322" i="3"/>
  <c r="AG323" i="3" s="1"/>
  <c r="AG327" i="3"/>
  <c r="BS442" i="3"/>
  <c r="BS443" i="3" s="1"/>
  <c r="BQ450" i="3"/>
  <c r="BS450" i="3" s="1"/>
  <c r="BV442" i="3"/>
  <c r="AG348" i="3"/>
  <c r="BN446" i="3"/>
  <c r="AH320" i="3"/>
  <c r="AH319" i="3"/>
  <c r="AI320" i="3"/>
  <c r="AQ385" i="3"/>
  <c r="AP331" i="3"/>
  <c r="AV413" i="3"/>
  <c r="AV332" i="3"/>
  <c r="AV318" i="3" s="1"/>
  <c r="AV455" i="3" s="1"/>
  <c r="AW413" i="3"/>
  <c r="AW332" i="3"/>
  <c r="AO337" i="3"/>
  <c r="CK336" i="3"/>
  <c r="CP437" i="3"/>
  <c r="AK337" i="3"/>
  <c r="AK340" i="3" s="1"/>
  <c r="CE442" i="3"/>
  <c r="BZ450" i="3"/>
  <c r="AL338" i="3"/>
  <c r="AL346" i="3"/>
  <c r="AL325" i="3" s="1"/>
  <c r="CL336" i="3"/>
  <c r="CQ437" i="3"/>
  <c r="CL439" i="3"/>
  <c r="AN347" i="3"/>
  <c r="AX413" i="3"/>
  <c r="AX332" i="3"/>
  <c r="AX330" i="3" s="1"/>
  <c r="AX364" i="3" s="1"/>
  <c r="AS346" i="3"/>
  <c r="AS325" i="3" s="1"/>
  <c r="AS338" i="3"/>
  <c r="AS339" i="3"/>
  <c r="AP330" i="3"/>
  <c r="BW450" i="3"/>
  <c r="CB442" i="3"/>
  <c r="AR346" i="3"/>
  <c r="AR325" i="3" s="1"/>
  <c r="AR338" i="3"/>
  <c r="AT332" i="3"/>
  <c r="CI336" i="3"/>
  <c r="CN437" i="3"/>
  <c r="AW412" i="3"/>
  <c r="AI348" i="3"/>
  <c r="AX412" i="3"/>
  <c r="AX411" i="3"/>
  <c r="BZ427" i="3"/>
  <c r="BV420" i="3"/>
  <c r="BU417" i="3"/>
  <c r="BU333" i="3" s="1"/>
  <c r="AY413" i="3"/>
  <c r="BW424" i="3"/>
  <c r="BJ403" i="3"/>
  <c r="BJ404" i="3"/>
  <c r="BM403" i="3"/>
  <c r="BC395" i="3"/>
  <c r="BC394" i="3"/>
  <c r="BC410" i="3"/>
  <c r="BC411" i="3" s="1"/>
  <c r="BE395" i="3"/>
  <c r="BE394" i="3"/>
  <c r="BE410" i="3"/>
  <c r="BE332" i="3" s="1"/>
  <c r="BF407" i="3"/>
  <c r="BF408" i="3" s="1"/>
  <c r="BF402" i="3"/>
  <c r="AZ413" i="3"/>
  <c r="BD393" i="3"/>
  <c r="BA403" i="3"/>
  <c r="BA404" i="3"/>
  <c r="BA410" i="3"/>
  <c r="BD402" i="3"/>
  <c r="BG407" i="3"/>
  <c r="BG408" i="3" s="1"/>
  <c r="BG402" i="3"/>
  <c r="BH407" i="3"/>
  <c r="BH408" i="3" s="1"/>
  <c r="BH393" i="3"/>
  <c r="BB404" i="3"/>
  <c r="BB403" i="3"/>
  <c r="BB410" i="3"/>
  <c r="BB411" i="3" s="1"/>
  <c r="BC404" i="3"/>
  <c r="BK394" i="3"/>
  <c r="AY405" i="3"/>
  <c r="AY403" i="3"/>
  <c r="BL395" i="3"/>
  <c r="BL394" i="3"/>
  <c r="AH192" i="3"/>
  <c r="BI400" i="3"/>
  <c r="BI401" i="3" s="1"/>
  <c r="BN351" i="3"/>
  <c r="BN352" i="3" s="1"/>
  <c r="BI353" i="3"/>
  <c r="BI354" i="3" s="1"/>
  <c r="AU411" i="3"/>
  <c r="AU412" i="3"/>
  <c r="BE407" i="3"/>
  <c r="BI391" i="3"/>
  <c r="BI392" i="3" s="1"/>
  <c r="BR400" i="3"/>
  <c r="BW398" i="3"/>
  <c r="BK400" i="3"/>
  <c r="BK402" i="3" s="1"/>
  <c r="BP398" i="3"/>
  <c r="BL400" i="3"/>
  <c r="BQ398" i="3"/>
  <c r="AZ408" i="3"/>
  <c r="BD407" i="3"/>
  <c r="BM391" i="3"/>
  <c r="BR389" i="3"/>
  <c r="BN398" i="3"/>
  <c r="BN399" i="3" s="1"/>
  <c r="BP391" i="3"/>
  <c r="BP393" i="3" s="1"/>
  <c r="BU389" i="3"/>
  <c r="BO400" i="3"/>
  <c r="BO402" i="3" s="1"/>
  <c r="BT398" i="3"/>
  <c r="AT411" i="3"/>
  <c r="BQ391" i="3"/>
  <c r="BQ393" i="3" s="1"/>
  <c r="BV389" i="3"/>
  <c r="BN389" i="3"/>
  <c r="BN390" i="3" s="1"/>
  <c r="BJ391" i="3"/>
  <c r="BJ393" i="3" s="1"/>
  <c r="BJ410" i="3" s="1"/>
  <c r="BO389" i="3"/>
  <c r="BB362" i="3"/>
  <c r="BC362" i="3"/>
  <c r="BA362" i="3"/>
  <c r="BG358" i="3"/>
  <c r="BG361" i="3" s="1"/>
  <c r="BL356" i="3"/>
  <c r="BF358" i="3"/>
  <c r="BF361" i="3" s="1"/>
  <c r="BK356" i="3"/>
  <c r="AZ362" i="3"/>
  <c r="BD361" i="3"/>
  <c r="BD358" i="3"/>
  <c r="BD359" i="3" s="1"/>
  <c r="BQ351" i="3"/>
  <c r="BL353" i="3"/>
  <c r="BH358" i="3"/>
  <c r="BH361" i="3" s="1"/>
  <c r="BM356" i="3"/>
  <c r="BE362" i="3"/>
  <c r="BO353" i="3"/>
  <c r="BT351" i="3"/>
  <c r="BK353" i="3"/>
  <c r="BP351" i="3"/>
  <c r="BJ358" i="3"/>
  <c r="BO356" i="3"/>
  <c r="AX362" i="3"/>
  <c r="AH189" i="3"/>
  <c r="AI189" i="3"/>
  <c r="BI356" i="3"/>
  <c r="BI357" i="3" s="1"/>
  <c r="AG197" i="3"/>
  <c r="AG192" i="3"/>
  <c r="AY361" i="3"/>
  <c r="BR351" i="3"/>
  <c r="BM353" i="3"/>
  <c r="BD377" i="3"/>
  <c r="BD378" i="3" s="1"/>
  <c r="BC383" i="3"/>
  <c r="BC331" i="3" s="1"/>
  <c r="BC381" i="3"/>
  <c r="BE372" i="3"/>
  <c r="BJ370" i="3"/>
  <c r="BI370" i="3"/>
  <c r="BI371" i="3" s="1"/>
  <c r="AU381" i="3"/>
  <c r="AY380" i="3"/>
  <c r="AU383" i="3"/>
  <c r="AU331" i="3" s="1"/>
  <c r="BM372" i="3"/>
  <c r="BR370" i="3"/>
  <c r="BP375" i="3"/>
  <c r="BK377" i="3"/>
  <c r="BH377" i="3"/>
  <c r="BH380" i="3" s="1"/>
  <c r="BM375" i="3"/>
  <c r="BF372" i="3"/>
  <c r="BF380" i="3" s="1"/>
  <c r="BK370" i="3"/>
  <c r="BB380" i="3"/>
  <c r="AW381" i="3"/>
  <c r="AW383" i="3"/>
  <c r="AW331" i="3" s="1"/>
  <c r="AO386" i="3"/>
  <c r="AO384" i="3"/>
  <c r="BL372" i="3"/>
  <c r="BQ370" i="3"/>
  <c r="AP385" i="3"/>
  <c r="AP384" i="3"/>
  <c r="AV384" i="3"/>
  <c r="AZ380" i="3"/>
  <c r="BD372" i="3"/>
  <c r="BD373" i="3" s="1"/>
  <c r="BO377" i="3"/>
  <c r="BT375" i="3"/>
  <c r="BG377" i="3"/>
  <c r="BL375" i="3"/>
  <c r="BI375" i="3"/>
  <c r="BI376" i="3" s="1"/>
  <c r="AO365" i="3"/>
  <c r="AQ366" i="3"/>
  <c r="AP366" i="3"/>
  <c r="AP365" i="3"/>
  <c r="CC299" i="3"/>
  <c r="AR254" i="3"/>
  <c r="AR253" i="3"/>
  <c r="AS253" i="3"/>
  <c r="AS254" i="3"/>
  <c r="CL299" i="3"/>
  <c r="CJ298" i="3"/>
  <c r="CJ293" i="3"/>
  <c r="CO291" i="3"/>
  <c r="CE300" i="3"/>
  <c r="CE299" i="3"/>
  <c r="CK298" i="3"/>
  <c r="CK293" i="3"/>
  <c r="CP291" i="3"/>
  <c r="AJ257" i="3"/>
  <c r="AJ258" i="3" s="1"/>
  <c r="CF300" i="3"/>
  <c r="CF299" i="3"/>
  <c r="CH298" i="3"/>
  <c r="CN293" i="3"/>
  <c r="CS291" i="3"/>
  <c r="CN298" i="3"/>
  <c r="CM291" i="3"/>
  <c r="CM292" i="3" s="1"/>
  <c r="CV291" i="3"/>
  <c r="CQ298" i="3"/>
  <c r="CI300" i="3"/>
  <c r="CI299" i="3"/>
  <c r="AX250" i="3"/>
  <c r="BA278" i="3"/>
  <c r="BA286" i="3" s="1"/>
  <c r="AN205" i="3"/>
  <c r="AN206" i="3" s="1"/>
  <c r="AN210" i="3"/>
  <c r="AN209" i="3"/>
  <c r="AM205" i="3"/>
  <c r="AM206" i="3" s="1"/>
  <c r="AM210" i="3"/>
  <c r="AM209" i="3"/>
  <c r="AL202" i="3"/>
  <c r="AL203" i="3"/>
  <c r="AK209" i="3"/>
  <c r="AK210" i="3"/>
  <c r="AK205" i="3"/>
  <c r="AK206" i="3" s="1"/>
  <c r="AM203" i="3"/>
  <c r="AO208" i="3"/>
  <c r="AL210" i="3"/>
  <c r="AL209" i="3"/>
  <c r="AL205" i="3"/>
  <c r="AL206" i="3" s="1"/>
  <c r="AQ234" i="3"/>
  <c r="AQ208" i="3" s="1"/>
  <c r="AQ195" i="3" s="1"/>
  <c r="AQ201" i="3"/>
  <c r="AQ187" i="3" s="1"/>
  <c r="AM236" i="3"/>
  <c r="AK202" i="3"/>
  <c r="AK203" i="3"/>
  <c r="AV286" i="3"/>
  <c r="AW288" i="3" s="1"/>
  <c r="AO201" i="3"/>
  <c r="AO202" i="3" s="1"/>
  <c r="AO283" i="3"/>
  <c r="AO284" i="3" s="1"/>
  <c r="AO287" i="3"/>
  <c r="AM261" i="3"/>
  <c r="AM262" i="3"/>
  <c r="AK262" i="3"/>
  <c r="AK261" i="3"/>
  <c r="AW287" i="3"/>
  <c r="AQ261" i="3"/>
  <c r="AY224" i="3"/>
  <c r="AO234" i="3"/>
  <c r="AO235" i="3" s="1"/>
  <c r="AL236" i="3"/>
  <c r="AL235" i="3"/>
  <c r="AN261" i="3"/>
  <c r="AN262" i="3"/>
  <c r="AL262" i="3"/>
  <c r="AS288" i="3"/>
  <c r="AS287" i="3"/>
  <c r="AP287" i="3"/>
  <c r="AP288" i="3"/>
  <c r="AT286" i="3"/>
  <c r="AT287" i="3" s="1"/>
  <c r="AV279" i="3"/>
  <c r="AV280" i="3"/>
  <c r="BD267" i="3"/>
  <c r="BD268" i="3" s="1"/>
  <c r="BK265" i="3"/>
  <c r="BF267" i="3"/>
  <c r="BF275" i="3" s="1"/>
  <c r="BL267" i="3"/>
  <c r="BQ265" i="3"/>
  <c r="BM272" i="3"/>
  <c r="BR270" i="3"/>
  <c r="AX286" i="3"/>
  <c r="AX280" i="3"/>
  <c r="AX279" i="3"/>
  <c r="AZ278" i="3"/>
  <c r="AZ276" i="3"/>
  <c r="BD275" i="3"/>
  <c r="BD276" i="3" s="1"/>
  <c r="AT281" i="3"/>
  <c r="AT279" i="3"/>
  <c r="BB278" i="3"/>
  <c r="BB276" i="3"/>
  <c r="BM265" i="3"/>
  <c r="BH267" i="3"/>
  <c r="BH275" i="3" s="1"/>
  <c r="BH278" i="3" s="1"/>
  <c r="BC276" i="3"/>
  <c r="BC278" i="3"/>
  <c r="AU280" i="3"/>
  <c r="AU286" i="3"/>
  <c r="AY278" i="3"/>
  <c r="AU279" i="3"/>
  <c r="BL272" i="3"/>
  <c r="BQ270" i="3"/>
  <c r="BJ272" i="3"/>
  <c r="BO270" i="3"/>
  <c r="BN270" i="3"/>
  <c r="BN271" i="3" s="1"/>
  <c r="BE275" i="3"/>
  <c r="BI272" i="3"/>
  <c r="BI273" i="3" s="1"/>
  <c r="BI265" i="3"/>
  <c r="BI266" i="3" s="1"/>
  <c r="BK272" i="3"/>
  <c r="BP270" i="3"/>
  <c r="BG275" i="3"/>
  <c r="BJ267" i="3"/>
  <c r="BO265" i="3"/>
  <c r="AW252" i="3"/>
  <c r="AQ227" i="3"/>
  <c r="BD246" i="3"/>
  <c r="BD247" i="3" s="1"/>
  <c r="BF241" i="3"/>
  <c r="BF249" i="3" s="1"/>
  <c r="BK239" i="3"/>
  <c r="AY249" i="3"/>
  <c r="AY250" i="3" s="1"/>
  <c r="AU252" i="3"/>
  <c r="AU250" i="3"/>
  <c r="BH246" i="3"/>
  <c r="BM244" i="3"/>
  <c r="BA252" i="3"/>
  <c r="BA250" i="3"/>
  <c r="BG241" i="3"/>
  <c r="BL239" i="3"/>
  <c r="BD241" i="3"/>
  <c r="BD242" i="3" s="1"/>
  <c r="AZ249" i="3"/>
  <c r="BB249" i="3"/>
  <c r="BH241" i="3"/>
  <c r="BM239" i="3"/>
  <c r="BI244" i="3"/>
  <c r="BI245" i="3" s="1"/>
  <c r="AO260" i="3"/>
  <c r="BC249" i="3"/>
  <c r="BJ246" i="3"/>
  <c r="BO244" i="3"/>
  <c r="AO253" i="3"/>
  <c r="AO255" i="3"/>
  <c r="BK246" i="3"/>
  <c r="BP244" i="3"/>
  <c r="AV260" i="3"/>
  <c r="AV253" i="3"/>
  <c r="AP260" i="3"/>
  <c r="AP253" i="3"/>
  <c r="AP254" i="3"/>
  <c r="AT252" i="3"/>
  <c r="AX260" i="3"/>
  <c r="AX253" i="3"/>
  <c r="BE241" i="3"/>
  <c r="BI239" i="3"/>
  <c r="BI240" i="3" s="1"/>
  <c r="BJ239" i="3"/>
  <c r="BG246" i="3"/>
  <c r="BL244" i="3"/>
  <c r="BC223" i="3"/>
  <c r="BD223" i="3" s="1"/>
  <c r="AX224" i="3"/>
  <c r="BB224" i="3"/>
  <c r="BH215" i="3"/>
  <c r="BM213" i="3"/>
  <c r="AO229" i="3"/>
  <c r="AO227" i="3"/>
  <c r="BT213" i="3"/>
  <c r="BY213" i="3" s="1"/>
  <c r="BO215" i="3"/>
  <c r="BE224" i="3"/>
  <c r="BD220" i="3"/>
  <c r="BD221" i="3" s="1"/>
  <c r="BI213" i="3"/>
  <c r="BI214" i="3" s="1"/>
  <c r="BA224" i="3"/>
  <c r="BG220" i="3"/>
  <c r="BG223" i="3" s="1"/>
  <c r="BL218" i="3"/>
  <c r="BK215" i="3"/>
  <c r="BP213" i="3"/>
  <c r="BI218" i="3"/>
  <c r="BI219" i="3" s="1"/>
  <c r="BK218" i="3"/>
  <c r="BF220" i="3"/>
  <c r="BF223" i="3" s="1"/>
  <c r="BL215" i="3"/>
  <c r="BQ213" i="3"/>
  <c r="BJ220" i="3"/>
  <c r="BO218" i="3"/>
  <c r="BH220" i="3"/>
  <c r="BM218" i="3"/>
  <c r="BD215" i="3"/>
  <c r="BD216" i="3" s="1"/>
  <c r="AO146" i="3"/>
  <c r="AO147" i="3" s="1"/>
  <c r="AD110" i="3"/>
  <c r="AH157" i="3"/>
  <c r="AN147" i="3"/>
  <c r="AN155" i="3"/>
  <c r="AN148" i="3"/>
  <c r="AD124" i="3"/>
  <c r="AK157" i="3"/>
  <c r="AK156" i="3"/>
  <c r="AJ149" i="3"/>
  <c r="AR147" i="3"/>
  <c r="AJ155" i="3"/>
  <c r="AP147" i="3"/>
  <c r="AP148" i="3"/>
  <c r="AL155" i="3"/>
  <c r="AL147" i="3"/>
  <c r="AL148" i="3"/>
  <c r="AM156" i="3"/>
  <c r="AD113" i="3"/>
  <c r="AE139" i="3"/>
  <c r="AE144" i="3"/>
  <c r="AM144" i="3"/>
  <c r="AH144" i="3"/>
  <c r="AH139" i="3"/>
  <c r="AH142" i="3"/>
  <c r="AP144" i="3"/>
  <c r="AU137" i="3"/>
  <c r="AU143" i="3" s="1"/>
  <c r="AU146" i="3" s="1"/>
  <c r="AU155" i="3" s="1"/>
  <c r="AK139" i="3"/>
  <c r="AX140" i="3"/>
  <c r="AJ138" i="3"/>
  <c r="AJ139" i="3"/>
  <c r="AR140" i="3"/>
  <c r="AT140" i="3" s="1"/>
  <c r="AT141" i="3" s="1"/>
  <c r="AK142" i="3"/>
  <c r="AV140" i="3"/>
  <c r="AW137" i="3"/>
  <c r="AW143" i="3" s="1"/>
  <c r="AI144" i="3"/>
  <c r="AI142" i="3"/>
  <c r="AM139" i="3"/>
  <c r="AU140" i="3"/>
  <c r="AQ137" i="3"/>
  <c r="AQ143" i="3" s="1"/>
  <c r="AQ146" i="3" s="1"/>
  <c r="AR148" i="3" s="1"/>
  <c r="AL139" i="3"/>
  <c r="AS137" i="3"/>
  <c r="AS143" i="3" s="1"/>
  <c r="AS146" i="3" s="1"/>
  <c r="AN139" i="3"/>
  <c r="AI139" i="3"/>
  <c r="AG144" i="3"/>
  <c r="AG142" i="3"/>
  <c r="AO137" i="3"/>
  <c r="AO143" i="3" s="1"/>
  <c r="Z113" i="3"/>
  <c r="AU120" i="3"/>
  <c r="AZ111" i="3"/>
  <c r="BE111" i="3" s="1"/>
  <c r="BJ111" i="3" s="1"/>
  <c r="BA120" i="3"/>
  <c r="AP121" i="3"/>
  <c r="X132" i="3"/>
  <c r="X126" i="3"/>
  <c r="Z122" i="3"/>
  <c r="AC124" i="3"/>
  <c r="AC125" i="3" s="1"/>
  <c r="AC118" i="3"/>
  <c r="AE112" i="3"/>
  <c r="AM108" i="3"/>
  <c r="AH117" i="3"/>
  <c r="AH114" i="3"/>
  <c r="Y132" i="3"/>
  <c r="Y126" i="3"/>
  <c r="Y125" i="3"/>
  <c r="AD118" i="3"/>
  <c r="AN108" i="3"/>
  <c r="AI114" i="3"/>
  <c r="AI115" i="3" s="1"/>
  <c r="AI117" i="3"/>
  <c r="AC115" i="3"/>
  <c r="AC113" i="3"/>
  <c r="Z110" i="3"/>
  <c r="AB132" i="3"/>
  <c r="AB125" i="3"/>
  <c r="AD121" i="3"/>
  <c r="AE120" i="3"/>
  <c r="P128" i="3"/>
  <c r="AE109" i="3"/>
  <c r="AE114" i="3"/>
  <c r="AE115" i="3" s="1"/>
  <c r="Z119" i="3"/>
  <c r="Z124" i="3"/>
  <c r="AA115" i="3"/>
  <c r="AA113" i="3"/>
  <c r="AG124" i="3"/>
  <c r="AG118" i="3"/>
  <c r="AL114" i="3"/>
  <c r="AL110" i="3" s="1"/>
  <c r="AQ108" i="3"/>
  <c r="AL117" i="3"/>
  <c r="AG115" i="3"/>
  <c r="AG113" i="3"/>
  <c r="AN111" i="3"/>
  <c r="AI120" i="3"/>
  <c r="AJ111" i="3"/>
  <c r="AA110" i="3"/>
  <c r="V132" i="3"/>
  <c r="V134" i="3" s="1"/>
  <c r="V126" i="3"/>
  <c r="T133" i="3"/>
  <c r="AJ108" i="3"/>
  <c r="AF117" i="3"/>
  <c r="AK108" i="3"/>
  <c r="AF114" i="3"/>
  <c r="AF110" i="3" s="1"/>
  <c r="AE117" i="3"/>
  <c r="AA118" i="3"/>
  <c r="AA124" i="3"/>
  <c r="AV227" i="3" l="1"/>
  <c r="AV234" i="3"/>
  <c r="AR262" i="3"/>
  <c r="AI61" i="3"/>
  <c r="AI62" i="3" s="1"/>
  <c r="AJ195" i="3"/>
  <c r="AJ192" i="3" s="1"/>
  <c r="AS262" i="3"/>
  <c r="AI197" i="3"/>
  <c r="AR228" i="3"/>
  <c r="AP201" i="3"/>
  <c r="AP187" i="3" s="1"/>
  <c r="AJ205" i="3"/>
  <c r="AS261" i="3"/>
  <c r="AS201" i="3"/>
  <c r="AS202" i="3" s="1"/>
  <c r="AS234" i="3"/>
  <c r="AS208" i="3" s="1"/>
  <c r="AS195" i="3" s="1"/>
  <c r="AT226" i="3"/>
  <c r="AT227" i="3" s="1"/>
  <c r="AS228" i="3"/>
  <c r="AG54" i="3"/>
  <c r="BA229" i="3"/>
  <c r="AW254" i="3"/>
  <c r="AW229" i="3"/>
  <c r="AW226" i="3" s="1"/>
  <c r="AX228" i="3" s="1"/>
  <c r="AP234" i="3"/>
  <c r="AP228" i="3"/>
  <c r="AP227" i="3"/>
  <c r="AU229" i="3"/>
  <c r="AU226" i="3" s="1"/>
  <c r="AU201" i="3" s="1"/>
  <c r="AU187" i="3" s="1"/>
  <c r="AR227" i="3"/>
  <c r="AR234" i="3"/>
  <c r="BP335" i="3"/>
  <c r="BP432" i="3"/>
  <c r="BP433" i="3"/>
  <c r="BR434" i="3"/>
  <c r="BQ431" i="3"/>
  <c r="AI305" i="3"/>
  <c r="AN304" i="3"/>
  <c r="AI304" i="3"/>
  <c r="AI52" i="3"/>
  <c r="AJ303" i="3"/>
  <c r="AJ304" i="3" s="1"/>
  <c r="AI308" i="3"/>
  <c r="AI309" i="3" s="1"/>
  <c r="BD224" i="3"/>
  <c r="AF53" i="3"/>
  <c r="AH54" i="3"/>
  <c r="AQ52" i="3"/>
  <c r="AF54" i="3"/>
  <c r="AL340" i="3"/>
  <c r="AV52" i="3"/>
  <c r="AL319" i="3"/>
  <c r="AM322" i="3"/>
  <c r="AM320" i="3"/>
  <c r="AM319" i="3"/>
  <c r="AR319" i="3"/>
  <c r="AM455" i="3"/>
  <c r="AM303" i="3" s="1"/>
  <c r="AK318" i="3"/>
  <c r="AK320" i="3" s="1"/>
  <c r="BD408" i="3"/>
  <c r="AY381" i="3"/>
  <c r="BA381" i="3"/>
  <c r="AY362" i="3"/>
  <c r="AN323" i="3"/>
  <c r="AN348" i="3"/>
  <c r="AG62" i="3"/>
  <c r="AG63" i="3"/>
  <c r="AH63" i="3"/>
  <c r="AH62" i="3"/>
  <c r="AH53" i="3"/>
  <c r="CA111" i="3"/>
  <c r="BO111" i="3"/>
  <c r="BU111" i="3"/>
  <c r="AM347" i="3"/>
  <c r="AN327" i="3"/>
  <c r="AP337" i="3"/>
  <c r="AW330" i="3"/>
  <c r="AW364" i="3" s="1"/>
  <c r="AW367" i="3" s="1"/>
  <c r="AV330" i="3"/>
  <c r="AV364" i="3" s="1"/>
  <c r="AV367" i="3" s="1"/>
  <c r="AS312" i="3"/>
  <c r="AS308" i="3" s="1"/>
  <c r="AX367" i="3"/>
  <c r="AG310" i="3"/>
  <c r="AG309" i="3"/>
  <c r="AR322" i="3"/>
  <c r="AR312" i="3"/>
  <c r="AQ304" i="3"/>
  <c r="AL304" i="3"/>
  <c r="AL463" i="3"/>
  <c r="AL312" i="3" s="1"/>
  <c r="AN308" i="3"/>
  <c r="AN313" i="3"/>
  <c r="AF309" i="3"/>
  <c r="AF310" i="3"/>
  <c r="AU318" i="3"/>
  <c r="AU455" i="3" s="1"/>
  <c r="AU330" i="3"/>
  <c r="AU364" i="3" s="1"/>
  <c r="AS465" i="3"/>
  <c r="AS464" i="3"/>
  <c r="AM327" i="3"/>
  <c r="AH308" i="3"/>
  <c r="AH313" i="3"/>
  <c r="AH314" i="3"/>
  <c r="AI314" i="3"/>
  <c r="AV458" i="3"/>
  <c r="AV463" i="3"/>
  <c r="AR320" i="3"/>
  <c r="AQ455" i="3"/>
  <c r="CD442" i="3"/>
  <c r="BY450" i="3"/>
  <c r="AW318" i="3"/>
  <c r="AQ338" i="3"/>
  <c r="AQ319" i="3"/>
  <c r="AQ346" i="3"/>
  <c r="AQ325" i="3" s="1"/>
  <c r="AQ326" i="3" s="1"/>
  <c r="BS446" i="3"/>
  <c r="AR339" i="3"/>
  <c r="AX318" i="3"/>
  <c r="AY332" i="3"/>
  <c r="AM348" i="3"/>
  <c r="CJ439" i="3"/>
  <c r="AV319" i="3"/>
  <c r="AL322" i="3"/>
  <c r="AL323" i="3" s="1"/>
  <c r="AJ342" i="3"/>
  <c r="AJ325" i="3"/>
  <c r="AJ312" i="3" s="1"/>
  <c r="AH322" i="3"/>
  <c r="AH323" i="3" s="1"/>
  <c r="AH326" i="3"/>
  <c r="AH327" i="3"/>
  <c r="AI327" i="3"/>
  <c r="AM326" i="3"/>
  <c r="BX442" i="3"/>
  <c r="BX443" i="3" s="1"/>
  <c r="BV450" i="3"/>
  <c r="BX450" i="3" s="1"/>
  <c r="CA442" i="3"/>
  <c r="CC442" i="3" s="1"/>
  <c r="AS327" i="3"/>
  <c r="AS326" i="3"/>
  <c r="CM437" i="3"/>
  <c r="CM438" i="3" s="1"/>
  <c r="AL326" i="3"/>
  <c r="CO437" i="3"/>
  <c r="CR437" i="3" s="1"/>
  <c r="CJ336" i="3"/>
  <c r="CM336" i="3" s="1"/>
  <c r="AR326" i="3"/>
  <c r="AO338" i="3"/>
  <c r="AO318" i="3"/>
  <c r="AS322" i="3"/>
  <c r="AW339" i="3"/>
  <c r="BA413" i="3"/>
  <c r="BA332" i="3"/>
  <c r="BA330" i="3" s="1"/>
  <c r="BA364" i="3" s="1"/>
  <c r="BB413" i="3"/>
  <c r="BB332" i="3"/>
  <c r="BX424" i="3"/>
  <c r="BX427" i="3" s="1"/>
  <c r="BW334" i="3"/>
  <c r="BX334" i="3" s="1"/>
  <c r="AV346" i="3"/>
  <c r="AV325" i="3" s="1"/>
  <c r="AV339" i="3"/>
  <c r="AS347" i="3"/>
  <c r="AS348" i="3"/>
  <c r="CS437" i="3"/>
  <c r="CN336" i="3"/>
  <c r="AR347" i="3"/>
  <c r="CE450" i="3"/>
  <c r="CJ442" i="3"/>
  <c r="CQ439" i="3"/>
  <c r="CV437" i="3"/>
  <c r="CQ336" i="3"/>
  <c r="AK338" i="3"/>
  <c r="AK346" i="3"/>
  <c r="AK325" i="3" s="1"/>
  <c r="AY331" i="3"/>
  <c r="AU346" i="3"/>
  <c r="AU325" i="3" s="1"/>
  <c r="BC413" i="3"/>
  <c r="BC332" i="3"/>
  <c r="BC330" i="3" s="1"/>
  <c r="BC364" i="3" s="1"/>
  <c r="BC367" i="3" s="1"/>
  <c r="AL339" i="3"/>
  <c r="CU437" i="3"/>
  <c r="CP336" i="3"/>
  <c r="CB450" i="3"/>
  <c r="CG442" i="3"/>
  <c r="AL347" i="3"/>
  <c r="BB412" i="3"/>
  <c r="BA411" i="3"/>
  <c r="BE413" i="3"/>
  <c r="BC412" i="3"/>
  <c r="CA427" i="3"/>
  <c r="BV417" i="3"/>
  <c r="BV333" i="3" s="1"/>
  <c r="BW420" i="3"/>
  <c r="BY424" i="3"/>
  <c r="BY334" i="3" s="1"/>
  <c r="BI393" i="3"/>
  <c r="BH410" i="3"/>
  <c r="BH395" i="3"/>
  <c r="BH394" i="3"/>
  <c r="BL407" i="3"/>
  <c r="BL408" i="3" s="1"/>
  <c r="BL402" i="3"/>
  <c r="BN402" i="3" s="1"/>
  <c r="BO404" i="3"/>
  <c r="BO403" i="3"/>
  <c r="BG403" i="3"/>
  <c r="BG404" i="3"/>
  <c r="BG410" i="3"/>
  <c r="BG332" i="3" s="1"/>
  <c r="BH404" i="3"/>
  <c r="BK404" i="3"/>
  <c r="BK403" i="3"/>
  <c r="BD405" i="3"/>
  <c r="BD403" i="3"/>
  <c r="BJ394" i="3"/>
  <c r="BJ332" i="3"/>
  <c r="BJ395" i="3"/>
  <c r="BK395" i="3"/>
  <c r="BK410" i="3"/>
  <c r="BK332" i="3" s="1"/>
  <c r="BM407" i="3"/>
  <c r="BM408" i="3" s="1"/>
  <c r="BM393" i="3"/>
  <c r="BN393" i="3" s="1"/>
  <c r="BD396" i="3"/>
  <c r="BD410" i="3"/>
  <c r="BD413" i="3" s="1"/>
  <c r="BD394" i="3"/>
  <c r="BP394" i="3"/>
  <c r="BF403" i="3"/>
  <c r="BF404" i="3"/>
  <c r="BF410" i="3"/>
  <c r="BI402" i="3"/>
  <c r="BQ395" i="3"/>
  <c r="BQ394" i="3"/>
  <c r="BR402" i="3"/>
  <c r="BD362" i="3"/>
  <c r="BN356" i="3"/>
  <c r="BN357" i="3" s="1"/>
  <c r="BN400" i="3"/>
  <c r="BN401" i="3" s="1"/>
  <c r="BK407" i="3"/>
  <c r="AZ411" i="3"/>
  <c r="AZ412" i="3"/>
  <c r="BW400" i="3"/>
  <c r="CB398" i="3"/>
  <c r="BT389" i="3"/>
  <c r="BO391" i="3"/>
  <c r="BO393" i="3" s="1"/>
  <c r="BS389" i="3"/>
  <c r="BS390" i="3" s="1"/>
  <c r="BT400" i="3"/>
  <c r="BY398" i="3"/>
  <c r="BJ407" i="3"/>
  <c r="BN391" i="3"/>
  <c r="BN392" i="3" s="1"/>
  <c r="BQ400" i="3"/>
  <c r="BV398" i="3"/>
  <c r="BS398" i="3"/>
  <c r="BS399" i="3" s="1"/>
  <c r="BE408" i="3"/>
  <c r="BI407" i="3"/>
  <c r="BU391" i="3"/>
  <c r="BZ389" i="3"/>
  <c r="BA412" i="3"/>
  <c r="AY411" i="3"/>
  <c r="BV391" i="3"/>
  <c r="CA389" i="3"/>
  <c r="BR391" i="3"/>
  <c r="BR407" i="3" s="1"/>
  <c r="BW389" i="3"/>
  <c r="BP400" i="3"/>
  <c r="BU398" i="3"/>
  <c r="BF362" i="3"/>
  <c r="BI361" i="3"/>
  <c r="BG362" i="3"/>
  <c r="AR202" i="3"/>
  <c r="AR187" i="3"/>
  <c r="BO358" i="3"/>
  <c r="BO361" i="3" s="1"/>
  <c r="BT356" i="3"/>
  <c r="BK358" i="3"/>
  <c r="BK361" i="3" s="1"/>
  <c r="BP356" i="3"/>
  <c r="BU351" i="3"/>
  <c r="BP353" i="3"/>
  <c r="BL358" i="3"/>
  <c r="BL361" i="3" s="1"/>
  <c r="BQ356" i="3"/>
  <c r="BH362" i="3"/>
  <c r="BM358" i="3"/>
  <c r="BM361" i="3" s="1"/>
  <c r="BR356" i="3"/>
  <c r="BS351" i="3"/>
  <c r="BS352" i="3" s="1"/>
  <c r="AQ192" i="3"/>
  <c r="BW351" i="3"/>
  <c r="BR353" i="3"/>
  <c r="BT353" i="3"/>
  <c r="BY351" i="3"/>
  <c r="AV188" i="3"/>
  <c r="BV351" i="3"/>
  <c r="BQ353" i="3"/>
  <c r="BI358" i="3"/>
  <c r="BI359" i="3" s="1"/>
  <c r="BN353" i="3"/>
  <c r="BN354" i="3" s="1"/>
  <c r="BJ361" i="3"/>
  <c r="BH383" i="3"/>
  <c r="BH331" i="3" s="1"/>
  <c r="BH381" i="3"/>
  <c r="AW384" i="3"/>
  <c r="AW385" i="3"/>
  <c r="BA384" i="3"/>
  <c r="AU384" i="3"/>
  <c r="AY383" i="3"/>
  <c r="AY386" i="3" s="1"/>
  <c r="AV385" i="3"/>
  <c r="BB383" i="3"/>
  <c r="BB381" i="3"/>
  <c r="AX385" i="3"/>
  <c r="BK372" i="3"/>
  <c r="BK380" i="3" s="1"/>
  <c r="BP370" i="3"/>
  <c r="BF383" i="3"/>
  <c r="BF331" i="3" s="1"/>
  <c r="BF381" i="3"/>
  <c r="BM377" i="3"/>
  <c r="BM380" i="3" s="1"/>
  <c r="BR375" i="3"/>
  <c r="BL377" i="3"/>
  <c r="BQ375" i="3"/>
  <c r="BN375" i="3"/>
  <c r="BN376" i="3" s="1"/>
  <c r="BJ372" i="3"/>
  <c r="BO370" i="3"/>
  <c r="BN370" i="3"/>
  <c r="BN371" i="3" s="1"/>
  <c r="AZ383" i="3"/>
  <c r="AZ331" i="3" s="1"/>
  <c r="AZ381" i="3"/>
  <c r="BD380" i="3"/>
  <c r="BI377" i="3"/>
  <c r="BI378" i="3" s="1"/>
  <c r="BG380" i="3"/>
  <c r="BE380" i="3"/>
  <c r="BI372" i="3"/>
  <c r="BI373" i="3" s="1"/>
  <c r="BQ372" i="3"/>
  <c r="BV370" i="3"/>
  <c r="BP377" i="3"/>
  <c r="BU375" i="3"/>
  <c r="BT377" i="3"/>
  <c r="BY375" i="3"/>
  <c r="BR372" i="3"/>
  <c r="BW370" i="3"/>
  <c r="BC384" i="3"/>
  <c r="BA279" i="3"/>
  <c r="CM298" i="3"/>
  <c r="CM299" i="3" s="1"/>
  <c r="AV208" i="3"/>
  <c r="CQ299" i="3"/>
  <c r="CV298" i="3"/>
  <c r="DA291" i="3"/>
  <c r="CP293" i="3"/>
  <c r="CU291" i="3"/>
  <c r="CP298" i="3"/>
  <c r="CQ293" i="3"/>
  <c r="AQ235" i="3"/>
  <c r="CK299" i="3"/>
  <c r="CK300" i="3"/>
  <c r="CN299" i="3"/>
  <c r="CN300" i="3"/>
  <c r="CS298" i="3"/>
  <c r="CX291" i="3"/>
  <c r="CS293" i="3"/>
  <c r="CO298" i="3"/>
  <c r="CO293" i="3"/>
  <c r="CT291" i="3"/>
  <c r="CR291" i="3"/>
  <c r="CR292" i="3" s="1"/>
  <c r="CJ300" i="3"/>
  <c r="CJ299" i="3"/>
  <c r="CH295" i="3"/>
  <c r="CH296" i="3" s="1"/>
  <c r="CH299" i="3"/>
  <c r="CL300" i="3"/>
  <c r="AV287" i="3"/>
  <c r="AR203" i="3"/>
  <c r="AV202" i="3"/>
  <c r="AR236" i="3"/>
  <c r="AX208" i="3"/>
  <c r="AO231" i="3"/>
  <c r="AO232" i="3" s="1"/>
  <c r="AQ203" i="3"/>
  <c r="AQ202" i="3"/>
  <c r="AQ205" i="3"/>
  <c r="AQ206" i="3" s="1"/>
  <c r="AQ209" i="3"/>
  <c r="AV254" i="3"/>
  <c r="AO205" i="3"/>
  <c r="AO209" i="3"/>
  <c r="AX227" i="3"/>
  <c r="AX201" i="3"/>
  <c r="AX187" i="3" s="1"/>
  <c r="AX287" i="3"/>
  <c r="AX288" i="3"/>
  <c r="AX261" i="3"/>
  <c r="AO257" i="3"/>
  <c r="AO258" i="3" s="1"/>
  <c r="AO261" i="3"/>
  <c r="AV235" i="3"/>
  <c r="AT260" i="3"/>
  <c r="AT261" i="3" s="1"/>
  <c r="AP261" i="3"/>
  <c r="AP262" i="3"/>
  <c r="AT283" i="3"/>
  <c r="AT284" i="3" s="1"/>
  <c r="AV261" i="3"/>
  <c r="AU288" i="3"/>
  <c r="AU287" i="3"/>
  <c r="AQ262" i="3"/>
  <c r="AV288" i="3"/>
  <c r="BA287" i="3"/>
  <c r="BF278" i="3"/>
  <c r="BF286" i="3" s="1"/>
  <c r="BF276" i="3"/>
  <c r="BK267" i="3"/>
  <c r="BK275" i="3" s="1"/>
  <c r="BP265" i="3"/>
  <c r="BC280" i="3"/>
  <c r="BC286" i="3"/>
  <c r="BC279" i="3"/>
  <c r="AZ279" i="3"/>
  <c r="AZ280" i="3"/>
  <c r="BD278" i="3"/>
  <c r="AZ286" i="3"/>
  <c r="BA288" i="3" s="1"/>
  <c r="BG278" i="3"/>
  <c r="BG276" i="3"/>
  <c r="BP272" i="3"/>
  <c r="BU270" i="3"/>
  <c r="BO272" i="3"/>
  <c r="BT270" i="3"/>
  <c r="BS270" i="3"/>
  <c r="BS271" i="3" s="1"/>
  <c r="BN272" i="3"/>
  <c r="BN273" i="3" s="1"/>
  <c r="BH276" i="3"/>
  <c r="BM267" i="3"/>
  <c r="BM275" i="3" s="1"/>
  <c r="BR265" i="3"/>
  <c r="BA280" i="3"/>
  <c r="BB279" i="3"/>
  <c r="BB286" i="3"/>
  <c r="BB280" i="3"/>
  <c r="BW270" i="3"/>
  <c r="BR272" i="3"/>
  <c r="BQ272" i="3"/>
  <c r="BV270" i="3"/>
  <c r="BJ275" i="3"/>
  <c r="BQ267" i="3"/>
  <c r="BV265" i="3"/>
  <c r="BE278" i="3"/>
  <c r="BI275" i="3"/>
  <c r="BI276" i="3" s="1"/>
  <c r="BE276" i="3"/>
  <c r="BL275" i="3"/>
  <c r="AY281" i="3"/>
  <c r="AY279" i="3"/>
  <c r="BN265" i="3"/>
  <c r="BN266" i="3" s="1"/>
  <c r="BO267" i="3"/>
  <c r="BT265" i="3"/>
  <c r="BI267" i="3"/>
  <c r="BI268" i="3" s="1"/>
  <c r="AY286" i="3"/>
  <c r="BC224" i="3"/>
  <c r="AW253" i="3"/>
  <c r="AX254" i="3"/>
  <c r="AW260" i="3"/>
  <c r="BY215" i="3"/>
  <c r="CD213" i="3"/>
  <c r="BI246" i="3"/>
  <c r="BI247" i="3" s="1"/>
  <c r="BN244" i="3"/>
  <c r="BN245" i="3" s="1"/>
  <c r="BL241" i="3"/>
  <c r="BQ239" i="3"/>
  <c r="BO246" i="3"/>
  <c r="BT244" i="3"/>
  <c r="BG249" i="3"/>
  <c r="BC250" i="3"/>
  <c r="BC252" i="3"/>
  <c r="BC229" i="3" s="1"/>
  <c r="BA260" i="3"/>
  <c r="BA253" i="3"/>
  <c r="BE249" i="3"/>
  <c r="BI241" i="3"/>
  <c r="BI242" i="3" s="1"/>
  <c r="BM246" i="3"/>
  <c r="BR244" i="3"/>
  <c r="BL246" i="3"/>
  <c r="BQ244" i="3"/>
  <c r="BJ241" i="3"/>
  <c r="BO239" i="3"/>
  <c r="BN239" i="3"/>
  <c r="BN240" i="3" s="1"/>
  <c r="BH249" i="3"/>
  <c r="AY252" i="3"/>
  <c r="AU254" i="3"/>
  <c r="AU253" i="3"/>
  <c r="AU260" i="3"/>
  <c r="BM241" i="3"/>
  <c r="BR239" i="3"/>
  <c r="BP246" i="3"/>
  <c r="BU244" i="3"/>
  <c r="BB252" i="3"/>
  <c r="BB250" i="3"/>
  <c r="AT253" i="3"/>
  <c r="AT255" i="3"/>
  <c r="AZ252" i="3"/>
  <c r="AZ250" i="3"/>
  <c r="BD249" i="3"/>
  <c r="BK241" i="3"/>
  <c r="BK249" i="3" s="1"/>
  <c r="BP239" i="3"/>
  <c r="BF252" i="3"/>
  <c r="BF250" i="3"/>
  <c r="BN218" i="3"/>
  <c r="BN219" i="3" s="1"/>
  <c r="BI220" i="3"/>
  <c r="BI221" i="3" s="1"/>
  <c r="BG224" i="3"/>
  <c r="BO220" i="3"/>
  <c r="BT218" i="3"/>
  <c r="BL220" i="3"/>
  <c r="BL223" i="3" s="1"/>
  <c r="BQ218" i="3"/>
  <c r="BF224" i="3"/>
  <c r="BH223" i="3"/>
  <c r="BJ223" i="3"/>
  <c r="BI215" i="3"/>
  <c r="BI216" i="3" s="1"/>
  <c r="BM215" i="3"/>
  <c r="BR213" i="3"/>
  <c r="BK220" i="3"/>
  <c r="BP218" i="3"/>
  <c r="BV213" i="3"/>
  <c r="BQ215" i="3"/>
  <c r="BT215" i="3"/>
  <c r="BR218" i="3"/>
  <c r="BM220" i="3"/>
  <c r="BP215" i="3"/>
  <c r="BU213" i="3"/>
  <c r="BN213" i="3"/>
  <c r="BN214" i="3" s="1"/>
  <c r="AO149" i="3"/>
  <c r="AO155" i="3"/>
  <c r="AO151" i="3" s="1"/>
  <c r="AU148" i="3"/>
  <c r="AS148" i="3"/>
  <c r="AS147" i="3"/>
  <c r="AM157" i="3"/>
  <c r="AQ148" i="3"/>
  <c r="AQ147" i="3"/>
  <c r="AL156" i="3"/>
  <c r="AL157" i="3"/>
  <c r="AT146" i="3"/>
  <c r="AN157" i="3"/>
  <c r="AN156" i="3"/>
  <c r="AU147" i="3"/>
  <c r="AJ151" i="3"/>
  <c r="AE110" i="3"/>
  <c r="AR144" i="3"/>
  <c r="AM142" i="3"/>
  <c r="AR139" i="3"/>
  <c r="AP139" i="3"/>
  <c r="AP142" i="3"/>
  <c r="BC140" i="3"/>
  <c r="BH140" i="3" s="1"/>
  <c r="BM140" i="3" s="1"/>
  <c r="BB137" i="3"/>
  <c r="AS139" i="3"/>
  <c r="AX137" i="3"/>
  <c r="AX143" i="3" s="1"/>
  <c r="AL144" i="3"/>
  <c r="AL142" i="3"/>
  <c r="BA140" i="3"/>
  <c r="BF140" i="3" s="1"/>
  <c r="BK140" i="3" s="1"/>
  <c r="AQ139" i="3"/>
  <c r="AV137" i="3"/>
  <c r="AV143" i="3" s="1"/>
  <c r="AZ137" i="3"/>
  <c r="AU144" i="3"/>
  <c r="AJ144" i="3"/>
  <c r="AJ142" i="3"/>
  <c r="AO138" i="3"/>
  <c r="AN144" i="3"/>
  <c r="AN142" i="3"/>
  <c r="AR142" i="3"/>
  <c r="AW140" i="3"/>
  <c r="AY140" i="3" s="1"/>
  <c r="AY141" i="3" s="1"/>
  <c r="AT137" i="3"/>
  <c r="AT143" i="3" s="1"/>
  <c r="AZ140" i="3"/>
  <c r="BE140" i="3" s="1"/>
  <c r="BJ140" i="3" s="1"/>
  <c r="AE113" i="3"/>
  <c r="AG132" i="3"/>
  <c r="AE121" i="3"/>
  <c r="AE122" i="3"/>
  <c r="AH124" i="3"/>
  <c r="AH118" i="3"/>
  <c r="AA132" i="3"/>
  <c r="AB134" i="3" s="1"/>
  <c r="AA125" i="3"/>
  <c r="AA126" i="3"/>
  <c r="AE119" i="3"/>
  <c r="AE124" i="3"/>
  <c r="AE125" i="3" s="1"/>
  <c r="AM114" i="3"/>
  <c r="AM110" i="3" s="1"/>
  <c r="AR108" i="3"/>
  <c r="AM117" i="3"/>
  <c r="AI113" i="3"/>
  <c r="AF124" i="3"/>
  <c r="AF132" i="3" s="1"/>
  <c r="AF118" i="3"/>
  <c r="AJ117" i="3"/>
  <c r="AI110" i="3"/>
  <c r="AI118" i="3"/>
  <c r="AI124" i="3"/>
  <c r="AN114" i="3"/>
  <c r="AN115" i="3" s="1"/>
  <c r="AN117" i="3"/>
  <c r="AS108" i="3"/>
  <c r="AJ109" i="3"/>
  <c r="AJ114" i="3"/>
  <c r="AJ115" i="3" s="1"/>
  <c r="AE118" i="3"/>
  <c r="AB133" i="3"/>
  <c r="AC132" i="3"/>
  <c r="AC126" i="3"/>
  <c r="AH115" i="3"/>
  <c r="AH113" i="3"/>
  <c r="AH110" i="3"/>
  <c r="AF115" i="3"/>
  <c r="AF113" i="3"/>
  <c r="AP108" i="3"/>
  <c r="AK114" i="3"/>
  <c r="AK110" i="3" s="1"/>
  <c r="AO108" i="3"/>
  <c r="AK117" i="3"/>
  <c r="AG125" i="3"/>
  <c r="AD132" i="3"/>
  <c r="AD125" i="3"/>
  <c r="AD126" i="3"/>
  <c r="AJ112" i="3"/>
  <c r="AI121" i="3"/>
  <c r="AJ120" i="3"/>
  <c r="AB126" i="3"/>
  <c r="AL118" i="3"/>
  <c r="AL124" i="3"/>
  <c r="AU121" i="3"/>
  <c r="X134" i="3"/>
  <c r="AS111" i="3"/>
  <c r="AN120" i="3"/>
  <c r="AO111" i="3"/>
  <c r="Z132" i="3"/>
  <c r="AV108" i="3"/>
  <c r="AQ114" i="3"/>
  <c r="AQ110" i="3" s="1"/>
  <c r="AQ117" i="3"/>
  <c r="AL115" i="3"/>
  <c r="AL113" i="3"/>
  <c r="Y133" i="3"/>
  <c r="Y134" i="3"/>
  <c r="W134" i="3"/>
  <c r="BH229" i="3" l="1"/>
  <c r="AJ61" i="3"/>
  <c r="AJ62" i="3" s="1"/>
  <c r="AI63" i="3"/>
  <c r="AT229" i="3"/>
  <c r="AO206" i="3"/>
  <c r="AS203" i="3"/>
  <c r="AS187" i="3"/>
  <c r="AX235" i="3"/>
  <c r="AS236" i="3"/>
  <c r="AS209" i="3"/>
  <c r="AS205" i="3"/>
  <c r="AS206" i="3" s="1"/>
  <c r="AS235" i="3"/>
  <c r="AP202" i="3"/>
  <c r="AP203" i="3"/>
  <c r="AT201" i="3"/>
  <c r="AT202" i="3" s="1"/>
  <c r="AQ189" i="3"/>
  <c r="AT234" i="3"/>
  <c r="AT235" i="3" s="1"/>
  <c r="AW201" i="3"/>
  <c r="AW187" i="3" s="1"/>
  <c r="AW52" i="3" s="1"/>
  <c r="AQ236" i="3"/>
  <c r="AP208" i="3"/>
  <c r="AP195" i="3" s="1"/>
  <c r="BC226" i="3"/>
  <c r="BC201" i="3" s="1"/>
  <c r="BC187" i="3" s="1"/>
  <c r="AZ229" i="3"/>
  <c r="AU234" i="3"/>
  <c r="AU208" i="3" s="1"/>
  <c r="AU195" i="3" s="1"/>
  <c r="AU227" i="3"/>
  <c r="AV228" i="3"/>
  <c r="AU228" i="3"/>
  <c r="AP235" i="3"/>
  <c r="AP236" i="3"/>
  <c r="AW228" i="3"/>
  <c r="AW234" i="3"/>
  <c r="AW227" i="3"/>
  <c r="BB229" i="3"/>
  <c r="AY226" i="3"/>
  <c r="AY229" i="3" s="1"/>
  <c r="BF229" i="3"/>
  <c r="BK229" i="3" s="1"/>
  <c r="BA226" i="3"/>
  <c r="AI53" i="3"/>
  <c r="AR208" i="3"/>
  <c r="AR235" i="3"/>
  <c r="AJ52" i="3"/>
  <c r="AJ53" i="3" s="1"/>
  <c r="BQ335" i="3"/>
  <c r="BQ432" i="3"/>
  <c r="BQ433" i="3"/>
  <c r="BT434" i="3"/>
  <c r="BR431" i="3"/>
  <c r="AI54" i="3"/>
  <c r="AV53" i="3"/>
  <c r="AR52" i="3"/>
  <c r="AR304" i="3"/>
  <c r="BD250" i="3"/>
  <c r="AX52" i="3"/>
  <c r="AQ340" i="3"/>
  <c r="AP340" i="3"/>
  <c r="AK455" i="3"/>
  <c r="AK463" i="3" s="1"/>
  <c r="AL320" i="3"/>
  <c r="AK319" i="3"/>
  <c r="AN457" i="3"/>
  <c r="AN305" i="3"/>
  <c r="AR456" i="3"/>
  <c r="AM457" i="3"/>
  <c r="AM305" i="3"/>
  <c r="AM304" i="3"/>
  <c r="AP318" i="3"/>
  <c r="AP319" i="3" s="1"/>
  <c r="AM463" i="3"/>
  <c r="AN465" i="3" s="1"/>
  <c r="BI408" i="3"/>
  <c r="BI362" i="3"/>
  <c r="BD381" i="3"/>
  <c r="AR323" i="3"/>
  <c r="AS323" i="3"/>
  <c r="BC463" i="3"/>
  <c r="BZ111" i="3"/>
  <c r="BO140" i="3"/>
  <c r="BT111" i="3"/>
  <c r="BP140" i="3"/>
  <c r="BR140" i="3"/>
  <c r="CF111" i="3"/>
  <c r="BB143" i="3"/>
  <c r="BG137" i="3"/>
  <c r="BL137" i="3" s="1"/>
  <c r="AZ143" i="3"/>
  <c r="AZ144" i="3" s="1"/>
  <c r="BE137" i="3"/>
  <c r="BE143" i="3" s="1"/>
  <c r="AV365" i="3"/>
  <c r="AW365" i="3"/>
  <c r="AX366" i="3"/>
  <c r="AW366" i="3"/>
  <c r="AS313" i="3"/>
  <c r="AS61" i="3"/>
  <c r="AV189" i="3"/>
  <c r="AU52" i="3"/>
  <c r="AR348" i="3"/>
  <c r="AQ347" i="3"/>
  <c r="AU320" i="3"/>
  <c r="CP439" i="3"/>
  <c r="AV312" i="3"/>
  <c r="AV308" i="3" s="1"/>
  <c r="BA367" i="3"/>
  <c r="BA365" i="3"/>
  <c r="AY330" i="3"/>
  <c r="AJ308" i="3"/>
  <c r="AJ309" i="3" s="1"/>
  <c r="AJ313" i="3"/>
  <c r="AU458" i="3"/>
  <c r="AU463" i="3"/>
  <c r="AV465" i="3" s="1"/>
  <c r="AR308" i="3"/>
  <c r="AH310" i="3"/>
  <c r="AH309" i="3"/>
  <c r="AI310" i="3"/>
  <c r="AL308" i="3"/>
  <c r="AL313" i="3"/>
  <c r="AN309" i="3"/>
  <c r="AU367" i="3"/>
  <c r="AU365" i="3"/>
  <c r="AQ463" i="3"/>
  <c r="AV464" i="3" s="1"/>
  <c r="AQ456" i="3"/>
  <c r="AQ458" i="3"/>
  <c r="AR457" i="3"/>
  <c r="AZ318" i="3"/>
  <c r="AZ330" i="3"/>
  <c r="AR327" i="3"/>
  <c r="AV320" i="3"/>
  <c r="AS314" i="3"/>
  <c r="AV366" i="3"/>
  <c r="AS309" i="3"/>
  <c r="AY364" i="3"/>
  <c r="AY367" i="3" s="1"/>
  <c r="AV457" i="3"/>
  <c r="AV456" i="3"/>
  <c r="AQ322" i="3"/>
  <c r="AX319" i="3"/>
  <c r="AX455" i="3"/>
  <c r="AW320" i="3"/>
  <c r="AW455" i="3"/>
  <c r="CD450" i="3"/>
  <c r="CI442" i="3"/>
  <c r="AW346" i="3"/>
  <c r="AW325" i="3" s="1"/>
  <c r="AW326" i="3" s="1"/>
  <c r="AW319" i="3"/>
  <c r="AX346" i="3"/>
  <c r="AX325" i="3" s="1"/>
  <c r="AX322" i="3" s="1"/>
  <c r="AX320" i="3"/>
  <c r="AX339" i="3"/>
  <c r="AX338" i="3"/>
  <c r="BX446" i="3"/>
  <c r="AU338" i="3"/>
  <c r="CC443" i="3"/>
  <c r="CO439" i="3"/>
  <c r="AV326" i="3"/>
  <c r="AV327" i="3"/>
  <c r="AK327" i="3"/>
  <c r="AK326" i="3"/>
  <c r="AK322" i="3"/>
  <c r="AK323" i="3" s="1"/>
  <c r="AL348" i="3"/>
  <c r="CR438" i="3"/>
  <c r="AM323" i="3"/>
  <c r="AJ326" i="3"/>
  <c r="AJ322" i="3"/>
  <c r="AJ323" i="3" s="1"/>
  <c r="AU322" i="3"/>
  <c r="AU327" i="3"/>
  <c r="CO336" i="3"/>
  <c r="CR336" i="3" s="1"/>
  <c r="CT437" i="3"/>
  <c r="CU439" i="3" s="1"/>
  <c r="CF442" i="3"/>
  <c r="CH442" i="3" s="1"/>
  <c r="CH443" i="3" s="1"/>
  <c r="CA450" i="3"/>
  <c r="CC450" i="3" s="1"/>
  <c r="CC446" i="3" s="1"/>
  <c r="BC319" i="3"/>
  <c r="AV322" i="3"/>
  <c r="AO319" i="3"/>
  <c r="AL327" i="3"/>
  <c r="AZ338" i="3"/>
  <c r="AZ346" i="3"/>
  <c r="AZ325" i="3" s="1"/>
  <c r="CL442" i="3"/>
  <c r="CG450" i="3"/>
  <c r="BH413" i="3"/>
  <c r="BH332" i="3"/>
  <c r="BD332" i="3"/>
  <c r="AV347" i="3"/>
  <c r="AV348" i="3"/>
  <c r="CV439" i="3"/>
  <c r="CV336" i="3"/>
  <c r="DA437" i="3"/>
  <c r="AP346" i="3"/>
  <c r="AP325" i="3" s="1"/>
  <c r="AP338" i="3"/>
  <c r="AQ339" i="3"/>
  <c r="BF413" i="3"/>
  <c r="BF332" i="3"/>
  <c r="BF330" i="3" s="1"/>
  <c r="BF364" i="3" s="1"/>
  <c r="BF367" i="3" s="1"/>
  <c r="BC385" i="3"/>
  <c r="BB331" i="3"/>
  <c r="BG413" i="3"/>
  <c r="BC338" i="3"/>
  <c r="BC346" i="3"/>
  <c r="BC325" i="3" s="1"/>
  <c r="BE327" i="3" s="1"/>
  <c r="CJ450" i="3"/>
  <c r="CO442" i="3"/>
  <c r="CU336" i="3"/>
  <c r="CZ437" i="3"/>
  <c r="AK347" i="3"/>
  <c r="AO346" i="3"/>
  <c r="AO325" i="3" s="1"/>
  <c r="CX437" i="3"/>
  <c r="CS336" i="3"/>
  <c r="BS353" i="3"/>
  <c r="BS354" i="3" s="1"/>
  <c r="BY420" i="3"/>
  <c r="CB427" i="3"/>
  <c r="BW417" i="3"/>
  <c r="BH411" i="3"/>
  <c r="BZ424" i="3"/>
  <c r="BZ334" i="3" s="1"/>
  <c r="BK413" i="3"/>
  <c r="BQ407" i="3"/>
  <c r="BQ408" i="3" s="1"/>
  <c r="BQ402" i="3"/>
  <c r="BR404" i="3" s="1"/>
  <c r="BI405" i="3"/>
  <c r="BI403" i="3"/>
  <c r="BN396" i="3"/>
  <c r="BN410" i="3"/>
  <c r="BN394" i="3"/>
  <c r="BG412" i="3"/>
  <c r="BJ413" i="3"/>
  <c r="BL403" i="3"/>
  <c r="BL404" i="3"/>
  <c r="BM404" i="3"/>
  <c r="BL410" i="3"/>
  <c r="BG411" i="3"/>
  <c r="BO410" i="3"/>
  <c r="BO332" i="3" s="1"/>
  <c r="BO395" i="3"/>
  <c r="BO394" i="3"/>
  <c r="BN405" i="3"/>
  <c r="BN403" i="3"/>
  <c r="BP407" i="3"/>
  <c r="BP408" i="3" s="1"/>
  <c r="BP402" i="3"/>
  <c r="BF411" i="3"/>
  <c r="BH412" i="3"/>
  <c r="BF412" i="3"/>
  <c r="BR393" i="3"/>
  <c r="BR410" i="3" s="1"/>
  <c r="BI396" i="3"/>
  <c r="BI394" i="3"/>
  <c r="BI410" i="3"/>
  <c r="BI413" i="3" s="1"/>
  <c r="BM395" i="3"/>
  <c r="BM410" i="3"/>
  <c r="BM411" i="3" s="1"/>
  <c r="BM394" i="3"/>
  <c r="BP395" i="3"/>
  <c r="BR403" i="3"/>
  <c r="BX351" i="3"/>
  <c r="BX352" i="3" s="1"/>
  <c r="CA391" i="3"/>
  <c r="CF389" i="3"/>
  <c r="CB400" i="3"/>
  <c r="CG398" i="3"/>
  <c r="BS400" i="3"/>
  <c r="BS401" i="3" s="1"/>
  <c r="BV400" i="3"/>
  <c r="CA398" i="3"/>
  <c r="BN407" i="3"/>
  <c r="BJ408" i="3"/>
  <c r="BU400" i="3"/>
  <c r="BU407" i="3" s="1"/>
  <c r="BZ398" i="3"/>
  <c r="BX398" i="3"/>
  <c r="BX399" i="3" s="1"/>
  <c r="CE389" i="3"/>
  <c r="BZ391" i="3"/>
  <c r="BY400" i="3"/>
  <c r="CD398" i="3"/>
  <c r="BD411" i="3"/>
  <c r="BK408" i="3"/>
  <c r="BR408" i="3"/>
  <c r="BO407" i="3"/>
  <c r="BS391" i="3"/>
  <c r="BS392" i="3" s="1"/>
  <c r="BW391" i="3"/>
  <c r="BW407" i="3" s="1"/>
  <c r="CB389" i="3"/>
  <c r="BE412" i="3"/>
  <c r="BE411" i="3"/>
  <c r="BT391" i="3"/>
  <c r="BT393" i="3" s="1"/>
  <c r="BY389" i="3"/>
  <c r="BX389" i="3"/>
  <c r="BX390" i="3" s="1"/>
  <c r="BM362" i="3"/>
  <c r="BW356" i="3"/>
  <c r="BR358" i="3"/>
  <c r="BR361" i="3" s="1"/>
  <c r="CB351" i="3"/>
  <c r="BW353" i="3"/>
  <c r="BJ362" i="3"/>
  <c r="BN361" i="3"/>
  <c r="BK362" i="3"/>
  <c r="BN358" i="3"/>
  <c r="BN359" i="3" s="1"/>
  <c r="AV209" i="3"/>
  <c r="AV195" i="3"/>
  <c r="BL362" i="3"/>
  <c r="BV356" i="3"/>
  <c r="BQ358" i="3"/>
  <c r="BQ361" i="3" s="1"/>
  <c r="AR189" i="3"/>
  <c r="AX188" i="3"/>
  <c r="AU188" i="3"/>
  <c r="BU356" i="3"/>
  <c r="BP358" i="3"/>
  <c r="BP361" i="3" s="1"/>
  <c r="BY353" i="3"/>
  <c r="CD351" i="3"/>
  <c r="BU353" i="3"/>
  <c r="BZ351" i="3"/>
  <c r="BS356" i="3"/>
  <c r="BS357" i="3" s="1"/>
  <c r="BT358" i="3"/>
  <c r="BY356" i="3"/>
  <c r="AX209" i="3"/>
  <c r="AX195" i="3"/>
  <c r="AX198" i="3" s="1"/>
  <c r="BV353" i="3"/>
  <c r="CA351" i="3"/>
  <c r="BN377" i="3"/>
  <c r="BN378" i="3" s="1"/>
  <c r="BO362" i="3"/>
  <c r="BM383" i="3"/>
  <c r="BM331" i="3" s="1"/>
  <c r="BM381" i="3"/>
  <c r="BW372" i="3"/>
  <c r="CB370" i="3"/>
  <c r="BG381" i="3"/>
  <c r="BG383" i="3"/>
  <c r="BG331" i="3" s="1"/>
  <c r="BE383" i="3"/>
  <c r="BE381" i="3"/>
  <c r="BI380" i="3"/>
  <c r="BL380" i="3"/>
  <c r="BR377" i="3"/>
  <c r="BR380" i="3" s="1"/>
  <c r="BW375" i="3"/>
  <c r="BY377" i="3"/>
  <c r="CD375" i="3"/>
  <c r="BD383" i="3"/>
  <c r="AZ385" i="3"/>
  <c r="AZ384" i="3"/>
  <c r="BF384" i="3"/>
  <c r="BA385" i="3"/>
  <c r="BP372" i="3"/>
  <c r="BP380" i="3" s="1"/>
  <c r="BU370" i="3"/>
  <c r="BU377" i="3"/>
  <c r="BZ375" i="3"/>
  <c r="BO372" i="3"/>
  <c r="BT370" i="3"/>
  <c r="BS370" i="3"/>
  <c r="BS371" i="3" s="1"/>
  <c r="BK383" i="3"/>
  <c r="BK331" i="3" s="1"/>
  <c r="BK381" i="3"/>
  <c r="BJ380" i="3"/>
  <c r="BN372" i="3"/>
  <c r="BN373" i="3" s="1"/>
  <c r="BV372" i="3"/>
  <c r="CA370" i="3"/>
  <c r="BQ377" i="3"/>
  <c r="BV375" i="3"/>
  <c r="BS375" i="3"/>
  <c r="BS376" i="3" s="1"/>
  <c r="BB385" i="3"/>
  <c r="BB384" i="3"/>
  <c r="BH384" i="3"/>
  <c r="AV205" i="3"/>
  <c r="AV206" i="3" s="1"/>
  <c r="CM295" i="3"/>
  <c r="CM296" i="3" s="1"/>
  <c r="CT298" i="3"/>
  <c r="CY291" i="3"/>
  <c r="CT293" i="3"/>
  <c r="AX205" i="3"/>
  <c r="CO299" i="3"/>
  <c r="CO300" i="3"/>
  <c r="CP299" i="3"/>
  <c r="CP300" i="3"/>
  <c r="CW291" i="3"/>
  <c r="CW292" i="3" s="1"/>
  <c r="CZ291" i="3"/>
  <c r="CU298" i="3"/>
  <c r="CV300" i="3" s="1"/>
  <c r="CU293" i="3"/>
  <c r="CX293" i="3"/>
  <c r="CX298" i="3"/>
  <c r="DA298" i="3"/>
  <c r="CS299" i="3"/>
  <c r="CS300" i="3"/>
  <c r="CV293" i="3"/>
  <c r="CR298" i="3"/>
  <c r="CV299" i="3"/>
  <c r="BS265" i="3"/>
  <c r="BS266" i="3" s="1"/>
  <c r="CQ300" i="3"/>
  <c r="AU202" i="3"/>
  <c r="AU203" i="3"/>
  <c r="AV203" i="3"/>
  <c r="BF280" i="3"/>
  <c r="AX202" i="3"/>
  <c r="AV262" i="3"/>
  <c r="BC287" i="3"/>
  <c r="BC288" i="3"/>
  <c r="AW262" i="3"/>
  <c r="AW261" i="3"/>
  <c r="BA261" i="3"/>
  <c r="AT257" i="3"/>
  <c r="AT258" i="3" s="1"/>
  <c r="BB287" i="3"/>
  <c r="BB288" i="3"/>
  <c r="BF287" i="3"/>
  <c r="AY283" i="3"/>
  <c r="AY284" i="3" s="1"/>
  <c r="AY287" i="3"/>
  <c r="AZ287" i="3"/>
  <c r="AZ288" i="3"/>
  <c r="AX262" i="3"/>
  <c r="AU262" i="3"/>
  <c r="AU261" i="3"/>
  <c r="BQ275" i="3"/>
  <c r="BQ278" i="3" s="1"/>
  <c r="AY260" i="3"/>
  <c r="AY261" i="3" s="1"/>
  <c r="BF279" i="3"/>
  <c r="BK276" i="3"/>
  <c r="BK278" i="3"/>
  <c r="BK286" i="3" s="1"/>
  <c r="BU265" i="3"/>
  <c r="BP267" i="3"/>
  <c r="BP275" i="3" s="1"/>
  <c r="BD286" i="3"/>
  <c r="BO275" i="3"/>
  <c r="BV267" i="3"/>
  <c r="CA265" i="3"/>
  <c r="BN267" i="3"/>
  <c r="BN268" i="3" s="1"/>
  <c r="BG280" i="3"/>
  <c r="BG286" i="3"/>
  <c r="BG279" i="3"/>
  <c r="BJ278" i="3"/>
  <c r="BJ276" i="3"/>
  <c r="BN275" i="3"/>
  <c r="BN276" i="3" s="1"/>
  <c r="BR267" i="3"/>
  <c r="BR275" i="3" s="1"/>
  <c r="BW265" i="3"/>
  <c r="CA270" i="3"/>
  <c r="BV272" i="3"/>
  <c r="BM278" i="3"/>
  <c r="BM276" i="3"/>
  <c r="BD279" i="3"/>
  <c r="BD281" i="3"/>
  <c r="BH280" i="3"/>
  <c r="BH286" i="3"/>
  <c r="BH279" i="3"/>
  <c r="BW272" i="3"/>
  <c r="CB270" i="3"/>
  <c r="BL278" i="3"/>
  <c r="BL276" i="3"/>
  <c r="BT272" i="3"/>
  <c r="BY270" i="3"/>
  <c r="BX270" i="3"/>
  <c r="BX271" i="3" s="1"/>
  <c r="BS272" i="3"/>
  <c r="BS273" i="3" s="1"/>
  <c r="BT267" i="3"/>
  <c r="BY265" i="3"/>
  <c r="BE286" i="3"/>
  <c r="BF288" i="3" s="1"/>
  <c r="BI278" i="3"/>
  <c r="BE279" i="3"/>
  <c r="BE280" i="3"/>
  <c r="BZ270" i="3"/>
  <c r="BU272" i="3"/>
  <c r="BM249" i="3"/>
  <c r="BM252" i="3" s="1"/>
  <c r="BN246" i="3"/>
  <c r="BN247" i="3" s="1"/>
  <c r="BU215" i="3"/>
  <c r="BZ213" i="3"/>
  <c r="BT220" i="3"/>
  <c r="BT223" i="3" s="1"/>
  <c r="BY218" i="3"/>
  <c r="CD215" i="3"/>
  <c r="CI213" i="3"/>
  <c r="BV215" i="3"/>
  <c r="CA213" i="3"/>
  <c r="AY253" i="3"/>
  <c r="AY255" i="3"/>
  <c r="BC260" i="3"/>
  <c r="BC253" i="3"/>
  <c r="BC254" i="3"/>
  <c r="BB260" i="3"/>
  <c r="BB253" i="3"/>
  <c r="BB254" i="3"/>
  <c r="BJ249" i="3"/>
  <c r="BN241" i="3"/>
  <c r="BN242" i="3" s="1"/>
  <c r="BU246" i="3"/>
  <c r="BZ244" i="3"/>
  <c r="BQ246" i="3"/>
  <c r="BV244" i="3"/>
  <c r="BF260" i="3"/>
  <c r="BF253" i="3"/>
  <c r="BR241" i="3"/>
  <c r="BW239" i="3"/>
  <c r="BW244" i="3"/>
  <c r="BR246" i="3"/>
  <c r="BS244" i="3"/>
  <c r="BS245" i="3" s="1"/>
  <c r="BG252" i="3"/>
  <c r="BG250" i="3"/>
  <c r="BP241" i="3"/>
  <c r="BP249" i="3" s="1"/>
  <c r="BU239" i="3"/>
  <c r="BT246" i="3"/>
  <c r="BY244" i="3"/>
  <c r="AZ254" i="3"/>
  <c r="AZ260" i="3"/>
  <c r="AZ253" i="3"/>
  <c r="BD252" i="3"/>
  <c r="BO241" i="3"/>
  <c r="BT239" i="3"/>
  <c r="BS239" i="3"/>
  <c r="BS240" i="3" s="1"/>
  <c r="BK252" i="3"/>
  <c r="BK250" i="3"/>
  <c r="BH252" i="3"/>
  <c r="BH250" i="3"/>
  <c r="BI249" i="3"/>
  <c r="BI250" i="3" s="1"/>
  <c r="BE252" i="3"/>
  <c r="BE250" i="3"/>
  <c r="BQ241" i="3"/>
  <c r="BV239" i="3"/>
  <c r="BA254" i="3"/>
  <c r="BL249" i="3"/>
  <c r="BN220" i="3"/>
  <c r="BN221" i="3" s="1"/>
  <c r="BK223" i="3"/>
  <c r="BK224" i="3" s="1"/>
  <c r="BS218" i="3"/>
  <c r="BS219" i="3" s="1"/>
  <c r="BR215" i="3"/>
  <c r="BS215" i="3" s="1"/>
  <c r="BW213" i="3"/>
  <c r="BM223" i="3"/>
  <c r="BJ224" i="3"/>
  <c r="BL224" i="3"/>
  <c r="BR220" i="3"/>
  <c r="BW218" i="3"/>
  <c r="CB218" i="3" s="1"/>
  <c r="BH224" i="3"/>
  <c r="BQ220" i="3"/>
  <c r="BQ223" i="3" s="1"/>
  <c r="BV218" i="3"/>
  <c r="BI223" i="3"/>
  <c r="BI224" i="3" s="1"/>
  <c r="BP220" i="3"/>
  <c r="BP223" i="3" s="1"/>
  <c r="BU218" i="3"/>
  <c r="BS213" i="3"/>
  <c r="BS214" i="3" s="1"/>
  <c r="BO223" i="3"/>
  <c r="BN215" i="3"/>
  <c r="BN216" i="3" s="1"/>
  <c r="AO152" i="3"/>
  <c r="AO156" i="3"/>
  <c r="AT147" i="3"/>
  <c r="AT149" i="3"/>
  <c r="AF125" i="3"/>
  <c r="AF126" i="3"/>
  <c r="AO144" i="3"/>
  <c r="AO142" i="3"/>
  <c r="BC137" i="3"/>
  <c r="BH137" i="3" s="1"/>
  <c r="BH143" i="3" s="1"/>
  <c r="AY137" i="3"/>
  <c r="AY143" i="3" s="1"/>
  <c r="AS144" i="3"/>
  <c r="AS142" i="3"/>
  <c r="AU142" i="3"/>
  <c r="AT139" i="3"/>
  <c r="AT138" i="3"/>
  <c r="BB140" i="3"/>
  <c r="BG140" i="3" s="1"/>
  <c r="AU139" i="3"/>
  <c r="BA137" i="3"/>
  <c r="AV139" i="3"/>
  <c r="AW142" i="3"/>
  <c r="AQ144" i="3"/>
  <c r="AQ142" i="3"/>
  <c r="AO139" i="3"/>
  <c r="AJ110" i="3"/>
  <c r="AJ113" i="3"/>
  <c r="AC134" i="3"/>
  <c r="AC133" i="3"/>
  <c r="AN113" i="3"/>
  <c r="AA134" i="3"/>
  <c r="AA133" i="3"/>
  <c r="AE132" i="3"/>
  <c r="AN121" i="3"/>
  <c r="AO120" i="3"/>
  <c r="AU108" i="3"/>
  <c r="AT108" i="3"/>
  <c r="AP117" i="3"/>
  <c r="AP114" i="3"/>
  <c r="AF133" i="3"/>
  <c r="AO109" i="3"/>
  <c r="AO114" i="3"/>
  <c r="AO115" i="3" s="1"/>
  <c r="AX111" i="3"/>
  <c r="AS120" i="3"/>
  <c r="AT111" i="3"/>
  <c r="AH126" i="3"/>
  <c r="AH132" i="3"/>
  <c r="AH125" i="3"/>
  <c r="AO117" i="3"/>
  <c r="AK118" i="3"/>
  <c r="AK124" i="3"/>
  <c r="AL126" i="3" s="1"/>
  <c r="AJ119" i="3"/>
  <c r="AJ124" i="3"/>
  <c r="AJ125" i="3" s="1"/>
  <c r="AJ118" i="3"/>
  <c r="AQ118" i="3"/>
  <c r="AQ124" i="3"/>
  <c r="AF134" i="3"/>
  <c r="AD134" i="3"/>
  <c r="AD133" i="3"/>
  <c r="AI132" i="3"/>
  <c r="AI125" i="3"/>
  <c r="AI126" i="3"/>
  <c r="AK113" i="3"/>
  <c r="AK115" i="3"/>
  <c r="AN110" i="3"/>
  <c r="AM124" i="3"/>
  <c r="AM118" i="3"/>
  <c r="AL132" i="3"/>
  <c r="AL125" i="3"/>
  <c r="AJ122" i="3"/>
  <c r="AJ121" i="3"/>
  <c r="AQ115" i="3"/>
  <c r="AQ113" i="3"/>
  <c r="AS114" i="3"/>
  <c r="AS115" i="3" s="1"/>
  <c r="AX108" i="3"/>
  <c r="AS117" i="3"/>
  <c r="AR114" i="3"/>
  <c r="AR110" i="3" s="1"/>
  <c r="AW108" i="3"/>
  <c r="AR117" i="3"/>
  <c r="AG133" i="3"/>
  <c r="AG134" i="3"/>
  <c r="Z128" i="3"/>
  <c r="AO112" i="3"/>
  <c r="AV114" i="3"/>
  <c r="BA108" i="3"/>
  <c r="BF108" i="3" s="1"/>
  <c r="BK108" i="3" s="1"/>
  <c r="AN124" i="3"/>
  <c r="AN118" i="3"/>
  <c r="AM115" i="3"/>
  <c r="AM113" i="3"/>
  <c r="AG126" i="3"/>
  <c r="BH226" i="3" l="1"/>
  <c r="BM229" i="3"/>
  <c r="BR229" i="3" s="1"/>
  <c r="BW229" i="3" s="1"/>
  <c r="CB229" i="3" s="1"/>
  <c r="CG229" i="3" s="1"/>
  <c r="CL229" i="3" s="1"/>
  <c r="CQ229" i="3" s="1"/>
  <c r="CV229" i="3" s="1"/>
  <c r="DA229" i="3" s="1"/>
  <c r="AS189" i="3"/>
  <c r="AT187" i="3"/>
  <c r="AS192" i="3"/>
  <c r="AU189" i="3"/>
  <c r="AS52" i="3"/>
  <c r="AY227" i="3"/>
  <c r="AX206" i="3"/>
  <c r="AX189" i="3"/>
  <c r="AX203" i="3"/>
  <c r="AW202" i="3"/>
  <c r="AY201" i="3"/>
  <c r="AY202" i="3" s="1"/>
  <c r="AW188" i="3"/>
  <c r="AW189" i="3"/>
  <c r="AW203" i="3"/>
  <c r="AY187" i="3"/>
  <c r="AY52" i="3" s="1"/>
  <c r="BC234" i="3"/>
  <c r="BC235" i="3" s="1"/>
  <c r="BC227" i="3"/>
  <c r="AQ210" i="3"/>
  <c r="AP210" i="3"/>
  <c r="AP205" i="3"/>
  <c r="AP206" i="3" s="1"/>
  <c r="AP209" i="3"/>
  <c r="AQ197" i="3"/>
  <c r="AP192" i="3"/>
  <c r="AW235" i="3"/>
  <c r="AW236" i="3"/>
  <c r="AX236" i="3"/>
  <c r="AR195" i="3"/>
  <c r="AR205" i="3"/>
  <c r="AR206" i="3" s="1"/>
  <c r="AR210" i="3"/>
  <c r="AT208" i="3"/>
  <c r="AR209" i="3"/>
  <c r="AS210" i="3"/>
  <c r="AW208" i="3"/>
  <c r="AY208" i="3" s="1"/>
  <c r="BA234" i="3"/>
  <c r="BA227" i="3"/>
  <c r="BA201" i="3"/>
  <c r="BP229" i="3"/>
  <c r="BU229" i="3" s="1"/>
  <c r="BZ229" i="3" s="1"/>
  <c r="CE229" i="3" s="1"/>
  <c r="CJ229" i="3" s="1"/>
  <c r="CO229" i="3" s="1"/>
  <c r="CT229" i="3" s="1"/>
  <c r="CY229" i="3" s="1"/>
  <c r="BF226" i="3"/>
  <c r="BG229" i="3"/>
  <c r="BL229" i="3" s="1"/>
  <c r="BB226" i="3"/>
  <c r="AU235" i="3"/>
  <c r="AV236" i="3"/>
  <c r="AY234" i="3"/>
  <c r="AU236" i="3"/>
  <c r="BE229" i="3"/>
  <c r="BJ229" i="3" s="1"/>
  <c r="AZ226" i="3"/>
  <c r="BR335" i="3"/>
  <c r="BS335" i="3" s="1"/>
  <c r="BR432" i="3"/>
  <c r="BR433" i="3"/>
  <c r="BS431" i="3"/>
  <c r="BU434" i="3"/>
  <c r="BT431" i="3"/>
  <c r="AZ327" i="3"/>
  <c r="AZ455" i="3"/>
  <c r="AZ463" i="3" s="1"/>
  <c r="AZ312" i="3" s="1"/>
  <c r="AZ46" i="3" s="1"/>
  <c r="AZ320" i="3"/>
  <c r="AO455" i="3"/>
  <c r="AO458" i="3" s="1"/>
  <c r="AL457" i="3"/>
  <c r="AK303" i="3"/>
  <c r="BC52" i="3"/>
  <c r="AW53" i="3"/>
  <c r="AO463" i="3"/>
  <c r="AR464" i="3"/>
  <c r="AM312" i="3"/>
  <c r="AR313" i="3" s="1"/>
  <c r="AM465" i="3"/>
  <c r="AX54" i="3"/>
  <c r="AR54" i="3"/>
  <c r="AW54" i="3"/>
  <c r="AP320" i="3"/>
  <c r="AP455" i="3"/>
  <c r="AQ457" i="3" s="1"/>
  <c r="AU319" i="3"/>
  <c r="AQ320" i="3"/>
  <c r="BN408" i="3"/>
  <c r="AY337" i="3"/>
  <c r="BN362" i="3"/>
  <c r="BI381" i="3"/>
  <c r="AV54" i="3"/>
  <c r="BC458" i="3"/>
  <c r="AQ323" i="3"/>
  <c r="AX323" i="3"/>
  <c r="BJ137" i="3"/>
  <c r="BJ143" i="3" s="1"/>
  <c r="AL465" i="3"/>
  <c r="BK114" i="3"/>
  <c r="BK110" i="3" s="1"/>
  <c r="BP108" i="3"/>
  <c r="BU140" i="3"/>
  <c r="BL143" i="3"/>
  <c r="BL139" i="3" s="1"/>
  <c r="BQ137" i="3"/>
  <c r="BY111" i="3"/>
  <c r="BW140" i="3"/>
  <c r="CK111" i="3"/>
  <c r="BT140" i="3"/>
  <c r="BI140" i="3"/>
  <c r="BL140" i="3"/>
  <c r="CE111" i="3"/>
  <c r="BF114" i="3"/>
  <c r="BF110" i="3" s="1"/>
  <c r="BC143" i="3"/>
  <c r="BM137" i="3"/>
  <c r="BA143" i="3"/>
  <c r="BA146" i="3" s="1"/>
  <c r="BA155" i="3" s="1"/>
  <c r="BF137" i="3"/>
  <c r="BG143" i="3"/>
  <c r="BG142" i="3" s="1"/>
  <c r="AV323" i="3"/>
  <c r="AV61" i="3"/>
  <c r="AX347" i="3"/>
  <c r="CT439" i="3"/>
  <c r="CW437" i="3"/>
  <c r="CW438" i="3" s="1"/>
  <c r="BA458" i="3"/>
  <c r="BA456" i="3"/>
  <c r="BA463" i="3"/>
  <c r="AZ364" i="3"/>
  <c r="AY346" i="3"/>
  <c r="AY325" i="3" s="1"/>
  <c r="AW458" i="3"/>
  <c r="AW456" i="3"/>
  <c r="AW457" i="3"/>
  <c r="AW463" i="3"/>
  <c r="AW312" i="3" s="1"/>
  <c r="AQ464" i="3"/>
  <c r="AR465" i="3"/>
  <c r="AY455" i="3"/>
  <c r="BC322" i="3"/>
  <c r="BC312" i="3"/>
  <c r="AU326" i="3"/>
  <c r="AQ312" i="3"/>
  <c r="AQ61" i="3" s="1"/>
  <c r="AX458" i="3"/>
  <c r="AX456" i="3"/>
  <c r="AX463" i="3"/>
  <c r="AX457" i="3"/>
  <c r="BC456" i="3"/>
  <c r="AW347" i="3"/>
  <c r="AX348" i="3"/>
  <c r="AS310" i="3"/>
  <c r="AW322" i="3"/>
  <c r="AW348" i="3"/>
  <c r="AL309" i="3"/>
  <c r="BD331" i="3"/>
  <c r="BB330" i="3"/>
  <c r="BB364" i="3" s="1"/>
  <c r="AU312" i="3"/>
  <c r="AU61" i="3" s="1"/>
  <c r="AZ319" i="3"/>
  <c r="AX327" i="3"/>
  <c r="AK312" i="3"/>
  <c r="AO326" i="3"/>
  <c r="BC365" i="3"/>
  <c r="AX326" i="3"/>
  <c r="AW327" i="3"/>
  <c r="CI450" i="3"/>
  <c r="CN442" i="3"/>
  <c r="AU347" i="3"/>
  <c r="AO322" i="3"/>
  <c r="AO323" i="3" s="1"/>
  <c r="BH201" i="3"/>
  <c r="BH187" i="3" s="1"/>
  <c r="BH52" i="3" s="1"/>
  <c r="BI332" i="3"/>
  <c r="BB346" i="3"/>
  <c r="BB325" i="3" s="1"/>
  <c r="AZ326" i="3"/>
  <c r="BA320" i="3"/>
  <c r="BA319" i="3"/>
  <c r="AZ322" i="3"/>
  <c r="BC326" i="3"/>
  <c r="AP326" i="3"/>
  <c r="AP327" i="3"/>
  <c r="AQ327" i="3"/>
  <c r="CF450" i="3"/>
  <c r="CH450" i="3" s="1"/>
  <c r="CH446" i="3" s="1"/>
  <c r="CK442" i="3"/>
  <c r="AP322" i="3"/>
  <c r="CT336" i="3"/>
  <c r="CW336" i="3" s="1"/>
  <c r="CY437" i="3"/>
  <c r="CY336" i="3" s="1"/>
  <c r="BH385" i="3"/>
  <c r="BR413" i="3"/>
  <c r="BR332" i="3"/>
  <c r="BL413" i="3"/>
  <c r="BL332" i="3"/>
  <c r="BX417" i="3"/>
  <c r="BX420" i="3" s="1"/>
  <c r="BW333" i="3"/>
  <c r="BX333" i="3" s="1"/>
  <c r="CX336" i="3"/>
  <c r="BC347" i="3"/>
  <c r="CQ442" i="3"/>
  <c r="CL450" i="3"/>
  <c r="AO342" i="3"/>
  <c r="AO343" i="3" s="1"/>
  <c r="AO347" i="3"/>
  <c r="BM413" i="3"/>
  <c r="BM332" i="3"/>
  <c r="CZ336" i="3"/>
  <c r="AP347" i="3"/>
  <c r="AT346" i="3"/>
  <c r="AT325" i="3" s="1"/>
  <c r="AQ348" i="3"/>
  <c r="CO450" i="3"/>
  <c r="CT442" i="3"/>
  <c r="AZ347" i="3"/>
  <c r="BF385" i="3"/>
  <c r="BE331" i="3"/>
  <c r="BE330" i="3" s="1"/>
  <c r="DA439" i="3"/>
  <c r="DA336" i="3"/>
  <c r="BA339" i="3"/>
  <c r="BA338" i="3"/>
  <c r="BA346" i="3"/>
  <c r="BA325" i="3" s="1"/>
  <c r="BS393" i="3"/>
  <c r="BS394" i="3" s="1"/>
  <c r="BR394" i="3"/>
  <c r="BR395" i="3"/>
  <c r="BL411" i="3"/>
  <c r="BZ420" i="3"/>
  <c r="CD427" i="3"/>
  <c r="BY417" i="3"/>
  <c r="BY333" i="3" s="1"/>
  <c r="BM412" i="3"/>
  <c r="CA424" i="3"/>
  <c r="CA334" i="3" s="1"/>
  <c r="BP403" i="3"/>
  <c r="BP404" i="3"/>
  <c r="BP410" i="3"/>
  <c r="BN413" i="3"/>
  <c r="BS402" i="3"/>
  <c r="BS405" i="3" s="1"/>
  <c r="BT405" i="3" s="1"/>
  <c r="BO413" i="3"/>
  <c r="BQ404" i="3"/>
  <c r="BQ403" i="3"/>
  <c r="BQ410" i="3"/>
  <c r="BT395" i="3"/>
  <c r="BT394" i="3"/>
  <c r="BU393" i="3"/>
  <c r="BX400" i="3"/>
  <c r="BX401" i="3" s="1"/>
  <c r="AY257" i="3"/>
  <c r="AY258" i="3" s="1"/>
  <c r="BX356" i="3"/>
  <c r="BX357" i="3" s="1"/>
  <c r="BX353" i="3"/>
  <c r="BX354" i="3" s="1"/>
  <c r="CC398" i="3"/>
  <c r="CC399" i="3" s="1"/>
  <c r="BS358" i="3"/>
  <c r="BS359" i="3" s="1"/>
  <c r="CC351" i="3"/>
  <c r="CC352" i="3" s="1"/>
  <c r="BU408" i="3"/>
  <c r="BJ412" i="3"/>
  <c r="BJ411" i="3"/>
  <c r="BO408" i="3"/>
  <c r="BS407" i="3"/>
  <c r="CF398" i="3"/>
  <c r="CA400" i="3"/>
  <c r="CA407" i="3" s="1"/>
  <c r="BR411" i="3"/>
  <c r="CE391" i="3"/>
  <c r="CJ389" i="3"/>
  <c r="CC389" i="3"/>
  <c r="CC390" i="3" s="1"/>
  <c r="BY391" i="3"/>
  <c r="CD389" i="3"/>
  <c r="BT407" i="3"/>
  <c r="BX391" i="3"/>
  <c r="BX392" i="3" s="1"/>
  <c r="CL398" i="3"/>
  <c r="CG400" i="3"/>
  <c r="BI411" i="3"/>
  <c r="BK412" i="3"/>
  <c r="BK411" i="3"/>
  <c r="BZ400" i="3"/>
  <c r="BZ407" i="3" s="1"/>
  <c r="CE398" i="3"/>
  <c r="BV407" i="3"/>
  <c r="CF391" i="3"/>
  <c r="CK389" i="3"/>
  <c r="CB391" i="3"/>
  <c r="CB407" i="3" s="1"/>
  <c r="CG389" i="3"/>
  <c r="BW408" i="3"/>
  <c r="BL412" i="3"/>
  <c r="CD400" i="3"/>
  <c r="CI398" i="3"/>
  <c r="BR362" i="3"/>
  <c r="BS361" i="3"/>
  <c r="AV192" i="3"/>
  <c r="AV193" i="3" s="1"/>
  <c r="AV196" i="3"/>
  <c r="AV197" i="3"/>
  <c r="BQ362" i="3"/>
  <c r="BP362" i="3"/>
  <c r="CB353" i="3"/>
  <c r="CG351" i="3"/>
  <c r="CA353" i="3"/>
  <c r="CF351" i="3"/>
  <c r="CD353" i="3"/>
  <c r="CI351" i="3"/>
  <c r="BV358" i="3"/>
  <c r="BV361" i="3" s="1"/>
  <c r="CA356" i="3"/>
  <c r="AU196" i="3"/>
  <c r="AU197" i="3"/>
  <c r="AU192" i="3"/>
  <c r="BC190" i="3"/>
  <c r="AX192" i="3"/>
  <c r="AX193" i="3" s="1"/>
  <c r="AX196" i="3"/>
  <c r="BU358" i="3"/>
  <c r="BU361" i="3" s="1"/>
  <c r="BZ356" i="3"/>
  <c r="BY358" i="3"/>
  <c r="CD356" i="3"/>
  <c r="BW358" i="3"/>
  <c r="BW361" i="3" s="1"/>
  <c r="CB356" i="3"/>
  <c r="BZ353" i="3"/>
  <c r="CE351" i="3"/>
  <c r="BT361" i="3"/>
  <c r="BS377" i="3"/>
  <c r="BS378" i="3" s="1"/>
  <c r="BE385" i="3"/>
  <c r="BE384" i="3"/>
  <c r="BI383" i="3"/>
  <c r="BI386" i="3" s="1"/>
  <c r="BK384" i="3"/>
  <c r="BR383" i="3"/>
  <c r="BR331" i="3" s="1"/>
  <c r="BR381" i="3"/>
  <c r="BX370" i="3"/>
  <c r="BX371" i="3" s="1"/>
  <c r="BT372" i="3"/>
  <c r="BY370" i="3"/>
  <c r="BD386" i="3"/>
  <c r="BD384" i="3"/>
  <c r="BO380" i="3"/>
  <c r="BS372" i="3"/>
  <c r="BS373" i="3" s="1"/>
  <c r="BG384" i="3"/>
  <c r="BG385" i="3"/>
  <c r="BN380" i="3"/>
  <c r="BJ383" i="3"/>
  <c r="BJ331" i="3" s="1"/>
  <c r="BJ381" i="3"/>
  <c r="CA375" i="3"/>
  <c r="BV377" i="3"/>
  <c r="BX375" i="3"/>
  <c r="BX376" i="3" s="1"/>
  <c r="BZ377" i="3"/>
  <c r="CE375" i="3"/>
  <c r="CD377" i="3"/>
  <c r="CI375" i="3"/>
  <c r="CB372" i="3"/>
  <c r="CG370" i="3"/>
  <c r="BQ380" i="3"/>
  <c r="BU372" i="3"/>
  <c r="BU380" i="3" s="1"/>
  <c r="BZ370" i="3"/>
  <c r="BW377" i="3"/>
  <c r="BW380" i="3" s="1"/>
  <c r="CB375" i="3"/>
  <c r="CA372" i="3"/>
  <c r="CF370" i="3"/>
  <c r="BP383" i="3"/>
  <c r="BP331" i="3" s="1"/>
  <c r="BP381" i="3"/>
  <c r="BL383" i="3"/>
  <c r="BL381" i="3"/>
  <c r="BM384" i="3"/>
  <c r="BM250" i="3"/>
  <c r="CU299" i="3"/>
  <c r="CU300" i="3"/>
  <c r="CR295" i="3"/>
  <c r="CR296" i="3" s="1"/>
  <c r="CR299" i="3"/>
  <c r="CZ293" i="3"/>
  <c r="CZ298" i="3"/>
  <c r="DA300" i="3" s="1"/>
  <c r="CW298" i="3"/>
  <c r="DA293" i="3"/>
  <c r="DA299" i="3"/>
  <c r="DB291" i="3"/>
  <c r="DB292" i="3" s="1"/>
  <c r="CX299" i="3"/>
  <c r="CX300" i="3"/>
  <c r="CY298" i="3"/>
  <c r="CY293" i="3"/>
  <c r="CT299" i="3"/>
  <c r="CT300" i="3"/>
  <c r="BK279" i="3"/>
  <c r="BX265" i="3"/>
  <c r="BX266" i="3" s="1"/>
  <c r="BQ276" i="3"/>
  <c r="AU205" i="3"/>
  <c r="AU209" i="3"/>
  <c r="AU210" i="3"/>
  <c r="AV210" i="3"/>
  <c r="BC202" i="3"/>
  <c r="BN223" i="3"/>
  <c r="BN224" i="3" s="1"/>
  <c r="BK287" i="3"/>
  <c r="AZ261" i="3"/>
  <c r="AZ262" i="3"/>
  <c r="BD283" i="3"/>
  <c r="BD284" i="3" s="1"/>
  <c r="BD287" i="3"/>
  <c r="BB261" i="3"/>
  <c r="BB262" i="3"/>
  <c r="BH288" i="3"/>
  <c r="BH287" i="3"/>
  <c r="BK280" i="3"/>
  <c r="BG288" i="3"/>
  <c r="BG287" i="3"/>
  <c r="BA262" i="3"/>
  <c r="BF261" i="3"/>
  <c r="BC261" i="3"/>
  <c r="BC262" i="3"/>
  <c r="BE288" i="3"/>
  <c r="BE287" i="3"/>
  <c r="BX272" i="3"/>
  <c r="BX273" i="3" s="1"/>
  <c r="BP278" i="3"/>
  <c r="BP279" i="3" s="1"/>
  <c r="BP276" i="3"/>
  <c r="BU267" i="3"/>
  <c r="BU275" i="3" s="1"/>
  <c r="BU278" i="3" s="1"/>
  <c r="BZ265" i="3"/>
  <c r="BI281" i="3"/>
  <c r="BI279" i="3"/>
  <c r="BI286" i="3"/>
  <c r="CA272" i="3"/>
  <c r="CF270" i="3"/>
  <c r="BL279" i="3"/>
  <c r="BL280" i="3"/>
  <c r="BL286" i="3"/>
  <c r="CA267" i="3"/>
  <c r="CF265" i="3"/>
  <c r="BY267" i="3"/>
  <c r="CD265" i="3"/>
  <c r="CB272" i="3"/>
  <c r="CG270" i="3"/>
  <c r="BW267" i="3"/>
  <c r="BW275" i="3" s="1"/>
  <c r="CB265" i="3"/>
  <c r="BV275" i="3"/>
  <c r="BT275" i="3"/>
  <c r="BR276" i="3"/>
  <c r="BR278" i="3"/>
  <c r="BS275" i="3"/>
  <c r="BS276" i="3" s="1"/>
  <c r="BO276" i="3"/>
  <c r="BO278" i="3"/>
  <c r="BS267" i="3"/>
  <c r="BS268" i="3" s="1"/>
  <c r="BY272" i="3"/>
  <c r="CD270" i="3"/>
  <c r="CC270" i="3"/>
  <c r="CC271" i="3" s="1"/>
  <c r="BJ280" i="3"/>
  <c r="BN278" i="3"/>
  <c r="BJ279" i="3"/>
  <c r="BJ286" i="3"/>
  <c r="BQ279" i="3"/>
  <c r="BQ286" i="3"/>
  <c r="BM279" i="3"/>
  <c r="BM280" i="3"/>
  <c r="BM286" i="3"/>
  <c r="CE270" i="3"/>
  <c r="BZ272" i="3"/>
  <c r="BX244" i="3"/>
  <c r="BX245" i="3" s="1"/>
  <c r="BW215" i="3"/>
  <c r="BX215" i="3" s="1"/>
  <c r="CB213" i="3"/>
  <c r="CC213" i="3" s="1"/>
  <c r="CI215" i="3"/>
  <c r="CN213" i="3"/>
  <c r="BV220" i="3"/>
  <c r="BV223" i="3" s="1"/>
  <c r="BV224" i="3" s="1"/>
  <c r="CA218" i="3"/>
  <c r="CD218" i="3"/>
  <c r="BY220" i="3"/>
  <c r="CA215" i="3"/>
  <c r="CF213" i="3"/>
  <c r="BZ215" i="3"/>
  <c r="CE213" i="3"/>
  <c r="BU220" i="3"/>
  <c r="BU223" i="3" s="1"/>
  <c r="BZ218" i="3"/>
  <c r="CB220" i="3"/>
  <c r="CG218" i="3"/>
  <c r="BQ249" i="3"/>
  <c r="BQ252" i="3" s="1"/>
  <c r="BS246" i="3"/>
  <c r="BS247" i="3" s="1"/>
  <c r="BD260" i="3"/>
  <c r="BE260" i="3"/>
  <c r="BE253" i="3"/>
  <c r="BI252" i="3"/>
  <c r="BE254" i="3"/>
  <c r="BH254" i="3"/>
  <c r="BH260" i="3"/>
  <c r="BH253" i="3"/>
  <c r="BW241" i="3"/>
  <c r="CB239" i="3"/>
  <c r="BG254" i="3"/>
  <c r="BG260" i="3"/>
  <c r="BG253" i="3"/>
  <c r="BJ252" i="3"/>
  <c r="BK254" i="3" s="1"/>
  <c r="BJ250" i="3"/>
  <c r="BN249" i="3"/>
  <c r="BN250" i="3" s="1"/>
  <c r="BY246" i="3"/>
  <c r="CD244" i="3"/>
  <c r="BR249" i="3"/>
  <c r="BF254" i="3"/>
  <c r="BO249" i="3"/>
  <c r="BS241" i="3"/>
  <c r="BS242" i="3" s="1"/>
  <c r="BZ246" i="3"/>
  <c r="CE244" i="3"/>
  <c r="BL252" i="3"/>
  <c r="BM254" i="3" s="1"/>
  <c r="BL250" i="3"/>
  <c r="BK253" i="3"/>
  <c r="BK260" i="3"/>
  <c r="BM253" i="3"/>
  <c r="BM260" i="3"/>
  <c r="BD253" i="3"/>
  <c r="BD255" i="3"/>
  <c r="BU241" i="3"/>
  <c r="BU249" i="3" s="1"/>
  <c r="BZ239" i="3"/>
  <c r="BV246" i="3"/>
  <c r="CA244" i="3"/>
  <c r="BW246" i="3"/>
  <c r="CB244" i="3"/>
  <c r="BV241" i="3"/>
  <c r="CA239" i="3"/>
  <c r="BT241" i="3"/>
  <c r="BY239" i="3"/>
  <c r="BX239" i="3"/>
  <c r="BX240" i="3" s="1"/>
  <c r="BP252" i="3"/>
  <c r="BP250" i="3"/>
  <c r="BX213" i="3"/>
  <c r="BX214" i="3" s="1"/>
  <c r="BS216" i="3"/>
  <c r="BQ224" i="3"/>
  <c r="BT224" i="3"/>
  <c r="BP224" i="3"/>
  <c r="BM226" i="3"/>
  <c r="BM224" i="3"/>
  <c r="BH234" i="3"/>
  <c r="BH208" i="3" s="1"/>
  <c r="BH227" i="3"/>
  <c r="BX218" i="3"/>
  <c r="BX219" i="3" s="1"/>
  <c r="BW220" i="3"/>
  <c r="BR223" i="3"/>
  <c r="BS220" i="3"/>
  <c r="BS221" i="3" s="1"/>
  <c r="BO224" i="3"/>
  <c r="AO113" i="3"/>
  <c r="AS113" i="3"/>
  <c r="AS110" i="3"/>
  <c r="AY138" i="3"/>
  <c r="BD140" i="3"/>
  <c r="BD141" i="3" s="1"/>
  <c r="AZ142" i="3"/>
  <c r="AX144" i="3"/>
  <c r="AX142" i="3"/>
  <c r="BD137" i="3"/>
  <c r="BD143" i="3" s="1"/>
  <c r="AZ139" i="3"/>
  <c r="AX139" i="3"/>
  <c r="BB142" i="3"/>
  <c r="AW144" i="3"/>
  <c r="AW139" i="3"/>
  <c r="AT144" i="3"/>
  <c r="AT142" i="3"/>
  <c r="AV144" i="3"/>
  <c r="AV142" i="3"/>
  <c r="AP124" i="3"/>
  <c r="AQ126" i="3" s="1"/>
  <c r="AT117" i="3"/>
  <c r="AP118" i="3"/>
  <c r="AT109" i="3"/>
  <c r="AT114" i="3"/>
  <c r="AT115" i="3" s="1"/>
  <c r="AH134" i="3"/>
  <c r="AH133" i="3"/>
  <c r="AV115" i="3"/>
  <c r="AV113" i="3"/>
  <c r="AV110" i="3"/>
  <c r="AX114" i="3"/>
  <c r="AX115" i="3" s="1"/>
  <c r="BC108" i="3"/>
  <c r="AX117" i="3"/>
  <c r="BC111" i="3"/>
  <c r="AY111" i="3"/>
  <c r="AZ108" i="3"/>
  <c r="BE108" i="3" s="1"/>
  <c r="BJ108" i="3" s="1"/>
  <c r="AU114" i="3"/>
  <c r="AY108" i="3"/>
  <c r="AU117" i="3"/>
  <c r="AO110" i="3"/>
  <c r="AE128" i="3"/>
  <c r="AE129" i="3" s="1"/>
  <c r="AE133" i="3"/>
  <c r="AP115" i="3"/>
  <c r="AP113" i="3"/>
  <c r="AR115" i="3"/>
  <c r="AR113" i="3"/>
  <c r="BA114" i="3"/>
  <c r="BA110" i="3" s="1"/>
  <c r="BA117" i="3"/>
  <c r="AM132" i="3"/>
  <c r="AM125" i="3"/>
  <c r="AM126" i="3"/>
  <c r="AS124" i="3"/>
  <c r="AS125" i="3" s="1"/>
  <c r="AS118" i="3"/>
  <c r="AK132" i="3"/>
  <c r="AL134" i="3" s="1"/>
  <c r="AK125" i="3"/>
  <c r="AK126" i="3"/>
  <c r="AL133" i="3"/>
  <c r="AN132" i="3"/>
  <c r="AN125" i="3"/>
  <c r="AN126" i="3"/>
  <c r="AT112" i="3"/>
  <c r="AO121" i="3"/>
  <c r="AO122" i="3"/>
  <c r="AO124" i="3"/>
  <c r="AO125" i="3" s="1"/>
  <c r="AO119" i="3"/>
  <c r="AO118" i="3"/>
  <c r="AJ132" i="3"/>
  <c r="AW114" i="3"/>
  <c r="BB108" i="3"/>
  <c r="BG108" i="3" s="1"/>
  <c r="BL108" i="3" s="1"/>
  <c r="AQ132" i="3"/>
  <c r="AQ125" i="3"/>
  <c r="AS121" i="3"/>
  <c r="AT120" i="3"/>
  <c r="AR118" i="3"/>
  <c r="AR124" i="3"/>
  <c r="AR132" i="3" s="1"/>
  <c r="AI134" i="3"/>
  <c r="AI133" i="3"/>
  <c r="AP110" i="3"/>
  <c r="BH111" i="3" l="1"/>
  <c r="BM111" i="3" s="1"/>
  <c r="BH108" i="3"/>
  <c r="BM108" i="3" s="1"/>
  <c r="BH55" i="3"/>
  <c r="BH53" i="3"/>
  <c r="AS54" i="3"/>
  <c r="AX53" i="3"/>
  <c r="AU54" i="3"/>
  <c r="BU405" i="3"/>
  <c r="BT402" i="3"/>
  <c r="BC208" i="3"/>
  <c r="BC195" i="3" s="1"/>
  <c r="BC41" i="3" s="1"/>
  <c r="AY188" i="3"/>
  <c r="AY190" i="3"/>
  <c r="AU206" i="3"/>
  <c r="BC308" i="3"/>
  <c r="BC46" i="3"/>
  <c r="BK226" i="3"/>
  <c r="BK201" i="3" s="1"/>
  <c r="BK187" i="3" s="1"/>
  <c r="AU193" i="3"/>
  <c r="BP226" i="3"/>
  <c r="BP201" i="3" s="1"/>
  <c r="BP187" i="3" s="1"/>
  <c r="BB234" i="3"/>
  <c r="BB227" i="3"/>
  <c r="BB228" i="3"/>
  <c r="BB201" i="3"/>
  <c r="BC228" i="3"/>
  <c r="BG226" i="3"/>
  <c r="BG201" i="3" s="1"/>
  <c r="AT209" i="3"/>
  <c r="AT205" i="3"/>
  <c r="AT206" i="3" s="1"/>
  <c r="BF201" i="3"/>
  <c r="BF227" i="3"/>
  <c r="BF234" i="3"/>
  <c r="AW195" i="3"/>
  <c r="AW61" i="3" s="1"/>
  <c r="AW63" i="3" s="1"/>
  <c r="AX210" i="3"/>
  <c r="AW205" i="3"/>
  <c r="AW206" i="3" s="1"/>
  <c r="AW209" i="3"/>
  <c r="AW210" i="3"/>
  <c r="AS197" i="3"/>
  <c r="AT195" i="3"/>
  <c r="AT192" i="3" s="1"/>
  <c r="AR197" i="3"/>
  <c r="AR192" i="3"/>
  <c r="AR61" i="3"/>
  <c r="AS63" i="3" s="1"/>
  <c r="AZ234" i="3"/>
  <c r="BA236" i="3" s="1"/>
  <c r="AZ227" i="3"/>
  <c r="AZ228" i="3"/>
  <c r="AZ201" i="3"/>
  <c r="BA203" i="3" s="1"/>
  <c r="BD226" i="3"/>
  <c r="BA202" i="3"/>
  <c r="BA187" i="3"/>
  <c r="BE226" i="3"/>
  <c r="BA228" i="3"/>
  <c r="AY235" i="3"/>
  <c r="AY231" i="3"/>
  <c r="BA235" i="3"/>
  <c r="BA208" i="3"/>
  <c r="BA457" i="3"/>
  <c r="AZ458" i="3"/>
  <c r="AZ456" i="3"/>
  <c r="BT335" i="3"/>
  <c r="BT432" i="3"/>
  <c r="BT433" i="3"/>
  <c r="BV434" i="3"/>
  <c r="BU431" i="3"/>
  <c r="BS434" i="3"/>
  <c r="BS432" i="3"/>
  <c r="AO303" i="3"/>
  <c r="AO304" i="3" s="1"/>
  <c r="AK304" i="3"/>
  <c r="AL305" i="3"/>
  <c r="AK305" i="3"/>
  <c r="AO460" i="3"/>
  <c r="AO312" i="3"/>
  <c r="AO313" i="3" s="1"/>
  <c r="AP303" i="3"/>
  <c r="AP52" i="3" s="1"/>
  <c r="AP456" i="3"/>
  <c r="AN314" i="3"/>
  <c r="AU456" i="3"/>
  <c r="AP463" i="3"/>
  <c r="AU464" i="3" s="1"/>
  <c r="AM314" i="3"/>
  <c r="AT455" i="3"/>
  <c r="AY456" i="3" s="1"/>
  <c r="AM313" i="3"/>
  <c r="AM308" i="3"/>
  <c r="AR309" i="3" s="1"/>
  <c r="AY55" i="3"/>
  <c r="BC366" i="3"/>
  <c r="BB367" i="3"/>
  <c r="AY318" i="3"/>
  <c r="AY322" i="3" s="1"/>
  <c r="BS362" i="3"/>
  <c r="BN381" i="3"/>
  <c r="BS408" i="3"/>
  <c r="BO137" i="3"/>
  <c r="BO143" i="3" s="1"/>
  <c r="BO139" i="3" s="1"/>
  <c r="AZ315" i="3"/>
  <c r="AZ323" i="3"/>
  <c r="BC323" i="3"/>
  <c r="AP323" i="3"/>
  <c r="AW323" i="3"/>
  <c r="BA139" i="3"/>
  <c r="AV62" i="3"/>
  <c r="AV63" i="3"/>
  <c r="BI137" i="3"/>
  <c r="BI143" i="3" s="1"/>
  <c r="BI139" i="3" s="1"/>
  <c r="BK137" i="3"/>
  <c r="BQ143" i="3"/>
  <c r="BQ139" i="3" s="1"/>
  <c r="BV137" i="3"/>
  <c r="BL144" i="3"/>
  <c r="CD111" i="3"/>
  <c r="BM143" i="3"/>
  <c r="BM139" i="3" s="1"/>
  <c r="BR137" i="3"/>
  <c r="BY140" i="3"/>
  <c r="BZ140" i="3"/>
  <c r="CP111" i="3"/>
  <c r="BJ139" i="3"/>
  <c r="BJ144" i="3"/>
  <c r="BJ142" i="3"/>
  <c r="BQ140" i="3"/>
  <c r="BL142" i="3"/>
  <c r="BN140" i="3"/>
  <c r="CB140" i="3"/>
  <c r="BP114" i="3"/>
  <c r="BP110" i="3" s="1"/>
  <c r="BU108" i="3"/>
  <c r="BL114" i="3"/>
  <c r="BL110" i="3" s="1"/>
  <c r="BQ108" i="3"/>
  <c r="BJ114" i="3"/>
  <c r="BJ110" i="3" s="1"/>
  <c r="BO108" i="3"/>
  <c r="CJ111" i="3"/>
  <c r="BK115" i="3"/>
  <c r="BK113" i="3"/>
  <c r="BE142" i="3"/>
  <c r="BE144" i="3"/>
  <c r="BE139" i="3"/>
  <c r="BH139" i="3"/>
  <c r="BE114" i="3"/>
  <c r="BI108" i="3"/>
  <c r="BI111" i="3"/>
  <c r="BF143" i="3"/>
  <c r="BF115" i="3"/>
  <c r="BF113" i="3"/>
  <c r="BG144" i="3"/>
  <c r="BG114" i="3"/>
  <c r="BG110" i="3" s="1"/>
  <c r="BG139" i="3"/>
  <c r="BI141" i="3"/>
  <c r="AY463" i="3"/>
  <c r="AY312" i="3" s="1"/>
  <c r="AY46" i="3" s="1"/>
  <c r="BD47" i="3" s="1"/>
  <c r="BD330" i="3"/>
  <c r="BC327" i="3"/>
  <c r="AY342" i="3"/>
  <c r="AZ308" i="3"/>
  <c r="AZ313" i="3"/>
  <c r="AW308" i="3"/>
  <c r="AW313" i="3"/>
  <c r="AW314" i="3"/>
  <c r="AU308" i="3"/>
  <c r="AU314" i="3"/>
  <c r="AV314" i="3"/>
  <c r="AZ464" i="3"/>
  <c r="AX464" i="3"/>
  <c r="AX465" i="3"/>
  <c r="BC464" i="3"/>
  <c r="AQ308" i="3"/>
  <c r="AQ313" i="3"/>
  <c r="AV313" i="3"/>
  <c r="AR314" i="3"/>
  <c r="AZ367" i="3"/>
  <c r="AZ365" i="3"/>
  <c r="AZ366" i="3"/>
  <c r="BD364" i="3"/>
  <c r="BA366" i="3"/>
  <c r="BA464" i="3"/>
  <c r="BA465" i="3"/>
  <c r="AW464" i="3"/>
  <c r="AW465" i="3"/>
  <c r="AK308" i="3"/>
  <c r="AK313" i="3"/>
  <c r="AK314" i="3"/>
  <c r="AL314" i="3"/>
  <c r="BB366" i="3"/>
  <c r="BB365" i="3"/>
  <c r="BA322" i="3"/>
  <c r="BA312" i="3"/>
  <c r="BA46" i="3" s="1"/>
  <c r="AX312" i="3"/>
  <c r="AZ314" i="3" s="1"/>
  <c r="CN450" i="3"/>
  <c r="CS442" i="3"/>
  <c r="BH202" i="3"/>
  <c r="BB338" i="3"/>
  <c r="BB339" i="3"/>
  <c r="CZ439" i="3"/>
  <c r="CY439" i="3"/>
  <c r="DB437" i="3"/>
  <c r="DB438" i="3" s="1"/>
  <c r="BC348" i="3"/>
  <c r="DB336" i="3"/>
  <c r="AY347" i="3"/>
  <c r="AT326" i="3"/>
  <c r="CP442" i="3"/>
  <c r="CK450" i="3"/>
  <c r="CM450" i="3" s="1"/>
  <c r="CM442" i="3"/>
  <c r="CM443" i="3" s="1"/>
  <c r="AU323" i="3"/>
  <c r="BA326" i="3"/>
  <c r="BA327" i="3"/>
  <c r="BB327" i="3"/>
  <c r="BB326" i="3"/>
  <c r="BS396" i="3"/>
  <c r="AY326" i="3"/>
  <c r="BB318" i="3"/>
  <c r="BC339" i="3"/>
  <c r="BA348" i="3"/>
  <c r="BA347" i="3"/>
  <c r="BQ413" i="3"/>
  <c r="BQ332" i="3"/>
  <c r="BB348" i="3"/>
  <c r="BB347" i="3"/>
  <c r="CT450" i="3"/>
  <c r="CY442" i="3"/>
  <c r="BN332" i="3"/>
  <c r="BP413" i="3"/>
  <c r="BP332" i="3"/>
  <c r="BI331" i="3"/>
  <c r="AT347" i="3"/>
  <c r="CQ450" i="3"/>
  <c r="CV442" i="3"/>
  <c r="BQ411" i="3"/>
  <c r="BD346" i="3"/>
  <c r="BD325" i="3" s="1"/>
  <c r="BM385" i="3"/>
  <c r="BL331" i="3"/>
  <c r="BQ412" i="3"/>
  <c r="CA420" i="3"/>
  <c r="CE427" i="3"/>
  <c r="BZ417" i="3"/>
  <c r="BZ333" i="3" s="1"/>
  <c r="BP411" i="3"/>
  <c r="BS403" i="3"/>
  <c r="CB424" i="3"/>
  <c r="BS410" i="3"/>
  <c r="BS413" i="3" s="1"/>
  <c r="BR412" i="3"/>
  <c r="BU394" i="3"/>
  <c r="BU395" i="3"/>
  <c r="BV393" i="3"/>
  <c r="BQ280" i="3"/>
  <c r="BH188" i="3"/>
  <c r="CH351" i="3"/>
  <c r="CH352" i="3" s="1"/>
  <c r="BX358" i="3"/>
  <c r="BX359" i="3" s="1"/>
  <c r="CC400" i="3"/>
  <c r="CC401" i="3" s="1"/>
  <c r="CA408" i="3"/>
  <c r="CB408" i="3"/>
  <c r="CF400" i="3"/>
  <c r="CF407" i="3" s="1"/>
  <c r="CK398" i="3"/>
  <c r="CG391" i="3"/>
  <c r="CL389" i="3"/>
  <c r="CK391" i="3"/>
  <c r="CP389" i="3"/>
  <c r="CL400" i="3"/>
  <c r="CQ398" i="3"/>
  <c r="BZ408" i="3"/>
  <c r="BV408" i="3"/>
  <c r="BX407" i="3"/>
  <c r="BT408" i="3"/>
  <c r="CH398" i="3"/>
  <c r="CH399" i="3" s="1"/>
  <c r="CE400" i="3"/>
  <c r="CJ398" i="3"/>
  <c r="CD391" i="3"/>
  <c r="CI389" i="3"/>
  <c r="CH389" i="3"/>
  <c r="CH390" i="3" s="1"/>
  <c r="BO411" i="3"/>
  <c r="BO412" i="3"/>
  <c r="CI400" i="3"/>
  <c r="CN398" i="3"/>
  <c r="BY407" i="3"/>
  <c r="CC391" i="3"/>
  <c r="CC392" i="3" s="1"/>
  <c r="BN411" i="3"/>
  <c r="BP412" i="3"/>
  <c r="CJ391" i="3"/>
  <c r="CO389" i="3"/>
  <c r="BV362" i="3"/>
  <c r="BW362" i="3"/>
  <c r="CD358" i="3"/>
  <c r="CI356" i="3"/>
  <c r="BU362" i="3"/>
  <c r="CA358" i="3"/>
  <c r="CA361" i="3" s="1"/>
  <c r="CF356" i="3"/>
  <c r="CG353" i="3"/>
  <c r="CL351" i="3"/>
  <c r="CI353" i="3"/>
  <c r="CN351" i="3"/>
  <c r="CE353" i="3"/>
  <c r="CJ351" i="3"/>
  <c r="CF353" i="3"/>
  <c r="CK351" i="3"/>
  <c r="BC188" i="3"/>
  <c r="BT362" i="3"/>
  <c r="BX361" i="3"/>
  <c r="CB358" i="3"/>
  <c r="CB361" i="3" s="1"/>
  <c r="CG356" i="3"/>
  <c r="BY361" i="3"/>
  <c r="CC353" i="3"/>
  <c r="CC354" i="3" s="1"/>
  <c r="BX377" i="3"/>
  <c r="BX378" i="3" s="1"/>
  <c r="CC356" i="3"/>
  <c r="CC357" i="3" s="1"/>
  <c r="BZ358" i="3"/>
  <c r="BZ361" i="3" s="1"/>
  <c r="CE356" i="3"/>
  <c r="BW381" i="3"/>
  <c r="BU381" i="3"/>
  <c r="CA377" i="3"/>
  <c r="CF375" i="3"/>
  <c r="BY372" i="3"/>
  <c r="CD370" i="3"/>
  <c r="CC370" i="3"/>
  <c r="CC371" i="3" s="1"/>
  <c r="BQ383" i="3"/>
  <c r="BQ331" i="3" s="1"/>
  <c r="BQ381" i="3"/>
  <c r="BL384" i="3"/>
  <c r="BL385" i="3"/>
  <c r="CG372" i="3"/>
  <c r="CL370" i="3"/>
  <c r="BJ384" i="3"/>
  <c r="BN383" i="3"/>
  <c r="BJ385" i="3"/>
  <c r="BR384" i="3"/>
  <c r="BT380" i="3"/>
  <c r="BX372" i="3"/>
  <c r="BX373" i="3" s="1"/>
  <c r="BV380" i="3"/>
  <c r="BK385" i="3"/>
  <c r="BZ372" i="3"/>
  <c r="BZ380" i="3" s="1"/>
  <c r="CE370" i="3"/>
  <c r="BP384" i="3"/>
  <c r="BI384" i="3"/>
  <c r="CK370" i="3"/>
  <c r="CF372" i="3"/>
  <c r="CI377" i="3"/>
  <c r="CN375" i="3"/>
  <c r="BO383" i="3"/>
  <c r="BO381" i="3"/>
  <c r="BS380" i="3"/>
  <c r="CE377" i="3"/>
  <c r="CJ375" i="3"/>
  <c r="CB377" i="3"/>
  <c r="CB380" i="3" s="1"/>
  <c r="CG375" i="3"/>
  <c r="CC375" i="3"/>
  <c r="CC376" i="3" s="1"/>
  <c r="BP280" i="3"/>
  <c r="BP286" i="3"/>
  <c r="BQ288" i="3" s="1"/>
  <c r="CW295" i="3"/>
  <c r="CW296" i="3" s="1"/>
  <c r="CW299" i="3"/>
  <c r="CZ300" i="3"/>
  <c r="CZ299" i="3"/>
  <c r="CY300" i="3"/>
  <c r="CY299" i="3"/>
  <c r="DB298" i="3"/>
  <c r="BH195" i="3"/>
  <c r="BH41" i="3" s="1"/>
  <c r="BU276" i="3"/>
  <c r="BX220" i="3"/>
  <c r="BX221" i="3" s="1"/>
  <c r="BF262" i="3"/>
  <c r="AY205" i="3"/>
  <c r="AY209" i="3"/>
  <c r="BM201" i="3"/>
  <c r="BM187" i="3" s="1"/>
  <c r="BH235" i="3"/>
  <c r="BQ287" i="3"/>
  <c r="BH262" i="3"/>
  <c r="BH261" i="3"/>
  <c r="BM287" i="3"/>
  <c r="BM288" i="3"/>
  <c r="BM261" i="3"/>
  <c r="BL287" i="3"/>
  <c r="BL288" i="3"/>
  <c r="BJ288" i="3"/>
  <c r="BJ287" i="3"/>
  <c r="BK261" i="3"/>
  <c r="BV249" i="3"/>
  <c r="BV250" i="3" s="1"/>
  <c r="BE261" i="3"/>
  <c r="BE262" i="3"/>
  <c r="BD257" i="3"/>
  <c r="BD258" i="3" s="1"/>
  <c r="BD261" i="3"/>
  <c r="BI283" i="3"/>
  <c r="BI284" i="3" s="1"/>
  <c r="BI287" i="3"/>
  <c r="BK288" i="3"/>
  <c r="BG261" i="3"/>
  <c r="BG262" i="3"/>
  <c r="BZ267" i="3"/>
  <c r="BZ275" i="3" s="1"/>
  <c r="CE265" i="3"/>
  <c r="CK265" i="3"/>
  <c r="CF267" i="3"/>
  <c r="BN286" i="3"/>
  <c r="CA275" i="3"/>
  <c r="BR280" i="3"/>
  <c r="BR279" i="3"/>
  <c r="BR286" i="3"/>
  <c r="BT278" i="3"/>
  <c r="BU280" i="3" s="1"/>
  <c r="BX275" i="3"/>
  <c r="BX276" i="3" s="1"/>
  <c r="BT276" i="3"/>
  <c r="BN279" i="3"/>
  <c r="BN281" i="3"/>
  <c r="BX267" i="3"/>
  <c r="BX268" i="3" s="1"/>
  <c r="CE272" i="3"/>
  <c r="CJ270" i="3"/>
  <c r="BV278" i="3"/>
  <c r="BV276" i="3"/>
  <c r="CB267" i="3"/>
  <c r="CB275" i="3" s="1"/>
  <c r="CG265" i="3"/>
  <c r="CF272" i="3"/>
  <c r="CK270" i="3"/>
  <c r="CH270" i="3"/>
  <c r="CH271" i="3" s="1"/>
  <c r="CD272" i="3"/>
  <c r="CI270" i="3"/>
  <c r="BW276" i="3"/>
  <c r="BW278" i="3"/>
  <c r="CC272" i="3"/>
  <c r="CC273" i="3" s="1"/>
  <c r="CG272" i="3"/>
  <c r="CL270" i="3"/>
  <c r="BO280" i="3"/>
  <c r="BS278" i="3"/>
  <c r="BO279" i="3"/>
  <c r="BO286" i="3"/>
  <c r="CC265" i="3"/>
  <c r="CC266" i="3" s="1"/>
  <c r="CD267" i="3"/>
  <c r="CI265" i="3"/>
  <c r="BY275" i="3"/>
  <c r="BU279" i="3"/>
  <c r="BU286" i="3"/>
  <c r="BX246" i="3"/>
  <c r="BX247" i="3" s="1"/>
  <c r="CC218" i="3"/>
  <c r="CC219" i="3" s="1"/>
  <c r="BX216" i="3"/>
  <c r="BY223" i="3"/>
  <c r="CG220" i="3"/>
  <c r="CL218" i="3"/>
  <c r="CD220" i="3"/>
  <c r="CI218" i="3"/>
  <c r="CA220" i="3"/>
  <c r="CA223" i="3" s="1"/>
  <c r="CF218" i="3"/>
  <c r="CC214" i="3"/>
  <c r="CC244" i="3"/>
  <c r="CC245" i="3" s="1"/>
  <c r="CE215" i="3"/>
  <c r="CJ213" i="3"/>
  <c r="CN215" i="3"/>
  <c r="CS213" i="3"/>
  <c r="BZ220" i="3"/>
  <c r="BZ223" i="3" s="1"/>
  <c r="CE218" i="3"/>
  <c r="BQ250" i="3"/>
  <c r="CF215" i="3"/>
  <c r="CK213" i="3"/>
  <c r="CB215" i="3"/>
  <c r="CB223" i="3" s="1"/>
  <c r="CG213" i="3"/>
  <c r="BW249" i="3"/>
  <c r="BW250" i="3" s="1"/>
  <c r="BY241" i="3"/>
  <c r="CD239" i="3"/>
  <c r="CC239" i="3"/>
  <c r="CC240" i="3" s="1"/>
  <c r="CA241" i="3"/>
  <c r="CF239" i="3"/>
  <c r="CI244" i="3"/>
  <c r="CD246" i="3"/>
  <c r="CG239" i="3"/>
  <c r="CB241" i="3"/>
  <c r="CA246" i="3"/>
  <c r="CF244" i="3"/>
  <c r="BT249" i="3"/>
  <c r="BX241" i="3"/>
  <c r="BX242" i="3" s="1"/>
  <c r="BL254" i="3"/>
  <c r="BL253" i="3"/>
  <c r="BL260" i="3"/>
  <c r="BM262" i="3" s="1"/>
  <c r="BI255" i="3"/>
  <c r="BI253" i="3"/>
  <c r="BZ241" i="3"/>
  <c r="BZ249" i="3" s="1"/>
  <c r="CE239" i="3"/>
  <c r="CE246" i="3"/>
  <c r="CJ244" i="3"/>
  <c r="BU252" i="3"/>
  <c r="BU250" i="3"/>
  <c r="BN252" i="3"/>
  <c r="BJ254" i="3"/>
  <c r="BJ253" i="3"/>
  <c r="BJ260" i="3"/>
  <c r="BK262" i="3" s="1"/>
  <c r="BI260" i="3"/>
  <c r="CB246" i="3"/>
  <c r="CG244" i="3"/>
  <c r="BP253" i="3"/>
  <c r="BP260" i="3"/>
  <c r="BR252" i="3"/>
  <c r="BR250" i="3"/>
  <c r="BO250" i="3"/>
  <c r="BS249" i="3"/>
  <c r="BS250" i="3" s="1"/>
  <c r="BO252" i="3"/>
  <c r="BQ253" i="3"/>
  <c r="BQ254" i="3"/>
  <c r="BQ260" i="3"/>
  <c r="BS223" i="3"/>
  <c r="BS224" i="3" s="1"/>
  <c r="BR226" i="3"/>
  <c r="BR224" i="3"/>
  <c r="BW223" i="3"/>
  <c r="BU226" i="3"/>
  <c r="BU224" i="3"/>
  <c r="BM227" i="3"/>
  <c r="BM234" i="3"/>
  <c r="BM208" i="3" s="1"/>
  <c r="BM195" i="3" s="1"/>
  <c r="BM41" i="3" s="1"/>
  <c r="AX110" i="3"/>
  <c r="AX113" i="3"/>
  <c r="BD144" i="3"/>
  <c r="BD138" i="3"/>
  <c r="AY144" i="3"/>
  <c r="AY142" i="3"/>
  <c r="BC144" i="3"/>
  <c r="BC142" i="3"/>
  <c r="AY139" i="3"/>
  <c r="BB144" i="3"/>
  <c r="BB139" i="3"/>
  <c r="BC139" i="3"/>
  <c r="BA144" i="3"/>
  <c r="BA142" i="3"/>
  <c r="AT113" i="3"/>
  <c r="AR133" i="3"/>
  <c r="AR134" i="3"/>
  <c r="AT121" i="3"/>
  <c r="AT122" i="3"/>
  <c r="AK133" i="3"/>
  <c r="AK134" i="3"/>
  <c r="AO132" i="3"/>
  <c r="BD111" i="3"/>
  <c r="AT110" i="3"/>
  <c r="BA115" i="3"/>
  <c r="BA113" i="3"/>
  <c r="AQ133" i="3"/>
  <c r="AX118" i="3"/>
  <c r="AW115" i="3"/>
  <c r="AW113" i="3"/>
  <c r="AJ128" i="3"/>
  <c r="AJ129" i="3" s="1"/>
  <c r="AJ133" i="3"/>
  <c r="AY112" i="3"/>
  <c r="AY109" i="3"/>
  <c r="AY114" i="3"/>
  <c r="AY115" i="3" s="1"/>
  <c r="AZ114" i="3"/>
  <c r="AZ110" i="3" s="1"/>
  <c r="BD108" i="3"/>
  <c r="BC114" i="3"/>
  <c r="BC115" i="3" s="1"/>
  <c r="BA124" i="3"/>
  <c r="AU115" i="3"/>
  <c r="AU113" i="3"/>
  <c r="AR126" i="3"/>
  <c r="BB114" i="3"/>
  <c r="BB110" i="3" s="1"/>
  <c r="AM134" i="3"/>
  <c r="AM133" i="3"/>
  <c r="AU110" i="3"/>
  <c r="AT124" i="3"/>
  <c r="AT125" i="3" s="1"/>
  <c r="AT118" i="3"/>
  <c r="AT119" i="3"/>
  <c r="AS126" i="3"/>
  <c r="AS132" i="3"/>
  <c r="AW110" i="3"/>
  <c r="AN134" i="3"/>
  <c r="AN133" i="3"/>
  <c r="AR125" i="3"/>
  <c r="AU118" i="3"/>
  <c r="AU124" i="3"/>
  <c r="AP132" i="3"/>
  <c r="AQ134" i="3" s="1"/>
  <c r="AP125" i="3"/>
  <c r="AP126" i="3"/>
  <c r="BM114" i="3" l="1"/>
  <c r="BM110" i="3" s="1"/>
  <c r="BN108" i="3"/>
  <c r="BR108" i="3"/>
  <c r="BR111" i="3"/>
  <c r="BN111" i="3"/>
  <c r="BH117" i="3"/>
  <c r="BH114" i="3"/>
  <c r="BH110" i="3" s="1"/>
  <c r="BC192" i="3"/>
  <c r="BC193" i="3" s="1"/>
  <c r="BC196" i="3"/>
  <c r="BC205" i="3"/>
  <c r="BC206" i="3" s="1"/>
  <c r="BC209" i="3"/>
  <c r="BC61" i="3"/>
  <c r="BC36" i="3" s="1"/>
  <c r="BT410" i="3"/>
  <c r="BT411" i="3" s="1"/>
  <c r="BT403" i="3"/>
  <c r="BT404" i="3"/>
  <c r="BV405" i="3"/>
  <c r="BU402" i="3"/>
  <c r="BK202" i="3"/>
  <c r="BP234" i="3"/>
  <c r="BP208" i="3" s="1"/>
  <c r="BP195" i="3" s="1"/>
  <c r="BP41" i="3" s="1"/>
  <c r="BK234" i="3"/>
  <c r="BK235" i="3" s="1"/>
  <c r="BM42" i="3"/>
  <c r="BH42" i="3"/>
  <c r="BP227" i="3"/>
  <c r="BK227" i="3"/>
  <c r="AY206" i="3"/>
  <c r="BE234" i="3"/>
  <c r="BF236" i="3" s="1"/>
  <c r="BE227" i="3"/>
  <c r="BE228" i="3"/>
  <c r="BI226" i="3"/>
  <c r="BE201" i="3"/>
  <c r="BF203" i="3" s="1"/>
  <c r="BO229" i="3"/>
  <c r="BJ226" i="3"/>
  <c r="BF187" i="3"/>
  <c r="BK188" i="3" s="1"/>
  <c r="BF202" i="3"/>
  <c r="BA188" i="3"/>
  <c r="BA52" i="3"/>
  <c r="BA190" i="3"/>
  <c r="BG228" i="3"/>
  <c r="BG234" i="3"/>
  <c r="BG208" i="3" s="1"/>
  <c r="BG227" i="3"/>
  <c r="BH228" i="3"/>
  <c r="BA195" i="3"/>
  <c r="BA209" i="3"/>
  <c r="BA205" i="3"/>
  <c r="BA206" i="3" s="1"/>
  <c r="BD229" i="3"/>
  <c r="BD227" i="3"/>
  <c r="BQ229" i="3"/>
  <c r="BL226" i="3"/>
  <c r="AZ202" i="3"/>
  <c r="AZ187" i="3"/>
  <c r="BA189" i="3" s="1"/>
  <c r="AZ203" i="3"/>
  <c r="BD201" i="3"/>
  <c r="BD202" i="3" s="1"/>
  <c r="AR63" i="3"/>
  <c r="BB187" i="3"/>
  <c r="BB202" i="3"/>
  <c r="BB203" i="3"/>
  <c r="BC203" i="3"/>
  <c r="AW196" i="3"/>
  <c r="AW192" i="3"/>
  <c r="AW193" i="3" s="1"/>
  <c r="AY195" i="3"/>
  <c r="AW197" i="3"/>
  <c r="AX197" i="3"/>
  <c r="AW62" i="3"/>
  <c r="AZ236" i="3"/>
  <c r="AZ235" i="3"/>
  <c r="AZ208" i="3"/>
  <c r="BD234" i="3"/>
  <c r="BF235" i="3"/>
  <c r="BF208" i="3"/>
  <c r="BF228" i="3"/>
  <c r="BB236" i="3"/>
  <c r="BB235" i="3"/>
  <c r="BC236" i="3"/>
  <c r="BB208" i="3"/>
  <c r="AO308" i="3"/>
  <c r="AO309" i="3" s="1"/>
  <c r="BB455" i="3"/>
  <c r="BU335" i="3"/>
  <c r="BU433" i="3"/>
  <c r="BU432" i="3"/>
  <c r="BW434" i="3"/>
  <c r="BV431" i="3"/>
  <c r="AY458" i="3"/>
  <c r="AM310" i="3"/>
  <c r="AM309" i="3"/>
  <c r="AN310" i="3"/>
  <c r="AP305" i="3"/>
  <c r="AU304" i="3"/>
  <c r="AT303" i="3"/>
  <c r="AT52" i="3" s="1"/>
  <c r="AQ305" i="3"/>
  <c r="AP304" i="3"/>
  <c r="AP464" i="3"/>
  <c r="AP312" i="3"/>
  <c r="AP314" i="3" s="1"/>
  <c r="AT463" i="3"/>
  <c r="AT312" i="3" s="1"/>
  <c r="AT61" i="3" s="1"/>
  <c r="AT36" i="3" s="1"/>
  <c r="AQ465" i="3"/>
  <c r="AQ54" i="3"/>
  <c r="AT456" i="3"/>
  <c r="AU53" i="3"/>
  <c r="BX362" i="3"/>
  <c r="BX408" i="3"/>
  <c r="BS381" i="3"/>
  <c r="BE115" i="3"/>
  <c r="BC55" i="3"/>
  <c r="BT137" i="3"/>
  <c r="BY137" i="3" s="1"/>
  <c r="BA315" i="3"/>
  <c r="AY315" i="3"/>
  <c r="BA323" i="3"/>
  <c r="BD337" i="3"/>
  <c r="BM113" i="3"/>
  <c r="BI138" i="3"/>
  <c r="BC53" i="3"/>
  <c r="BQ114" i="3"/>
  <c r="BQ110" i="3" s="1"/>
  <c r="BV108" i="3"/>
  <c r="BN114" i="3"/>
  <c r="BN113" i="3" s="1"/>
  <c r="BN109" i="3"/>
  <c r="CI111" i="3"/>
  <c r="BL115" i="3"/>
  <c r="BL113" i="3"/>
  <c r="CE140" i="3"/>
  <c r="CU111" i="3"/>
  <c r="BN112" i="3"/>
  <c r="BO144" i="3"/>
  <c r="BO142" i="3"/>
  <c r="BV143" i="3"/>
  <c r="CA137" i="3"/>
  <c r="CG140" i="3"/>
  <c r="BN141" i="3"/>
  <c r="CD140" i="3"/>
  <c r="BQ144" i="3"/>
  <c r="BW111" i="3"/>
  <c r="BS111" i="3"/>
  <c r="BN137" i="3"/>
  <c r="BP137" i="3"/>
  <c r="BS137" i="3" s="1"/>
  <c r="BK143" i="3"/>
  <c r="BK139" i="3" s="1"/>
  <c r="CO111" i="3"/>
  <c r="BU114" i="3"/>
  <c r="BU110" i="3" s="1"/>
  <c r="BZ108" i="3"/>
  <c r="BV140" i="3"/>
  <c r="BQ142" i="3"/>
  <c r="BS140" i="3"/>
  <c r="BW137" i="3"/>
  <c r="BR143" i="3"/>
  <c r="BR139" i="3" s="1"/>
  <c r="BP115" i="3"/>
  <c r="BP113" i="3"/>
  <c r="BO114" i="3"/>
  <c r="BS108" i="3"/>
  <c r="BT108" i="3"/>
  <c r="BM144" i="3"/>
  <c r="BM142" i="3"/>
  <c r="BR114" i="3"/>
  <c r="BR115" i="3" s="1"/>
  <c r="BW108" i="3"/>
  <c r="BJ115" i="3"/>
  <c r="BJ113" i="3"/>
  <c r="BE113" i="3"/>
  <c r="BF144" i="3"/>
  <c r="BF142" i="3"/>
  <c r="BH144" i="3"/>
  <c r="BH142" i="3"/>
  <c r="BF139" i="3"/>
  <c r="BI109" i="3"/>
  <c r="BI114" i="3"/>
  <c r="BI110" i="3" s="1"/>
  <c r="BI112" i="3"/>
  <c r="BH113" i="3"/>
  <c r="BG115" i="3"/>
  <c r="BG113" i="3"/>
  <c r="BE110" i="3"/>
  <c r="BI144" i="3"/>
  <c r="BI142" i="3"/>
  <c r="AY460" i="3"/>
  <c r="BC313" i="3"/>
  <c r="AX61" i="3"/>
  <c r="AY308" i="3"/>
  <c r="AZ309" i="3"/>
  <c r="BA313" i="3"/>
  <c r="BA308" i="3"/>
  <c r="BA314" i="3"/>
  <c r="AW310" i="3"/>
  <c r="AW309" i="3"/>
  <c r="BD367" i="3"/>
  <c r="BD365" i="3"/>
  <c r="AK309" i="3"/>
  <c r="AK310" i="3"/>
  <c r="AL310" i="3"/>
  <c r="AQ309" i="3"/>
  <c r="AR310" i="3"/>
  <c r="AV309" i="3"/>
  <c r="AU310" i="3"/>
  <c r="AV310" i="3"/>
  <c r="AX313" i="3"/>
  <c r="AX308" i="3"/>
  <c r="AZ310" i="3" s="1"/>
  <c r="AX314" i="3"/>
  <c r="CX442" i="3"/>
  <c r="CX450" i="3" s="1"/>
  <c r="CS450" i="3"/>
  <c r="BB322" i="3"/>
  <c r="BB320" i="3"/>
  <c r="BB319" i="3"/>
  <c r="BC320" i="3"/>
  <c r="CM446" i="3"/>
  <c r="CP450" i="3"/>
  <c r="CR450" i="3" s="1"/>
  <c r="CR442" i="3"/>
  <c r="CR443" i="3" s="1"/>
  <c r="CU442" i="3"/>
  <c r="BD326" i="3"/>
  <c r="CY450" i="3"/>
  <c r="DA442" i="3"/>
  <c r="DA450" i="3" s="1"/>
  <c r="CV450" i="3"/>
  <c r="BD347" i="3"/>
  <c r="BS332" i="3"/>
  <c r="BP385" i="3"/>
  <c r="BO331" i="3"/>
  <c r="CC424" i="3"/>
  <c r="CC427" i="3" s="1"/>
  <c r="CB334" i="3"/>
  <c r="CC334" i="3" s="1"/>
  <c r="BN331" i="3"/>
  <c r="CB420" i="3"/>
  <c r="CF427" i="3"/>
  <c r="CA417" i="3"/>
  <c r="CA333" i="3" s="1"/>
  <c r="CD424" i="3"/>
  <c r="CD334" i="3" s="1"/>
  <c r="CG407" i="3"/>
  <c r="CG408" i="3" s="1"/>
  <c r="CG393" i="3"/>
  <c r="BV394" i="3"/>
  <c r="BW393" i="3"/>
  <c r="BV395" i="3"/>
  <c r="BU201" i="3"/>
  <c r="BU187" i="3" s="1"/>
  <c r="BP287" i="3"/>
  <c r="BP288" i="3"/>
  <c r="CM351" i="3"/>
  <c r="CM352" i="3" s="1"/>
  <c r="CH356" i="3"/>
  <c r="CH357" i="3" s="1"/>
  <c r="CC358" i="3"/>
  <c r="CC359" i="3" s="1"/>
  <c r="CH400" i="3"/>
  <c r="CH401" i="3" s="1"/>
  <c r="CF408" i="3"/>
  <c r="CJ400" i="3"/>
  <c r="CO398" i="3"/>
  <c r="CQ400" i="3"/>
  <c r="CV398" i="3"/>
  <c r="CP391" i="3"/>
  <c r="CU389" i="3"/>
  <c r="CC407" i="3"/>
  <c r="BY408" i="3"/>
  <c r="CH391" i="3"/>
  <c r="CH392" i="3" s="1"/>
  <c r="CD407" i="3"/>
  <c r="CM398" i="3"/>
  <c r="CM399" i="3" s="1"/>
  <c r="CQ389" i="3"/>
  <c r="CL391" i="3"/>
  <c r="CL407" i="3" s="1"/>
  <c r="CN400" i="3"/>
  <c r="CS398" i="3"/>
  <c r="CK400" i="3"/>
  <c r="CK407" i="3" s="1"/>
  <c r="CP398" i="3"/>
  <c r="CE407" i="3"/>
  <c r="CO391" i="3"/>
  <c r="CT389" i="3"/>
  <c r="BS411" i="3"/>
  <c r="CI391" i="3"/>
  <c r="CN389" i="3"/>
  <c r="CM389" i="3"/>
  <c r="CM390" i="3" s="1"/>
  <c r="CB362" i="3"/>
  <c r="CA362" i="3"/>
  <c r="CK353" i="3"/>
  <c r="CP351" i="3"/>
  <c r="CF358" i="3"/>
  <c r="CF361" i="3" s="1"/>
  <c r="CK356" i="3"/>
  <c r="BY362" i="3"/>
  <c r="CC361" i="3"/>
  <c r="CG358" i="3"/>
  <c r="CG361" i="3" s="1"/>
  <c r="CL356" i="3"/>
  <c r="CI358" i="3"/>
  <c r="CN356" i="3"/>
  <c r="BM192" i="3"/>
  <c r="BM196" i="3"/>
  <c r="BZ362" i="3"/>
  <c r="CN353" i="3"/>
  <c r="CS351" i="3"/>
  <c r="BP188" i="3"/>
  <c r="BM188" i="3"/>
  <c r="BH192" i="3"/>
  <c r="BH193" i="3" s="1"/>
  <c r="BH196" i="3"/>
  <c r="CE358" i="3"/>
  <c r="CE361" i="3" s="1"/>
  <c r="CJ356" i="3"/>
  <c r="CH353" i="3"/>
  <c r="CH354" i="3" s="1"/>
  <c r="CD361" i="3"/>
  <c r="CJ353" i="3"/>
  <c r="CO351" i="3"/>
  <c r="CL353" i="3"/>
  <c r="CQ351" i="3"/>
  <c r="CB381" i="3"/>
  <c r="BQ385" i="3"/>
  <c r="BQ384" i="3"/>
  <c r="CG377" i="3"/>
  <c r="CG380" i="3" s="1"/>
  <c r="CL375" i="3"/>
  <c r="BX380" i="3"/>
  <c r="BT383" i="3"/>
  <c r="BT331" i="3" s="1"/>
  <c r="BT381" i="3"/>
  <c r="CN377" i="3"/>
  <c r="CS375" i="3"/>
  <c r="CK372" i="3"/>
  <c r="CP370" i="3"/>
  <c r="CD372" i="3"/>
  <c r="CI370" i="3"/>
  <c r="CH370" i="3"/>
  <c r="CH371" i="3" s="1"/>
  <c r="CJ377" i="3"/>
  <c r="CO375" i="3"/>
  <c r="BR385" i="3"/>
  <c r="BY380" i="3"/>
  <c r="CC372" i="3"/>
  <c r="CC373" i="3" s="1"/>
  <c r="BV383" i="3"/>
  <c r="BV331" i="3" s="1"/>
  <c r="BV381" i="3"/>
  <c r="CF377" i="3"/>
  <c r="CK375" i="3"/>
  <c r="CH375" i="3"/>
  <c r="CH376" i="3" s="1"/>
  <c r="BN386" i="3"/>
  <c r="BN384" i="3"/>
  <c r="CC377" i="3"/>
  <c r="CC378" i="3" s="1"/>
  <c r="BO385" i="3"/>
  <c r="BO384" i="3"/>
  <c r="BS383" i="3"/>
  <c r="CE372" i="3"/>
  <c r="CE380" i="3" s="1"/>
  <c r="CJ370" i="3"/>
  <c r="CL372" i="3"/>
  <c r="CQ370" i="3"/>
  <c r="BZ381" i="3"/>
  <c r="CA380" i="3"/>
  <c r="BV252" i="3"/>
  <c r="DB295" i="3"/>
  <c r="DB296" i="3" s="1"/>
  <c r="DB299" i="3"/>
  <c r="CA249" i="3"/>
  <c r="CA250" i="3" s="1"/>
  <c r="BP202" i="3"/>
  <c r="BH205" i="3"/>
  <c r="BH206" i="3" s="1"/>
  <c r="BH209" i="3"/>
  <c r="BM205" i="3"/>
  <c r="BM209" i="3"/>
  <c r="BR201" i="3"/>
  <c r="BR187" i="3" s="1"/>
  <c r="BM202" i="3"/>
  <c r="BO288" i="3"/>
  <c r="BO287" i="3"/>
  <c r="BL262" i="3"/>
  <c r="BL261" i="3"/>
  <c r="BR288" i="3"/>
  <c r="BR287" i="3"/>
  <c r="BM235" i="3"/>
  <c r="BP261" i="3"/>
  <c r="BU287" i="3"/>
  <c r="BN283" i="3"/>
  <c r="BN284" i="3" s="1"/>
  <c r="BN287" i="3"/>
  <c r="BQ261" i="3"/>
  <c r="BQ262" i="3"/>
  <c r="BI257" i="3"/>
  <c r="BI258" i="3" s="1"/>
  <c r="BI261" i="3"/>
  <c r="CC267" i="3"/>
  <c r="CC268" i="3" s="1"/>
  <c r="BJ262" i="3"/>
  <c r="BJ261" i="3"/>
  <c r="BW252" i="3"/>
  <c r="BZ278" i="3"/>
  <c r="BZ276" i="3"/>
  <c r="CJ265" i="3"/>
  <c r="CE267" i="3"/>
  <c r="CE275" i="3" s="1"/>
  <c r="CE278" i="3" s="1"/>
  <c r="BS281" i="3"/>
  <c r="BS279" i="3"/>
  <c r="CG267" i="3"/>
  <c r="CG275" i="3" s="1"/>
  <c r="CL265" i="3"/>
  <c r="CB278" i="3"/>
  <c r="CB276" i="3"/>
  <c r="BX278" i="3"/>
  <c r="BT280" i="3"/>
  <c r="BT279" i="3"/>
  <c r="BT286" i="3"/>
  <c r="BU288" i="3" s="1"/>
  <c r="CL272" i="3"/>
  <c r="CQ270" i="3"/>
  <c r="BV280" i="3"/>
  <c r="BV279" i="3"/>
  <c r="BV286" i="3"/>
  <c r="CC275" i="3"/>
  <c r="CC276" i="3" s="1"/>
  <c r="BY278" i="3"/>
  <c r="BY276" i="3"/>
  <c r="CJ272" i="3"/>
  <c r="CO270" i="3"/>
  <c r="BW280" i="3"/>
  <c r="BW279" i="3"/>
  <c r="BW286" i="3"/>
  <c r="CA276" i="3"/>
  <c r="CA278" i="3"/>
  <c r="CH265" i="3"/>
  <c r="CH266" i="3" s="1"/>
  <c r="CI267" i="3"/>
  <c r="CN265" i="3"/>
  <c r="CI272" i="3"/>
  <c r="CN270" i="3"/>
  <c r="CM270" i="3"/>
  <c r="CM271" i="3" s="1"/>
  <c r="CF275" i="3"/>
  <c r="CD275" i="3"/>
  <c r="CH272" i="3"/>
  <c r="CH273" i="3" s="1"/>
  <c r="CK267" i="3"/>
  <c r="CP265" i="3"/>
  <c r="BS286" i="3"/>
  <c r="CK272" i="3"/>
  <c r="CP270" i="3"/>
  <c r="CC215" i="3"/>
  <c r="CC216" i="3" s="1"/>
  <c r="CC220" i="3"/>
  <c r="CC221" i="3" s="1"/>
  <c r="CH244" i="3"/>
  <c r="CH245" i="3" s="1"/>
  <c r="CC223" i="3"/>
  <c r="CA224" i="3"/>
  <c r="CF220" i="3"/>
  <c r="CF223" i="3" s="1"/>
  <c r="CK218" i="3"/>
  <c r="CE220" i="3"/>
  <c r="CJ218" i="3"/>
  <c r="CH218" i="3"/>
  <c r="CH219" i="3" s="1"/>
  <c r="CI220" i="3"/>
  <c r="CN218" i="3"/>
  <c r="CC246" i="3"/>
  <c r="CC247" i="3" s="1"/>
  <c r="CD223" i="3"/>
  <c r="CG215" i="3"/>
  <c r="CG223" i="3" s="1"/>
  <c r="CL213" i="3"/>
  <c r="CS215" i="3"/>
  <c r="CX213" i="3"/>
  <c r="CX215" i="3" s="1"/>
  <c r="CL220" i="3"/>
  <c r="CQ218" i="3"/>
  <c r="CB226" i="3"/>
  <c r="CB224" i="3"/>
  <c r="BZ226" i="3"/>
  <c r="BZ224" i="3"/>
  <c r="CK215" i="3"/>
  <c r="CP213" i="3"/>
  <c r="CH213" i="3"/>
  <c r="CH214" i="3" s="1"/>
  <c r="BY224" i="3"/>
  <c r="CJ215" i="3"/>
  <c r="CO213" i="3"/>
  <c r="BN260" i="3"/>
  <c r="CB249" i="3"/>
  <c r="CG241" i="3"/>
  <c r="CL239" i="3"/>
  <c r="BN253" i="3"/>
  <c r="BN255" i="3"/>
  <c r="CF241" i="3"/>
  <c r="CK239" i="3"/>
  <c r="CI246" i="3"/>
  <c r="CN244" i="3"/>
  <c r="CJ246" i="3"/>
  <c r="CO244" i="3"/>
  <c r="BO254" i="3"/>
  <c r="BO253" i="3"/>
  <c r="BS252" i="3"/>
  <c r="BO260" i="3"/>
  <c r="BP262" i="3" s="1"/>
  <c r="BU253" i="3"/>
  <c r="BU260" i="3"/>
  <c r="BT252" i="3"/>
  <c r="BT250" i="3"/>
  <c r="BX249" i="3"/>
  <c r="BX250" i="3" s="1"/>
  <c r="BP254" i="3"/>
  <c r="CE241" i="3"/>
  <c r="CE249" i="3" s="1"/>
  <c r="CJ239" i="3"/>
  <c r="CF246" i="3"/>
  <c r="CK244" i="3"/>
  <c r="CD241" i="3"/>
  <c r="CI239" i="3"/>
  <c r="CH239" i="3"/>
  <c r="CH240" i="3" s="1"/>
  <c r="BR253" i="3"/>
  <c r="BR254" i="3"/>
  <c r="BR260" i="3"/>
  <c r="CG246" i="3"/>
  <c r="CL244" i="3"/>
  <c r="BZ252" i="3"/>
  <c r="BZ250" i="3"/>
  <c r="BY249" i="3"/>
  <c r="CC241" i="3"/>
  <c r="CC242" i="3" s="1"/>
  <c r="BW226" i="3"/>
  <c r="BW224" i="3"/>
  <c r="BR227" i="3"/>
  <c r="BR234" i="3"/>
  <c r="BU234" i="3"/>
  <c r="BU227" i="3"/>
  <c r="BX223" i="3"/>
  <c r="BX224" i="3" s="1"/>
  <c r="BD142" i="3"/>
  <c r="BD139" i="3"/>
  <c r="AO128" i="3"/>
  <c r="AO129" i="3" s="1"/>
  <c r="AO133" i="3"/>
  <c r="BD114" i="3"/>
  <c r="BD115" i="3" s="1"/>
  <c r="BD109" i="3"/>
  <c r="AT132" i="3"/>
  <c r="AP134" i="3"/>
  <c r="AP133" i="3"/>
  <c r="AY110" i="3"/>
  <c r="AY113" i="3"/>
  <c r="AZ115" i="3"/>
  <c r="AZ113" i="3"/>
  <c r="AS133" i="3"/>
  <c r="AS134" i="3"/>
  <c r="AU132" i="3"/>
  <c r="AU126" i="3"/>
  <c r="AU125" i="3"/>
  <c r="BA132" i="3"/>
  <c r="BD112" i="3"/>
  <c r="BB115" i="3"/>
  <c r="BB113" i="3"/>
  <c r="BC110" i="3"/>
  <c r="BC113" i="3"/>
  <c r="BH115" i="3" l="1"/>
  <c r="BM115" i="3"/>
  <c r="BC62" i="3"/>
  <c r="BT412" i="3"/>
  <c r="BK208" i="3"/>
  <c r="BP235" i="3"/>
  <c r="BU410" i="3"/>
  <c r="BU404" i="3"/>
  <c r="BU403" i="3"/>
  <c r="BW405" i="3"/>
  <c r="BV402" i="3"/>
  <c r="BT332" i="3"/>
  <c r="BT413" i="3"/>
  <c r="AY61" i="3"/>
  <c r="AY36" i="3" s="1"/>
  <c r="AY41" i="3"/>
  <c r="BA61" i="3"/>
  <c r="BA62" i="3" s="1"/>
  <c r="BA41" i="3"/>
  <c r="BD231" i="3"/>
  <c r="BD232" i="3" s="1"/>
  <c r="BD235" i="3"/>
  <c r="AZ209" i="3"/>
  <c r="AZ210" i="3"/>
  <c r="BD208" i="3"/>
  <c r="BA210" i="3"/>
  <c r="AZ205" i="3"/>
  <c r="AZ206" i="3" s="1"/>
  <c r="AZ195" i="3"/>
  <c r="BB188" i="3"/>
  <c r="BB52" i="3"/>
  <c r="BB190" i="3"/>
  <c r="BB189" i="3"/>
  <c r="BC189" i="3"/>
  <c r="BB195" i="3"/>
  <c r="BB41" i="3" s="1"/>
  <c r="BB210" i="3"/>
  <c r="BB209" i="3"/>
  <c r="BB205" i="3"/>
  <c r="BB206" i="3" s="1"/>
  <c r="BC210" i="3"/>
  <c r="BA198" i="3"/>
  <c r="BA192" i="3"/>
  <c r="BA193" i="3" s="1"/>
  <c r="BA196" i="3"/>
  <c r="BG187" i="3"/>
  <c r="BG52" i="3" s="1"/>
  <c r="BH54" i="3" s="1"/>
  <c r="BG203" i="3"/>
  <c r="BG202" i="3"/>
  <c r="BH203" i="3"/>
  <c r="BF52" i="3"/>
  <c r="BF188" i="3"/>
  <c r="BJ234" i="3"/>
  <c r="BJ227" i="3"/>
  <c r="BJ228" i="3"/>
  <c r="BN226" i="3"/>
  <c r="BK228" i="3"/>
  <c r="BJ201" i="3"/>
  <c r="AZ52" i="3"/>
  <c r="BA54" i="3" s="1"/>
  <c r="AZ189" i="3"/>
  <c r="AZ188" i="3"/>
  <c r="AZ190" i="3"/>
  <c r="BD187" i="3"/>
  <c r="BO226" i="3"/>
  <c r="BT229" i="3"/>
  <c r="AY192" i="3"/>
  <c r="AY193" i="3" s="1"/>
  <c r="AY196" i="3"/>
  <c r="BG236" i="3"/>
  <c r="BG235" i="3"/>
  <c r="BH236" i="3"/>
  <c r="BE187" i="3"/>
  <c r="BF189" i="3" s="1"/>
  <c r="BE202" i="3"/>
  <c r="BE203" i="3"/>
  <c r="BI201" i="3"/>
  <c r="BI202" i="3" s="1"/>
  <c r="BI229" i="3"/>
  <c r="BI227" i="3"/>
  <c r="BL234" i="3"/>
  <c r="BL227" i="3"/>
  <c r="BM228" i="3"/>
  <c r="BL228" i="3"/>
  <c r="BL201" i="3"/>
  <c r="BF195" i="3"/>
  <c r="BF41" i="3" s="1"/>
  <c r="BF209" i="3"/>
  <c r="BF205" i="3"/>
  <c r="BF206" i="3" s="1"/>
  <c r="BV229" i="3"/>
  <c r="BQ226" i="3"/>
  <c r="BA53" i="3"/>
  <c r="BA55" i="3"/>
  <c r="BE235" i="3"/>
  <c r="BE236" i="3"/>
  <c r="BI234" i="3"/>
  <c r="BE208" i="3"/>
  <c r="BV433" i="3"/>
  <c r="BV335" i="3"/>
  <c r="BV432" i="3"/>
  <c r="BW431" i="3"/>
  <c r="BY434" i="3"/>
  <c r="AY304" i="3"/>
  <c r="AT304" i="3"/>
  <c r="AY53" i="3"/>
  <c r="BP192" i="3"/>
  <c r="BU188" i="3"/>
  <c r="AP61" i="3"/>
  <c r="AU62" i="3" s="1"/>
  <c r="AT464" i="3"/>
  <c r="AT460" i="3"/>
  <c r="AT461" i="3" s="1"/>
  <c r="AU313" i="3"/>
  <c r="AQ314" i="3"/>
  <c r="AP313" i="3"/>
  <c r="AP308" i="3"/>
  <c r="AU309" i="3" s="1"/>
  <c r="AY464" i="3"/>
  <c r="BD338" i="3"/>
  <c r="CC408" i="3"/>
  <c r="BX381" i="3"/>
  <c r="CC362" i="3"/>
  <c r="BT143" i="3"/>
  <c r="BT139" i="3" s="1"/>
  <c r="BD318" i="3"/>
  <c r="BD342" i="3"/>
  <c r="BD343" i="3" s="1"/>
  <c r="BB323" i="3"/>
  <c r="BR110" i="3"/>
  <c r="BN110" i="3"/>
  <c r="BR113" i="3"/>
  <c r="AU63" i="3"/>
  <c r="AX63" i="3"/>
  <c r="AX62" i="3"/>
  <c r="BU115" i="3"/>
  <c r="BU113" i="3"/>
  <c r="CN111" i="3"/>
  <c r="CA143" i="3"/>
  <c r="CA139" i="3" s="1"/>
  <c r="CF137" i="3"/>
  <c r="BZ114" i="3"/>
  <c r="BZ110" i="3" s="1"/>
  <c r="CE108" i="3"/>
  <c r="CA140" i="3"/>
  <c r="BV142" i="3"/>
  <c r="BX140" i="3"/>
  <c r="BO115" i="3"/>
  <c r="BO113" i="3"/>
  <c r="BW114" i="3"/>
  <c r="BW115" i="3" s="1"/>
  <c r="CB108" i="3"/>
  <c r="CT111" i="3"/>
  <c r="BY143" i="3"/>
  <c r="BY139" i="3" s="1"/>
  <c r="CD137" i="3"/>
  <c r="CI140" i="3"/>
  <c r="BV144" i="3"/>
  <c r="BR144" i="3"/>
  <c r="BR142" i="3"/>
  <c r="CB137" i="3"/>
  <c r="BW143" i="3"/>
  <c r="BK144" i="3"/>
  <c r="BK142" i="3"/>
  <c r="CZ111" i="3"/>
  <c r="BN115" i="3"/>
  <c r="BI113" i="3"/>
  <c r="BS138" i="3"/>
  <c r="BS143" i="3"/>
  <c r="BP143" i="3"/>
  <c r="BU137" i="3"/>
  <c r="BX137" i="3" s="1"/>
  <c r="BO110" i="3"/>
  <c r="BS141" i="3"/>
  <c r="BN138" i="3"/>
  <c r="BN143" i="3"/>
  <c r="BN139" i="3" s="1"/>
  <c r="CL140" i="3"/>
  <c r="CJ140" i="3"/>
  <c r="BV114" i="3"/>
  <c r="BV110" i="3" s="1"/>
  <c r="CA108" i="3"/>
  <c r="BS114" i="3"/>
  <c r="BS115" i="3" s="1"/>
  <c r="BS109" i="3"/>
  <c r="CB111" i="3"/>
  <c r="BX111" i="3"/>
  <c r="BT114" i="3"/>
  <c r="BY108" i="3"/>
  <c r="BX108" i="3"/>
  <c r="BS112" i="3"/>
  <c r="BV139" i="3"/>
  <c r="BQ115" i="3"/>
  <c r="BQ113" i="3"/>
  <c r="BI115" i="3"/>
  <c r="CR446" i="3"/>
  <c r="AT308" i="3"/>
  <c r="AT309" i="3" s="1"/>
  <c r="AT313" i="3"/>
  <c r="AX309" i="3"/>
  <c r="AX310" i="3"/>
  <c r="AY313" i="3"/>
  <c r="BA309" i="3"/>
  <c r="BA310" i="3"/>
  <c r="BC309" i="3"/>
  <c r="BB458" i="3"/>
  <c r="BB457" i="3"/>
  <c r="BB463" i="3"/>
  <c r="BB456" i="3"/>
  <c r="BC457" i="3"/>
  <c r="BD455" i="3"/>
  <c r="BU202" i="3"/>
  <c r="BP205" i="3"/>
  <c r="CW442" i="3"/>
  <c r="CW443" i="3" s="1"/>
  <c r="CZ442" i="3"/>
  <c r="CU450" i="3"/>
  <c r="CW450" i="3" s="1"/>
  <c r="BP209" i="3"/>
  <c r="BS331" i="3"/>
  <c r="CB417" i="3"/>
  <c r="CD420" i="3"/>
  <c r="CG427" i="3"/>
  <c r="CE424" i="3"/>
  <c r="CE334" i="3" s="1"/>
  <c r="BW395" i="3"/>
  <c r="BW394" i="3"/>
  <c r="BX393" i="3"/>
  <c r="BX396" i="3" s="1"/>
  <c r="BY393" i="3"/>
  <c r="BV260" i="3"/>
  <c r="BV261" i="3" s="1"/>
  <c r="BV253" i="3"/>
  <c r="BV254" i="3"/>
  <c r="CH358" i="3"/>
  <c r="CH359" i="3" s="1"/>
  <c r="CR398" i="3"/>
  <c r="CR399" i="3" s="1"/>
  <c r="BW254" i="3"/>
  <c r="CM353" i="3"/>
  <c r="CM354" i="3" s="1"/>
  <c r="CM400" i="3"/>
  <c r="CM401" i="3" s="1"/>
  <c r="CJ407" i="3"/>
  <c r="CJ408" i="3" s="1"/>
  <c r="CK408" i="3"/>
  <c r="CU391" i="3"/>
  <c r="CZ389" i="3"/>
  <c r="CZ391" i="3" s="1"/>
  <c r="CT391" i="3"/>
  <c r="CY389" i="3"/>
  <c r="CY391" i="3" s="1"/>
  <c r="CS400" i="3"/>
  <c r="CX398" i="3"/>
  <c r="CN391" i="3"/>
  <c r="CS389" i="3"/>
  <c r="CR389" i="3"/>
  <c r="CR390" i="3" s="1"/>
  <c r="DA398" i="3"/>
  <c r="DA400" i="3" s="1"/>
  <c r="CV400" i="3"/>
  <c r="CI407" i="3"/>
  <c r="CM391" i="3"/>
  <c r="CM392" i="3" s="1"/>
  <c r="CE408" i="3"/>
  <c r="CL408" i="3"/>
  <c r="CP400" i="3"/>
  <c r="CP407" i="3" s="1"/>
  <c r="CU398" i="3"/>
  <c r="CQ391" i="3"/>
  <c r="CQ407" i="3" s="1"/>
  <c r="CV389" i="3"/>
  <c r="CO400" i="3"/>
  <c r="CO407" i="3" s="1"/>
  <c r="CT398" i="3"/>
  <c r="CD408" i="3"/>
  <c r="CH407" i="3"/>
  <c r="CG362" i="3"/>
  <c r="CM265" i="3"/>
  <c r="CM266" i="3" s="1"/>
  <c r="CE362" i="3"/>
  <c r="CN358" i="3"/>
  <c r="CN361" i="3" s="1"/>
  <c r="CS356" i="3"/>
  <c r="CD362" i="3"/>
  <c r="CH361" i="3"/>
  <c r="CI361" i="3"/>
  <c r="CL358" i="3"/>
  <c r="CL361" i="3" s="1"/>
  <c r="CQ356" i="3"/>
  <c r="BK205" i="3"/>
  <c r="BK195" i="3"/>
  <c r="BK41" i="3" s="1"/>
  <c r="CP353" i="3"/>
  <c r="CU351" i="3"/>
  <c r="CJ358" i="3"/>
  <c r="CO356" i="3"/>
  <c r="BR188" i="3"/>
  <c r="CO353" i="3"/>
  <c r="CT351" i="3"/>
  <c r="CR351" i="3"/>
  <c r="CR352" i="3" s="1"/>
  <c r="BM193" i="3"/>
  <c r="CK358" i="3"/>
  <c r="CK361" i="3" s="1"/>
  <c r="CP356" i="3"/>
  <c r="CH377" i="3"/>
  <c r="CH378" i="3" s="1"/>
  <c r="CQ353" i="3"/>
  <c r="CV351" i="3"/>
  <c r="CS353" i="3"/>
  <c r="CX351" i="3"/>
  <c r="CM356" i="3"/>
  <c r="CM357" i="3" s="1"/>
  <c r="CF362" i="3"/>
  <c r="CO377" i="3"/>
  <c r="CT375" i="3"/>
  <c r="BT385" i="3"/>
  <c r="BT384" i="3"/>
  <c r="CA381" i="3"/>
  <c r="CF380" i="3"/>
  <c r="CG381" i="3"/>
  <c r="CL377" i="3"/>
  <c r="CL380" i="3" s="1"/>
  <c r="CQ375" i="3"/>
  <c r="CE381" i="3"/>
  <c r="CI372" i="3"/>
  <c r="CN370" i="3"/>
  <c r="CM370" i="3"/>
  <c r="CM371" i="3" s="1"/>
  <c r="BY381" i="3"/>
  <c r="CC380" i="3"/>
  <c r="CK377" i="3"/>
  <c r="CK380" i="3" s="1"/>
  <c r="CP375" i="3"/>
  <c r="CM375" i="3"/>
  <c r="CM376" i="3" s="1"/>
  <c r="CD380" i="3"/>
  <c r="CH372" i="3"/>
  <c r="CH373" i="3" s="1"/>
  <c r="BS384" i="3"/>
  <c r="BS386" i="3"/>
  <c r="CQ372" i="3"/>
  <c r="CV370" i="3"/>
  <c r="CP372" i="3"/>
  <c r="CU370" i="3"/>
  <c r="CJ372" i="3"/>
  <c r="CJ380" i="3" s="1"/>
  <c r="CO370" i="3"/>
  <c r="BV384" i="3"/>
  <c r="CS377" i="3"/>
  <c r="CX375" i="3"/>
  <c r="CA252" i="3"/>
  <c r="BK209" i="3"/>
  <c r="CH220" i="3"/>
  <c r="CH221" i="3" s="1"/>
  <c r="BZ201" i="3"/>
  <c r="BM206" i="3"/>
  <c r="BW201" i="3"/>
  <c r="BW260" i="3"/>
  <c r="BW253" i="3"/>
  <c r="BR202" i="3"/>
  <c r="BU208" i="3"/>
  <c r="BU195" i="3" s="1"/>
  <c r="BU41" i="3" s="1"/>
  <c r="BR208" i="3"/>
  <c r="BR195" i="3" s="1"/>
  <c r="BR41" i="3" s="1"/>
  <c r="BZ280" i="3"/>
  <c r="BU235" i="3"/>
  <c r="BR235" i="3"/>
  <c r="BR261" i="3"/>
  <c r="BR262" i="3"/>
  <c r="BZ279" i="3"/>
  <c r="BV288" i="3"/>
  <c r="BV287" i="3"/>
  <c r="BU261" i="3"/>
  <c r="BN257" i="3"/>
  <c r="BN258" i="3" s="1"/>
  <c r="BN261" i="3"/>
  <c r="BS283" i="3"/>
  <c r="BS284" i="3" s="1"/>
  <c r="BS287" i="3"/>
  <c r="BT288" i="3"/>
  <c r="BT287" i="3"/>
  <c r="BO261" i="3"/>
  <c r="BO262" i="3"/>
  <c r="BW288" i="3"/>
  <c r="BW287" i="3"/>
  <c r="BZ286" i="3"/>
  <c r="CO265" i="3"/>
  <c r="CJ267" i="3"/>
  <c r="CJ275" i="3" s="1"/>
  <c r="CE276" i="3"/>
  <c r="BX286" i="3"/>
  <c r="CH267" i="3"/>
  <c r="CH268" i="3" s="1"/>
  <c r="CP272" i="3"/>
  <c r="CU270" i="3"/>
  <c r="CN272" i="3"/>
  <c r="CS270" i="3"/>
  <c r="CR270" i="3"/>
  <c r="CR271" i="3" s="1"/>
  <c r="CM272" i="3"/>
  <c r="CM273" i="3" s="1"/>
  <c r="CE279" i="3"/>
  <c r="CE286" i="3"/>
  <c r="CO272" i="3"/>
  <c r="CT270" i="3"/>
  <c r="CP267" i="3"/>
  <c r="CU265" i="3"/>
  <c r="CS265" i="3"/>
  <c r="CN267" i="3"/>
  <c r="BX279" i="3"/>
  <c r="BX281" i="3"/>
  <c r="CK275" i="3"/>
  <c r="CI275" i="3"/>
  <c r="BY280" i="3"/>
  <c r="BY279" i="3"/>
  <c r="CC278" i="3"/>
  <c r="BY286" i="3"/>
  <c r="CB280" i="3"/>
  <c r="CB279" i="3"/>
  <c r="CB286" i="3"/>
  <c r="CL267" i="3"/>
  <c r="CL275" i="3" s="1"/>
  <c r="CQ265" i="3"/>
  <c r="CD276" i="3"/>
  <c r="CH275" i="3"/>
  <c r="CH276" i="3" s="1"/>
  <c r="CD278" i="3"/>
  <c r="CE280" i="3" s="1"/>
  <c r="CA280" i="3"/>
  <c r="CA279" i="3"/>
  <c r="CA286" i="3"/>
  <c r="CG278" i="3"/>
  <c r="CG276" i="3"/>
  <c r="CF278" i="3"/>
  <c r="CF276" i="3"/>
  <c r="CQ272" i="3"/>
  <c r="CV270" i="3"/>
  <c r="CF224" i="3"/>
  <c r="CM244" i="3"/>
  <c r="CM245" i="3" s="1"/>
  <c r="CB234" i="3"/>
  <c r="CB227" i="3"/>
  <c r="CN220" i="3"/>
  <c r="CS218" i="3"/>
  <c r="CH246" i="3"/>
  <c r="CH247" i="3" s="1"/>
  <c r="CV218" i="3"/>
  <c r="CQ220" i="3"/>
  <c r="CI223" i="3"/>
  <c r="CJ220" i="3"/>
  <c r="CJ223" i="3" s="1"/>
  <c r="CO218" i="3"/>
  <c r="CP218" i="3"/>
  <c r="CK220" i="3"/>
  <c r="CK223" i="3" s="1"/>
  <c r="CH215" i="3"/>
  <c r="CH216" i="3" s="1"/>
  <c r="BZ227" i="3"/>
  <c r="BZ234" i="3"/>
  <c r="CD224" i="3"/>
  <c r="CE223" i="3"/>
  <c r="CH223" i="3" s="1"/>
  <c r="CH224" i="3" s="1"/>
  <c r="CP215" i="3"/>
  <c r="CU213" i="3"/>
  <c r="CG224" i="3"/>
  <c r="CG226" i="3"/>
  <c r="CL215" i="3"/>
  <c r="CL223" i="3" s="1"/>
  <c r="CQ213" i="3"/>
  <c r="CM213" i="3"/>
  <c r="CM214" i="3" s="1"/>
  <c r="CO215" i="3"/>
  <c r="CT213" i="3"/>
  <c r="CM218" i="3"/>
  <c r="CM219" i="3" s="1"/>
  <c r="CC224" i="3"/>
  <c r="BY252" i="3"/>
  <c r="BZ254" i="3" s="1"/>
  <c r="BY250" i="3"/>
  <c r="CC249" i="3"/>
  <c r="CC250" i="3" s="1"/>
  <c r="CO246" i="3"/>
  <c r="CT244" i="3"/>
  <c r="CJ241" i="3"/>
  <c r="CJ249" i="3" s="1"/>
  <c r="CO239" i="3"/>
  <c r="CL246" i="3"/>
  <c r="CQ244" i="3"/>
  <c r="CL241" i="3"/>
  <c r="CQ239" i="3"/>
  <c r="BX252" i="3"/>
  <c r="BT254" i="3"/>
  <c r="BT253" i="3"/>
  <c r="BT260" i="3"/>
  <c r="CG249" i="3"/>
  <c r="CN246" i="3"/>
  <c r="CS244" i="3"/>
  <c r="BS255" i="3"/>
  <c r="BS253" i="3"/>
  <c r="BZ253" i="3"/>
  <c r="BZ260" i="3"/>
  <c r="CE252" i="3"/>
  <c r="CE250" i="3"/>
  <c r="CI241" i="3"/>
  <c r="CN239" i="3"/>
  <c r="CM239" i="3"/>
  <c r="CM240" i="3" s="1"/>
  <c r="BU254" i="3"/>
  <c r="CK241" i="3"/>
  <c r="CP239" i="3"/>
  <c r="CK246" i="3"/>
  <c r="CP244" i="3"/>
  <c r="CD249" i="3"/>
  <c r="CH241" i="3"/>
  <c r="CH242" i="3" s="1"/>
  <c r="BS260" i="3"/>
  <c r="CF249" i="3"/>
  <c r="CB252" i="3"/>
  <c r="CB201" i="3" s="1"/>
  <c r="CB187" i="3" s="1"/>
  <c r="CB250" i="3"/>
  <c r="BW234" i="3"/>
  <c r="BW227" i="3"/>
  <c r="AU133" i="3"/>
  <c r="BD113" i="3"/>
  <c r="AT133" i="3"/>
  <c r="AT128" i="3"/>
  <c r="AT129" i="3" s="1"/>
  <c r="BD110" i="3"/>
  <c r="AU134" i="3"/>
  <c r="AY62" i="3" l="1"/>
  <c r="BK206" i="3"/>
  <c r="AY57" i="3"/>
  <c r="BV404" i="3"/>
  <c r="BV403" i="3"/>
  <c r="BV410" i="3"/>
  <c r="BY405" i="3"/>
  <c r="BW402" i="3"/>
  <c r="BU332" i="3"/>
  <c r="BU411" i="3"/>
  <c r="BU413" i="3"/>
  <c r="BU412" i="3"/>
  <c r="AY64" i="3"/>
  <c r="BR42" i="3"/>
  <c r="BP42" i="3"/>
  <c r="BK42" i="3"/>
  <c r="BU42" i="3"/>
  <c r="BF44" i="3"/>
  <c r="BF42" i="3"/>
  <c r="BA64" i="3"/>
  <c r="BA36" i="3"/>
  <c r="BD195" i="3"/>
  <c r="BD41" i="3" s="1"/>
  <c r="AZ41" i="3"/>
  <c r="BN229" i="3"/>
  <c r="BN227" i="3"/>
  <c r="BL235" i="3"/>
  <c r="BL236" i="3"/>
  <c r="BM236" i="3"/>
  <c r="BL208" i="3"/>
  <c r="BB53" i="3"/>
  <c r="BB55" i="3"/>
  <c r="BB54" i="3"/>
  <c r="BC54" i="3"/>
  <c r="BY229" i="3"/>
  <c r="BT226" i="3"/>
  <c r="BO228" i="3"/>
  <c r="BO234" i="3"/>
  <c r="BO227" i="3"/>
  <c r="BP228" i="3"/>
  <c r="BO201" i="3"/>
  <c r="BS226" i="3"/>
  <c r="BJ236" i="3"/>
  <c r="BJ235" i="3"/>
  <c r="BJ208" i="3"/>
  <c r="BN234" i="3"/>
  <c r="BK236" i="3"/>
  <c r="AZ198" i="3"/>
  <c r="AZ61" i="3"/>
  <c r="AZ36" i="3" s="1"/>
  <c r="AZ197" i="3"/>
  <c r="AZ196" i="3"/>
  <c r="AZ192" i="3"/>
  <c r="AZ193" i="3" s="1"/>
  <c r="BA197" i="3"/>
  <c r="BQ234" i="3"/>
  <c r="BQ201" i="3"/>
  <c r="BQ227" i="3"/>
  <c r="BQ228" i="3"/>
  <c r="BR228" i="3"/>
  <c r="BD188" i="3"/>
  <c r="BD190" i="3"/>
  <c r="BD52" i="3"/>
  <c r="CA229" i="3"/>
  <c r="BV226" i="3"/>
  <c r="BD205" i="3"/>
  <c r="BD206" i="3" s="1"/>
  <c r="BD209" i="3"/>
  <c r="BE190" i="3"/>
  <c r="BE52" i="3"/>
  <c r="BE188" i="3"/>
  <c r="BE189" i="3"/>
  <c r="BI187" i="3"/>
  <c r="BB197" i="3"/>
  <c r="BB192" i="3"/>
  <c r="BB193" i="3" s="1"/>
  <c r="BB196" i="3"/>
  <c r="BB198" i="3"/>
  <c r="BC197" i="3"/>
  <c r="BE205" i="3"/>
  <c r="BE210" i="3"/>
  <c r="BE195" i="3"/>
  <c r="BE41" i="3" s="1"/>
  <c r="BF43" i="3" s="1"/>
  <c r="BF196" i="3"/>
  <c r="BF192" i="3"/>
  <c r="BF193" i="3" s="1"/>
  <c r="AZ54" i="3"/>
  <c r="AZ53" i="3"/>
  <c r="AZ55" i="3"/>
  <c r="BI235" i="3"/>
  <c r="BI231" i="3"/>
  <c r="BI232" i="3" s="1"/>
  <c r="BM203" i="3"/>
  <c r="BL202" i="3"/>
  <c r="BL203" i="3"/>
  <c r="BL187" i="3"/>
  <c r="BG195" i="3"/>
  <c r="BG205" i="3"/>
  <c r="BG206" i="3" s="1"/>
  <c r="BG209" i="3"/>
  <c r="BG210" i="3"/>
  <c r="BH210" i="3"/>
  <c r="BJ187" i="3"/>
  <c r="BJ202" i="3"/>
  <c r="BN201" i="3"/>
  <c r="BN202" i="3" s="1"/>
  <c r="BJ203" i="3"/>
  <c r="BK203" i="3"/>
  <c r="BG188" i="3"/>
  <c r="BG189" i="3"/>
  <c r="BH189" i="3"/>
  <c r="BZ434" i="3"/>
  <c r="BY431" i="3"/>
  <c r="BW433" i="3"/>
  <c r="BW335" i="3"/>
  <c r="BX335" i="3" s="1"/>
  <c r="BW432" i="3"/>
  <c r="BX431" i="3"/>
  <c r="AQ310" i="3"/>
  <c r="AY461" i="3"/>
  <c r="AP309" i="3"/>
  <c r="AQ63" i="3"/>
  <c r="AP310" i="3"/>
  <c r="BD319" i="3"/>
  <c r="BT142" i="3"/>
  <c r="BT144" i="3"/>
  <c r="CC381" i="3"/>
  <c r="CH408" i="3"/>
  <c r="CH362" i="3"/>
  <c r="BD322" i="3"/>
  <c r="BD323" i="3" s="1"/>
  <c r="BW113" i="3"/>
  <c r="BS110" i="3"/>
  <c r="BW110" i="3"/>
  <c r="BS113" i="3"/>
  <c r="BX138" i="3"/>
  <c r="BX143" i="3"/>
  <c r="BX144" i="3" s="1"/>
  <c r="BP144" i="3"/>
  <c r="BP142" i="3"/>
  <c r="BS139" i="3"/>
  <c r="BS144" i="3"/>
  <c r="CQ140" i="3"/>
  <c r="CG111" i="3"/>
  <c r="CC111" i="3"/>
  <c r="CY111" i="3"/>
  <c r="CK137" i="3"/>
  <c r="CF143" i="3"/>
  <c r="CF139" i="3" s="1"/>
  <c r="CD143" i="3"/>
  <c r="CD139" i="3" s="1"/>
  <c r="CI137" i="3"/>
  <c r="BN144" i="3"/>
  <c r="BN142" i="3"/>
  <c r="CG108" i="3"/>
  <c r="CB114" i="3"/>
  <c r="CB115" i="3" s="1"/>
  <c r="CA144" i="3"/>
  <c r="CF140" i="3"/>
  <c r="CA142" i="3"/>
  <c r="CC140" i="3"/>
  <c r="BW144" i="3"/>
  <c r="BW142" i="3"/>
  <c r="CO140" i="3"/>
  <c r="BT115" i="3"/>
  <c r="BT113" i="3"/>
  <c r="BZ115" i="3"/>
  <c r="BZ113" i="3"/>
  <c r="BS142" i="3"/>
  <c r="CS111" i="3"/>
  <c r="CG137" i="3"/>
  <c r="CB143" i="3"/>
  <c r="CB139" i="3" s="1"/>
  <c r="BX109" i="3"/>
  <c r="BX114" i="3"/>
  <c r="BX115" i="3" s="1"/>
  <c r="BY114" i="3"/>
  <c r="BY110" i="3" s="1"/>
  <c r="CD108" i="3"/>
  <c r="CC108" i="3"/>
  <c r="BY144" i="3"/>
  <c r="BY142" i="3"/>
  <c r="CA114" i="3"/>
  <c r="CA110" i="3" s="1"/>
  <c r="CF108" i="3"/>
  <c r="BX141" i="3"/>
  <c r="BU143" i="3"/>
  <c r="BU139" i="3" s="1"/>
  <c r="BZ137" i="3"/>
  <c r="CJ108" i="3"/>
  <c r="CE114" i="3"/>
  <c r="CE110" i="3" s="1"/>
  <c r="BX112" i="3"/>
  <c r="BT110" i="3"/>
  <c r="BV115" i="3"/>
  <c r="BV113" i="3"/>
  <c r="BP139" i="3"/>
  <c r="BW139" i="3"/>
  <c r="CN140" i="3"/>
  <c r="BD458" i="3"/>
  <c r="BD456" i="3"/>
  <c r="BB465" i="3"/>
  <c r="BB464" i="3"/>
  <c r="BC465" i="3"/>
  <c r="BB312" i="3"/>
  <c r="BB46" i="3" s="1"/>
  <c r="BD463" i="3"/>
  <c r="AY309" i="3"/>
  <c r="CW446" i="3"/>
  <c r="BW208" i="3"/>
  <c r="BW195" i="3" s="1"/>
  <c r="BW41" i="3" s="1"/>
  <c r="CZ450" i="3"/>
  <c r="DB450" i="3" s="1"/>
  <c r="DB442" i="3"/>
  <c r="DB443" i="3" s="1"/>
  <c r="BV262" i="3"/>
  <c r="BW262" i="3"/>
  <c r="CC417" i="3"/>
  <c r="CC420" i="3" s="1"/>
  <c r="CB333" i="3"/>
  <c r="CC333" i="3" s="1"/>
  <c r="CE420" i="3"/>
  <c r="CI427" i="3"/>
  <c r="CD417" i="3"/>
  <c r="CD333" i="3" s="1"/>
  <c r="CF424" i="3"/>
  <c r="CF334" i="3" s="1"/>
  <c r="BY394" i="3"/>
  <c r="BY395" i="3"/>
  <c r="BZ393" i="3"/>
  <c r="BX394" i="3"/>
  <c r="CA260" i="3"/>
  <c r="CA253" i="3"/>
  <c r="CA254" i="3"/>
  <c r="CR353" i="3"/>
  <c r="CR354" i="3" s="1"/>
  <c r="CM358" i="3"/>
  <c r="CM359" i="3" s="1"/>
  <c r="CW351" i="3"/>
  <c r="CW352" i="3" s="1"/>
  <c r="CO408" i="3"/>
  <c r="CP408" i="3"/>
  <c r="CT400" i="3"/>
  <c r="CT407" i="3" s="1"/>
  <c r="CY398" i="3"/>
  <c r="CY400" i="3" s="1"/>
  <c r="CY407" i="3" s="1"/>
  <c r="CV391" i="3"/>
  <c r="CV407" i="3" s="1"/>
  <c r="DA389" i="3"/>
  <c r="DA391" i="3" s="1"/>
  <c r="DA407" i="3" s="1"/>
  <c r="CR400" i="3"/>
  <c r="CR401" i="3" s="1"/>
  <c r="CQ408" i="3"/>
  <c r="CU400" i="3"/>
  <c r="CU407" i="3" s="1"/>
  <c r="CZ398" i="3"/>
  <c r="CZ400" i="3" s="1"/>
  <c r="CZ407" i="3" s="1"/>
  <c r="CS391" i="3"/>
  <c r="CX389" i="3"/>
  <c r="CW389" i="3"/>
  <c r="CW390" i="3" s="1"/>
  <c r="CN407" i="3"/>
  <c r="CR391" i="3"/>
  <c r="CR392" i="3" s="1"/>
  <c r="CX400" i="3"/>
  <c r="CW398" i="3"/>
  <c r="CW399" i="3" s="1"/>
  <c r="CM407" i="3"/>
  <c r="CM408" i="3" s="1"/>
  <c r="CI408" i="3"/>
  <c r="CK362" i="3"/>
  <c r="CN362" i="3"/>
  <c r="CP358" i="3"/>
  <c r="CP361" i="3" s="1"/>
  <c r="CU356" i="3"/>
  <c r="BK192" i="3"/>
  <c r="BK196" i="3"/>
  <c r="BP196" i="3"/>
  <c r="CS358" i="3"/>
  <c r="CX356" i="3"/>
  <c r="BW187" i="3"/>
  <c r="CL362" i="3"/>
  <c r="CQ358" i="3"/>
  <c r="CQ361" i="3" s="1"/>
  <c r="CV356" i="3"/>
  <c r="BR192" i="3"/>
  <c r="BR193" i="3" s="1"/>
  <c r="BR196" i="3"/>
  <c r="BZ202" i="3"/>
  <c r="BZ187" i="3"/>
  <c r="CT353" i="3"/>
  <c r="CY351" i="3"/>
  <c r="CY353" i="3" s="1"/>
  <c r="CI362" i="3"/>
  <c r="CX353" i="3"/>
  <c r="BP206" i="3"/>
  <c r="BU192" i="3"/>
  <c r="BU193" i="3" s="1"/>
  <c r="BU196" i="3"/>
  <c r="CJ361" i="3"/>
  <c r="CZ351" i="3"/>
  <c r="CZ353" i="3" s="1"/>
  <c r="CU353" i="3"/>
  <c r="CV353" i="3"/>
  <c r="DA351" i="3"/>
  <c r="DA353" i="3" s="1"/>
  <c r="CO358" i="3"/>
  <c r="CT356" i="3"/>
  <c r="CR356" i="3"/>
  <c r="CR357" i="3" s="1"/>
  <c r="CM377" i="3"/>
  <c r="CM378" i="3" s="1"/>
  <c r="CP377" i="3"/>
  <c r="CP380" i="3" s="1"/>
  <c r="CU375" i="3"/>
  <c r="CK381" i="3"/>
  <c r="CJ381" i="3"/>
  <c r="CL381" i="3"/>
  <c r="CF381" i="3"/>
  <c r="CV372" i="3"/>
  <c r="DA370" i="3"/>
  <c r="DA372" i="3" s="1"/>
  <c r="CX377" i="3"/>
  <c r="CN372" i="3"/>
  <c r="CS370" i="3"/>
  <c r="CR370" i="3"/>
  <c r="CR371" i="3" s="1"/>
  <c r="BU383" i="3"/>
  <c r="BU331" i="3" s="1"/>
  <c r="CI380" i="3"/>
  <c r="CM372" i="3"/>
  <c r="CM373" i="3" s="1"/>
  <c r="CR375" i="3"/>
  <c r="CR376" i="3" s="1"/>
  <c r="CY375" i="3"/>
  <c r="CY377" i="3" s="1"/>
  <c r="CT377" i="3"/>
  <c r="CD381" i="3"/>
  <c r="CH380" i="3"/>
  <c r="CQ377" i="3"/>
  <c r="CQ380" i="3" s="1"/>
  <c r="CV375" i="3"/>
  <c r="CU372" i="3"/>
  <c r="CZ370" i="3"/>
  <c r="CZ372" i="3" s="1"/>
  <c r="CO372" i="3"/>
  <c r="CO380" i="3" s="1"/>
  <c r="CT370" i="3"/>
  <c r="CR244" i="3"/>
  <c r="CR245" i="3" s="1"/>
  <c r="BW261" i="3"/>
  <c r="BW202" i="3"/>
  <c r="CB202" i="3"/>
  <c r="BR209" i="3"/>
  <c r="BU209" i="3"/>
  <c r="BU205" i="3"/>
  <c r="BU206" i="3" s="1"/>
  <c r="BR205" i="3"/>
  <c r="BR206" i="3" s="1"/>
  <c r="BZ208" i="3"/>
  <c r="BZ195" i="3" s="1"/>
  <c r="BX260" i="3"/>
  <c r="BX261" i="3" s="1"/>
  <c r="BT262" i="3"/>
  <c r="BT261" i="3"/>
  <c r="BS257" i="3"/>
  <c r="BS258" i="3" s="1"/>
  <c r="BS261" i="3"/>
  <c r="BX283" i="3"/>
  <c r="BX284" i="3" s="1"/>
  <c r="BX287" i="3"/>
  <c r="BY288" i="3"/>
  <c r="BY287" i="3"/>
  <c r="CA288" i="3"/>
  <c r="CA287" i="3"/>
  <c r="CE287" i="3"/>
  <c r="BZ261" i="3"/>
  <c r="CB235" i="3"/>
  <c r="BZ287" i="3"/>
  <c r="BZ288" i="3"/>
  <c r="CB287" i="3"/>
  <c r="CB288" i="3"/>
  <c r="CM246" i="3"/>
  <c r="CM247" i="3" s="1"/>
  <c r="BW235" i="3"/>
  <c r="BZ235" i="3"/>
  <c r="BU262" i="3"/>
  <c r="CJ278" i="3"/>
  <c r="CJ286" i="3" s="1"/>
  <c r="CJ276" i="3"/>
  <c r="CM267" i="3"/>
  <c r="CM268" i="3" s="1"/>
  <c r="CT265" i="3"/>
  <c r="CO267" i="3"/>
  <c r="CO275" i="3" s="1"/>
  <c r="CO276" i="3" s="1"/>
  <c r="CI276" i="3"/>
  <c r="CI278" i="3"/>
  <c r="CM275" i="3"/>
  <c r="CM276" i="3" s="1"/>
  <c r="CK278" i="3"/>
  <c r="CK276" i="3"/>
  <c r="CV272" i="3"/>
  <c r="DA270" i="3"/>
  <c r="DA272" i="3" s="1"/>
  <c r="CQ267" i="3"/>
  <c r="CQ275" i="3" s="1"/>
  <c r="CV265" i="3"/>
  <c r="CL278" i="3"/>
  <c r="CL276" i="3"/>
  <c r="CN275" i="3"/>
  <c r="CW270" i="3"/>
  <c r="CW271" i="3" s="1"/>
  <c r="CX270" i="3"/>
  <c r="CS272" i="3"/>
  <c r="CS267" i="3"/>
  <c r="CX265" i="3"/>
  <c r="CR272" i="3"/>
  <c r="CR273" i="3" s="1"/>
  <c r="CR265" i="3"/>
  <c r="CR266" i="3" s="1"/>
  <c r="CU272" i="3"/>
  <c r="CZ270" i="3"/>
  <c r="CZ272" i="3" s="1"/>
  <c r="CH278" i="3"/>
  <c r="CD280" i="3"/>
  <c r="CD279" i="3"/>
  <c r="CD286" i="3"/>
  <c r="CG280" i="3"/>
  <c r="CG279" i="3"/>
  <c r="CG286" i="3"/>
  <c r="CC286" i="3"/>
  <c r="CU267" i="3"/>
  <c r="CZ265" i="3"/>
  <c r="CZ267" i="3" s="1"/>
  <c r="CC281" i="3"/>
  <c r="CC279" i="3"/>
  <c r="CP275" i="3"/>
  <c r="CY270" i="3"/>
  <c r="CY272" i="3" s="1"/>
  <c r="CT272" i="3"/>
  <c r="CF279" i="3"/>
  <c r="CF280" i="3"/>
  <c r="CF286" i="3"/>
  <c r="CJ226" i="3"/>
  <c r="CJ224" i="3"/>
  <c r="CK224" i="3"/>
  <c r="CU218" i="3"/>
  <c r="CP220" i="3"/>
  <c r="CP223" i="3" s="1"/>
  <c r="CR218" i="3"/>
  <c r="CR219" i="3" s="1"/>
  <c r="CT218" i="3"/>
  <c r="CO220" i="3"/>
  <c r="CO223" i="3" s="1"/>
  <c r="CS220" i="3"/>
  <c r="CS223" i="3" s="1"/>
  <c r="CX218" i="3"/>
  <c r="CX220" i="3" s="1"/>
  <c r="CU215" i="3"/>
  <c r="CZ213" i="3"/>
  <c r="CL226" i="3"/>
  <c r="CL224" i="3"/>
  <c r="CM220" i="3"/>
  <c r="CM221" i="3" s="1"/>
  <c r="CQ215" i="3"/>
  <c r="CQ223" i="3" s="1"/>
  <c r="CV213" i="3"/>
  <c r="CW213" i="3" s="1"/>
  <c r="CN223" i="3"/>
  <c r="DA218" i="3"/>
  <c r="DA220" i="3" s="1"/>
  <c r="CV220" i="3"/>
  <c r="CM215" i="3"/>
  <c r="CM216" i="3" s="1"/>
  <c r="CL249" i="3"/>
  <c r="CL252" i="3" s="1"/>
  <c r="CR213" i="3"/>
  <c r="CR214" i="3" s="1"/>
  <c r="CG227" i="3"/>
  <c r="CG234" i="3"/>
  <c r="CM223" i="3"/>
  <c r="CM224" i="3" s="1"/>
  <c r="CI224" i="3"/>
  <c r="CY213" i="3"/>
  <c r="CY215" i="3" s="1"/>
  <c r="CT215" i="3"/>
  <c r="CE224" i="3"/>
  <c r="CE226" i="3"/>
  <c r="BX253" i="3"/>
  <c r="BX255" i="3"/>
  <c r="CQ241" i="3"/>
  <c r="CV239" i="3"/>
  <c r="CB254" i="3"/>
  <c r="CB253" i="3"/>
  <c r="CB260" i="3"/>
  <c r="CB208" i="3" s="1"/>
  <c r="CB195" i="3" s="1"/>
  <c r="CO241" i="3"/>
  <c r="CO249" i="3" s="1"/>
  <c r="CT239" i="3"/>
  <c r="CK249" i="3"/>
  <c r="CF252" i="3"/>
  <c r="CF250" i="3"/>
  <c r="CS246" i="3"/>
  <c r="CX244" i="3"/>
  <c r="CJ252" i="3"/>
  <c r="CJ250" i="3"/>
  <c r="CR239" i="3"/>
  <c r="CR240" i="3" s="1"/>
  <c r="CS239" i="3"/>
  <c r="CN241" i="3"/>
  <c r="CT246" i="3"/>
  <c r="CY244" i="3"/>
  <c r="CY246" i="3" s="1"/>
  <c r="CI249" i="3"/>
  <c r="CM241" i="3"/>
  <c r="CM242" i="3" s="1"/>
  <c r="CG252" i="3"/>
  <c r="CG201" i="3" s="1"/>
  <c r="CG187" i="3" s="1"/>
  <c r="CG250" i="3"/>
  <c r="CQ246" i="3"/>
  <c r="CV244" i="3"/>
  <c r="CH249" i="3"/>
  <c r="CH250" i="3" s="1"/>
  <c r="CD252" i="3"/>
  <c r="CD250" i="3"/>
  <c r="CP241" i="3"/>
  <c r="CU239" i="3"/>
  <c r="CE253" i="3"/>
  <c r="CE260" i="3"/>
  <c r="CU244" i="3"/>
  <c r="CP246" i="3"/>
  <c r="BY254" i="3"/>
  <c r="BY253" i="3"/>
  <c r="CC252" i="3"/>
  <c r="BY260" i="3"/>
  <c r="BZ262" i="3" s="1"/>
  <c r="BW410" i="3" l="1"/>
  <c r="BW404" i="3"/>
  <c r="BW403" i="3"/>
  <c r="BX402" i="3"/>
  <c r="BZ405" i="3"/>
  <c r="BY402" i="3"/>
  <c r="BV413" i="3"/>
  <c r="BV332" i="3"/>
  <c r="BV412" i="3"/>
  <c r="BV411" i="3"/>
  <c r="BG41" i="3"/>
  <c r="BG42" i="3" s="1"/>
  <c r="BE42" i="3"/>
  <c r="BD44" i="3"/>
  <c r="BD42" i="3"/>
  <c r="BW42" i="3"/>
  <c r="BE43" i="3"/>
  <c r="BE44" i="3"/>
  <c r="BE192" i="3"/>
  <c r="BI195" i="3"/>
  <c r="BG192" i="3"/>
  <c r="BG193" i="3" s="1"/>
  <c r="BG196" i="3"/>
  <c r="BG197" i="3"/>
  <c r="BH197" i="3"/>
  <c r="CD229" i="3"/>
  <c r="BY226" i="3"/>
  <c r="BL188" i="3"/>
  <c r="BM189" i="3"/>
  <c r="BL189" i="3"/>
  <c r="BE55" i="3"/>
  <c r="BE54" i="3"/>
  <c r="BN231" i="3"/>
  <c r="BN232" i="3" s="1"/>
  <c r="BN235" i="3"/>
  <c r="BJ195" i="3"/>
  <c r="BJ41" i="3" s="1"/>
  <c r="BJ43" i="3" s="1"/>
  <c r="BK210" i="3"/>
  <c r="BJ205" i="3"/>
  <c r="BN208" i="3"/>
  <c r="BN205" i="3" s="1"/>
  <c r="BJ210" i="3"/>
  <c r="BQ187" i="3"/>
  <c r="BQ202" i="3"/>
  <c r="BQ203" i="3"/>
  <c r="BR203" i="3"/>
  <c r="BQ208" i="3"/>
  <c r="BQ236" i="3"/>
  <c r="BQ235" i="3"/>
  <c r="BR236" i="3"/>
  <c r="BS229" i="3"/>
  <c r="BS227" i="3"/>
  <c r="BK189" i="3"/>
  <c r="BJ189" i="3"/>
  <c r="BJ188" i="3"/>
  <c r="BN187" i="3"/>
  <c r="BN188" i="3" s="1"/>
  <c r="BV227" i="3"/>
  <c r="BV228" i="3"/>
  <c r="BV234" i="3"/>
  <c r="BW228" i="3"/>
  <c r="BV201" i="3"/>
  <c r="BO187" i="3"/>
  <c r="BP203" i="3"/>
  <c r="BO203" i="3"/>
  <c r="BO202" i="3"/>
  <c r="BS201" i="3"/>
  <c r="BS202" i="3" s="1"/>
  <c r="BL195" i="3"/>
  <c r="BL41" i="3" s="1"/>
  <c r="BL205" i="3"/>
  <c r="BL206" i="3" s="1"/>
  <c r="BL210" i="3"/>
  <c r="BL209" i="3"/>
  <c r="BM210" i="3"/>
  <c r="CF229" i="3"/>
  <c r="CA226" i="3"/>
  <c r="BI188" i="3"/>
  <c r="BD53" i="3"/>
  <c r="BD55" i="3"/>
  <c r="AZ62" i="3"/>
  <c r="AZ64" i="3"/>
  <c r="AZ63" i="3"/>
  <c r="BA63" i="3"/>
  <c r="BP236" i="3"/>
  <c r="BO236" i="3"/>
  <c r="BO235" i="3"/>
  <c r="BO208" i="3"/>
  <c r="BS234" i="3"/>
  <c r="BD196" i="3"/>
  <c r="BD192" i="3"/>
  <c r="BD193" i="3" s="1"/>
  <c r="BT227" i="3"/>
  <c r="BT234" i="3"/>
  <c r="BT228" i="3"/>
  <c r="BU228" i="3"/>
  <c r="BX226" i="3"/>
  <c r="BT201" i="3"/>
  <c r="BX434" i="3"/>
  <c r="BX432" i="3"/>
  <c r="BY433" i="3"/>
  <c r="BY432" i="3"/>
  <c r="BY335" i="3"/>
  <c r="BZ431" i="3"/>
  <c r="CA434" i="3"/>
  <c r="BW196" i="3"/>
  <c r="CB188" i="3"/>
  <c r="CH381" i="3"/>
  <c r="BB61" i="3"/>
  <c r="BB315" i="3"/>
  <c r="BX139" i="3"/>
  <c r="BX142" i="3"/>
  <c r="CB113" i="3"/>
  <c r="BX110" i="3"/>
  <c r="BX113" i="3"/>
  <c r="CC114" i="3"/>
  <c r="CC115" i="3" s="1"/>
  <c r="CC109" i="3"/>
  <c r="CV140" i="3"/>
  <c r="CL111" i="3"/>
  <c r="CH111" i="3"/>
  <c r="CX111" i="3"/>
  <c r="CS140" i="3"/>
  <c r="BZ143" i="3"/>
  <c r="BZ139" i="3" s="1"/>
  <c r="CE137" i="3"/>
  <c r="CH108" i="3"/>
  <c r="CI108" i="3"/>
  <c r="CD114" i="3"/>
  <c r="CN137" i="3"/>
  <c r="CI143" i="3"/>
  <c r="CI139" i="3" s="1"/>
  <c r="BU144" i="3"/>
  <c r="BU142" i="3"/>
  <c r="BY115" i="3"/>
  <c r="BY113" i="3"/>
  <c r="CC141" i="3"/>
  <c r="CD144" i="3"/>
  <c r="CD142" i="3"/>
  <c r="CK140" i="3"/>
  <c r="CF142" i="3"/>
  <c r="CH140" i="3"/>
  <c r="CF144" i="3"/>
  <c r="CK143" i="3"/>
  <c r="CK139" i="3" s="1"/>
  <c r="CP137" i="3"/>
  <c r="CF114" i="3"/>
  <c r="CF110" i="3" s="1"/>
  <c r="CK108" i="3"/>
  <c r="CA115" i="3"/>
  <c r="CA113" i="3"/>
  <c r="CB144" i="3"/>
  <c r="CB142" i="3"/>
  <c r="CT140" i="3"/>
  <c r="CJ114" i="3"/>
  <c r="CJ110" i="3" s="1"/>
  <c r="CO108" i="3"/>
  <c r="CG143" i="3"/>
  <c r="CL137" i="3"/>
  <c r="CG114" i="3"/>
  <c r="CG115" i="3" s="1"/>
  <c r="CL108" i="3"/>
  <c r="CE115" i="3"/>
  <c r="CE113" i="3"/>
  <c r="CC137" i="3"/>
  <c r="CB110" i="3"/>
  <c r="CC112" i="3"/>
  <c r="BW209" i="3"/>
  <c r="BW205" i="3"/>
  <c r="BW206" i="3" s="1"/>
  <c r="BD460" i="3"/>
  <c r="BD461" i="3" s="1"/>
  <c r="BD464" i="3"/>
  <c r="BB308" i="3"/>
  <c r="BB314" i="3"/>
  <c r="BB313" i="3"/>
  <c r="BC314" i="3"/>
  <c r="DB446" i="3"/>
  <c r="CA261" i="3"/>
  <c r="CA262" i="3"/>
  <c r="CF420" i="3"/>
  <c r="CJ427" i="3"/>
  <c r="CE417" i="3"/>
  <c r="CE333" i="3" s="1"/>
  <c r="CG424" i="3"/>
  <c r="BZ395" i="3"/>
  <c r="BZ394" i="3"/>
  <c r="CA393" i="3"/>
  <c r="CW400" i="3"/>
  <c r="CW401" i="3" s="1"/>
  <c r="CR358" i="3"/>
  <c r="CR359" i="3" s="1"/>
  <c r="CO361" i="3"/>
  <c r="CO362" i="3" s="1"/>
  <c r="DB351" i="3"/>
  <c r="DB352" i="3" s="1"/>
  <c r="CZ408" i="3"/>
  <c r="CU408" i="3"/>
  <c r="DA408" i="3"/>
  <c r="CN408" i="3"/>
  <c r="CR407" i="3"/>
  <c r="CR408" i="3" s="1"/>
  <c r="CV408" i="3"/>
  <c r="CX391" i="3"/>
  <c r="DB389" i="3"/>
  <c r="DB390" i="3" s="1"/>
  <c r="CW391" i="3"/>
  <c r="CW392" i="3" s="1"/>
  <c r="CS407" i="3"/>
  <c r="CT408" i="3"/>
  <c r="DB398" i="3"/>
  <c r="DB399" i="3" s="1"/>
  <c r="CY408" i="3"/>
  <c r="DB400" i="3"/>
  <c r="CQ362" i="3"/>
  <c r="CG188" i="3"/>
  <c r="BW188" i="3"/>
  <c r="BZ196" i="3"/>
  <c r="BZ192" i="3"/>
  <c r="BZ193" i="3" s="1"/>
  <c r="DB353" i="3"/>
  <c r="BZ188" i="3"/>
  <c r="BK193" i="3"/>
  <c r="BP193" i="3"/>
  <c r="CB192" i="3"/>
  <c r="CB196" i="3"/>
  <c r="CU358" i="3"/>
  <c r="CU361" i="3" s="1"/>
  <c r="CZ356" i="3"/>
  <c r="CZ358" i="3" s="1"/>
  <c r="CZ361" i="3" s="1"/>
  <c r="CJ362" i="3"/>
  <c r="CT358" i="3"/>
  <c r="CT361" i="3" s="1"/>
  <c r="CY356" i="3"/>
  <c r="CY358" i="3" s="1"/>
  <c r="CY361" i="3" s="1"/>
  <c r="CS361" i="3"/>
  <c r="BW192" i="3"/>
  <c r="BW193" i="3" s="1"/>
  <c r="CW353" i="3"/>
  <c r="CW354" i="3" s="1"/>
  <c r="CV358" i="3"/>
  <c r="CV361" i="3" s="1"/>
  <c r="DA356" i="3"/>
  <c r="DA358" i="3" s="1"/>
  <c r="DA361" i="3" s="1"/>
  <c r="CW356" i="3"/>
  <c r="CW357" i="3" s="1"/>
  <c r="CP362" i="3"/>
  <c r="CM361" i="3"/>
  <c r="CM362" i="3" s="1"/>
  <c r="CX358" i="3"/>
  <c r="CX361" i="3" s="1"/>
  <c r="CQ381" i="3"/>
  <c r="BW383" i="3"/>
  <c r="CV377" i="3"/>
  <c r="CV380" i="3" s="1"/>
  <c r="DA375" i="3"/>
  <c r="DA377" i="3" s="1"/>
  <c r="DA380" i="3" s="1"/>
  <c r="CT372" i="3"/>
  <c r="CT380" i="3" s="1"/>
  <c r="CY370" i="3"/>
  <c r="CY372" i="3" s="1"/>
  <c r="CY380" i="3" s="1"/>
  <c r="CP381" i="3"/>
  <c r="CM380" i="3"/>
  <c r="CM381" i="3" s="1"/>
  <c r="CI381" i="3"/>
  <c r="CS372" i="3"/>
  <c r="CX370" i="3"/>
  <c r="CW370" i="3"/>
  <c r="CW371" i="3" s="1"/>
  <c r="CR372" i="3"/>
  <c r="CR373" i="3" s="1"/>
  <c r="CN380" i="3"/>
  <c r="CO381" i="3"/>
  <c r="CU377" i="3"/>
  <c r="CU380" i="3" s="1"/>
  <c r="CZ375" i="3"/>
  <c r="CZ377" i="3" s="1"/>
  <c r="CZ380" i="3" s="1"/>
  <c r="CW375" i="3"/>
  <c r="CW376" i="3" s="1"/>
  <c r="BU384" i="3"/>
  <c r="BU385" i="3"/>
  <c r="BV385" i="3"/>
  <c r="CR377" i="3"/>
  <c r="CR378" i="3" s="1"/>
  <c r="BX257" i="3"/>
  <c r="BX258" i="3" s="1"/>
  <c r="CJ279" i="3"/>
  <c r="CR246" i="3"/>
  <c r="CR247" i="3" s="1"/>
  <c r="CL250" i="3"/>
  <c r="CG202" i="3"/>
  <c r="CB205" i="3"/>
  <c r="CB209" i="3"/>
  <c r="CE201" i="3"/>
  <c r="CL201" i="3"/>
  <c r="CL187" i="3" s="1"/>
  <c r="CJ201" i="3"/>
  <c r="CJ187" i="3" s="1"/>
  <c r="CZ275" i="3"/>
  <c r="CZ278" i="3" s="1"/>
  <c r="BZ205" i="3"/>
  <c r="BZ206" i="3" s="1"/>
  <c r="BZ209" i="3"/>
  <c r="CR220" i="3"/>
  <c r="CR221" i="3" s="1"/>
  <c r="CJ280" i="3"/>
  <c r="CJ287" i="3"/>
  <c r="CC283" i="3"/>
  <c r="CC284" i="3" s="1"/>
  <c r="CC287" i="3"/>
  <c r="CG288" i="3"/>
  <c r="CG287" i="3"/>
  <c r="CE261" i="3"/>
  <c r="CF288" i="3"/>
  <c r="CF287" i="3"/>
  <c r="CD288" i="3"/>
  <c r="CD287" i="3"/>
  <c r="CP249" i="3"/>
  <c r="CP252" i="3" s="1"/>
  <c r="CG235" i="3"/>
  <c r="CE288" i="3"/>
  <c r="CB262" i="3"/>
  <c r="CB261" i="3"/>
  <c r="BY262" i="3"/>
  <c r="BY261" i="3"/>
  <c r="CT267" i="3"/>
  <c r="CT275" i="3" s="1"/>
  <c r="CT278" i="3" s="1"/>
  <c r="CY265" i="3"/>
  <c r="CY267" i="3" s="1"/>
  <c r="CY275" i="3" s="1"/>
  <c r="CY278" i="3" s="1"/>
  <c r="CO278" i="3"/>
  <c r="CO279" i="3" s="1"/>
  <c r="CV267" i="3"/>
  <c r="CV275" i="3" s="1"/>
  <c r="DA265" i="3"/>
  <c r="DA267" i="3" s="1"/>
  <c r="DA275" i="3" s="1"/>
  <c r="CU275" i="3"/>
  <c r="CQ278" i="3"/>
  <c r="CQ276" i="3"/>
  <c r="CW265" i="3"/>
  <c r="CW266" i="3" s="1"/>
  <c r="CX267" i="3"/>
  <c r="CS275" i="3"/>
  <c r="CW272" i="3"/>
  <c r="CW273" i="3" s="1"/>
  <c r="CK279" i="3"/>
  <c r="CK280" i="3"/>
  <c r="CK286" i="3"/>
  <c r="CH286" i="3"/>
  <c r="DB270" i="3"/>
  <c r="DB271" i="3" s="1"/>
  <c r="CX272" i="3"/>
  <c r="DB272" i="3" s="1"/>
  <c r="CR275" i="3"/>
  <c r="CR276" i="3" s="1"/>
  <c r="CN278" i="3"/>
  <c r="CN276" i="3"/>
  <c r="CL279" i="3"/>
  <c r="CL280" i="3"/>
  <c r="CL286" i="3"/>
  <c r="CP276" i="3"/>
  <c r="CP278" i="3"/>
  <c r="CH281" i="3"/>
  <c r="CH279" i="3"/>
  <c r="CR267" i="3"/>
  <c r="CR268" i="3" s="1"/>
  <c r="CI279" i="3"/>
  <c r="CM278" i="3"/>
  <c r="CI280" i="3"/>
  <c r="CI286" i="3"/>
  <c r="CW214" i="3"/>
  <c r="CP224" i="3"/>
  <c r="CE234" i="3"/>
  <c r="CE208" i="3" s="1"/>
  <c r="CE195" i="3" s="1"/>
  <c r="CE227" i="3"/>
  <c r="CS224" i="3"/>
  <c r="CO224" i="3"/>
  <c r="CO226" i="3"/>
  <c r="CX223" i="3"/>
  <c r="CT220" i="3"/>
  <c r="CT223" i="3" s="1"/>
  <c r="CY218" i="3"/>
  <c r="CY220" i="3" s="1"/>
  <c r="CY223" i="3" s="1"/>
  <c r="CQ226" i="3"/>
  <c r="CQ224" i="3"/>
  <c r="CV215" i="3"/>
  <c r="CV223" i="3" s="1"/>
  <c r="DA213" i="3"/>
  <c r="DA215" i="3" s="1"/>
  <c r="DA223" i="3" s="1"/>
  <c r="CU220" i="3"/>
  <c r="CU223" i="3" s="1"/>
  <c r="CZ218" i="3"/>
  <c r="CL227" i="3"/>
  <c r="CL234" i="3"/>
  <c r="CW218" i="3"/>
  <c r="CW219" i="3" s="1"/>
  <c r="CZ215" i="3"/>
  <c r="CR215" i="3"/>
  <c r="CR216" i="3" s="1"/>
  <c r="CN224" i="3"/>
  <c r="CR223" i="3"/>
  <c r="CR224" i="3" s="1"/>
  <c r="CJ234" i="3"/>
  <c r="CJ227" i="3"/>
  <c r="CC260" i="3"/>
  <c r="CT241" i="3"/>
  <c r="CT249" i="3" s="1"/>
  <c r="CY239" i="3"/>
  <c r="CY241" i="3" s="1"/>
  <c r="CY249" i="3" s="1"/>
  <c r="CN249" i="3"/>
  <c r="CR241" i="3"/>
  <c r="CR242" i="3" s="1"/>
  <c r="CO252" i="3"/>
  <c r="CO250" i="3"/>
  <c r="CK252" i="3"/>
  <c r="CK250" i="3"/>
  <c r="CC253" i="3"/>
  <c r="CC255" i="3"/>
  <c r="CD254" i="3"/>
  <c r="CD253" i="3"/>
  <c r="CH252" i="3"/>
  <c r="CD260" i="3"/>
  <c r="CE262" i="3" s="1"/>
  <c r="CS241" i="3"/>
  <c r="CX239" i="3"/>
  <c r="CW239" i="3"/>
  <c r="CW240" i="3" s="1"/>
  <c r="CV246" i="3"/>
  <c r="DA244" i="3"/>
  <c r="DA246" i="3" s="1"/>
  <c r="CJ253" i="3"/>
  <c r="CJ260" i="3"/>
  <c r="CU246" i="3"/>
  <c r="CZ244" i="3"/>
  <c r="CZ246" i="3" s="1"/>
  <c r="CW244" i="3"/>
  <c r="CW245" i="3" s="1"/>
  <c r="CL253" i="3"/>
  <c r="CL260" i="3"/>
  <c r="CG254" i="3"/>
  <c r="CG253" i="3"/>
  <c r="CG260" i="3"/>
  <c r="CG208" i="3" s="1"/>
  <c r="CG195" i="3" s="1"/>
  <c r="CX246" i="3"/>
  <c r="CV241" i="3"/>
  <c r="DA239" i="3"/>
  <c r="DA241" i="3" s="1"/>
  <c r="CE254" i="3"/>
  <c r="CQ249" i="3"/>
  <c r="CI252" i="3"/>
  <c r="CJ254" i="3" s="1"/>
  <c r="CI250" i="3"/>
  <c r="CM249" i="3"/>
  <c r="CM250" i="3" s="1"/>
  <c r="CU241" i="3"/>
  <c r="CZ239" i="3"/>
  <c r="CZ241" i="3" s="1"/>
  <c r="CF254" i="3"/>
  <c r="CF253" i="3"/>
  <c r="CF260" i="3"/>
  <c r="BI41" i="3" l="1"/>
  <c r="BI42" i="3" s="1"/>
  <c r="BY410" i="3"/>
  <c r="BY404" i="3"/>
  <c r="BY403" i="3"/>
  <c r="BH43" i="3"/>
  <c r="CA405" i="3"/>
  <c r="BZ402" i="3"/>
  <c r="BG43" i="3"/>
  <c r="BX405" i="3"/>
  <c r="BX410" i="3"/>
  <c r="BX403" i="3"/>
  <c r="BW411" i="3"/>
  <c r="BW412" i="3"/>
  <c r="BW413" i="3"/>
  <c r="BW332" i="3"/>
  <c r="BX332" i="3" s="1"/>
  <c r="BB62" i="3"/>
  <c r="BB36" i="3"/>
  <c r="BL42" i="3"/>
  <c r="BL43" i="3"/>
  <c r="BM43" i="3"/>
  <c r="BJ42" i="3"/>
  <c r="BN41" i="3"/>
  <c r="BK43" i="3"/>
  <c r="BL196" i="3"/>
  <c r="BL197" i="3"/>
  <c r="BM197" i="3"/>
  <c r="BL192" i="3"/>
  <c r="BL193" i="3" s="1"/>
  <c r="BS231" i="3"/>
  <c r="BS232" i="3" s="1"/>
  <c r="BS235" i="3"/>
  <c r="BQ189" i="3"/>
  <c r="BR189" i="3"/>
  <c r="BQ188" i="3"/>
  <c r="BO210" i="3"/>
  <c r="BO205" i="3"/>
  <c r="BO206" i="3" s="1"/>
  <c r="BO209" i="3"/>
  <c r="BO195" i="3"/>
  <c r="BO41" i="3" s="1"/>
  <c r="BO43" i="3" s="1"/>
  <c r="BS208" i="3"/>
  <c r="BP210" i="3"/>
  <c r="BY234" i="3"/>
  <c r="BY228" i="3"/>
  <c r="BZ228" i="3"/>
  <c r="BY227" i="3"/>
  <c r="CC226" i="3"/>
  <c r="BY201" i="3"/>
  <c r="BP189" i="3"/>
  <c r="BO188" i="3"/>
  <c r="BO189" i="3"/>
  <c r="BS187" i="3"/>
  <c r="BS188" i="3" s="1"/>
  <c r="CI229" i="3"/>
  <c r="CD226" i="3"/>
  <c r="BT187" i="3"/>
  <c r="BT203" i="3"/>
  <c r="BU203" i="3"/>
  <c r="BT202" i="3"/>
  <c r="BX201" i="3"/>
  <c r="BX202" i="3" s="1"/>
  <c r="CA234" i="3"/>
  <c r="CA228" i="3"/>
  <c r="CA227" i="3"/>
  <c r="CB228" i="3"/>
  <c r="CA201" i="3"/>
  <c r="BV202" i="3"/>
  <c r="BV187" i="3"/>
  <c r="BV203" i="3"/>
  <c r="BW203" i="3"/>
  <c r="BX227" i="3"/>
  <c r="BX229" i="3"/>
  <c r="CK229" i="3"/>
  <c r="CF226" i="3"/>
  <c r="BJ197" i="3"/>
  <c r="BJ192" i="3"/>
  <c r="BK197" i="3"/>
  <c r="BN195" i="3"/>
  <c r="BV235" i="3"/>
  <c r="BV236" i="3"/>
  <c r="BW236" i="3"/>
  <c r="BV208" i="3"/>
  <c r="BT235" i="3"/>
  <c r="BT236" i="3"/>
  <c r="BU236" i="3"/>
  <c r="BX234" i="3"/>
  <c r="BT208" i="3"/>
  <c r="BQ210" i="3"/>
  <c r="BQ209" i="3"/>
  <c r="BQ195" i="3"/>
  <c r="BQ41" i="3" s="1"/>
  <c r="BQ42" i="3" s="1"/>
  <c r="BQ205" i="3"/>
  <c r="BQ206" i="3" s="1"/>
  <c r="BR210" i="3"/>
  <c r="CB434" i="3"/>
  <c r="CA431" i="3"/>
  <c r="BZ432" i="3"/>
  <c r="BZ433" i="3"/>
  <c r="BZ335" i="3"/>
  <c r="BB64" i="3"/>
  <c r="BD61" i="3"/>
  <c r="BD36" i="3" s="1"/>
  <c r="BB63" i="3"/>
  <c r="CG110" i="3"/>
  <c r="CC113" i="3"/>
  <c r="CC110" i="3"/>
  <c r="CG113" i="3"/>
  <c r="CB206" i="3"/>
  <c r="CL143" i="3"/>
  <c r="CL139" i="3" s="1"/>
  <c r="CQ137" i="3"/>
  <c r="CC138" i="3"/>
  <c r="CC143" i="3"/>
  <c r="CC139" i="3" s="1"/>
  <c r="CO114" i="3"/>
  <c r="CO110" i="3" s="1"/>
  <c r="CT108" i="3"/>
  <c r="CD115" i="3"/>
  <c r="CD113" i="3"/>
  <c r="CG144" i="3"/>
  <c r="CG142" i="3"/>
  <c r="CJ115" i="3"/>
  <c r="CJ113" i="3"/>
  <c r="CU137" i="3"/>
  <c r="CP143" i="3"/>
  <c r="CI114" i="3"/>
  <c r="CM108" i="3"/>
  <c r="CN108" i="3"/>
  <c r="CH112" i="3"/>
  <c r="CF115" i="3"/>
  <c r="CF113" i="3"/>
  <c r="CK144" i="3"/>
  <c r="CH114" i="3"/>
  <c r="CH115" i="3" s="1"/>
  <c r="CH109" i="3"/>
  <c r="CQ111" i="3"/>
  <c r="CM111" i="3"/>
  <c r="CY140" i="3"/>
  <c r="CD110" i="3"/>
  <c r="DA140" i="3"/>
  <c r="CH141" i="3"/>
  <c r="CE143" i="3"/>
  <c r="CJ137" i="3"/>
  <c r="CH137" i="3"/>
  <c r="CL114" i="3"/>
  <c r="CL115" i="3" s="1"/>
  <c r="CQ108" i="3"/>
  <c r="BZ144" i="3"/>
  <c r="BZ142" i="3"/>
  <c r="CK114" i="3"/>
  <c r="CK110" i="3" s="1"/>
  <c r="CP108" i="3"/>
  <c r="CP140" i="3"/>
  <c r="CK142" i="3"/>
  <c r="CM140" i="3"/>
  <c r="CI144" i="3"/>
  <c r="CI142" i="3"/>
  <c r="CX140" i="3"/>
  <c r="CG139" i="3"/>
  <c r="CS137" i="3"/>
  <c r="CN143" i="3"/>
  <c r="BB309" i="3"/>
  <c r="BB310" i="3"/>
  <c r="BC310" i="3"/>
  <c r="BD309" i="3"/>
  <c r="BD313" i="3"/>
  <c r="CR361" i="3"/>
  <c r="CR362" i="3" s="1"/>
  <c r="CH424" i="3"/>
  <c r="CH427" i="3" s="1"/>
  <c r="CG334" i="3"/>
  <c r="CH334" i="3" s="1"/>
  <c r="BX383" i="3"/>
  <c r="BX386" i="3" s="1"/>
  <c r="BW331" i="3"/>
  <c r="DB354" i="3"/>
  <c r="CG420" i="3"/>
  <c r="CK427" i="3"/>
  <c r="CF417" i="3"/>
  <c r="CF333" i="3" s="1"/>
  <c r="CI424" i="3"/>
  <c r="CI334" i="3" s="1"/>
  <c r="CA395" i="3"/>
  <c r="CA394" i="3"/>
  <c r="CB393" i="3"/>
  <c r="DB401" i="3"/>
  <c r="CW407" i="3"/>
  <c r="CW408" i="3" s="1"/>
  <c r="CS408" i="3"/>
  <c r="CX407" i="3"/>
  <c r="DB391" i="3"/>
  <c r="DB392" i="3" s="1"/>
  <c r="CY362" i="3"/>
  <c r="CU362" i="3"/>
  <c r="CT362" i="3"/>
  <c r="DA362" i="3"/>
  <c r="CV362" i="3"/>
  <c r="CL188" i="3"/>
  <c r="CZ362" i="3"/>
  <c r="CG192" i="3"/>
  <c r="CG193" i="3" s="1"/>
  <c r="CG196" i="3"/>
  <c r="CW358" i="3"/>
  <c r="CW359" i="3" s="1"/>
  <c r="CX362" i="3"/>
  <c r="DB361" i="3"/>
  <c r="CE187" i="3"/>
  <c r="CE196" i="3"/>
  <c r="DB377" i="3"/>
  <c r="DB356" i="3"/>
  <c r="DB357" i="3" s="1"/>
  <c r="CS362" i="3"/>
  <c r="CW361" i="3"/>
  <c r="DB358" i="3"/>
  <c r="CB193" i="3"/>
  <c r="CZ381" i="3"/>
  <c r="DA381" i="3"/>
  <c r="CV381" i="3"/>
  <c r="CN381" i="3"/>
  <c r="CR380" i="3"/>
  <c r="CR381" i="3" s="1"/>
  <c r="CY381" i="3"/>
  <c r="CT381" i="3"/>
  <c r="CX372" i="3"/>
  <c r="DB370" i="3"/>
  <c r="DB371" i="3" s="1"/>
  <c r="CS380" i="3"/>
  <c r="CW372" i="3"/>
  <c r="CW373" i="3" s="1"/>
  <c r="BW385" i="3"/>
  <c r="BW384" i="3"/>
  <c r="CA383" i="3"/>
  <c r="CA331" i="3" s="1"/>
  <c r="BY383" i="3"/>
  <c r="BY331" i="3" s="1"/>
  <c r="CU381" i="3"/>
  <c r="CW377" i="3"/>
  <c r="CW378" i="3" s="1"/>
  <c r="DB375" i="3"/>
  <c r="DB376" i="3" s="1"/>
  <c r="CJ208" i="3"/>
  <c r="CL208" i="3"/>
  <c r="CL195" i="3" s="1"/>
  <c r="CG209" i="3"/>
  <c r="CG205" i="3"/>
  <c r="CG206" i="3" s="1"/>
  <c r="CY276" i="3"/>
  <c r="CT276" i="3"/>
  <c r="CL202" i="3"/>
  <c r="CJ202" i="3"/>
  <c r="CO201" i="3"/>
  <c r="CO187" i="3" s="1"/>
  <c r="CU249" i="3"/>
  <c r="CW215" i="3"/>
  <c r="CW216" i="3" s="1"/>
  <c r="CO286" i="3"/>
  <c r="CO287" i="3" s="1"/>
  <c r="CP250" i="3"/>
  <c r="CE205" i="3"/>
  <c r="CE206" i="3" s="1"/>
  <c r="CE209" i="3"/>
  <c r="CE202" i="3"/>
  <c r="CE235" i="3"/>
  <c r="CG262" i="3"/>
  <c r="CG261" i="3"/>
  <c r="CJ235" i="3"/>
  <c r="CL235" i="3"/>
  <c r="CF262" i="3"/>
  <c r="CF261" i="3"/>
  <c r="CI287" i="3"/>
  <c r="CI288" i="3"/>
  <c r="CL261" i="3"/>
  <c r="CD261" i="3"/>
  <c r="CD262" i="3"/>
  <c r="CL287" i="3"/>
  <c r="CL288" i="3"/>
  <c r="CJ288" i="3"/>
  <c r="CC257" i="3"/>
  <c r="CC258" i="3" s="1"/>
  <c r="CC261" i="3"/>
  <c r="CJ261" i="3"/>
  <c r="CH283" i="3"/>
  <c r="CH284" i="3" s="1"/>
  <c r="CH287" i="3"/>
  <c r="CK287" i="3"/>
  <c r="CK288" i="3"/>
  <c r="DB273" i="3"/>
  <c r="CP279" i="3"/>
  <c r="CP280" i="3"/>
  <c r="CP286" i="3"/>
  <c r="CQ280" i="3"/>
  <c r="CQ279" i="3"/>
  <c r="CQ286" i="3"/>
  <c r="CU276" i="3"/>
  <c r="CU278" i="3"/>
  <c r="DA278" i="3"/>
  <c r="DA276" i="3"/>
  <c r="CV278" i="3"/>
  <c r="CV276" i="3"/>
  <c r="CZ276" i="3"/>
  <c r="CM286" i="3"/>
  <c r="CZ280" i="3"/>
  <c r="CZ286" i="3"/>
  <c r="CN280" i="3"/>
  <c r="CR278" i="3"/>
  <c r="CN279" i="3"/>
  <c r="CN286" i="3"/>
  <c r="CW267" i="3"/>
  <c r="CW268" i="3" s="1"/>
  <c r="CY279" i="3"/>
  <c r="CY286" i="3"/>
  <c r="CM279" i="3"/>
  <c r="CM281" i="3"/>
  <c r="CS278" i="3"/>
  <c r="CT280" i="3" s="1"/>
  <c r="CS276" i="3"/>
  <c r="CW275" i="3"/>
  <c r="CW276" i="3" s="1"/>
  <c r="DB265" i="3"/>
  <c r="DB266" i="3" s="1"/>
  <c r="CO280" i="3"/>
  <c r="CX275" i="3"/>
  <c r="DB267" i="3"/>
  <c r="CT279" i="3"/>
  <c r="CT286" i="3"/>
  <c r="CW246" i="3"/>
  <c r="CW247" i="3" s="1"/>
  <c r="CW220" i="3"/>
  <c r="CW221" i="3" s="1"/>
  <c r="CU224" i="3"/>
  <c r="CW223" i="3"/>
  <c r="CW224" i="3" s="1"/>
  <c r="CY226" i="3"/>
  <c r="CY224" i="3"/>
  <c r="DB213" i="3"/>
  <c r="DB214" i="3" s="1"/>
  <c r="CT226" i="3"/>
  <c r="CT224" i="3"/>
  <c r="CO234" i="3"/>
  <c r="CO227" i="3"/>
  <c r="DB218" i="3"/>
  <c r="DB219" i="3" s="1"/>
  <c r="CZ220" i="3"/>
  <c r="DB220" i="3" s="1"/>
  <c r="CV226" i="3"/>
  <c r="CV224" i="3"/>
  <c r="CQ234" i="3"/>
  <c r="CQ227" i="3"/>
  <c r="DB215" i="3"/>
  <c r="DA224" i="3"/>
  <c r="DA226" i="3"/>
  <c r="CX224" i="3"/>
  <c r="DB246" i="3"/>
  <c r="CZ249" i="3"/>
  <c r="CZ252" i="3" s="1"/>
  <c r="DB244" i="3"/>
  <c r="DB245" i="3" s="1"/>
  <c r="CK253" i="3"/>
  <c r="CK254" i="3"/>
  <c r="CK260" i="3"/>
  <c r="CL262" i="3" s="1"/>
  <c r="CO253" i="3"/>
  <c r="CO260" i="3"/>
  <c r="CX241" i="3"/>
  <c r="DB239" i="3"/>
  <c r="DB240" i="3" s="1"/>
  <c r="CI253" i="3"/>
  <c r="CI254" i="3"/>
  <c r="CM252" i="3"/>
  <c r="CI260" i="3"/>
  <c r="CL254" i="3"/>
  <c r="CS249" i="3"/>
  <c r="CW241" i="3"/>
  <c r="CW242" i="3" s="1"/>
  <c r="CR249" i="3"/>
  <c r="CR250" i="3" s="1"/>
  <c r="CN252" i="3"/>
  <c r="CN250" i="3"/>
  <c r="CQ252" i="3"/>
  <c r="CQ201" i="3" s="1"/>
  <c r="CQ187" i="3" s="1"/>
  <c r="CQ250" i="3"/>
  <c r="CH260" i="3"/>
  <c r="CH255" i="3"/>
  <c r="CH253" i="3"/>
  <c r="CY250" i="3"/>
  <c r="CY252" i="3"/>
  <c r="CT252" i="3"/>
  <c r="CT250" i="3"/>
  <c r="DA249" i="3"/>
  <c r="CV249" i="3"/>
  <c r="CP253" i="3"/>
  <c r="CP254" i="3"/>
  <c r="CP260" i="3"/>
  <c r="BX413" i="3" l="1"/>
  <c r="BX411" i="3"/>
  <c r="BZ386" i="3"/>
  <c r="CB386" i="3" s="1"/>
  <c r="CD386" i="3" s="1"/>
  <c r="CF386" i="3" s="1"/>
  <c r="BZ410" i="3"/>
  <c r="BZ404" i="3"/>
  <c r="BZ403" i="3"/>
  <c r="CB405" i="3"/>
  <c r="CA402" i="3"/>
  <c r="BY412" i="3"/>
  <c r="BY411" i="3"/>
  <c r="BY413" i="3"/>
  <c r="BY332" i="3"/>
  <c r="BN42" i="3"/>
  <c r="BD39" i="3"/>
  <c r="BD37" i="3"/>
  <c r="BQ43" i="3"/>
  <c r="BR43" i="3"/>
  <c r="BO42" i="3"/>
  <c r="BS41" i="3"/>
  <c r="BP43" i="3"/>
  <c r="BN192" i="3"/>
  <c r="BU189" i="3"/>
  <c r="BT189" i="3"/>
  <c r="BT188" i="3"/>
  <c r="BX187" i="3"/>
  <c r="BX188" i="3" s="1"/>
  <c r="BV189" i="3"/>
  <c r="BV188" i="3"/>
  <c r="BW189" i="3"/>
  <c r="CD228" i="3"/>
  <c r="CD227" i="3"/>
  <c r="CD234" i="3"/>
  <c r="CE228" i="3"/>
  <c r="CD201" i="3"/>
  <c r="CH226" i="3"/>
  <c r="CN229" i="3"/>
  <c r="CI226" i="3"/>
  <c r="BY236" i="3"/>
  <c r="BY235" i="3"/>
  <c r="CC234" i="3"/>
  <c r="BZ236" i="3"/>
  <c r="BY208" i="3"/>
  <c r="BQ192" i="3"/>
  <c r="BQ193" i="3" s="1"/>
  <c r="BQ197" i="3"/>
  <c r="BQ196" i="3"/>
  <c r="BR197" i="3"/>
  <c r="CA187" i="3"/>
  <c r="CA203" i="3"/>
  <c r="CA202" i="3"/>
  <c r="CB203" i="3"/>
  <c r="BT195" i="3"/>
  <c r="BT41" i="3" s="1"/>
  <c r="BT205" i="3"/>
  <c r="BT206" i="3" s="1"/>
  <c r="BT210" i="3"/>
  <c r="BT209" i="3"/>
  <c r="BU210" i="3"/>
  <c r="BX208" i="3"/>
  <c r="BS209" i="3"/>
  <c r="BS205" i="3"/>
  <c r="BS206" i="3" s="1"/>
  <c r="BV195" i="3"/>
  <c r="BV41" i="3" s="1"/>
  <c r="BV205" i="3"/>
  <c r="BV206" i="3" s="1"/>
  <c r="BV210" i="3"/>
  <c r="BW210" i="3"/>
  <c r="BV209" i="3"/>
  <c r="BX235" i="3"/>
  <c r="BX231" i="3"/>
  <c r="BX232" i="3" s="1"/>
  <c r="CG228" i="3"/>
  <c r="CF234" i="3"/>
  <c r="CF227" i="3"/>
  <c r="CF201" i="3"/>
  <c r="CF228" i="3"/>
  <c r="CB236" i="3"/>
  <c r="CA236" i="3"/>
  <c r="CA235" i="3"/>
  <c r="CA208" i="3"/>
  <c r="BO197" i="3"/>
  <c r="BO192" i="3"/>
  <c r="BO193" i="3" s="1"/>
  <c r="BP197" i="3"/>
  <c r="BO196" i="3"/>
  <c r="BS195" i="3"/>
  <c r="CP229" i="3"/>
  <c r="CK226" i="3"/>
  <c r="CC227" i="3"/>
  <c r="CC229" i="3"/>
  <c r="BY187" i="3"/>
  <c r="CC201" i="3"/>
  <c r="CC202" i="3" s="1"/>
  <c r="BZ203" i="3"/>
  <c r="BY202" i="3"/>
  <c r="BY203" i="3"/>
  <c r="CA335" i="3"/>
  <c r="CA433" i="3"/>
  <c r="CA432" i="3"/>
  <c r="CD434" i="3"/>
  <c r="CB431" i="3"/>
  <c r="CE192" i="3"/>
  <c r="CE193" i="3" s="1"/>
  <c r="BD57" i="3"/>
  <c r="CL110" i="3"/>
  <c r="CL113" i="3"/>
  <c r="CH110" i="3"/>
  <c r="CM114" i="3"/>
  <c r="CM115" i="3" s="1"/>
  <c r="CM109" i="3"/>
  <c r="CK115" i="3"/>
  <c r="CK113" i="3"/>
  <c r="CP144" i="3"/>
  <c r="CO115" i="3"/>
  <c r="CO113" i="3"/>
  <c r="CP114" i="3"/>
  <c r="CP110" i="3" s="1"/>
  <c r="CU108" i="3"/>
  <c r="CP139" i="3"/>
  <c r="CZ137" i="3"/>
  <c r="CU143" i="3"/>
  <c r="CU139" i="3" s="1"/>
  <c r="CC144" i="3"/>
  <c r="CC142" i="3"/>
  <c r="CJ143" i="3"/>
  <c r="CJ139" i="3" s="1"/>
  <c r="CO137" i="3"/>
  <c r="CM137" i="3"/>
  <c r="CS143" i="3"/>
  <c r="CX137" i="3"/>
  <c r="CN114" i="3"/>
  <c r="CN110" i="3" s="1"/>
  <c r="CR108" i="3"/>
  <c r="CS108" i="3"/>
  <c r="CT114" i="3"/>
  <c r="CY108" i="3"/>
  <c r="CQ114" i="3"/>
  <c r="CQ113" i="3" s="1"/>
  <c r="CV108" i="3"/>
  <c r="CP142" i="3"/>
  <c r="CU140" i="3"/>
  <c r="CR140" i="3"/>
  <c r="CE144" i="3"/>
  <c r="CE142" i="3"/>
  <c r="CV111" i="3"/>
  <c r="CR111" i="3"/>
  <c r="CI115" i="3"/>
  <c r="CI113" i="3"/>
  <c r="CM141" i="3"/>
  <c r="CH138" i="3"/>
  <c r="CH143" i="3"/>
  <c r="CH139" i="3" s="1"/>
  <c r="CH113" i="3"/>
  <c r="CQ143" i="3"/>
  <c r="CQ139" i="3" s="1"/>
  <c r="CV137" i="3"/>
  <c r="CN144" i="3"/>
  <c r="CN142" i="3"/>
  <c r="CN139" i="3"/>
  <c r="CE139" i="3"/>
  <c r="CM112" i="3"/>
  <c r="CI110" i="3"/>
  <c r="CL144" i="3"/>
  <c r="CL142" i="3"/>
  <c r="DB359" i="3"/>
  <c r="CW362" i="3"/>
  <c r="BX384" i="3"/>
  <c r="BX331" i="3"/>
  <c r="CL427" i="3"/>
  <c r="CI420" i="3"/>
  <c r="CG417" i="3"/>
  <c r="CJ424" i="3"/>
  <c r="CJ334" i="3" s="1"/>
  <c r="CB394" i="3"/>
  <c r="CB395" i="3"/>
  <c r="CC393" i="3"/>
  <c r="CC396" i="3" s="1"/>
  <c r="CD393" i="3"/>
  <c r="CJ188" i="3"/>
  <c r="DB362" i="3"/>
  <c r="CL209" i="3"/>
  <c r="CX408" i="3"/>
  <c r="DB407" i="3"/>
  <c r="DB408" i="3" s="1"/>
  <c r="CL192" i="3"/>
  <c r="CL193" i="3" s="1"/>
  <c r="CL196" i="3"/>
  <c r="CQ188" i="3"/>
  <c r="CJ209" i="3"/>
  <c r="CJ195" i="3"/>
  <c r="CE188" i="3"/>
  <c r="CL205" i="3"/>
  <c r="CL206" i="3" s="1"/>
  <c r="CO188" i="3"/>
  <c r="DB378" i="3"/>
  <c r="CA384" i="3"/>
  <c r="CW380" i="3"/>
  <c r="CW381" i="3" s="1"/>
  <c r="CS381" i="3"/>
  <c r="BY385" i="3"/>
  <c r="BY384" i="3"/>
  <c r="CX380" i="3"/>
  <c r="DB372" i="3"/>
  <c r="DB373" i="3" s="1"/>
  <c r="BZ383" i="3"/>
  <c r="BZ331" i="3" s="1"/>
  <c r="CO288" i="3"/>
  <c r="CJ205" i="3"/>
  <c r="CJ206" i="3" s="1"/>
  <c r="CZ250" i="3"/>
  <c r="CU250" i="3"/>
  <c r="CU252" i="3"/>
  <c r="CU254" i="3" s="1"/>
  <c r="CZ223" i="3"/>
  <c r="DB223" i="3" s="1"/>
  <c r="DB224" i="3" s="1"/>
  <c r="CQ202" i="3"/>
  <c r="CO208" i="3"/>
  <c r="CO195" i="3" s="1"/>
  <c r="CT201" i="3"/>
  <c r="CT187" i="3" s="1"/>
  <c r="DB216" i="3"/>
  <c r="CO202" i="3"/>
  <c r="CY201" i="3"/>
  <c r="CY187" i="3" s="1"/>
  <c r="CI261" i="3"/>
  <c r="CI262" i="3"/>
  <c r="CO235" i="3"/>
  <c r="CN288" i="3"/>
  <c r="CN287" i="3"/>
  <c r="CY287" i="3"/>
  <c r="CP262" i="3"/>
  <c r="CP261" i="3"/>
  <c r="CH257" i="3"/>
  <c r="CH258" i="3" s="1"/>
  <c r="CH261" i="3"/>
  <c r="CQ287" i="3"/>
  <c r="CQ288" i="3"/>
  <c r="CJ262" i="3"/>
  <c r="CZ288" i="3"/>
  <c r="CT287" i="3"/>
  <c r="CO261" i="3"/>
  <c r="CP288" i="3"/>
  <c r="CP287" i="3"/>
  <c r="CQ235" i="3"/>
  <c r="CM283" i="3"/>
  <c r="CM284" i="3" s="1"/>
  <c r="CM287" i="3"/>
  <c r="CK261" i="3"/>
  <c r="CK262" i="3"/>
  <c r="CR286" i="3"/>
  <c r="CR287" i="3" s="1"/>
  <c r="CV279" i="3"/>
  <c r="CV280" i="3"/>
  <c r="CV286" i="3"/>
  <c r="DB268" i="3"/>
  <c r="DB275" i="3"/>
  <c r="DB276" i="3" s="1"/>
  <c r="CX278" i="3"/>
  <c r="CX276" i="3"/>
  <c r="DA280" i="3"/>
  <c r="DA279" i="3"/>
  <c r="DA286" i="3"/>
  <c r="CU280" i="3"/>
  <c r="CU279" i="3"/>
  <c r="CU286" i="3"/>
  <c r="CZ287" i="3" s="1"/>
  <c r="CR281" i="3"/>
  <c r="CR279" i="3"/>
  <c r="CS279" i="3"/>
  <c r="CS280" i="3"/>
  <c r="CW278" i="3"/>
  <c r="CS286" i="3"/>
  <c r="CZ279" i="3"/>
  <c r="DB247" i="3"/>
  <c r="DA234" i="3"/>
  <c r="DA227" i="3"/>
  <c r="CY234" i="3"/>
  <c r="CY227" i="3"/>
  <c r="CV227" i="3"/>
  <c r="CV234" i="3"/>
  <c r="CT234" i="3"/>
  <c r="CT227" i="3"/>
  <c r="DB221" i="3"/>
  <c r="CQ254" i="3"/>
  <c r="CQ253" i="3"/>
  <c r="CQ260" i="3"/>
  <c r="CQ208" i="3" s="1"/>
  <c r="CQ195" i="3" s="1"/>
  <c r="CX249" i="3"/>
  <c r="DB241" i="3"/>
  <c r="DB242" i="3" s="1"/>
  <c r="CN253" i="3"/>
  <c r="CN254" i="3"/>
  <c r="CR252" i="3"/>
  <c r="CN260" i="3"/>
  <c r="CO262" i="3" s="1"/>
  <c r="CO254" i="3"/>
  <c r="CT253" i="3"/>
  <c r="CT260" i="3"/>
  <c r="CS252" i="3"/>
  <c r="CS250" i="3"/>
  <c r="CW249" i="3"/>
  <c r="CW250" i="3" s="1"/>
  <c r="CM260" i="3"/>
  <c r="CV252" i="3"/>
  <c r="CV201" i="3" s="1"/>
  <c r="CV187" i="3" s="1"/>
  <c r="CV250" i="3"/>
  <c r="CY253" i="3"/>
  <c r="CY260" i="3"/>
  <c r="CM253" i="3"/>
  <c r="CM255" i="3"/>
  <c r="CZ254" i="3"/>
  <c r="CZ260" i="3"/>
  <c r="DA252" i="3"/>
  <c r="DA201" i="3" s="1"/>
  <c r="DA187" i="3" s="1"/>
  <c r="DA250" i="3"/>
  <c r="CA404" i="3" l="1"/>
  <c r="CA403" i="3"/>
  <c r="CA410" i="3"/>
  <c r="CD405" i="3"/>
  <c r="CB402" i="3"/>
  <c r="BZ411" i="3"/>
  <c r="BZ412" i="3"/>
  <c r="BZ413" i="3"/>
  <c r="BZ332" i="3"/>
  <c r="BT43" i="3"/>
  <c r="BS42" i="3"/>
  <c r="BT42" i="3"/>
  <c r="BX41" i="3"/>
  <c r="BU43" i="3"/>
  <c r="BV42" i="3"/>
  <c r="BV43" i="3"/>
  <c r="BW43" i="3"/>
  <c r="BX205" i="3"/>
  <c r="BX206" i="3" s="1"/>
  <c r="BX209" i="3"/>
  <c r="BS192" i="3"/>
  <c r="BS193" i="3" s="1"/>
  <c r="BS196" i="3"/>
  <c r="CF235" i="3"/>
  <c r="CG236" i="3"/>
  <c r="CF236" i="3"/>
  <c r="CF208" i="3"/>
  <c r="CD236" i="3"/>
  <c r="CD235" i="3"/>
  <c r="CE236" i="3"/>
  <c r="CD208" i="3"/>
  <c r="CH234" i="3"/>
  <c r="BY195" i="3"/>
  <c r="BY210" i="3"/>
  <c r="BY209" i="3"/>
  <c r="BY205" i="3"/>
  <c r="BY206" i="3" s="1"/>
  <c r="CC208" i="3"/>
  <c r="BZ210" i="3"/>
  <c r="CD187" i="3"/>
  <c r="CD203" i="3"/>
  <c r="CD202" i="3"/>
  <c r="CH201" i="3"/>
  <c r="CH202" i="3" s="1"/>
  <c r="CE203" i="3"/>
  <c r="CC231" i="3"/>
  <c r="CC232" i="3" s="1"/>
  <c r="CC235" i="3"/>
  <c r="CF187" i="3"/>
  <c r="CF202" i="3"/>
  <c r="CG203" i="3"/>
  <c r="CF203" i="3"/>
  <c r="BT197" i="3"/>
  <c r="BT192" i="3"/>
  <c r="BT193" i="3" s="1"/>
  <c r="BU197" i="3"/>
  <c r="BT196" i="3"/>
  <c r="BX195" i="3"/>
  <c r="CA195" i="3"/>
  <c r="CB210" i="3"/>
  <c r="CA205" i="3"/>
  <c r="CA206" i="3" s="1"/>
  <c r="CA210" i="3"/>
  <c r="CA209" i="3"/>
  <c r="CU229" i="3"/>
  <c r="CP226" i="3"/>
  <c r="BZ189" i="3"/>
  <c r="BY189" i="3"/>
  <c r="BY188" i="3"/>
  <c r="CC187" i="3"/>
  <c r="CC188" i="3" s="1"/>
  <c r="CI234" i="3"/>
  <c r="CI227" i="3"/>
  <c r="CI228" i="3"/>
  <c r="CM226" i="3"/>
  <c r="CJ228" i="3"/>
  <c r="CI201" i="3"/>
  <c r="CS229" i="3"/>
  <c r="CN226" i="3"/>
  <c r="BV197" i="3"/>
  <c r="BV196" i="3"/>
  <c r="BV192" i="3"/>
  <c r="BV193" i="3" s="1"/>
  <c r="BW197" i="3"/>
  <c r="CA188" i="3"/>
  <c r="CB189" i="3"/>
  <c r="CA189" i="3"/>
  <c r="CL228" i="3"/>
  <c r="CK234" i="3"/>
  <c r="CK227" i="3"/>
  <c r="CK228" i="3"/>
  <c r="CK201" i="3"/>
  <c r="CH227" i="3"/>
  <c r="CH229" i="3"/>
  <c r="CB335" i="3"/>
  <c r="CC335" i="3" s="1"/>
  <c r="CB432" i="3"/>
  <c r="CB433" i="3"/>
  <c r="CC431" i="3"/>
  <c r="CD431" i="3"/>
  <c r="CE434" i="3"/>
  <c r="CM113" i="3"/>
  <c r="CM110" i="3"/>
  <c r="CV143" i="3"/>
  <c r="CV139" i="3" s="1"/>
  <c r="DA137" i="3"/>
  <c r="CJ144" i="3"/>
  <c r="CJ142" i="3"/>
  <c r="CY114" i="3"/>
  <c r="CY110" i="3" s="1"/>
  <c r="CO143" i="3"/>
  <c r="CO139" i="3" s="1"/>
  <c r="CT137" i="3"/>
  <c r="CR137" i="3"/>
  <c r="DA111" i="3"/>
  <c r="CW111" i="3"/>
  <c r="CS114" i="3"/>
  <c r="CS110" i="3" s="1"/>
  <c r="CX108" i="3"/>
  <c r="CW108" i="3"/>
  <c r="CU114" i="3"/>
  <c r="CU110" i="3" s="1"/>
  <c r="CZ108" i="3"/>
  <c r="CZ114" i="3" s="1"/>
  <c r="CH144" i="3"/>
  <c r="CH142" i="3"/>
  <c r="CR141" i="3"/>
  <c r="CR114" i="3"/>
  <c r="CR115" i="3" s="1"/>
  <c r="CR109" i="3"/>
  <c r="CT115" i="3"/>
  <c r="CT113" i="3"/>
  <c r="CZ140" i="3"/>
  <c r="CU142" i="3"/>
  <c r="CW140" i="3"/>
  <c r="CN115" i="3"/>
  <c r="CN113" i="3"/>
  <c r="CU144" i="3"/>
  <c r="CR112" i="3"/>
  <c r="CQ144" i="3"/>
  <c r="CQ142" i="3"/>
  <c r="CZ143" i="3"/>
  <c r="CZ139" i="3" s="1"/>
  <c r="CM138" i="3"/>
  <c r="CM143" i="3"/>
  <c r="CM139" i="3" s="1"/>
  <c r="CP115" i="3"/>
  <c r="CP113" i="3"/>
  <c r="CV114" i="3"/>
  <c r="CV115" i="3" s="1"/>
  <c r="DA108" i="3"/>
  <c r="CQ110" i="3"/>
  <c r="CQ115" i="3"/>
  <c r="CX143" i="3"/>
  <c r="CX139" i="3" s="1"/>
  <c r="CT110" i="3"/>
  <c r="CS139" i="3"/>
  <c r="CS144" i="3"/>
  <c r="CS142" i="3"/>
  <c r="CH417" i="3"/>
  <c r="CH420" i="3" s="1"/>
  <c r="CG333" i="3"/>
  <c r="CH333" i="3" s="1"/>
  <c r="CJ420" i="3"/>
  <c r="CN427" i="3"/>
  <c r="CI417" i="3"/>
  <c r="CI333" i="3" s="1"/>
  <c r="CK424" i="3"/>
  <c r="CK334" i="3" s="1"/>
  <c r="CD395" i="3"/>
  <c r="CD394" i="3"/>
  <c r="CE393" i="3"/>
  <c r="CC394" i="3"/>
  <c r="CQ196" i="3"/>
  <c r="CQ192" i="3"/>
  <c r="CQ193" i="3" s="1"/>
  <c r="DA188" i="3"/>
  <c r="CY188" i="3"/>
  <c r="CT188" i="3"/>
  <c r="CJ196" i="3"/>
  <c r="CJ192" i="3"/>
  <c r="CJ193" i="3" s="1"/>
  <c r="CV188" i="3"/>
  <c r="CO196" i="3"/>
  <c r="CO192" i="3"/>
  <c r="BZ385" i="3"/>
  <c r="BZ384" i="3"/>
  <c r="CB383" i="3"/>
  <c r="CB331" i="3" s="1"/>
  <c r="CC331" i="3" s="1"/>
  <c r="CX381" i="3"/>
  <c r="DB380" i="3"/>
  <c r="DB381" i="3" s="1"/>
  <c r="CA385" i="3"/>
  <c r="CU253" i="3"/>
  <c r="CZ253" i="3"/>
  <c r="CU260" i="3"/>
  <c r="CZ261" i="3" s="1"/>
  <c r="CZ224" i="3"/>
  <c r="DA202" i="3"/>
  <c r="CQ205" i="3"/>
  <c r="CQ206" i="3" s="1"/>
  <c r="CQ209" i="3"/>
  <c r="CV202" i="3"/>
  <c r="CY202" i="3"/>
  <c r="CO205" i="3"/>
  <c r="CO206" i="3" s="1"/>
  <c r="CO209" i="3"/>
  <c r="CY208" i="3"/>
  <c r="CY195" i="3" s="1"/>
  <c r="CR283" i="3"/>
  <c r="CR284" i="3" s="1"/>
  <c r="CT208" i="3"/>
  <c r="CT195" i="3" s="1"/>
  <c r="CT202" i="3"/>
  <c r="CT254" i="3"/>
  <c r="CT235" i="3"/>
  <c r="CZ262" i="3"/>
  <c r="CV235" i="3"/>
  <c r="DA235" i="3"/>
  <c r="CQ262" i="3"/>
  <c r="CQ261" i="3"/>
  <c r="CV287" i="3"/>
  <c r="CV288" i="3"/>
  <c r="CW286" i="3"/>
  <c r="CS287" i="3"/>
  <c r="CS288" i="3"/>
  <c r="CU287" i="3"/>
  <c r="CU288" i="3"/>
  <c r="CT261" i="3"/>
  <c r="CM257" i="3"/>
  <c r="CM258" i="3" s="1"/>
  <c r="CM261" i="3"/>
  <c r="CY235" i="3"/>
  <c r="CY261" i="3"/>
  <c r="DA288" i="3"/>
  <c r="DA287" i="3"/>
  <c r="CT288" i="3"/>
  <c r="CN261" i="3"/>
  <c r="CN262" i="3"/>
  <c r="CX279" i="3"/>
  <c r="CX280" i="3"/>
  <c r="DB278" i="3"/>
  <c r="CX286" i="3"/>
  <c r="CY280" i="3"/>
  <c r="CW279" i="3"/>
  <c r="CW281" i="3"/>
  <c r="CR260" i="3"/>
  <c r="CV253" i="3"/>
  <c r="CV254" i="3"/>
  <c r="CV260" i="3"/>
  <c r="CV208" i="3" s="1"/>
  <c r="CV195" i="3" s="1"/>
  <c r="CR255" i="3"/>
  <c r="CR253" i="3"/>
  <c r="DA253" i="3"/>
  <c r="DA254" i="3"/>
  <c r="DA260" i="3"/>
  <c r="DA208" i="3" s="1"/>
  <c r="DA195" i="3" s="1"/>
  <c r="CX252" i="3"/>
  <c r="CX250" i="3"/>
  <c r="DB249" i="3"/>
  <c r="DB250" i="3" s="1"/>
  <c r="CS254" i="3"/>
  <c r="CW252" i="3"/>
  <c r="CS253" i="3"/>
  <c r="CS260" i="3"/>
  <c r="CB410" i="3" l="1"/>
  <c r="CB404" i="3"/>
  <c r="CB403" i="3"/>
  <c r="CC402" i="3"/>
  <c r="CE405" i="3"/>
  <c r="CD402" i="3"/>
  <c r="CA411" i="3"/>
  <c r="CA412" i="3"/>
  <c r="CA413" i="3"/>
  <c r="CA332" i="3"/>
  <c r="BX42" i="3"/>
  <c r="CB197" i="3"/>
  <c r="CA192" i="3"/>
  <c r="CA193" i="3" s="1"/>
  <c r="CA196" i="3"/>
  <c r="CA197" i="3"/>
  <c r="BX192" i="3"/>
  <c r="BX193" i="3" s="1"/>
  <c r="BX196" i="3"/>
  <c r="CD205" i="3"/>
  <c r="CD206" i="3" s="1"/>
  <c r="CD210" i="3"/>
  <c r="CH208" i="3"/>
  <c r="CD195" i="3"/>
  <c r="CD209" i="3"/>
  <c r="CE210" i="3"/>
  <c r="CD188" i="3"/>
  <c r="CD189" i="3"/>
  <c r="CE189" i="3"/>
  <c r="CH187" i="3"/>
  <c r="CH188" i="3" s="1"/>
  <c r="CF195" i="3"/>
  <c r="CF205" i="3"/>
  <c r="CF206" i="3" s="1"/>
  <c r="CF210" i="3"/>
  <c r="CG210" i="3"/>
  <c r="CF209" i="3"/>
  <c r="CJ236" i="3"/>
  <c r="CI236" i="3"/>
  <c r="CI235" i="3"/>
  <c r="CM234" i="3"/>
  <c r="CI208" i="3"/>
  <c r="CK187" i="3"/>
  <c r="CL203" i="3"/>
  <c r="CK203" i="3"/>
  <c r="CK202" i="3"/>
  <c r="CN234" i="3"/>
  <c r="CO228" i="3"/>
  <c r="CN228" i="3"/>
  <c r="CN227" i="3"/>
  <c r="CR226" i="3"/>
  <c r="CN201" i="3"/>
  <c r="CP234" i="3"/>
  <c r="CP228" i="3"/>
  <c r="CP227" i="3"/>
  <c r="CP201" i="3"/>
  <c r="CQ228" i="3"/>
  <c r="CC209" i="3"/>
  <c r="CC205" i="3"/>
  <c r="CC206" i="3" s="1"/>
  <c r="CX229" i="3"/>
  <c r="CX226" i="3" s="1"/>
  <c r="CS226" i="3"/>
  <c r="CZ229" i="3"/>
  <c r="CZ226" i="3" s="1"/>
  <c r="CZ201" i="3" s="1"/>
  <c r="DA203" i="3" s="1"/>
  <c r="CU226" i="3"/>
  <c r="CI187" i="3"/>
  <c r="CM201" i="3"/>
  <c r="CM202" i="3" s="1"/>
  <c r="CI203" i="3"/>
  <c r="CI202" i="3"/>
  <c r="CJ203" i="3"/>
  <c r="CK235" i="3"/>
  <c r="CL236" i="3"/>
  <c r="CK236" i="3"/>
  <c r="CK208" i="3"/>
  <c r="CF188" i="3"/>
  <c r="CG189" i="3"/>
  <c r="CF189" i="3"/>
  <c r="CM227" i="3"/>
  <c r="CM229" i="3"/>
  <c r="BY197" i="3"/>
  <c r="BY196" i="3"/>
  <c r="BY192" i="3"/>
  <c r="BY193" i="3" s="1"/>
  <c r="CC195" i="3"/>
  <c r="BZ197" i="3"/>
  <c r="CH231" i="3"/>
  <c r="CH232" i="3" s="1"/>
  <c r="CH235" i="3"/>
  <c r="CF434" i="3"/>
  <c r="CE431" i="3"/>
  <c r="CD432" i="3"/>
  <c r="CD433" i="3"/>
  <c r="CD335" i="3"/>
  <c r="CC434" i="3"/>
  <c r="CC432" i="3"/>
  <c r="CR113" i="3"/>
  <c r="CV110" i="3"/>
  <c r="CR110" i="3"/>
  <c r="CR138" i="3"/>
  <c r="CR143" i="3"/>
  <c r="CW141" i="3"/>
  <c r="DA114" i="3"/>
  <c r="DA115" i="3" s="1"/>
  <c r="CX144" i="3"/>
  <c r="CX142" i="3"/>
  <c r="CZ144" i="3"/>
  <c r="CZ142" i="3"/>
  <c r="DB140" i="3"/>
  <c r="CT143" i="3"/>
  <c r="CT139" i="3" s="1"/>
  <c r="CY137" i="3"/>
  <c r="CW137" i="3"/>
  <c r="CX114" i="3"/>
  <c r="DB108" i="3"/>
  <c r="CZ110" i="3"/>
  <c r="CZ115" i="3"/>
  <c r="CZ113" i="3"/>
  <c r="CO144" i="3"/>
  <c r="CO142" i="3"/>
  <c r="CU115" i="3"/>
  <c r="CU113" i="3"/>
  <c r="CW114" i="3"/>
  <c r="CW115" i="3" s="1"/>
  <c r="CW109" i="3"/>
  <c r="CS115" i="3"/>
  <c r="CS113" i="3"/>
  <c r="CY115" i="3"/>
  <c r="CY113" i="3"/>
  <c r="CW112" i="3"/>
  <c r="CV113" i="3"/>
  <c r="DA143" i="3"/>
  <c r="DA139" i="3" s="1"/>
  <c r="CM144" i="3"/>
  <c r="CM142" i="3"/>
  <c r="DB111" i="3"/>
  <c r="CV144" i="3"/>
  <c r="CV142" i="3"/>
  <c r="CK420" i="3"/>
  <c r="CO427" i="3"/>
  <c r="CJ417" i="3"/>
  <c r="CJ333" i="3" s="1"/>
  <c r="CL424" i="3"/>
  <c r="CO193" i="3"/>
  <c r="CE395" i="3"/>
  <c r="CE394" i="3"/>
  <c r="CF393" i="3"/>
  <c r="CU262" i="3"/>
  <c r="CU261" i="3"/>
  <c r="CV196" i="3"/>
  <c r="CV192" i="3"/>
  <c r="CV193" i="3" s="1"/>
  <c r="CT192" i="3"/>
  <c r="CT193" i="3" s="1"/>
  <c r="CT196" i="3"/>
  <c r="CY192" i="3"/>
  <c r="CY196" i="3"/>
  <c r="DA192" i="3"/>
  <c r="DA196" i="3"/>
  <c r="CB385" i="3"/>
  <c r="CB384" i="3"/>
  <c r="CF383" i="3"/>
  <c r="CF331" i="3" s="1"/>
  <c r="CD383" i="3"/>
  <c r="CD331" i="3" s="1"/>
  <c r="CC383" i="3"/>
  <c r="CV205" i="3"/>
  <c r="CV206" i="3" s="1"/>
  <c r="CV209" i="3"/>
  <c r="DA205" i="3"/>
  <c r="DA209" i="3"/>
  <c r="CY209" i="3"/>
  <c r="CY205" i="3"/>
  <c r="CT262" i="3"/>
  <c r="CT205" i="3"/>
  <c r="CT206" i="3" s="1"/>
  <c r="CT209" i="3"/>
  <c r="CV261" i="3"/>
  <c r="CV262" i="3"/>
  <c r="CS262" i="3"/>
  <c r="CS261" i="3"/>
  <c r="DB286" i="3"/>
  <c r="CX287" i="3"/>
  <c r="CX288" i="3"/>
  <c r="CY288" i="3"/>
  <c r="DA261" i="3"/>
  <c r="DA262" i="3"/>
  <c r="CR257" i="3"/>
  <c r="CR258" i="3" s="1"/>
  <c r="CR261" i="3"/>
  <c r="CW283" i="3"/>
  <c r="CW284" i="3" s="1"/>
  <c r="CW287" i="3"/>
  <c r="DB279" i="3"/>
  <c r="DB281" i="3"/>
  <c r="CW260" i="3"/>
  <c r="CX253" i="3"/>
  <c r="CX254" i="3"/>
  <c r="DB252" i="3"/>
  <c r="CX260" i="3"/>
  <c r="CY254" i="3"/>
  <c r="CW253" i="3"/>
  <c r="CW255" i="3"/>
  <c r="CD403" i="3" l="1"/>
  <c r="CD410" i="3"/>
  <c r="CD404" i="3"/>
  <c r="CF405" i="3"/>
  <c r="CE402" i="3"/>
  <c r="CC405" i="3"/>
  <c r="CC410" i="3"/>
  <c r="CC403" i="3"/>
  <c r="CB413" i="3"/>
  <c r="CB411" i="3"/>
  <c r="CB412" i="3"/>
  <c r="CB332" i="3"/>
  <c r="CC332" i="3" s="1"/>
  <c r="DB226" i="3"/>
  <c r="DB229" i="3" s="1"/>
  <c r="CZ187" i="3"/>
  <c r="CZ189" i="3" s="1"/>
  <c r="CZ228" i="3"/>
  <c r="CL210" i="3"/>
  <c r="CK209" i="3"/>
  <c r="CK210" i="3"/>
  <c r="CK205" i="3"/>
  <c r="CK206" i="3" s="1"/>
  <c r="CK195" i="3"/>
  <c r="CY228" i="3"/>
  <c r="CX227" i="3"/>
  <c r="CX234" i="3"/>
  <c r="CX228" i="3"/>
  <c r="CH209" i="3"/>
  <c r="CH205" i="3"/>
  <c r="CH206" i="3" s="1"/>
  <c r="CR234" i="3"/>
  <c r="CO236" i="3"/>
  <c r="CN235" i="3"/>
  <c r="CN236" i="3"/>
  <c r="CN208" i="3"/>
  <c r="CZ203" i="3"/>
  <c r="CC192" i="3"/>
  <c r="CC193" i="3" s="1"/>
  <c r="CC196" i="3"/>
  <c r="CZ227" i="3"/>
  <c r="CZ234" i="3"/>
  <c r="DA236" i="3" s="1"/>
  <c r="CP187" i="3"/>
  <c r="CP203" i="3"/>
  <c r="CQ203" i="3"/>
  <c r="CP202" i="3"/>
  <c r="CF196" i="3"/>
  <c r="CF197" i="3"/>
  <c r="CG197" i="3"/>
  <c r="CF192" i="3"/>
  <c r="CF193" i="3" s="1"/>
  <c r="CV228" i="3"/>
  <c r="CU228" i="3"/>
  <c r="CU227" i="3"/>
  <c r="CU234" i="3"/>
  <c r="CU201" i="3"/>
  <c r="CK189" i="3"/>
  <c r="CK188" i="3"/>
  <c r="CL189" i="3"/>
  <c r="CX201" i="3"/>
  <c r="CR227" i="3"/>
  <c r="CR229" i="3"/>
  <c r="CH195" i="3"/>
  <c r="CD197" i="3"/>
  <c r="CD196" i="3"/>
  <c r="CD192" i="3"/>
  <c r="CD193" i="3" s="1"/>
  <c r="CE197" i="3"/>
  <c r="CP208" i="3"/>
  <c r="CQ236" i="3"/>
  <c r="CP235" i="3"/>
  <c r="CP236" i="3"/>
  <c r="CI195" i="3"/>
  <c r="CI209" i="3"/>
  <c r="CI205" i="3"/>
  <c r="CI206" i="3" s="1"/>
  <c r="CJ210" i="3"/>
  <c r="CI210" i="3"/>
  <c r="CM208" i="3"/>
  <c r="CS228" i="3"/>
  <c r="CS234" i="3"/>
  <c r="CS227" i="3"/>
  <c r="CT228" i="3"/>
  <c r="CW226" i="3"/>
  <c r="CS201" i="3"/>
  <c r="DA228" i="3"/>
  <c r="CJ189" i="3"/>
  <c r="CM187" i="3"/>
  <c r="CM188" i="3" s="1"/>
  <c r="CI188" i="3"/>
  <c r="CI189" i="3"/>
  <c r="CN187" i="3"/>
  <c r="CN203" i="3"/>
  <c r="CR201" i="3"/>
  <c r="CR202" i="3" s="1"/>
  <c r="CO203" i="3"/>
  <c r="CN202" i="3"/>
  <c r="CM231" i="3"/>
  <c r="CM232" i="3" s="1"/>
  <c r="CM235" i="3"/>
  <c r="CE335" i="3"/>
  <c r="CE432" i="3"/>
  <c r="CE433" i="3"/>
  <c r="CF431" i="3"/>
  <c r="CG434" i="3"/>
  <c r="CW113" i="3"/>
  <c r="CW110" i="3"/>
  <c r="DA110" i="3"/>
  <c r="DB112" i="3"/>
  <c r="CX115" i="3"/>
  <c r="CX113" i="3"/>
  <c r="DA113" i="3"/>
  <c r="CX110" i="3"/>
  <c r="DB114" i="3"/>
  <c r="DB115" i="3" s="1"/>
  <c r="DB109" i="3"/>
  <c r="CY143" i="3"/>
  <c r="DB137" i="3"/>
  <c r="DA144" i="3"/>
  <c r="DA142" i="3"/>
  <c r="CW138" i="3"/>
  <c r="CW143" i="3"/>
  <c r="CT144" i="3"/>
  <c r="CT142" i="3"/>
  <c r="CR144" i="3"/>
  <c r="CR142" i="3"/>
  <c r="DB141" i="3"/>
  <c r="CR139" i="3"/>
  <c r="CM424" i="3"/>
  <c r="CM427" i="3" s="1"/>
  <c r="CL334" i="3"/>
  <c r="CM334" i="3" s="1"/>
  <c r="CP427" i="3"/>
  <c r="CL420" i="3"/>
  <c r="CK417" i="3"/>
  <c r="CK333" i="3" s="1"/>
  <c r="CN424" i="3"/>
  <c r="CN334" i="3" s="1"/>
  <c r="CF395" i="3"/>
  <c r="CF394" i="3"/>
  <c r="CY193" i="3"/>
  <c r="DA193" i="3"/>
  <c r="DA206" i="3"/>
  <c r="CC386" i="3"/>
  <c r="CC384" i="3"/>
  <c r="CD385" i="3"/>
  <c r="CD384" i="3"/>
  <c r="CF384" i="3"/>
  <c r="CY206" i="3"/>
  <c r="DB283" i="3"/>
  <c r="DB284" i="3" s="1"/>
  <c r="DB287" i="3"/>
  <c r="CW257" i="3"/>
  <c r="CW258" i="3" s="1"/>
  <c r="CW261" i="3"/>
  <c r="DB260" i="3"/>
  <c r="DB261" i="3" s="1"/>
  <c r="CX261" i="3"/>
  <c r="CX262" i="3"/>
  <c r="CY262" i="3"/>
  <c r="DB253" i="3"/>
  <c r="DB255" i="3"/>
  <c r="DA189" i="3" l="1"/>
  <c r="CC413" i="3"/>
  <c r="CC411" i="3"/>
  <c r="CE403" i="3"/>
  <c r="CE410" i="3"/>
  <c r="CE404" i="3"/>
  <c r="CG405" i="3"/>
  <c r="CF402" i="3"/>
  <c r="CD413" i="3"/>
  <c r="CD332" i="3"/>
  <c r="CD411" i="3"/>
  <c r="CD412" i="3"/>
  <c r="CE386" i="3"/>
  <c r="CG386" i="3" s="1"/>
  <c r="CI386" i="3" s="1"/>
  <c r="CJ386" i="3" s="1"/>
  <c r="CK386" i="3" s="1"/>
  <c r="CL386" i="3" s="1"/>
  <c r="CN386" i="3" s="1"/>
  <c r="CO386" i="3" s="1"/>
  <c r="CP386" i="3" s="1"/>
  <c r="CQ386" i="3" s="1"/>
  <c r="CS386" i="3" s="1"/>
  <c r="CT386" i="3" s="1"/>
  <c r="CU386" i="3" s="1"/>
  <c r="CV386" i="3" s="1"/>
  <c r="CX386" i="3" s="1"/>
  <c r="CY386" i="3" s="1"/>
  <c r="CZ386" i="3" s="1"/>
  <c r="DA386" i="3" s="1"/>
  <c r="DB227" i="3"/>
  <c r="CZ208" i="3"/>
  <c r="CZ195" i="3" s="1"/>
  <c r="DA197" i="3" s="1"/>
  <c r="DB234" i="3"/>
  <c r="DB231" i="3" s="1"/>
  <c r="CZ236" i="3"/>
  <c r="CZ235" i="3"/>
  <c r="CM205" i="3"/>
  <c r="CM206" i="3" s="1"/>
  <c r="CM209" i="3"/>
  <c r="CI197" i="3"/>
  <c r="CI192" i="3"/>
  <c r="CI193" i="3" s="1"/>
  <c r="CI196" i="3"/>
  <c r="CJ197" i="3"/>
  <c r="CM195" i="3"/>
  <c r="CX187" i="3"/>
  <c r="CY203" i="3"/>
  <c r="CX202" i="3"/>
  <c r="DB201" i="3"/>
  <c r="CX203" i="3"/>
  <c r="CH196" i="3"/>
  <c r="CH192" i="3"/>
  <c r="CH193" i="3" s="1"/>
  <c r="CS187" i="3"/>
  <c r="CS203" i="3"/>
  <c r="CT203" i="3"/>
  <c r="CW201" i="3"/>
  <c r="CW202" i="3" s="1"/>
  <c r="CS202" i="3"/>
  <c r="CW229" i="3"/>
  <c r="CW227" i="3"/>
  <c r="CR235" i="3"/>
  <c r="CR231" i="3"/>
  <c r="CR232" i="3" s="1"/>
  <c r="CP195" i="3"/>
  <c r="CP205" i="3"/>
  <c r="CP206" i="3" s="1"/>
  <c r="CP209" i="3"/>
  <c r="CP210" i="3"/>
  <c r="CQ210" i="3"/>
  <c r="CU187" i="3"/>
  <c r="CU203" i="3"/>
  <c r="CV203" i="3"/>
  <c r="CU202" i="3"/>
  <c r="CP188" i="3"/>
  <c r="CQ189" i="3"/>
  <c r="CP189" i="3"/>
  <c r="CZ202" i="3"/>
  <c r="CO210" i="3"/>
  <c r="CN195" i="3"/>
  <c r="CR208" i="3"/>
  <c r="CN210" i="3"/>
  <c r="CN209" i="3"/>
  <c r="CN205" i="3"/>
  <c r="CN206" i="3" s="1"/>
  <c r="CS236" i="3"/>
  <c r="CS235" i="3"/>
  <c r="CT236" i="3"/>
  <c r="CW234" i="3"/>
  <c r="CS208" i="3"/>
  <c r="CV236" i="3"/>
  <c r="CU236" i="3"/>
  <c r="CU235" i="3"/>
  <c r="CU208" i="3"/>
  <c r="CR187" i="3"/>
  <c r="CR188" i="3" s="1"/>
  <c r="CO189" i="3"/>
  <c r="CN189" i="3"/>
  <c r="CN188" i="3"/>
  <c r="CX235" i="3"/>
  <c r="CX236" i="3"/>
  <c r="CY236" i="3"/>
  <c r="CK196" i="3"/>
  <c r="CK197" i="3"/>
  <c r="CL197" i="3"/>
  <c r="CK192" i="3"/>
  <c r="CK193" i="3" s="1"/>
  <c r="CX208" i="3"/>
  <c r="CG431" i="3"/>
  <c r="CH431" i="3" s="1"/>
  <c r="CI434" i="3"/>
  <c r="CF432" i="3"/>
  <c r="CF433" i="3"/>
  <c r="CF335" i="3"/>
  <c r="DB110" i="3"/>
  <c r="CY144" i="3"/>
  <c r="CY142" i="3"/>
  <c r="CW139" i="3"/>
  <c r="CW144" i="3"/>
  <c r="CW142" i="3"/>
  <c r="DB143" i="3"/>
  <c r="DB139" i="3" s="1"/>
  <c r="DB138" i="3"/>
  <c r="DB113" i="3"/>
  <c r="CY139" i="3"/>
  <c r="CL417" i="3"/>
  <c r="CN420" i="3"/>
  <c r="CQ427" i="3"/>
  <c r="CO424" i="3"/>
  <c r="CO334" i="3" s="1"/>
  <c r="CG394" i="3"/>
  <c r="CG395" i="3"/>
  <c r="CH393" i="3"/>
  <c r="CH396" i="3" s="1"/>
  <c r="CI393" i="3"/>
  <c r="DB257" i="3"/>
  <c r="DB258" i="3" s="1"/>
  <c r="CF410" i="3" l="1"/>
  <c r="CF403" i="3"/>
  <c r="CF404" i="3"/>
  <c r="CI405" i="3"/>
  <c r="CG402" i="3"/>
  <c r="CE383" i="3"/>
  <c r="CE331" i="3" s="1"/>
  <c r="CZ192" i="3"/>
  <c r="CE413" i="3"/>
  <c r="CE412" i="3"/>
  <c r="CE332" i="3"/>
  <c r="CE411" i="3"/>
  <c r="DA210" i="3"/>
  <c r="DB208" i="3"/>
  <c r="DB205" i="3" s="1"/>
  <c r="CZ197" i="3"/>
  <c r="CZ209" i="3"/>
  <c r="CZ205" i="3"/>
  <c r="CZ210" i="3"/>
  <c r="DB202" i="3"/>
  <c r="CW231" i="3"/>
  <c r="CW235" i="3"/>
  <c r="CX189" i="3"/>
  <c r="CX188" i="3"/>
  <c r="CY189" i="3"/>
  <c r="DB187" i="3"/>
  <c r="CS195" i="3"/>
  <c r="CS209" i="3"/>
  <c r="CS210" i="3"/>
  <c r="CS205" i="3"/>
  <c r="CS206" i="3" s="1"/>
  <c r="CT210" i="3"/>
  <c r="CW208" i="3"/>
  <c r="CM192" i="3"/>
  <c r="CM193" i="3" s="1"/>
  <c r="CM196" i="3"/>
  <c r="DB235" i="3"/>
  <c r="CV189" i="3"/>
  <c r="CU189" i="3"/>
  <c r="CU188" i="3"/>
  <c r="CZ188" i="3"/>
  <c r="CX195" i="3"/>
  <c r="CX205" i="3"/>
  <c r="CY210" i="3"/>
  <c r="CX209" i="3"/>
  <c r="CX210" i="3"/>
  <c r="CU205" i="3"/>
  <c r="CU206" i="3" s="1"/>
  <c r="CV210" i="3"/>
  <c r="CU210" i="3"/>
  <c r="CU209" i="3"/>
  <c r="CU195" i="3"/>
  <c r="CR209" i="3"/>
  <c r="CR205" i="3"/>
  <c r="CR206" i="3" s="1"/>
  <c r="CT189" i="3"/>
  <c r="CW187" i="3"/>
  <c r="CW188" i="3" s="1"/>
  <c r="CS188" i="3"/>
  <c r="CS189" i="3"/>
  <c r="CO197" i="3"/>
  <c r="CN192" i="3"/>
  <c r="CN193" i="3" s="1"/>
  <c r="CN196" i="3"/>
  <c r="CR195" i="3"/>
  <c r="CN197" i="3"/>
  <c r="CP192" i="3"/>
  <c r="CP193" i="3" s="1"/>
  <c r="CP197" i="3"/>
  <c r="CQ197" i="3"/>
  <c r="CP196" i="3"/>
  <c r="CH434" i="3"/>
  <c r="CH432" i="3"/>
  <c r="CJ434" i="3"/>
  <c r="CI431" i="3"/>
  <c r="CG335" i="3"/>
  <c r="CH335" i="3" s="1"/>
  <c r="CG432" i="3"/>
  <c r="CG433" i="3"/>
  <c r="DB144" i="3"/>
  <c r="DB142" i="3"/>
  <c r="CM417" i="3"/>
  <c r="CM420" i="3" s="1"/>
  <c r="CL333" i="3"/>
  <c r="CM333" i="3" s="1"/>
  <c r="CO420" i="3"/>
  <c r="CS427" i="3"/>
  <c r="CN417" i="3"/>
  <c r="CN333" i="3" s="1"/>
  <c r="CP424" i="3"/>
  <c r="CP334" i="3" s="1"/>
  <c r="CI394" i="3"/>
  <c r="CI395" i="3"/>
  <c r="CJ393" i="3"/>
  <c r="CH394" i="3"/>
  <c r="CG383" i="3"/>
  <c r="CG331" i="3" s="1"/>
  <c r="CF385" i="3" l="1"/>
  <c r="CE384" i="3"/>
  <c r="CE385" i="3"/>
  <c r="DB209" i="3"/>
  <c r="CH402" i="3"/>
  <c r="CG403" i="3"/>
  <c r="CG404" i="3"/>
  <c r="CG410" i="3"/>
  <c r="CJ405" i="3"/>
  <c r="CI402" i="3"/>
  <c r="CF412" i="3"/>
  <c r="CF411" i="3"/>
  <c r="CF413" i="3"/>
  <c r="CF332" i="3"/>
  <c r="CX206" i="3"/>
  <c r="CX196" i="3"/>
  <c r="CX192" i="3"/>
  <c r="CX197" i="3"/>
  <c r="CY197" i="3"/>
  <c r="DB195" i="3"/>
  <c r="CT197" i="3"/>
  <c r="CS197" i="3"/>
  <c r="CS192" i="3"/>
  <c r="CS193" i="3" s="1"/>
  <c r="CS196" i="3"/>
  <c r="CW195" i="3"/>
  <c r="CU192" i="3"/>
  <c r="CZ196" i="3"/>
  <c r="CU196" i="3"/>
  <c r="CU197" i="3"/>
  <c r="CV197" i="3"/>
  <c r="DB188" i="3"/>
  <c r="CR196" i="3"/>
  <c r="CR192" i="3"/>
  <c r="CR193" i="3" s="1"/>
  <c r="CW232" i="3"/>
  <c r="DB232" i="3"/>
  <c r="CW209" i="3"/>
  <c r="CW205" i="3"/>
  <c r="CZ206" i="3"/>
  <c r="CI335" i="3"/>
  <c r="CI432" i="3"/>
  <c r="CI433" i="3"/>
  <c r="CJ431" i="3"/>
  <c r="CK434" i="3"/>
  <c r="CH331" i="3"/>
  <c r="CP420" i="3"/>
  <c r="CT427" i="3"/>
  <c r="CO417" i="3"/>
  <c r="CO333" i="3" s="1"/>
  <c r="CQ424" i="3"/>
  <c r="CJ394" i="3"/>
  <c r="CJ395" i="3"/>
  <c r="CK393" i="3"/>
  <c r="CG385" i="3"/>
  <c r="CG384" i="3"/>
  <c r="CK383" i="3"/>
  <c r="CK331" i="3" s="1"/>
  <c r="CI383" i="3"/>
  <c r="CI331" i="3" s="1"/>
  <c r="CH383" i="3"/>
  <c r="CI410" i="3" l="1"/>
  <c r="CI403" i="3"/>
  <c r="CI404" i="3"/>
  <c r="CK405" i="3"/>
  <c r="CJ402" i="3"/>
  <c r="CG412" i="3"/>
  <c r="CG411" i="3"/>
  <c r="CG332" i="3"/>
  <c r="CH332" i="3" s="1"/>
  <c r="CG413" i="3"/>
  <c r="CH405" i="3"/>
  <c r="CH410" i="3"/>
  <c r="CH403" i="3"/>
  <c r="CU193" i="3"/>
  <c r="CZ193" i="3"/>
  <c r="DB196" i="3"/>
  <c r="DB192" i="3"/>
  <c r="CW206" i="3"/>
  <c r="DB206" i="3"/>
  <c r="CW196" i="3"/>
  <c r="CW192" i="3"/>
  <c r="CW193" i="3" s="1"/>
  <c r="CX193" i="3"/>
  <c r="CL434" i="3"/>
  <c r="CK431" i="3"/>
  <c r="CJ335" i="3"/>
  <c r="CJ433" i="3"/>
  <c r="CJ432" i="3"/>
  <c r="CR424" i="3"/>
  <c r="CR427" i="3" s="1"/>
  <c r="CQ334" i="3"/>
  <c r="CR334" i="3" s="1"/>
  <c r="CQ420" i="3"/>
  <c r="CU427" i="3"/>
  <c r="CP417" i="3"/>
  <c r="CP333" i="3" s="1"/>
  <c r="CS424" i="3"/>
  <c r="CS334" i="3" s="1"/>
  <c r="CK395" i="3"/>
  <c r="CK394" i="3"/>
  <c r="CL393" i="3"/>
  <c r="CH384" i="3"/>
  <c r="CH386" i="3"/>
  <c r="CI385" i="3"/>
  <c r="CI384" i="3"/>
  <c r="CK384" i="3"/>
  <c r="CH413" i="3" l="1"/>
  <c r="CH411" i="3"/>
  <c r="CJ404" i="3"/>
  <c r="CJ410" i="3"/>
  <c r="CJ403" i="3"/>
  <c r="CL405" i="3"/>
  <c r="CK402" i="3"/>
  <c r="CI412" i="3"/>
  <c r="CI411" i="3"/>
  <c r="CI413" i="3"/>
  <c r="CI332" i="3"/>
  <c r="DB193" i="3"/>
  <c r="CK433" i="3"/>
  <c r="CK335" i="3"/>
  <c r="CK432" i="3"/>
  <c r="CN434" i="3"/>
  <c r="CL431" i="3"/>
  <c r="CV427" i="3"/>
  <c r="CS420" i="3"/>
  <c r="CQ417" i="3"/>
  <c r="CT424" i="3"/>
  <c r="CT334" i="3" s="1"/>
  <c r="CL395" i="3"/>
  <c r="CL394" i="3"/>
  <c r="CM393" i="3"/>
  <c r="CM396" i="3" s="1"/>
  <c r="CN393" i="3"/>
  <c r="CJ383" i="3"/>
  <c r="CJ331" i="3" s="1"/>
  <c r="CK410" i="3" l="1"/>
  <c r="CK404" i="3"/>
  <c r="CK403" i="3"/>
  <c r="CN405" i="3"/>
  <c r="CL402" i="3"/>
  <c r="CJ332" i="3"/>
  <c r="CJ412" i="3"/>
  <c r="CJ413" i="3"/>
  <c r="CJ411" i="3"/>
  <c r="CM402" i="3"/>
  <c r="CM405" i="3" s="1"/>
  <c r="CN431" i="3"/>
  <c r="CO434" i="3"/>
  <c r="CL335" i="3"/>
  <c r="CM335" i="3" s="1"/>
  <c r="CL432" i="3"/>
  <c r="CL433" i="3"/>
  <c r="CM431" i="3"/>
  <c r="CR417" i="3"/>
  <c r="CR420" i="3" s="1"/>
  <c r="CQ333" i="3"/>
  <c r="CR333" i="3" s="1"/>
  <c r="CX427" i="3"/>
  <c r="CT420" i="3"/>
  <c r="CS417" i="3"/>
  <c r="CS333" i="3" s="1"/>
  <c r="CU424" i="3"/>
  <c r="CU334" i="3" s="1"/>
  <c r="CN395" i="3"/>
  <c r="CN394" i="3"/>
  <c r="CO393" i="3"/>
  <c r="CM394" i="3"/>
  <c r="CJ384" i="3"/>
  <c r="CJ385" i="3"/>
  <c r="CK385" i="3"/>
  <c r="CL383" i="3"/>
  <c r="CL331" i="3" s="1"/>
  <c r="CL410" i="3" l="1"/>
  <c r="CL403" i="3"/>
  <c r="CL404" i="3"/>
  <c r="CO405" i="3"/>
  <c r="CN402" i="3"/>
  <c r="CM403" i="3"/>
  <c r="CM410" i="3"/>
  <c r="CM413" i="3" s="1"/>
  <c r="CK332" i="3"/>
  <c r="CK413" i="3"/>
  <c r="CK411" i="3"/>
  <c r="CK412" i="3"/>
  <c r="CM434" i="3"/>
  <c r="CM432" i="3"/>
  <c r="CP434" i="3"/>
  <c r="CO431" i="3"/>
  <c r="CN335" i="3"/>
  <c r="CN432" i="3"/>
  <c r="CN433" i="3"/>
  <c r="CM331" i="3"/>
  <c r="CU420" i="3"/>
  <c r="CY427" i="3"/>
  <c r="CT417" i="3"/>
  <c r="CT333" i="3" s="1"/>
  <c r="CV424" i="3"/>
  <c r="CM411" i="3"/>
  <c r="CO394" i="3"/>
  <c r="CO395" i="3"/>
  <c r="CP393" i="3"/>
  <c r="CL384" i="3"/>
  <c r="CL385" i="3"/>
  <c r="CP383" i="3"/>
  <c r="CP331" i="3" s="1"/>
  <c r="CN383" i="3"/>
  <c r="CN331" i="3" s="1"/>
  <c r="CM383" i="3"/>
  <c r="CM386" i="3" s="1"/>
  <c r="CN403" i="3" l="1"/>
  <c r="CN404" i="3"/>
  <c r="CN410" i="3"/>
  <c r="CP405" i="3"/>
  <c r="CO402" i="3"/>
  <c r="CL411" i="3"/>
  <c r="CL412" i="3"/>
  <c r="CL413" i="3"/>
  <c r="CL332" i="3"/>
  <c r="CM332" i="3" s="1"/>
  <c r="CO335" i="3"/>
  <c r="CO432" i="3"/>
  <c r="CO433" i="3"/>
  <c r="CP431" i="3"/>
  <c r="CQ434" i="3"/>
  <c r="CW424" i="3"/>
  <c r="CW427" i="3" s="1"/>
  <c r="CV334" i="3"/>
  <c r="CW334" i="3" s="1"/>
  <c r="CV420" i="3"/>
  <c r="CZ427" i="3"/>
  <c r="CU417" i="3"/>
  <c r="CU333" i="3" s="1"/>
  <c r="CX424" i="3"/>
  <c r="CP395" i="3"/>
  <c r="CP394" i="3"/>
  <c r="CS396" i="3"/>
  <c r="CQ393" i="3"/>
  <c r="CM384" i="3"/>
  <c r="CN384" i="3"/>
  <c r="CN385" i="3"/>
  <c r="CP384" i="3"/>
  <c r="CO410" i="3" l="1"/>
  <c r="CO403" i="3"/>
  <c r="CO404" i="3"/>
  <c r="CQ405" i="3"/>
  <c r="CP402" i="3"/>
  <c r="CN412" i="3"/>
  <c r="CN411" i="3"/>
  <c r="CN413" i="3"/>
  <c r="CN332" i="3"/>
  <c r="CQ431" i="3"/>
  <c r="CR431" i="3" s="1"/>
  <c r="CS434" i="3"/>
  <c r="CP433" i="3"/>
  <c r="CP335" i="3"/>
  <c r="CP432" i="3"/>
  <c r="CX334" i="3"/>
  <c r="CV417" i="3"/>
  <c r="DA427" i="3"/>
  <c r="CX420" i="3"/>
  <c r="CY424" i="3"/>
  <c r="CY334" i="3" s="1"/>
  <c r="CT396" i="3"/>
  <c r="CS393" i="3"/>
  <c r="CQ395" i="3"/>
  <c r="CQ394" i="3"/>
  <c r="CR393" i="3"/>
  <c r="CR396" i="3" s="1"/>
  <c r="CO383" i="3"/>
  <c r="CO331" i="3" s="1"/>
  <c r="CP403" i="3" l="1"/>
  <c r="CP404" i="3"/>
  <c r="CP410" i="3"/>
  <c r="CS405" i="3"/>
  <c r="CQ402" i="3"/>
  <c r="CR402" i="3" s="1"/>
  <c r="CR405" i="3" s="1"/>
  <c r="CO412" i="3"/>
  <c r="CO413" i="3"/>
  <c r="CO332" i="3"/>
  <c r="CO411" i="3"/>
  <c r="CR434" i="3"/>
  <c r="CR432" i="3"/>
  <c r="CS431" i="3"/>
  <c r="CT434" i="3"/>
  <c r="CQ335" i="3"/>
  <c r="CR335" i="3" s="1"/>
  <c r="CQ433" i="3"/>
  <c r="CQ432" i="3"/>
  <c r="CW417" i="3"/>
  <c r="CW420" i="3" s="1"/>
  <c r="CV333" i="3"/>
  <c r="CW333" i="3" s="1"/>
  <c r="CY420" i="3"/>
  <c r="CX417" i="3"/>
  <c r="CX333" i="3" s="1"/>
  <c r="DA424" i="3"/>
  <c r="DA334" i="3" s="1"/>
  <c r="CZ424" i="3"/>
  <c r="CZ334" i="3" s="1"/>
  <c r="CR394" i="3"/>
  <c r="CS395" i="3"/>
  <c r="CS394" i="3"/>
  <c r="CU396" i="3"/>
  <c r="CT393" i="3"/>
  <c r="CO384" i="3"/>
  <c r="CO385" i="3"/>
  <c r="CP385" i="3"/>
  <c r="CQ383" i="3"/>
  <c r="CQ331" i="3" s="1"/>
  <c r="CR410" i="3" l="1"/>
  <c r="CR413" i="3" s="1"/>
  <c r="CR403" i="3"/>
  <c r="CQ403" i="3"/>
  <c r="CQ404" i="3"/>
  <c r="CQ410" i="3"/>
  <c r="CT405" i="3"/>
  <c r="CS402" i="3"/>
  <c r="CP413" i="3"/>
  <c r="CP332" i="3"/>
  <c r="CP412" i="3"/>
  <c r="CP411" i="3"/>
  <c r="CT431" i="3"/>
  <c r="CU434" i="3"/>
  <c r="CS432" i="3"/>
  <c r="CS335" i="3"/>
  <c r="CS433" i="3"/>
  <c r="DB424" i="3"/>
  <c r="DB427" i="3" s="1"/>
  <c r="CR331" i="3"/>
  <c r="DB334" i="3"/>
  <c r="CZ420" i="3"/>
  <c r="CY417" i="3"/>
  <c r="CY333" i="3" s="1"/>
  <c r="CV396" i="3"/>
  <c r="CU393" i="3"/>
  <c r="CT394" i="3"/>
  <c r="CT395" i="3"/>
  <c r="CR411" i="3"/>
  <c r="CQ384" i="3"/>
  <c r="CQ385" i="3"/>
  <c r="CU383" i="3"/>
  <c r="CU331" i="3" s="1"/>
  <c r="CS383" i="3"/>
  <c r="CS331" i="3" s="1"/>
  <c r="CR383" i="3"/>
  <c r="CS410" i="3" l="1"/>
  <c r="CS404" i="3"/>
  <c r="CS403" i="3"/>
  <c r="CU405" i="3"/>
  <c r="CT402" i="3"/>
  <c r="CQ413" i="3"/>
  <c r="CQ411" i="3"/>
  <c r="CQ332" i="3"/>
  <c r="CR332" i="3" s="1"/>
  <c r="CQ412" i="3"/>
  <c r="CV434" i="3"/>
  <c r="CU431" i="3"/>
  <c r="CT335" i="3"/>
  <c r="CT432" i="3"/>
  <c r="CT433" i="3"/>
  <c r="DA420" i="3"/>
  <c r="DA417" i="3" s="1"/>
  <c r="DA333" i="3" s="1"/>
  <c r="CZ417" i="3"/>
  <c r="CZ333" i="3" s="1"/>
  <c r="CU395" i="3"/>
  <c r="CU394" i="3"/>
  <c r="CX396" i="3"/>
  <c r="CV393" i="3"/>
  <c r="CR384" i="3"/>
  <c r="CR386" i="3"/>
  <c r="CS384" i="3"/>
  <c r="CS385" i="3"/>
  <c r="CU384" i="3"/>
  <c r="CT410" i="3" l="1"/>
  <c r="CT404" i="3"/>
  <c r="CT403" i="3"/>
  <c r="CV405" i="3"/>
  <c r="CU402" i="3"/>
  <c r="CS411" i="3"/>
  <c r="CS413" i="3"/>
  <c r="CS332" i="3"/>
  <c r="CS412" i="3"/>
  <c r="CU432" i="3"/>
  <c r="CU433" i="3"/>
  <c r="CU335" i="3"/>
  <c r="CX434" i="3"/>
  <c r="CV431" i="3"/>
  <c r="DB333" i="3"/>
  <c r="DB417" i="3"/>
  <c r="DB420" i="3" s="1"/>
  <c r="CY396" i="3"/>
  <c r="CX393" i="3"/>
  <c r="CV395" i="3"/>
  <c r="CV394" i="3"/>
  <c r="CW393" i="3"/>
  <c r="CW396" i="3" s="1"/>
  <c r="CT383" i="3"/>
  <c r="CT331" i="3" s="1"/>
  <c r="CU403" i="3" l="1"/>
  <c r="CU410" i="3"/>
  <c r="CU404" i="3"/>
  <c r="CX405" i="3"/>
  <c r="CV402" i="3"/>
  <c r="CW402" i="3" s="1"/>
  <c r="CT413" i="3"/>
  <c r="CT412" i="3"/>
  <c r="CT332" i="3"/>
  <c r="CT411" i="3"/>
  <c r="CV433" i="3"/>
  <c r="CV432" i="3"/>
  <c r="CV335" i="3"/>
  <c r="CW335" i="3" s="1"/>
  <c r="CW431" i="3"/>
  <c r="CY434" i="3"/>
  <c r="CX431" i="3"/>
  <c r="CW394" i="3"/>
  <c r="CX395" i="3"/>
  <c r="CX394" i="3"/>
  <c r="CZ396" i="3"/>
  <c r="CY393" i="3"/>
  <c r="CT384" i="3"/>
  <c r="CT385" i="3"/>
  <c r="CU385" i="3"/>
  <c r="CV383" i="3"/>
  <c r="CV331" i="3" s="1"/>
  <c r="CW331" i="3" s="1"/>
  <c r="CW405" i="3" l="1"/>
  <c r="CW410" i="3"/>
  <c r="CW413" i="3" s="1"/>
  <c r="CW403" i="3"/>
  <c r="CV404" i="3"/>
  <c r="CV410" i="3"/>
  <c r="CV403" i="3"/>
  <c r="CY405" i="3"/>
  <c r="CX402" i="3"/>
  <c r="CU411" i="3"/>
  <c r="CU413" i="3"/>
  <c r="CU332" i="3"/>
  <c r="CU412" i="3"/>
  <c r="CX335" i="3"/>
  <c r="CX432" i="3"/>
  <c r="CX433" i="3"/>
  <c r="CZ434" i="3"/>
  <c r="CY431" i="3"/>
  <c r="CW434" i="3"/>
  <c r="CW432" i="3"/>
  <c r="DA396" i="3"/>
  <c r="DA393" i="3" s="1"/>
  <c r="CZ393" i="3"/>
  <c r="CY395" i="3"/>
  <c r="CY394" i="3"/>
  <c r="CW411" i="3"/>
  <c r="CV385" i="3"/>
  <c r="CV384" i="3"/>
  <c r="CZ383" i="3"/>
  <c r="CZ331" i="3" s="1"/>
  <c r="CX383" i="3"/>
  <c r="CX331" i="3" s="1"/>
  <c r="CW383" i="3"/>
  <c r="CX410" i="3" l="1"/>
  <c r="CX403" i="3"/>
  <c r="CX404" i="3"/>
  <c r="CZ405" i="3"/>
  <c r="CY402" i="3"/>
  <c r="CV413" i="3"/>
  <c r="CV332" i="3"/>
  <c r="CW332" i="3" s="1"/>
  <c r="CV411" i="3"/>
  <c r="CV412" i="3"/>
  <c r="DA434" i="3"/>
  <c r="DA431" i="3" s="1"/>
  <c r="CZ431" i="3"/>
  <c r="CY335" i="3"/>
  <c r="CY432" i="3"/>
  <c r="CY433" i="3"/>
  <c r="CZ395" i="3"/>
  <c r="CZ394" i="3"/>
  <c r="DA394" i="3"/>
  <c r="DA395" i="3"/>
  <c r="DB393" i="3"/>
  <c r="DB396" i="3" s="1"/>
  <c r="CW386" i="3"/>
  <c r="CW384" i="3"/>
  <c r="CX385" i="3"/>
  <c r="CX384" i="3"/>
  <c r="CZ384" i="3"/>
  <c r="CY403" i="3" l="1"/>
  <c r="CY404" i="3"/>
  <c r="CY410" i="3"/>
  <c r="DA405" i="3"/>
  <c r="DA402" i="3" s="1"/>
  <c r="CZ402" i="3"/>
  <c r="CX413" i="3"/>
  <c r="CX411" i="3"/>
  <c r="CX412" i="3"/>
  <c r="CX332" i="3"/>
  <c r="CZ432" i="3"/>
  <c r="CZ433" i="3"/>
  <c r="CZ335" i="3"/>
  <c r="DA335" i="3"/>
  <c r="DA432" i="3"/>
  <c r="DA433" i="3"/>
  <c r="DB431" i="3"/>
  <c r="DB394" i="3"/>
  <c r="DA383" i="3"/>
  <c r="DA331" i="3" s="1"/>
  <c r="CY383" i="3"/>
  <c r="CY331" i="3" s="1"/>
  <c r="CZ404" i="3" l="1"/>
  <c r="CZ410" i="3"/>
  <c r="CZ403" i="3"/>
  <c r="DB402" i="3"/>
  <c r="DA404" i="3"/>
  <c r="DA403" i="3"/>
  <c r="DA410" i="3"/>
  <c r="CY412" i="3"/>
  <c r="CY413" i="3"/>
  <c r="CY411" i="3"/>
  <c r="CY332" i="3"/>
  <c r="DB432" i="3"/>
  <c r="DB434" i="3"/>
  <c r="DB335" i="3"/>
  <c r="DB331" i="3"/>
  <c r="CY384" i="3"/>
  <c r="CY385" i="3"/>
  <c r="DB383" i="3"/>
  <c r="CZ385" i="3"/>
  <c r="DA384" i="3"/>
  <c r="DA385" i="3"/>
  <c r="DA411" i="3" l="1"/>
  <c r="DA413" i="3"/>
  <c r="DA412" i="3"/>
  <c r="DA332" i="3"/>
  <c r="DB405" i="3"/>
  <c r="DB410" i="3"/>
  <c r="DB403" i="3"/>
  <c r="CZ332" i="3"/>
  <c r="CZ412" i="3"/>
  <c r="CZ413" i="3"/>
  <c r="CZ411" i="3"/>
  <c r="DB386" i="3"/>
  <c r="DB384" i="3"/>
  <c r="DB332" i="3" l="1"/>
  <c r="DB413" i="3"/>
  <c r="DB411" i="3"/>
  <c r="S94" i="3" l="1"/>
  <c r="S91" i="3"/>
  <c r="T91" i="3" s="1"/>
  <c r="D83" i="3"/>
  <c r="I83" i="3" s="1"/>
  <c r="I92" i="3" s="1"/>
  <c r="B80" i="3"/>
  <c r="N83" i="3" l="1"/>
  <c r="N92" i="3" s="1"/>
  <c r="E80" i="3"/>
  <c r="E89" i="3" s="1"/>
  <c r="C80" i="3"/>
  <c r="H80" i="3" s="1"/>
  <c r="M80" i="3" s="1"/>
  <c r="R80" i="3" s="1"/>
  <c r="D80" i="3"/>
  <c r="D86" i="3" s="1"/>
  <c r="D85" i="3" s="1"/>
  <c r="T94" i="3"/>
  <c r="G80" i="3"/>
  <c r="B89" i="3"/>
  <c r="D92" i="3"/>
  <c r="F86" i="3"/>
  <c r="F82" i="3" s="1"/>
  <c r="B83" i="3"/>
  <c r="B86" i="3" s="1"/>
  <c r="B82" i="3" s="1"/>
  <c r="E83" i="3"/>
  <c r="C83" i="3"/>
  <c r="S83" i="3" l="1"/>
  <c r="X83" i="3" s="1"/>
  <c r="AC83" i="3" s="1"/>
  <c r="AC92" i="3" s="1"/>
  <c r="J80" i="3"/>
  <c r="O80" i="3" s="1"/>
  <c r="T80" i="3" s="1"/>
  <c r="C89" i="3"/>
  <c r="H89" i="3"/>
  <c r="C86" i="3"/>
  <c r="C82" i="3" s="1"/>
  <c r="N93" i="3"/>
  <c r="F85" i="3"/>
  <c r="I80" i="3"/>
  <c r="D89" i="3"/>
  <c r="I93" i="3"/>
  <c r="B92" i="3"/>
  <c r="B95" i="3" s="1"/>
  <c r="B103" i="3" s="1"/>
  <c r="B132" i="3" s="1"/>
  <c r="G83" i="3"/>
  <c r="G92" i="3" s="1"/>
  <c r="B85" i="3"/>
  <c r="D82" i="3"/>
  <c r="L80" i="3"/>
  <c r="Q80" i="3" s="1"/>
  <c r="G89" i="3"/>
  <c r="C92" i="3"/>
  <c r="H83" i="3"/>
  <c r="H92" i="3" s="1"/>
  <c r="M89" i="3"/>
  <c r="J83" i="3"/>
  <c r="E92" i="3"/>
  <c r="E86" i="3"/>
  <c r="E82" i="3" s="1"/>
  <c r="J86" i="3" l="1"/>
  <c r="J82" i="3" s="1"/>
  <c r="S92" i="3"/>
  <c r="S93" i="3" s="1"/>
  <c r="K80" i="3"/>
  <c r="K81" i="3" s="1"/>
  <c r="J89" i="3"/>
  <c r="J90" i="3" s="1"/>
  <c r="X92" i="3"/>
  <c r="F89" i="3"/>
  <c r="F91" i="3" s="1"/>
  <c r="D95" i="3"/>
  <c r="C85" i="3"/>
  <c r="H90" i="3"/>
  <c r="H95" i="3"/>
  <c r="H117" i="3" s="1"/>
  <c r="H119" i="3" s="1"/>
  <c r="AH83" i="3"/>
  <c r="AH92" i="3" s="1"/>
  <c r="AH93" i="3" s="1"/>
  <c r="O83" i="3"/>
  <c r="O92" i="3" s="1"/>
  <c r="J92" i="3"/>
  <c r="K92" i="3" s="1"/>
  <c r="N80" i="3"/>
  <c r="I86" i="3"/>
  <c r="I82" i="3" s="1"/>
  <c r="I89" i="3"/>
  <c r="E95" i="3"/>
  <c r="C95" i="3"/>
  <c r="C117" i="3" s="1"/>
  <c r="H93" i="3"/>
  <c r="B117" i="3"/>
  <c r="G93" i="3"/>
  <c r="G90" i="3"/>
  <c r="G95" i="3"/>
  <c r="G117" i="3" s="1"/>
  <c r="M90" i="3"/>
  <c r="O89" i="3"/>
  <c r="E85" i="3"/>
  <c r="K83" i="3"/>
  <c r="L83" i="3"/>
  <c r="L92" i="3" s="1"/>
  <c r="F92" i="3"/>
  <c r="W80" i="3"/>
  <c r="R89" i="3"/>
  <c r="G86" i="3"/>
  <c r="G85" i="3" s="1"/>
  <c r="M83" i="3"/>
  <c r="M92" i="3" s="1"/>
  <c r="M93" i="3" s="1"/>
  <c r="H86" i="3"/>
  <c r="H85" i="3" s="1"/>
  <c r="L89" i="3"/>
  <c r="J85" i="3"/>
  <c r="J87" i="3"/>
  <c r="B119" i="3" l="1"/>
  <c r="B124" i="3"/>
  <c r="B128" i="3" s="1"/>
  <c r="D117" i="3"/>
  <c r="D119" i="3" s="1"/>
  <c r="D103" i="3"/>
  <c r="D132" i="3" s="1"/>
  <c r="P80" i="3"/>
  <c r="P81" i="3" s="1"/>
  <c r="S80" i="3"/>
  <c r="U80" i="3" s="1"/>
  <c r="X93" i="3"/>
  <c r="K89" i="3"/>
  <c r="K91" i="3" s="1"/>
  <c r="AC93" i="3"/>
  <c r="J95" i="3"/>
  <c r="J96" i="3" s="1"/>
  <c r="G119" i="3"/>
  <c r="G124" i="3"/>
  <c r="L118" i="3"/>
  <c r="AM83" i="3"/>
  <c r="AM92" i="3" s="1"/>
  <c r="AM93" i="3" s="1"/>
  <c r="D97" i="3"/>
  <c r="C119" i="3"/>
  <c r="J93" i="3"/>
  <c r="O86" i="3"/>
  <c r="O87" i="3" s="1"/>
  <c r="T83" i="3"/>
  <c r="T92" i="3" s="1"/>
  <c r="T93" i="3" s="1"/>
  <c r="L86" i="3"/>
  <c r="L87" i="3" s="1"/>
  <c r="K94" i="3"/>
  <c r="H97" i="3"/>
  <c r="E97" i="3"/>
  <c r="L93" i="3"/>
  <c r="P92" i="3"/>
  <c r="P93" i="3" s="1"/>
  <c r="I87" i="3"/>
  <c r="I85" i="3"/>
  <c r="N86" i="3"/>
  <c r="N89" i="3"/>
  <c r="O93" i="3"/>
  <c r="M95" i="3"/>
  <c r="M146" i="3" s="1"/>
  <c r="I90" i="3"/>
  <c r="I95" i="3"/>
  <c r="F94" i="3"/>
  <c r="F95" i="3"/>
  <c r="K93" i="3"/>
  <c r="C97" i="3"/>
  <c r="H96" i="3"/>
  <c r="R90" i="3"/>
  <c r="G97" i="3"/>
  <c r="G96" i="3"/>
  <c r="O95" i="3"/>
  <c r="O146" i="3" s="1"/>
  <c r="O90" i="3"/>
  <c r="L95" i="3"/>
  <c r="L90" i="3"/>
  <c r="H87" i="3"/>
  <c r="H82" i="3"/>
  <c r="R83" i="3"/>
  <c r="R92" i="3" s="1"/>
  <c r="R93" i="3" s="1"/>
  <c r="M86" i="3"/>
  <c r="W89" i="3"/>
  <c r="AB80" i="3"/>
  <c r="G87" i="3"/>
  <c r="G82" i="3"/>
  <c r="K84" i="3"/>
  <c r="K86" i="3"/>
  <c r="K85" i="3" s="1"/>
  <c r="Y80" i="3"/>
  <c r="T89" i="3"/>
  <c r="Q83" i="3"/>
  <c r="V83" i="3" s="1"/>
  <c r="V92" i="3" s="1"/>
  <c r="P83" i="3"/>
  <c r="V80" i="3"/>
  <c r="V89" i="3" s="1"/>
  <c r="Q89" i="3"/>
  <c r="P86" i="3" l="1"/>
  <c r="P82" i="3" s="1"/>
  <c r="K95" i="3"/>
  <c r="K96" i="3" s="1"/>
  <c r="K90" i="3"/>
  <c r="L82" i="3"/>
  <c r="L85" i="3"/>
  <c r="Y83" i="3"/>
  <c r="Y92" i="3" s="1"/>
  <c r="Y93" i="3" s="1"/>
  <c r="M96" i="3"/>
  <c r="AR83" i="3"/>
  <c r="AR92" i="3" s="1"/>
  <c r="AR93" i="3" s="1"/>
  <c r="V95" i="3"/>
  <c r="M97" i="3"/>
  <c r="L146" i="3"/>
  <c r="O149" i="3"/>
  <c r="O82" i="3"/>
  <c r="J97" i="3"/>
  <c r="I117" i="3"/>
  <c r="I119" i="3" s="1"/>
  <c r="M149" i="3"/>
  <c r="O85" i="3"/>
  <c r="L125" i="3"/>
  <c r="T86" i="3"/>
  <c r="T87" i="3" s="1"/>
  <c r="N90" i="3"/>
  <c r="N95" i="3"/>
  <c r="N87" i="3"/>
  <c r="N82" i="3"/>
  <c r="N85" i="3"/>
  <c r="S89" i="3"/>
  <c r="X80" i="3"/>
  <c r="Z80" i="3" s="1"/>
  <c r="S86" i="3"/>
  <c r="S82" i="3" s="1"/>
  <c r="I97" i="3"/>
  <c r="I96" i="3"/>
  <c r="P89" i="3"/>
  <c r="P91" i="3" s="1"/>
  <c r="R95" i="3"/>
  <c r="R96" i="3" s="1"/>
  <c r="Q86" i="3"/>
  <c r="Q82" i="3" s="1"/>
  <c r="Q92" i="3"/>
  <c r="W90" i="3"/>
  <c r="O96" i="3"/>
  <c r="Q90" i="3"/>
  <c r="T95" i="3"/>
  <c r="T146" i="3" s="1"/>
  <c r="T90" i="3"/>
  <c r="L97" i="3"/>
  <c r="L96" i="3"/>
  <c r="M82" i="3"/>
  <c r="M87" i="3"/>
  <c r="U81" i="3"/>
  <c r="AB89" i="3"/>
  <c r="AG80" i="3"/>
  <c r="W83" i="3"/>
  <c r="W92" i="3" s="1"/>
  <c r="W93" i="3" s="1"/>
  <c r="R86" i="3"/>
  <c r="R85" i="3" s="1"/>
  <c r="AA80" i="3"/>
  <c r="AD80" i="3"/>
  <c r="Y89" i="3"/>
  <c r="U83" i="3"/>
  <c r="K87" i="3"/>
  <c r="K82" i="3"/>
  <c r="P94" i="3"/>
  <c r="P84" i="3"/>
  <c r="M85" i="3"/>
  <c r="P85" i="3" l="1"/>
  <c r="P87" i="3"/>
  <c r="Y86" i="3"/>
  <c r="Y87" i="3" s="1"/>
  <c r="M148" i="3"/>
  <c r="L149" i="3"/>
  <c r="AD83" i="3"/>
  <c r="AD92" i="3" s="1"/>
  <c r="AW83" i="3"/>
  <c r="BB83" i="3" s="1"/>
  <c r="T85" i="3"/>
  <c r="Q85" i="3"/>
  <c r="T82" i="3"/>
  <c r="O97" i="3"/>
  <c r="N146" i="3"/>
  <c r="P146" i="3" s="1"/>
  <c r="P149" i="3" s="1"/>
  <c r="Q87" i="3"/>
  <c r="T149" i="3"/>
  <c r="T147" i="3"/>
  <c r="V146" i="3"/>
  <c r="V103" i="3"/>
  <c r="V155" i="3" s="1"/>
  <c r="P90" i="3"/>
  <c r="P95" i="3"/>
  <c r="P96" i="3" s="1"/>
  <c r="X89" i="3"/>
  <c r="Z89" i="3" s="1"/>
  <c r="AC80" i="3"/>
  <c r="AE80" i="3" s="1"/>
  <c r="X86" i="3"/>
  <c r="X82" i="3" s="1"/>
  <c r="W95" i="3"/>
  <c r="S90" i="3"/>
  <c r="S95" i="3"/>
  <c r="T97" i="3" s="1"/>
  <c r="Q93" i="3"/>
  <c r="U92" i="3"/>
  <c r="U93" i="3" s="1"/>
  <c r="V93" i="3"/>
  <c r="Z92" i="3"/>
  <c r="S87" i="3"/>
  <c r="S85" i="3"/>
  <c r="Q95" i="3"/>
  <c r="N97" i="3"/>
  <c r="N96" i="3"/>
  <c r="U89" i="3"/>
  <c r="U91" i="3" s="1"/>
  <c r="AB90" i="3"/>
  <c r="T96" i="3"/>
  <c r="V90" i="3"/>
  <c r="Y95" i="3"/>
  <c r="Y146" i="3" s="1"/>
  <c r="Y90" i="3"/>
  <c r="U84" i="3"/>
  <c r="Z81" i="3"/>
  <c r="U86" i="3"/>
  <c r="R87" i="3"/>
  <c r="R82" i="3"/>
  <c r="AI83" i="3"/>
  <c r="AI92" i="3" s="1"/>
  <c r="AB83" i="3"/>
  <c r="AB92" i="3" s="1"/>
  <c r="AB93" i="3" s="1"/>
  <c r="W86" i="3"/>
  <c r="W85" i="3" s="1"/>
  <c r="AA89" i="3"/>
  <c r="AF80" i="3"/>
  <c r="AA83" i="3"/>
  <c r="AA92" i="3" s="1"/>
  <c r="AA93" i="3" s="1"/>
  <c r="Z83" i="3"/>
  <c r="Z86" i="3" s="1"/>
  <c r="AI80" i="3"/>
  <c r="AG89" i="3"/>
  <c r="AL80" i="3"/>
  <c r="V86" i="3"/>
  <c r="V85" i="3" s="1"/>
  <c r="AD86" i="3" l="1"/>
  <c r="AD85" i="3" s="1"/>
  <c r="Y85" i="3"/>
  <c r="Y82" i="3"/>
  <c r="BB92" i="3"/>
  <c r="BG83" i="3"/>
  <c r="BL83" i="3" s="1"/>
  <c r="BQ83" i="3" s="1"/>
  <c r="AW92" i="3"/>
  <c r="AW93" i="3" s="1"/>
  <c r="W97" i="3"/>
  <c r="W146" i="3"/>
  <c r="R97" i="3"/>
  <c r="V149" i="3"/>
  <c r="V148" i="3"/>
  <c r="Y149" i="3"/>
  <c r="Y147" i="3"/>
  <c r="AD147" i="3"/>
  <c r="N149" i="3"/>
  <c r="N148" i="3"/>
  <c r="O148" i="3"/>
  <c r="U90" i="3"/>
  <c r="U95" i="3"/>
  <c r="U96" i="3" s="1"/>
  <c r="Q96" i="3"/>
  <c r="Q97" i="3"/>
  <c r="Z87" i="3"/>
  <c r="W96" i="3"/>
  <c r="X87" i="3"/>
  <c r="X85" i="3"/>
  <c r="U94" i="3"/>
  <c r="AB95" i="3"/>
  <c r="AB146" i="3" s="1"/>
  <c r="AC89" i="3"/>
  <c r="AC86" i="3"/>
  <c r="AH80" i="3"/>
  <c r="AJ80" i="3" s="1"/>
  <c r="S96" i="3"/>
  <c r="S97" i="3"/>
  <c r="Z93" i="3"/>
  <c r="X90" i="3"/>
  <c r="X95" i="3"/>
  <c r="AG90" i="3"/>
  <c r="Y96" i="3"/>
  <c r="V97" i="3"/>
  <c r="V96" i="3"/>
  <c r="AA95" i="3"/>
  <c r="AA146" i="3" s="1"/>
  <c r="AA90" i="3"/>
  <c r="Z91" i="3"/>
  <c r="Z95" i="3"/>
  <c r="Z90" i="3"/>
  <c r="AQ80" i="3"/>
  <c r="AL89" i="3"/>
  <c r="W82" i="3"/>
  <c r="W87" i="3"/>
  <c r="AG83" i="3"/>
  <c r="AG92" i="3" s="1"/>
  <c r="AG93" i="3" s="1"/>
  <c r="AB86" i="3"/>
  <c r="U87" i="3"/>
  <c r="U82" i="3"/>
  <c r="Z82" i="3"/>
  <c r="AI86" i="3"/>
  <c r="AI87" i="3" s="1"/>
  <c r="AI89" i="3"/>
  <c r="AN80" i="3"/>
  <c r="AF83" i="3"/>
  <c r="AF92" i="3" s="1"/>
  <c r="AE83" i="3"/>
  <c r="AE81" i="3"/>
  <c r="AK80" i="3"/>
  <c r="AF89" i="3"/>
  <c r="U85" i="3"/>
  <c r="V87" i="3"/>
  <c r="V82" i="3"/>
  <c r="Z94" i="3"/>
  <c r="Z84" i="3"/>
  <c r="Z85" i="3"/>
  <c r="AA86" i="3"/>
  <c r="AA85" i="3" s="1"/>
  <c r="AN83" i="3"/>
  <c r="AN92" i="3" s="1"/>
  <c r="AD82" i="3" l="1"/>
  <c r="AD87" i="3"/>
  <c r="Z96" i="3"/>
  <c r="BV83" i="3"/>
  <c r="BQ92" i="3"/>
  <c r="AI85" i="3"/>
  <c r="BB93" i="3"/>
  <c r="BG92" i="3"/>
  <c r="BG93" i="3" s="1"/>
  <c r="AA149" i="3"/>
  <c r="AA148" i="3"/>
  <c r="AA147" i="3"/>
  <c r="AF147" i="3"/>
  <c r="AB149" i="3"/>
  <c r="AB147" i="3"/>
  <c r="AB148" i="3"/>
  <c r="AG147" i="3"/>
  <c r="W149" i="3"/>
  <c r="W148" i="3"/>
  <c r="Y97" i="3"/>
  <c r="X146" i="3"/>
  <c r="AG95" i="3"/>
  <c r="AG67" i="3" s="1"/>
  <c r="AG163" i="3" s="1"/>
  <c r="AG160" i="3" s="1"/>
  <c r="AC95" i="3"/>
  <c r="AC146" i="3" s="1"/>
  <c r="AC90" i="3"/>
  <c r="X96" i="3"/>
  <c r="X97" i="3"/>
  <c r="AF93" i="3"/>
  <c r="AJ92" i="3"/>
  <c r="AB96" i="3"/>
  <c r="AN93" i="3"/>
  <c r="AH86" i="3"/>
  <c r="AH82" i="3" s="1"/>
  <c r="AH89" i="3"/>
  <c r="AJ89" i="3" s="1"/>
  <c r="AM80" i="3"/>
  <c r="AO80" i="3" s="1"/>
  <c r="AC85" i="3"/>
  <c r="AC87" i="3"/>
  <c r="AI82" i="3"/>
  <c r="AC82" i="3"/>
  <c r="AA96" i="3"/>
  <c r="AA97" i="3"/>
  <c r="AL90" i="3"/>
  <c r="AI95" i="3"/>
  <c r="AI67" i="3" s="1"/>
  <c r="AI163" i="3" s="1"/>
  <c r="AF90" i="3"/>
  <c r="AF95" i="3"/>
  <c r="AF103" i="3" s="1"/>
  <c r="AB97" i="3"/>
  <c r="AE84" i="3"/>
  <c r="AK83" i="3"/>
  <c r="AK92" i="3" s="1"/>
  <c r="AJ83" i="3"/>
  <c r="AB87" i="3"/>
  <c r="AB82" i="3"/>
  <c r="AB85" i="3"/>
  <c r="AL83" i="3"/>
  <c r="AL92" i="3" s="1"/>
  <c r="AL93" i="3" s="1"/>
  <c r="AG86" i="3"/>
  <c r="AJ81" i="3"/>
  <c r="AS83" i="3"/>
  <c r="AS92" i="3" s="1"/>
  <c r="AS93" i="3" s="1"/>
  <c r="AF86" i="3"/>
  <c r="AF85" i="3" s="1"/>
  <c r="AA87" i="3"/>
  <c r="AA82" i="3"/>
  <c r="AP80" i="3"/>
  <c r="AK89" i="3"/>
  <c r="AN86" i="3"/>
  <c r="AN87" i="3" s="1"/>
  <c r="AN89" i="3"/>
  <c r="AS80" i="3"/>
  <c r="AQ89" i="3"/>
  <c r="AV80" i="3"/>
  <c r="AE86" i="3"/>
  <c r="CA83" i="3" l="1"/>
  <c r="BV92" i="3"/>
  <c r="BV93" i="3" s="1"/>
  <c r="AG96" i="3"/>
  <c r="AI160" i="3"/>
  <c r="AI174" i="3" s="1"/>
  <c r="AG174" i="3"/>
  <c r="AF96" i="3"/>
  <c r="AF67" i="3"/>
  <c r="AC149" i="3"/>
  <c r="AC148" i="3"/>
  <c r="AC147" i="3"/>
  <c r="AD148" i="3"/>
  <c r="AH147" i="3"/>
  <c r="AG68" i="3"/>
  <c r="X149" i="3"/>
  <c r="X148" i="3"/>
  <c r="Z146" i="3"/>
  <c r="Y148" i="3"/>
  <c r="AE146" i="3"/>
  <c r="AK86" i="3"/>
  <c r="AK82" i="3" s="1"/>
  <c r="AL95" i="3"/>
  <c r="AL67" i="3" s="1"/>
  <c r="AL163" i="3" s="1"/>
  <c r="AO92" i="3"/>
  <c r="AO93" i="3" s="1"/>
  <c r="AK93" i="3"/>
  <c r="AM86" i="3"/>
  <c r="AM89" i="3"/>
  <c r="AO89" i="3" s="1"/>
  <c r="AR80" i="3"/>
  <c r="AT80" i="3" s="1"/>
  <c r="AH85" i="3"/>
  <c r="AH87" i="3"/>
  <c r="AH95" i="3"/>
  <c r="AH67" i="3" s="1"/>
  <c r="AH90" i="3"/>
  <c r="AC97" i="3"/>
  <c r="AC96" i="3"/>
  <c r="AN90" i="3"/>
  <c r="AN95" i="3"/>
  <c r="AN67" i="3" s="1"/>
  <c r="AK90" i="3"/>
  <c r="AK95" i="3"/>
  <c r="AQ90" i="3"/>
  <c r="AG97" i="3"/>
  <c r="AJ91" i="3"/>
  <c r="AJ95" i="3"/>
  <c r="AN85" i="3"/>
  <c r="AE87" i="3"/>
  <c r="AE82" i="3"/>
  <c r="AX83" i="3"/>
  <c r="AX92" i="3" s="1"/>
  <c r="AX93" i="3" s="1"/>
  <c r="BA80" i="3"/>
  <c r="AV89" i="3"/>
  <c r="AO81" i="3"/>
  <c r="AF87" i="3"/>
  <c r="AF82" i="3"/>
  <c r="AJ94" i="3"/>
  <c r="AJ84" i="3"/>
  <c r="AP89" i="3"/>
  <c r="AU80" i="3"/>
  <c r="AG87" i="3"/>
  <c r="AG82" i="3"/>
  <c r="AO83" i="3"/>
  <c r="AP83" i="3"/>
  <c r="AP92" i="3" s="1"/>
  <c r="AN82" i="3"/>
  <c r="AQ83" i="3"/>
  <c r="AQ92" i="3" s="1"/>
  <c r="AQ93" i="3" s="1"/>
  <c r="AL86" i="3"/>
  <c r="AL85" i="3" s="1"/>
  <c r="AE85" i="3"/>
  <c r="AJ86" i="3"/>
  <c r="AJ85" i="3" s="1"/>
  <c r="AS86" i="3"/>
  <c r="AS87" i="3" s="1"/>
  <c r="AX80" i="3"/>
  <c r="AS89" i="3"/>
  <c r="AG85" i="3"/>
  <c r="AF163" i="3" l="1"/>
  <c r="AF160" i="3" s="1"/>
  <c r="AF174" i="3" s="1"/>
  <c r="AN163" i="3"/>
  <c r="AN160" i="3" s="1"/>
  <c r="AH69" i="3"/>
  <c r="AH163" i="3"/>
  <c r="AH160" i="3" s="1"/>
  <c r="AH161" i="3" s="1"/>
  <c r="AI69" i="3"/>
  <c r="AG69" i="3"/>
  <c r="AI169" i="3"/>
  <c r="CF83" i="3"/>
  <c r="CA92" i="3"/>
  <c r="CA93" i="3" s="1"/>
  <c r="AG175" i="3"/>
  <c r="AG161" i="3"/>
  <c r="BA89" i="3"/>
  <c r="BA90" i="3" s="1"/>
  <c r="BF80" i="3"/>
  <c r="BK80" i="3" s="1"/>
  <c r="BP80" i="3" s="1"/>
  <c r="AG169" i="3"/>
  <c r="AK85" i="3"/>
  <c r="AL161" i="3"/>
  <c r="AN68" i="3"/>
  <c r="AL97" i="3"/>
  <c r="AK67" i="3"/>
  <c r="AL68" i="3"/>
  <c r="AE149" i="3"/>
  <c r="AE147" i="3"/>
  <c r="AJ147" i="3"/>
  <c r="AK87" i="3"/>
  <c r="AH68" i="3"/>
  <c r="Z149" i="3"/>
  <c r="AJ67" i="3"/>
  <c r="AF68" i="3"/>
  <c r="AL96" i="3"/>
  <c r="AS82" i="3"/>
  <c r="AH96" i="3"/>
  <c r="AH97" i="3"/>
  <c r="AT92" i="3"/>
  <c r="AT93" i="3" s="1"/>
  <c r="AP93" i="3"/>
  <c r="AN96" i="3"/>
  <c r="AI97" i="3"/>
  <c r="AS85" i="3"/>
  <c r="AR86" i="3"/>
  <c r="AR89" i="3"/>
  <c r="AT89" i="3" s="1"/>
  <c r="AW80" i="3"/>
  <c r="AM90" i="3"/>
  <c r="AM95" i="3"/>
  <c r="AM67" i="3" s="1"/>
  <c r="AM82" i="3"/>
  <c r="AM85" i="3"/>
  <c r="AM87" i="3"/>
  <c r="AQ95" i="3"/>
  <c r="AV90" i="3"/>
  <c r="AP95" i="3"/>
  <c r="AP90" i="3"/>
  <c r="AK97" i="3"/>
  <c r="AK96" i="3"/>
  <c r="AO91" i="3"/>
  <c r="AO90" i="3"/>
  <c r="AO95" i="3"/>
  <c r="AO96" i="3" s="1"/>
  <c r="AS90" i="3"/>
  <c r="AS95" i="3"/>
  <c r="AS67" i="3" s="1"/>
  <c r="AS163" i="3" s="1"/>
  <c r="AV83" i="3"/>
  <c r="AV92" i="3" s="1"/>
  <c r="AV93" i="3" s="1"/>
  <c r="AQ86" i="3"/>
  <c r="BC83" i="3"/>
  <c r="AT83" i="3"/>
  <c r="AT86" i="3" s="1"/>
  <c r="AU83" i="3"/>
  <c r="AU92" i="3" s="1"/>
  <c r="AO94" i="3"/>
  <c r="AO84" i="3"/>
  <c r="AX86" i="3"/>
  <c r="AX87" i="3" s="1"/>
  <c r="AX89" i="3"/>
  <c r="BC80" i="3"/>
  <c r="BH80" i="3" s="1"/>
  <c r="AO86" i="3"/>
  <c r="AO85" i="3" s="1"/>
  <c r="AJ87" i="3"/>
  <c r="AJ82" i="3"/>
  <c r="AP86" i="3"/>
  <c r="AP85" i="3" s="1"/>
  <c r="AZ80" i="3"/>
  <c r="BE80" i="3" s="1"/>
  <c r="BJ80" i="3" s="1"/>
  <c r="BO80" i="3" s="1"/>
  <c r="AU89" i="3"/>
  <c r="AL87" i="3"/>
  <c r="AL82" i="3"/>
  <c r="AT81" i="3"/>
  <c r="BM80" i="3" l="1"/>
  <c r="BH89" i="3"/>
  <c r="AK69" i="3"/>
  <c r="AK163" i="3"/>
  <c r="AM69" i="3"/>
  <c r="AM163" i="3"/>
  <c r="AM160" i="3" s="1"/>
  <c r="AM162" i="3" s="1"/>
  <c r="AP67" i="3"/>
  <c r="AP68" i="3" s="1"/>
  <c r="AL69" i="3"/>
  <c r="AN69" i="3"/>
  <c r="AG170" i="3"/>
  <c r="BU80" i="3"/>
  <c r="BT80" i="3"/>
  <c r="CK83" i="3"/>
  <c r="CF92" i="3"/>
  <c r="CF93" i="3" s="1"/>
  <c r="BR80" i="3"/>
  <c r="AG176" i="3"/>
  <c r="AF175" i="3"/>
  <c r="AJ160" i="3"/>
  <c r="AJ174" i="3" s="1"/>
  <c r="BC92" i="3"/>
  <c r="BC93" i="3" s="1"/>
  <c r="BH83" i="3"/>
  <c r="BH92" i="3" s="1"/>
  <c r="AF169" i="3"/>
  <c r="AF161" i="3"/>
  <c r="AI162" i="3"/>
  <c r="AL169" i="3"/>
  <c r="AG162" i="3"/>
  <c r="AH169" i="3"/>
  <c r="AH171" i="3" s="1"/>
  <c r="AH162" i="3"/>
  <c r="AH174" i="3"/>
  <c r="AS160" i="3"/>
  <c r="AS161" i="3" s="1"/>
  <c r="AK160" i="3"/>
  <c r="AN169" i="3"/>
  <c r="AN161" i="3"/>
  <c r="AN97" i="3"/>
  <c r="AQ96" i="3"/>
  <c r="AQ67" i="3"/>
  <c r="AM68" i="3"/>
  <c r="AS68" i="3"/>
  <c r="AO67" i="3"/>
  <c r="AK68" i="3"/>
  <c r="AU86" i="3"/>
  <c r="AU82" i="3" s="1"/>
  <c r="AR85" i="3"/>
  <c r="AR87" i="3"/>
  <c r="AR82" i="3"/>
  <c r="AY92" i="3"/>
  <c r="AY93" i="3" s="1"/>
  <c r="AU93" i="3"/>
  <c r="AW89" i="3"/>
  <c r="AY89" i="3" s="1"/>
  <c r="AW86" i="3"/>
  <c r="AW82" i="3" s="1"/>
  <c r="BB80" i="3"/>
  <c r="BG80" i="3" s="1"/>
  <c r="BL80" i="3" s="1"/>
  <c r="BQ80" i="3" s="1"/>
  <c r="AQ97" i="3"/>
  <c r="AM96" i="3"/>
  <c r="AM97" i="3"/>
  <c r="AY80" i="3"/>
  <c r="AY81" i="3" s="1"/>
  <c r="AT87" i="3"/>
  <c r="AR95" i="3"/>
  <c r="AR67" i="3" s="1"/>
  <c r="AR163" i="3" s="1"/>
  <c r="AR90" i="3"/>
  <c r="AV95" i="3"/>
  <c r="AS96" i="3"/>
  <c r="AX95" i="3"/>
  <c r="AX90" i="3"/>
  <c r="AU90" i="3"/>
  <c r="AU95" i="3"/>
  <c r="AU67" i="3" s="1"/>
  <c r="AU163" i="3" s="1"/>
  <c r="AT91" i="3"/>
  <c r="AZ91" i="3" s="1"/>
  <c r="BF91" i="3" s="1"/>
  <c r="BF89" i="3" s="1"/>
  <c r="AT90" i="3"/>
  <c r="AT95" i="3"/>
  <c r="AT96" i="3" s="1"/>
  <c r="AP97" i="3"/>
  <c r="AP96" i="3"/>
  <c r="AY83" i="3"/>
  <c r="AZ83" i="3"/>
  <c r="AP87" i="3"/>
  <c r="AP82" i="3"/>
  <c r="AT85" i="3"/>
  <c r="AT94" i="3"/>
  <c r="AT84" i="3"/>
  <c r="AX85" i="3"/>
  <c r="AX82" i="3"/>
  <c r="AQ87" i="3"/>
  <c r="AQ82" i="3"/>
  <c r="BC86" i="3"/>
  <c r="BC87" i="3" s="1"/>
  <c r="BC89" i="3"/>
  <c r="BA83" i="3"/>
  <c r="AV86" i="3"/>
  <c r="AV85" i="3" s="1"/>
  <c r="AT82" i="3"/>
  <c r="AO87" i="3"/>
  <c r="AO82" i="3"/>
  <c r="AQ85" i="3"/>
  <c r="BH86" i="3" l="1"/>
  <c r="AP69" i="3"/>
  <c r="AP163" i="3"/>
  <c r="AP160" i="3" s="1"/>
  <c r="AP174" i="3" s="1"/>
  <c r="AQ69" i="3"/>
  <c r="AQ163" i="3"/>
  <c r="AQ160" i="3" s="1"/>
  <c r="AQ169" i="3" s="1"/>
  <c r="AL170" i="3"/>
  <c r="AR69" i="3"/>
  <c r="AG171" i="3"/>
  <c r="AS69" i="3"/>
  <c r="AU160" i="3"/>
  <c r="AU169" i="3" s="1"/>
  <c r="AU69" i="3"/>
  <c r="AI171" i="3"/>
  <c r="CP83" i="3"/>
  <c r="CK92" i="3"/>
  <c r="CK93" i="3" s="1"/>
  <c r="BY80" i="3"/>
  <c r="BQ86" i="3"/>
  <c r="BQ82" i="3" s="1"/>
  <c r="BV80" i="3"/>
  <c r="BZ80" i="3"/>
  <c r="AJ163" i="3"/>
  <c r="BH82" i="3"/>
  <c r="BM83" i="3"/>
  <c r="BW80" i="3"/>
  <c r="CB80" i="3" s="1"/>
  <c r="BL86" i="3"/>
  <c r="AI176" i="3"/>
  <c r="AH175" i="3"/>
  <c r="AH176" i="3"/>
  <c r="AF170" i="3"/>
  <c r="BA92" i="3"/>
  <c r="BA95" i="3" s="1"/>
  <c r="BF83" i="3"/>
  <c r="BK83" i="3" s="1"/>
  <c r="BP83" i="3" s="1"/>
  <c r="AZ89" i="3"/>
  <c r="AZ90" i="3" s="1"/>
  <c r="AZ92" i="3"/>
  <c r="BE83" i="3"/>
  <c r="BJ83" i="3" s="1"/>
  <c r="BO83" i="3" s="1"/>
  <c r="BG86" i="3"/>
  <c r="BG82" i="3" s="1"/>
  <c r="BG89" i="3"/>
  <c r="BI80" i="3"/>
  <c r="BN80" i="3" s="1"/>
  <c r="AS174" i="3"/>
  <c r="AN162" i="3"/>
  <c r="AM161" i="3"/>
  <c r="AJ169" i="3"/>
  <c r="AJ165" i="3" s="1"/>
  <c r="AM169" i="3"/>
  <c r="AM171" i="3" s="1"/>
  <c r="AH170" i="3"/>
  <c r="AO68" i="3"/>
  <c r="AS169" i="3"/>
  <c r="AY86" i="3"/>
  <c r="AY85" i="3" s="1"/>
  <c r="AK169" i="3"/>
  <c r="AK171" i="3" s="1"/>
  <c r="AK161" i="3"/>
  <c r="AO160" i="3"/>
  <c r="AK162" i="3"/>
  <c r="AL162" i="3"/>
  <c r="AR160" i="3"/>
  <c r="AR174" i="3" s="1"/>
  <c r="AN170" i="3"/>
  <c r="AS97" i="3"/>
  <c r="AV96" i="3"/>
  <c r="AR68" i="3"/>
  <c r="AU68" i="3"/>
  <c r="AQ68" i="3"/>
  <c r="AT67" i="3"/>
  <c r="AU85" i="3"/>
  <c r="AZ86" i="3"/>
  <c r="AZ87" i="3" s="1"/>
  <c r="AU87" i="3"/>
  <c r="BC82" i="3"/>
  <c r="BB86" i="3"/>
  <c r="BB82" i="3" s="1"/>
  <c r="BB89" i="3"/>
  <c r="BD80" i="3"/>
  <c r="BD81" i="3" s="1"/>
  <c r="AW85" i="3"/>
  <c r="AW87" i="3"/>
  <c r="AW95" i="3"/>
  <c r="AW90" i="3"/>
  <c r="AR97" i="3"/>
  <c r="AR96" i="3"/>
  <c r="AX96" i="3"/>
  <c r="AY91" i="3"/>
  <c r="AY95" i="3"/>
  <c r="AY96" i="3" s="1"/>
  <c r="AY90" i="3"/>
  <c r="BC95" i="3"/>
  <c r="BC90" i="3"/>
  <c r="AU96" i="3"/>
  <c r="AU97" i="3"/>
  <c r="AV97" i="3"/>
  <c r="BD83" i="3"/>
  <c r="AY84" i="3"/>
  <c r="AY94" i="3"/>
  <c r="AV87" i="3"/>
  <c r="AV82" i="3"/>
  <c r="BA86" i="3"/>
  <c r="BA85" i="3" s="1"/>
  <c r="BC85" i="3"/>
  <c r="AP169" i="3" l="1"/>
  <c r="AP171" i="3" s="1"/>
  <c r="AP162" i="3"/>
  <c r="AP161" i="3"/>
  <c r="BA103" i="3"/>
  <c r="BA75" i="3" s="1"/>
  <c r="BA67" i="3"/>
  <c r="BC103" i="3"/>
  <c r="AU171" i="3"/>
  <c r="AS170" i="3"/>
  <c r="AN171" i="3"/>
  <c r="AL171" i="3"/>
  <c r="BH85" i="3"/>
  <c r="BH87" i="3"/>
  <c r="BV86" i="3"/>
  <c r="BV82" i="3" s="1"/>
  <c r="CA80" i="3"/>
  <c r="BE91" i="3"/>
  <c r="BE89" i="3" s="1"/>
  <c r="BE90" i="3" s="1"/>
  <c r="BS80" i="3"/>
  <c r="BT83" i="3"/>
  <c r="BO92" i="3"/>
  <c r="BO86" i="3"/>
  <c r="BO85" i="3" s="1"/>
  <c r="CG80" i="3"/>
  <c r="CD80" i="3"/>
  <c r="CE80" i="3"/>
  <c r="BQ87" i="3"/>
  <c r="BQ85" i="3"/>
  <c r="BP86" i="3"/>
  <c r="BU83" i="3"/>
  <c r="BP92" i="3"/>
  <c r="CU83" i="3"/>
  <c r="CP92" i="3"/>
  <c r="CP93" i="3" s="1"/>
  <c r="AZ95" i="3"/>
  <c r="AZ103" i="3" s="1"/>
  <c r="BL87" i="3"/>
  <c r="BL85" i="3"/>
  <c r="BK86" i="3"/>
  <c r="BK85" i="3" s="1"/>
  <c r="BL82" i="3"/>
  <c r="BR83" i="3"/>
  <c r="BM86" i="3"/>
  <c r="BJ86" i="3"/>
  <c r="BJ85" i="3" s="1"/>
  <c r="BA93" i="3"/>
  <c r="AS176" i="3"/>
  <c r="BD89" i="3"/>
  <c r="BD91" i="3" s="1"/>
  <c r="BE92" i="3"/>
  <c r="BE86" i="3"/>
  <c r="BD92" i="3"/>
  <c r="BD93" i="3" s="1"/>
  <c r="BI83" i="3"/>
  <c r="BN83" i="3" s="1"/>
  <c r="BN86" i="3" s="1"/>
  <c r="BF86" i="3"/>
  <c r="AZ93" i="3"/>
  <c r="BI81" i="3"/>
  <c r="BG90" i="3"/>
  <c r="BG95" i="3"/>
  <c r="AY87" i="3"/>
  <c r="BG87" i="3"/>
  <c r="BG85" i="3"/>
  <c r="AU174" i="3"/>
  <c r="AU176" i="3" s="1"/>
  <c r="AY82" i="3"/>
  <c r="AM170" i="3"/>
  <c r="AU161" i="3"/>
  <c r="AU162" i="3"/>
  <c r="AQ174" i="3"/>
  <c r="AQ162" i="3"/>
  <c r="AT68" i="3"/>
  <c r="AQ161" i="3"/>
  <c r="AQ170" i="3"/>
  <c r="AR169" i="3"/>
  <c r="AR171" i="3" s="1"/>
  <c r="AR161" i="3"/>
  <c r="AR162" i="3"/>
  <c r="AS162" i="3"/>
  <c r="AO161" i="3"/>
  <c r="AO163" i="3"/>
  <c r="AK170" i="3"/>
  <c r="AO169" i="3"/>
  <c r="AT160" i="3"/>
  <c r="AT174" i="3" s="1"/>
  <c r="AZ85" i="3"/>
  <c r="BA96" i="3"/>
  <c r="AZ82" i="3"/>
  <c r="AW96" i="3"/>
  <c r="AW97" i="3"/>
  <c r="BB95" i="3"/>
  <c r="BB103" i="3" s="1"/>
  <c r="BB90" i="3"/>
  <c r="BB87" i="3"/>
  <c r="BB85" i="3"/>
  <c r="AX97" i="3"/>
  <c r="BC96" i="3"/>
  <c r="BD84" i="3"/>
  <c r="BD86" i="3"/>
  <c r="BD85" i="3" s="1"/>
  <c r="BA87" i="3"/>
  <c r="BA82" i="3"/>
  <c r="AU170" i="3" l="1"/>
  <c r="AP170" i="3"/>
  <c r="AQ171" i="3"/>
  <c r="BE95" i="3"/>
  <c r="BE103" i="3" s="1"/>
  <c r="AS171" i="3"/>
  <c r="AZ96" i="3"/>
  <c r="BA97" i="3"/>
  <c r="AZ97" i="3"/>
  <c r="BN82" i="3"/>
  <c r="BY83" i="3"/>
  <c r="BT92" i="3"/>
  <c r="BT93" i="3" s="1"/>
  <c r="BT86" i="3"/>
  <c r="CJ80" i="3"/>
  <c r="BP87" i="3"/>
  <c r="BP82" i="3"/>
  <c r="CI80" i="3"/>
  <c r="CZ83" i="3"/>
  <c r="CU92" i="3"/>
  <c r="CU93" i="3" s="1"/>
  <c r="BP85" i="3"/>
  <c r="CL80" i="3"/>
  <c r="BS83" i="3"/>
  <c r="BS86" i="3" s="1"/>
  <c r="BN85" i="3"/>
  <c r="CA86" i="3"/>
  <c r="CA82" i="3" s="1"/>
  <c r="CF80" i="3"/>
  <c r="BU86" i="3"/>
  <c r="BZ83" i="3"/>
  <c r="BU92" i="3"/>
  <c r="BU93" i="3" s="1"/>
  <c r="BO87" i="3"/>
  <c r="BO82" i="3"/>
  <c r="BV87" i="3"/>
  <c r="BV85" i="3"/>
  <c r="BD90" i="3"/>
  <c r="BJ87" i="3"/>
  <c r="BJ82" i="3"/>
  <c r="BM82" i="3"/>
  <c r="BM87" i="3"/>
  <c r="BW83" i="3"/>
  <c r="CB83" i="3" s="1"/>
  <c r="BR86" i="3"/>
  <c r="BX80" i="3"/>
  <c r="BM85" i="3"/>
  <c r="BK87" i="3"/>
  <c r="BK82" i="3"/>
  <c r="BD94" i="3"/>
  <c r="BD95" i="3"/>
  <c r="BD96" i="3" s="1"/>
  <c r="AU175" i="3"/>
  <c r="AR176" i="3"/>
  <c r="AQ176" i="3"/>
  <c r="BF87" i="3"/>
  <c r="BF82" i="3"/>
  <c r="BF85" i="3"/>
  <c r="BG96" i="3"/>
  <c r="BG103" i="3"/>
  <c r="BI84" i="3"/>
  <c r="BE87" i="3"/>
  <c r="BE82" i="3"/>
  <c r="BI86" i="3"/>
  <c r="BN87" i="3" s="1"/>
  <c r="BE85" i="3"/>
  <c r="BE93" i="3"/>
  <c r="BA160" i="3"/>
  <c r="BA174" i="3" s="1"/>
  <c r="AR170" i="3"/>
  <c r="AT169" i="3"/>
  <c r="AT161" i="3"/>
  <c r="AT163" i="3"/>
  <c r="AO165" i="3"/>
  <c r="AO170" i="3"/>
  <c r="BB97" i="3"/>
  <c r="BB96" i="3"/>
  <c r="BC97" i="3"/>
  <c r="BD87" i="3"/>
  <c r="BD82" i="3"/>
  <c r="BS87" i="3" l="1"/>
  <c r="BS82" i="3"/>
  <c r="CQ80" i="3"/>
  <c r="CZ92" i="3"/>
  <c r="CZ93" i="3" s="1"/>
  <c r="CF86" i="3"/>
  <c r="CF82" i="3" s="1"/>
  <c r="CK80" i="3"/>
  <c r="CA87" i="3"/>
  <c r="CA85" i="3"/>
  <c r="BT87" i="3"/>
  <c r="BT82" i="3"/>
  <c r="CE83" i="3"/>
  <c r="BZ92" i="3"/>
  <c r="BZ93" i="3" s="1"/>
  <c r="BZ86" i="3"/>
  <c r="BU87" i="3"/>
  <c r="BU82" i="3"/>
  <c r="CN80" i="3"/>
  <c r="BT85" i="3"/>
  <c r="BY86" i="3"/>
  <c r="BY85" i="3" s="1"/>
  <c r="CD83" i="3"/>
  <c r="BY92" i="3"/>
  <c r="BY93" i="3" s="1"/>
  <c r="CO80" i="3"/>
  <c r="BS85" i="3"/>
  <c r="CG83" i="3"/>
  <c r="CB86" i="3"/>
  <c r="CB85" i="3" s="1"/>
  <c r="BU85" i="3"/>
  <c r="BF92" i="3"/>
  <c r="BF95" i="3" s="1"/>
  <c r="BF103" i="3" s="1"/>
  <c r="BF90" i="3"/>
  <c r="BX81" i="3"/>
  <c r="BR87" i="3"/>
  <c r="BR82" i="3"/>
  <c r="CH80" i="3"/>
  <c r="BR85" i="3"/>
  <c r="BW86" i="3"/>
  <c r="BW85" i="3" s="1"/>
  <c r="BX83" i="3"/>
  <c r="BX86" i="3" s="1"/>
  <c r="BX82" i="3" s="1"/>
  <c r="CC80" i="3"/>
  <c r="BE96" i="3"/>
  <c r="BE97" i="3"/>
  <c r="BI87" i="3"/>
  <c r="BI82" i="3"/>
  <c r="BI85" i="3"/>
  <c r="BA169" i="3"/>
  <c r="AT170" i="3"/>
  <c r="AT165" i="3"/>
  <c r="AO166" i="3"/>
  <c r="CL83" i="3" l="1"/>
  <c r="CG86" i="3"/>
  <c r="CF87" i="3"/>
  <c r="CF85" i="3"/>
  <c r="BZ87" i="3"/>
  <c r="BZ82" i="3"/>
  <c r="CS80" i="3"/>
  <c r="CK86" i="3"/>
  <c r="CK82" i="3" s="1"/>
  <c r="CP80" i="3"/>
  <c r="CT80" i="3"/>
  <c r="CI83" i="3"/>
  <c r="CD92" i="3"/>
  <c r="CD93" i="3" s="1"/>
  <c r="CD86" i="3"/>
  <c r="CD85" i="3" s="1"/>
  <c r="BZ85" i="3"/>
  <c r="CV80" i="3"/>
  <c r="CB87" i="3"/>
  <c r="CB82" i="3"/>
  <c r="BY87" i="3"/>
  <c r="BY82" i="3"/>
  <c r="CJ83" i="3"/>
  <c r="CE92" i="3"/>
  <c r="CE93" i="3" s="1"/>
  <c r="CE86" i="3"/>
  <c r="BH90" i="3"/>
  <c r="BL89" i="3"/>
  <c r="BJ89" i="3"/>
  <c r="BI89" i="3"/>
  <c r="BF93" i="3"/>
  <c r="BH93" i="3"/>
  <c r="CH81" i="3"/>
  <c r="CM80" i="3"/>
  <c r="BX87" i="3"/>
  <c r="CC81" i="3"/>
  <c r="BW87" i="3"/>
  <c r="BW82" i="3"/>
  <c r="CC83" i="3"/>
  <c r="CC86" i="3" s="1"/>
  <c r="BX84" i="3"/>
  <c r="BX85" i="3"/>
  <c r="AT166" i="3"/>
  <c r="CE87" i="3" l="1"/>
  <c r="CE82" i="3"/>
  <c r="CI86" i="3"/>
  <c r="CI85" i="3" s="1"/>
  <c r="CN83" i="3"/>
  <c r="CI92" i="3"/>
  <c r="CI93" i="3" s="1"/>
  <c r="CY80" i="3"/>
  <c r="CG87" i="3"/>
  <c r="CG82" i="3"/>
  <c r="CX80" i="3"/>
  <c r="CJ86" i="3"/>
  <c r="CJ85" i="3" s="1"/>
  <c r="CO83" i="3"/>
  <c r="CJ92" i="3"/>
  <c r="CJ93" i="3" s="1"/>
  <c r="CP86" i="3"/>
  <c r="CP82" i="3" s="1"/>
  <c r="CU80" i="3"/>
  <c r="CG85" i="3"/>
  <c r="CD87" i="3"/>
  <c r="CD82" i="3"/>
  <c r="CE85" i="3"/>
  <c r="DA80" i="3"/>
  <c r="CK87" i="3"/>
  <c r="CK85" i="3"/>
  <c r="CQ83" i="3"/>
  <c r="CL86" i="3"/>
  <c r="CL85" i="3" s="1"/>
  <c r="BG97" i="3"/>
  <c r="BF96" i="3"/>
  <c r="BF97" i="3"/>
  <c r="BI92" i="3"/>
  <c r="BI95" i="3" s="1"/>
  <c r="BI96" i="3" s="1"/>
  <c r="BI90" i="3"/>
  <c r="BI91" i="3"/>
  <c r="BJ90" i="3"/>
  <c r="BL92" i="3"/>
  <c r="BJ92" i="3"/>
  <c r="BJ95" i="3" s="1"/>
  <c r="BL90" i="3"/>
  <c r="BH95" i="3"/>
  <c r="CC84" i="3"/>
  <c r="CC85" i="3"/>
  <c r="CM81" i="3"/>
  <c r="CC82" i="3"/>
  <c r="CC87" i="3"/>
  <c r="CH83" i="3"/>
  <c r="BH103" i="3" l="1"/>
  <c r="BH105" i="3" s="1"/>
  <c r="CU86" i="3"/>
  <c r="CU82" i="3" s="1"/>
  <c r="CZ80" i="3"/>
  <c r="CL87" i="3"/>
  <c r="CL82" i="3"/>
  <c r="BJ93" i="3"/>
  <c r="BO93" i="3"/>
  <c r="CV83" i="3"/>
  <c r="CQ86" i="3"/>
  <c r="CP87" i="3"/>
  <c r="CP85" i="3"/>
  <c r="BL93" i="3"/>
  <c r="BQ93" i="3"/>
  <c r="CS83" i="3"/>
  <c r="CN92" i="3"/>
  <c r="CN93" i="3" s="1"/>
  <c r="CN86" i="3"/>
  <c r="CI87" i="3"/>
  <c r="CI82" i="3"/>
  <c r="CT83" i="3"/>
  <c r="CO92" i="3"/>
  <c r="CO93" i="3" s="1"/>
  <c r="CO86" i="3"/>
  <c r="CO85" i="3" s="1"/>
  <c r="CJ87" i="3"/>
  <c r="CJ82" i="3"/>
  <c r="BK89" i="3"/>
  <c r="BI94" i="3"/>
  <c r="BI93" i="3"/>
  <c r="BH96" i="3"/>
  <c r="BH97" i="3"/>
  <c r="BL95" i="3"/>
  <c r="BF105" i="3"/>
  <c r="BG105" i="3"/>
  <c r="CW80" i="3"/>
  <c r="CM83" i="3"/>
  <c r="CR80" i="3"/>
  <c r="CH84" i="3"/>
  <c r="CH86" i="3"/>
  <c r="AS152" i="3"/>
  <c r="AS155" i="3"/>
  <c r="AU153" i="3"/>
  <c r="AP155" i="3"/>
  <c r="AP153" i="3"/>
  <c r="AP152" i="3"/>
  <c r="AU152" i="3"/>
  <c r="AS153" i="3"/>
  <c r="BO89" i="3" l="1"/>
  <c r="BO95" i="3" s="1"/>
  <c r="BQ91" i="3"/>
  <c r="BQ89" i="3" s="1"/>
  <c r="BI103" i="3"/>
  <c r="BI99" i="3" s="1"/>
  <c r="CO87" i="3"/>
  <c r="CO82" i="3"/>
  <c r="CS86" i="3"/>
  <c r="CS85" i="3" s="1"/>
  <c r="CX83" i="3"/>
  <c r="CS92" i="3"/>
  <c r="CS93" i="3" s="1"/>
  <c r="CN87" i="3"/>
  <c r="CN82" i="3"/>
  <c r="CN85" i="3"/>
  <c r="CQ87" i="3"/>
  <c r="CQ82" i="3"/>
  <c r="CT86" i="3"/>
  <c r="CT85" i="3" s="1"/>
  <c r="CY83" i="3"/>
  <c r="CT92" i="3"/>
  <c r="CT93" i="3" s="1"/>
  <c r="DA83" i="3"/>
  <c r="CV86" i="3"/>
  <c r="CZ86" i="3"/>
  <c r="CZ82" i="3" s="1"/>
  <c r="CQ85" i="3"/>
  <c r="CU87" i="3"/>
  <c r="CU85" i="3"/>
  <c r="BJ103" i="3"/>
  <c r="BJ96" i="3"/>
  <c r="BJ97" i="3"/>
  <c r="BL103" i="3"/>
  <c r="BL104" i="3" s="1"/>
  <c r="BL96" i="3"/>
  <c r="BK92" i="3"/>
  <c r="BK90" i="3"/>
  <c r="BM89" i="3"/>
  <c r="BN89" i="3" s="1"/>
  <c r="CH87" i="3"/>
  <c r="CH82" i="3"/>
  <c r="CR83" i="3"/>
  <c r="CW81" i="3"/>
  <c r="CH85" i="3"/>
  <c r="CR81" i="3"/>
  <c r="CM84" i="3"/>
  <c r="CM86" i="3"/>
  <c r="BA152" i="3"/>
  <c r="AV152" i="3"/>
  <c r="AV153" i="3"/>
  <c r="AS156" i="3"/>
  <c r="AU157" i="3"/>
  <c r="AR153" i="3"/>
  <c r="AR152" i="3"/>
  <c r="AR155" i="3"/>
  <c r="AQ155" i="3"/>
  <c r="AQ153" i="3"/>
  <c r="AQ152" i="3"/>
  <c r="AP157" i="3"/>
  <c r="AP156" i="3"/>
  <c r="AU156" i="3"/>
  <c r="BC152" i="3"/>
  <c r="AX152" i="3"/>
  <c r="BO90" i="3" l="1"/>
  <c r="BS91" i="3"/>
  <c r="BO103" i="3"/>
  <c r="BN91" i="3"/>
  <c r="BN90" i="3"/>
  <c r="BJ105" i="3"/>
  <c r="CV87" i="3"/>
  <c r="CV82" i="3"/>
  <c r="BK95" i="3"/>
  <c r="BP93" i="3"/>
  <c r="CZ87" i="3"/>
  <c r="CZ85" i="3"/>
  <c r="CV85" i="3"/>
  <c r="DA86" i="3"/>
  <c r="CX92" i="3"/>
  <c r="CX93" i="3" s="1"/>
  <c r="CX86" i="3"/>
  <c r="BQ90" i="3"/>
  <c r="BQ95" i="3"/>
  <c r="BQ103" i="3" s="1"/>
  <c r="CS87" i="3"/>
  <c r="CS82" i="3"/>
  <c r="BU91" i="3"/>
  <c r="BU89" i="3" s="1"/>
  <c r="BS89" i="3"/>
  <c r="CT87" i="3"/>
  <c r="CT82" i="3"/>
  <c r="BO96" i="3"/>
  <c r="CY92" i="3"/>
  <c r="CY93" i="3" s="1"/>
  <c r="CY86" i="3"/>
  <c r="BM92" i="3"/>
  <c r="BM93" i="3" s="1"/>
  <c r="BK93" i="3"/>
  <c r="BJ104" i="3"/>
  <c r="BM90" i="3"/>
  <c r="CM87" i="3"/>
  <c r="CM82" i="3"/>
  <c r="CR84" i="3"/>
  <c r="CM85" i="3"/>
  <c r="CW83" i="3"/>
  <c r="CR86" i="3"/>
  <c r="DB80" i="3"/>
  <c r="AW153" i="3"/>
  <c r="AW152" i="3"/>
  <c r="BG152" i="3"/>
  <c r="AR157" i="3"/>
  <c r="AR156" i="3"/>
  <c r="AX153" i="3"/>
  <c r="AS157" i="3"/>
  <c r="AT155" i="3"/>
  <c r="AQ157" i="3"/>
  <c r="AQ156" i="3"/>
  <c r="BP91" i="3" l="1"/>
  <c r="BP89" i="3" s="1"/>
  <c r="BN92" i="3"/>
  <c r="BN94" i="3" s="1"/>
  <c r="BK96" i="3"/>
  <c r="BK97" i="3"/>
  <c r="BK103" i="3"/>
  <c r="BL97" i="3"/>
  <c r="BU95" i="3"/>
  <c r="CY87" i="3"/>
  <c r="CY82" i="3"/>
  <c r="BO104" i="3"/>
  <c r="BS90" i="3"/>
  <c r="DA87" i="3"/>
  <c r="DA82" i="3"/>
  <c r="CY85" i="3"/>
  <c r="DA85" i="3"/>
  <c r="BQ96" i="3"/>
  <c r="CX87" i="3"/>
  <c r="CX82" i="3"/>
  <c r="CX85" i="3"/>
  <c r="BM95" i="3"/>
  <c r="BM96" i="3" s="1"/>
  <c r="CW84" i="3"/>
  <c r="CW86" i="3"/>
  <c r="DB81" i="3"/>
  <c r="DB83" i="3"/>
  <c r="DB86" i="3" s="1"/>
  <c r="CR87" i="3"/>
  <c r="CR82" i="3"/>
  <c r="CR85" i="3"/>
  <c r="BB152" i="3"/>
  <c r="BB153" i="3"/>
  <c r="BC153" i="3"/>
  <c r="AT151" i="3"/>
  <c r="AT152" i="3" s="1"/>
  <c r="AT156" i="3"/>
  <c r="BU90" i="3" l="1"/>
  <c r="BP95" i="3"/>
  <c r="BP90" i="3"/>
  <c r="BQ97" i="3"/>
  <c r="BP103" i="3"/>
  <c r="BP105" i="3" s="1"/>
  <c r="BN95" i="3"/>
  <c r="BP97" i="3"/>
  <c r="BS94" i="3"/>
  <c r="BS92" i="3" s="1"/>
  <c r="BN93" i="3"/>
  <c r="BP96" i="3"/>
  <c r="BK105" i="3"/>
  <c r="BL105" i="3"/>
  <c r="BK104" i="3"/>
  <c r="BQ104" i="3"/>
  <c r="BM97" i="3"/>
  <c r="BM103" i="3"/>
  <c r="BM105" i="3" s="1"/>
  <c r="BU96" i="3"/>
  <c r="BU103" i="3"/>
  <c r="BR91" i="3"/>
  <c r="BT91" i="3" s="1"/>
  <c r="DB87" i="3"/>
  <c r="DB82" i="3"/>
  <c r="CW87" i="3"/>
  <c r="CW82" i="3"/>
  <c r="CW85" i="3"/>
  <c r="DB85" i="3"/>
  <c r="DB84" i="3"/>
  <c r="BQ105" i="3" l="1"/>
  <c r="BO97" i="3"/>
  <c r="BN96" i="3"/>
  <c r="BS93" i="3"/>
  <c r="BN103" i="3"/>
  <c r="BP104" i="3"/>
  <c r="BM104" i="3"/>
  <c r="BU104" i="3"/>
  <c r="BT89" i="3"/>
  <c r="BV91" i="3"/>
  <c r="BV89" i="3" s="1"/>
  <c r="BR92" i="3"/>
  <c r="BR89" i="3"/>
  <c r="AX130" i="3"/>
  <c r="AZ130" i="3"/>
  <c r="BC129" i="3"/>
  <c r="AX129" i="3"/>
  <c r="AW130" i="3"/>
  <c r="AW129" i="3"/>
  <c r="BB129" i="3"/>
  <c r="AV130" i="3"/>
  <c r="BA129" i="3"/>
  <c r="AV129" i="3"/>
  <c r="BN104" i="3" l="1"/>
  <c r="BN105" i="3"/>
  <c r="BO105" i="3"/>
  <c r="BN99" i="3"/>
  <c r="BT90" i="3"/>
  <c r="BT95" i="3"/>
  <c r="BV95" i="3"/>
  <c r="BV90" i="3"/>
  <c r="BR93" i="3"/>
  <c r="BR90" i="3"/>
  <c r="BR95" i="3"/>
  <c r="BE152" i="3"/>
  <c r="AZ117" i="3"/>
  <c r="BR103" i="3" l="1"/>
  <c r="BS103" i="3" s="1"/>
  <c r="BS95" i="3"/>
  <c r="BT97" i="3" s="1"/>
  <c r="BN101" i="3"/>
  <c r="BO101" i="3"/>
  <c r="BN100" i="3"/>
  <c r="BT103" i="3"/>
  <c r="BT96" i="3"/>
  <c r="BU97" i="3"/>
  <c r="BV96" i="3"/>
  <c r="BV103" i="3"/>
  <c r="BV97" i="3"/>
  <c r="BR96" i="3"/>
  <c r="BR97" i="3"/>
  <c r="AZ153" i="3"/>
  <c r="AZ152" i="3"/>
  <c r="BA153" i="3"/>
  <c r="AX120" i="3"/>
  <c r="AW120" i="3"/>
  <c r="AW121" i="3" s="1"/>
  <c r="AW117" i="3"/>
  <c r="AV117" i="3"/>
  <c r="AZ120" i="3"/>
  <c r="AZ118" i="3"/>
  <c r="AV120" i="3"/>
  <c r="BS99" i="3" l="1"/>
  <c r="BS96" i="3"/>
  <c r="BS104" i="3"/>
  <c r="BS105" i="3"/>
  <c r="BV104" i="3"/>
  <c r="BV105" i="3"/>
  <c r="BT104" i="3"/>
  <c r="BT105" i="3"/>
  <c r="BU105" i="3"/>
  <c r="BW91" i="3"/>
  <c r="BY91" i="3" s="1"/>
  <c r="BR104" i="3"/>
  <c r="BR105" i="3"/>
  <c r="BC117" i="3"/>
  <c r="BC118" i="3" s="1"/>
  <c r="BE119" i="3"/>
  <c r="AV124" i="3"/>
  <c r="AV118" i="3"/>
  <c r="BA118" i="3"/>
  <c r="AY117" i="3"/>
  <c r="AW118" i="3"/>
  <c r="AW124" i="3"/>
  <c r="BB117" i="3"/>
  <c r="AV121" i="3"/>
  <c r="BA121" i="3"/>
  <c r="AY120" i="3"/>
  <c r="AZ121" i="3"/>
  <c r="BB120" i="3"/>
  <c r="AX124" i="3"/>
  <c r="AX121" i="3"/>
  <c r="AZ124" i="3"/>
  <c r="BT101" i="3" l="1"/>
  <c r="BS101" i="3"/>
  <c r="BS100" i="3"/>
  <c r="BY89" i="3"/>
  <c r="CA91" i="3"/>
  <c r="CA89" i="3" s="1"/>
  <c r="CB92" i="3"/>
  <c r="BW92" i="3"/>
  <c r="BW93" i="3" s="1"/>
  <c r="BW89" i="3"/>
  <c r="BF119" i="3"/>
  <c r="BE117" i="3"/>
  <c r="BC120" i="3"/>
  <c r="BC124" i="3" s="1"/>
  <c r="BE122" i="3"/>
  <c r="BB121" i="3"/>
  <c r="AW146" i="3"/>
  <c r="AW67" i="3" s="1"/>
  <c r="AW163" i="3" s="1"/>
  <c r="AX146" i="3"/>
  <c r="AX67" i="3" s="1"/>
  <c r="AX163" i="3" s="1"/>
  <c r="AZ146" i="3"/>
  <c r="AV146" i="3"/>
  <c r="AV67" i="3" s="1"/>
  <c r="BA126" i="3"/>
  <c r="AZ132" i="3"/>
  <c r="AZ126" i="3"/>
  <c r="AZ125" i="3"/>
  <c r="BB124" i="3"/>
  <c r="BB118" i="3"/>
  <c r="BD117" i="3"/>
  <c r="AX132" i="3"/>
  <c r="AX125" i="3"/>
  <c r="AX126" i="3"/>
  <c r="AW126" i="3"/>
  <c r="AW125" i="3"/>
  <c r="AW132" i="3"/>
  <c r="AY119" i="3"/>
  <c r="AY124" i="3"/>
  <c r="AY125" i="3" s="1"/>
  <c r="AY118" i="3"/>
  <c r="AY122" i="3"/>
  <c r="AY121" i="3"/>
  <c r="AV132" i="3"/>
  <c r="AV125" i="3"/>
  <c r="BA125" i="3"/>
  <c r="AV126" i="3"/>
  <c r="AV69" i="3" l="1"/>
  <c r="AV163" i="3"/>
  <c r="AV160" i="3" s="1"/>
  <c r="AV174" i="3" s="1"/>
  <c r="AW69" i="3"/>
  <c r="AX69" i="3"/>
  <c r="CG92" i="3"/>
  <c r="CG93" i="3" s="1"/>
  <c r="CB93" i="3"/>
  <c r="CA90" i="3"/>
  <c r="CA95" i="3"/>
  <c r="BY90" i="3"/>
  <c r="BY95" i="3"/>
  <c r="BW90" i="3"/>
  <c r="BW95" i="3"/>
  <c r="BX95" i="3" s="1"/>
  <c r="BX89" i="3"/>
  <c r="BD120" i="3"/>
  <c r="BD124" i="3" s="1"/>
  <c r="BX92" i="3"/>
  <c r="BC121" i="3"/>
  <c r="BF122" i="3"/>
  <c r="BE120" i="3"/>
  <c r="BE124" i="3" s="1"/>
  <c r="BE118" i="3"/>
  <c r="BG119" i="3"/>
  <c r="BF117" i="3"/>
  <c r="AZ67" i="3"/>
  <c r="AX160" i="3"/>
  <c r="AX174" i="3" s="1"/>
  <c r="AW160" i="3"/>
  <c r="AV68" i="3"/>
  <c r="AY67" i="3"/>
  <c r="BA68" i="3"/>
  <c r="AX68" i="3"/>
  <c r="AW68" i="3"/>
  <c r="AY146" i="3"/>
  <c r="AV147" i="3"/>
  <c r="AV148" i="3"/>
  <c r="BA147" i="3"/>
  <c r="AV155" i="3"/>
  <c r="AZ147" i="3"/>
  <c r="AZ148" i="3"/>
  <c r="BA148" i="3"/>
  <c r="AZ155" i="3"/>
  <c r="AX155" i="3"/>
  <c r="AX147" i="3"/>
  <c r="AX148" i="3"/>
  <c r="AW155" i="3"/>
  <c r="AW147" i="3"/>
  <c r="AW148" i="3"/>
  <c r="BB146" i="3"/>
  <c r="AV133" i="3"/>
  <c r="AV134" i="3"/>
  <c r="AY132" i="3"/>
  <c r="BA133" i="3"/>
  <c r="AX133" i="3"/>
  <c r="AX134" i="3"/>
  <c r="BD119" i="3"/>
  <c r="BD118" i="3"/>
  <c r="BB132" i="3"/>
  <c r="BB126" i="3"/>
  <c r="BB125" i="3"/>
  <c r="AZ134" i="3"/>
  <c r="AZ133" i="3"/>
  <c r="BA134" i="3"/>
  <c r="AW133" i="3"/>
  <c r="AW134" i="3"/>
  <c r="BC125" i="3"/>
  <c r="BC132" i="3"/>
  <c r="BC126" i="3"/>
  <c r="BE126" i="3" l="1"/>
  <c r="AZ68" i="3"/>
  <c r="AZ69" i="3"/>
  <c r="BA69" i="3"/>
  <c r="BY96" i="3"/>
  <c r="BY97" i="3"/>
  <c r="BY103" i="3"/>
  <c r="CA103" i="3"/>
  <c r="CA96" i="3"/>
  <c r="CL92" i="3"/>
  <c r="CL93" i="3" s="1"/>
  <c r="BX91" i="3"/>
  <c r="BZ91" i="3" s="1"/>
  <c r="BX96" i="3"/>
  <c r="BX90" i="3"/>
  <c r="BW96" i="3"/>
  <c r="BW103" i="3"/>
  <c r="BX103" i="3" s="1"/>
  <c r="BX104" i="3" s="1"/>
  <c r="BW97" i="3"/>
  <c r="BD122" i="3"/>
  <c r="BD121" i="3"/>
  <c r="BX93" i="3"/>
  <c r="BX94" i="3"/>
  <c r="BG117" i="3"/>
  <c r="BF118" i="3"/>
  <c r="BC146" i="3"/>
  <c r="BC67" i="3" s="1"/>
  <c r="BE132" i="3"/>
  <c r="BE125" i="3"/>
  <c r="BE121" i="3"/>
  <c r="BG122" i="3"/>
  <c r="BF120" i="3"/>
  <c r="BF121" i="3" s="1"/>
  <c r="AZ160" i="3"/>
  <c r="AZ174" i="3" s="1"/>
  <c r="AY160" i="3"/>
  <c r="AY174" i="3" s="1"/>
  <c r="AY175" i="3" s="1"/>
  <c r="AX175" i="3"/>
  <c r="BA175" i="3"/>
  <c r="AV176" i="3"/>
  <c r="AV175" i="3"/>
  <c r="AX162" i="3"/>
  <c r="AV162" i="3"/>
  <c r="AV161" i="3"/>
  <c r="AV169" i="3"/>
  <c r="AV171" i="3" s="1"/>
  <c r="BD125" i="3"/>
  <c r="BA161" i="3"/>
  <c r="AX161" i="3"/>
  <c r="AW162" i="3"/>
  <c r="AW161" i="3"/>
  <c r="AW169" i="3"/>
  <c r="AX169" i="3"/>
  <c r="AW174" i="3"/>
  <c r="AY68" i="3"/>
  <c r="BD132" i="3"/>
  <c r="BB67" i="3"/>
  <c r="AX157" i="3"/>
  <c r="AX156" i="3"/>
  <c r="AZ156" i="3"/>
  <c r="BA157" i="3"/>
  <c r="AZ157" i="3"/>
  <c r="BB155" i="3"/>
  <c r="BB75" i="3" s="1"/>
  <c r="BB147" i="3"/>
  <c r="BB148" i="3"/>
  <c r="AV157" i="3"/>
  <c r="AV156" i="3"/>
  <c r="BA156" i="3"/>
  <c r="AY155" i="3"/>
  <c r="AW157" i="3"/>
  <c r="AW156" i="3"/>
  <c r="AY149" i="3"/>
  <c r="AY147" i="3"/>
  <c r="BC134" i="3"/>
  <c r="BC133" i="3"/>
  <c r="BB133" i="3"/>
  <c r="BB134" i="3"/>
  <c r="AY128" i="3"/>
  <c r="AY129" i="3" s="1"/>
  <c r="AY133" i="3"/>
  <c r="BH122" i="3" l="1"/>
  <c r="BH120" i="3" s="1"/>
  <c r="BH124" i="3" s="1"/>
  <c r="BH132" i="3" s="1"/>
  <c r="BC160" i="3"/>
  <c r="BC161" i="3" s="1"/>
  <c r="AX171" i="3"/>
  <c r="AZ176" i="3"/>
  <c r="BA176" i="3"/>
  <c r="BB69" i="3"/>
  <c r="BC69" i="3"/>
  <c r="AW170" i="3"/>
  <c r="AW171" i="3"/>
  <c r="CQ92" i="3"/>
  <c r="CQ93" i="3" s="1"/>
  <c r="CA104" i="3"/>
  <c r="BZ89" i="3"/>
  <c r="CB91" i="3"/>
  <c r="BY105" i="3"/>
  <c r="BY104" i="3"/>
  <c r="AZ162" i="3"/>
  <c r="AZ169" i="3"/>
  <c r="AZ161" i="3"/>
  <c r="BC147" i="3"/>
  <c r="BD146" i="3"/>
  <c r="BD149" i="3" s="1"/>
  <c r="BC155" i="3"/>
  <c r="BC75" i="3" s="1"/>
  <c r="BC148" i="3"/>
  <c r="BW105" i="3"/>
  <c r="BW104" i="3"/>
  <c r="BA162" i="3"/>
  <c r="BE133" i="3"/>
  <c r="BF149" i="3"/>
  <c r="BE146" i="3"/>
  <c r="BF124" i="3"/>
  <c r="AY163" i="3"/>
  <c r="BG120" i="3"/>
  <c r="BG121" i="3" s="1"/>
  <c r="AY161" i="3"/>
  <c r="BG118" i="3"/>
  <c r="BE134" i="3"/>
  <c r="BI117" i="3"/>
  <c r="AX176" i="3"/>
  <c r="AW175" i="3"/>
  <c r="AW176" i="3"/>
  <c r="BA170" i="3"/>
  <c r="AV170" i="3"/>
  <c r="AY169" i="3"/>
  <c r="BC68" i="3"/>
  <c r="BD133" i="3"/>
  <c r="AX170" i="3"/>
  <c r="BB160" i="3"/>
  <c r="BB169" i="3" s="1"/>
  <c r="BB171" i="3" s="1"/>
  <c r="BD128" i="3"/>
  <c r="BB68" i="3"/>
  <c r="BD67" i="3"/>
  <c r="BB157" i="3"/>
  <c r="BB156" i="3"/>
  <c r="AY156" i="3"/>
  <c r="AY151" i="3"/>
  <c r="AY152" i="3" s="1"/>
  <c r="BJ122" i="3" l="1"/>
  <c r="BK122" i="3" s="1"/>
  <c r="BL122" i="3" s="1"/>
  <c r="BM122" i="3" s="1"/>
  <c r="BE67" i="3"/>
  <c r="BC174" i="3"/>
  <c r="BB174" i="3"/>
  <c r="BB176" i="3" s="1"/>
  <c r="BC157" i="3"/>
  <c r="BC77" i="3"/>
  <c r="AZ171" i="3"/>
  <c r="BA171" i="3"/>
  <c r="BD155" i="3"/>
  <c r="BD151" i="3" s="1"/>
  <c r="BC156" i="3"/>
  <c r="BD147" i="3"/>
  <c r="CB89" i="3"/>
  <c r="CD91" i="3"/>
  <c r="BZ90" i="3"/>
  <c r="BZ95" i="3"/>
  <c r="DA92" i="3"/>
  <c r="CV92" i="3"/>
  <c r="CV93" i="3" s="1"/>
  <c r="AZ170" i="3"/>
  <c r="AZ175" i="3"/>
  <c r="BX99" i="3"/>
  <c r="BX100" i="3" s="1"/>
  <c r="BG124" i="3"/>
  <c r="BJ117" i="3"/>
  <c r="BE155" i="3"/>
  <c r="BE75" i="3" s="1"/>
  <c r="BE147" i="3"/>
  <c r="BE148" i="3"/>
  <c r="BF132" i="3"/>
  <c r="BF125" i="3"/>
  <c r="BF126" i="3"/>
  <c r="BG149" i="3"/>
  <c r="BF146" i="3"/>
  <c r="BF67" i="3" s="1"/>
  <c r="BF160" i="3" s="1"/>
  <c r="BH118" i="3"/>
  <c r="BI119" i="3"/>
  <c r="BI118" i="3"/>
  <c r="AY165" i="3"/>
  <c r="AY170" i="3"/>
  <c r="BB162" i="3"/>
  <c r="BB161" i="3"/>
  <c r="BD129" i="3"/>
  <c r="BC169" i="3"/>
  <c r="BC171" i="3" s="1"/>
  <c r="BC162" i="3"/>
  <c r="BD160" i="3"/>
  <c r="BD163" i="3" s="1"/>
  <c r="BD68" i="3"/>
  <c r="BB170" i="3"/>
  <c r="BG126" i="3" l="1"/>
  <c r="BE69" i="3"/>
  <c r="BE160" i="3"/>
  <c r="BE174" i="3" s="1"/>
  <c r="BC182" i="3"/>
  <c r="BD174" i="3"/>
  <c r="BD175" i="3" s="1"/>
  <c r="BD156" i="3"/>
  <c r="BE71" i="3"/>
  <c r="BE77" i="3"/>
  <c r="BC176" i="3"/>
  <c r="DA93" i="3"/>
  <c r="BZ96" i="3"/>
  <c r="BZ97" i="3"/>
  <c r="BZ103" i="3"/>
  <c r="CA97" i="3"/>
  <c r="CF91" i="3"/>
  <c r="CF89" i="3" s="1"/>
  <c r="CD89" i="3"/>
  <c r="CB90" i="3"/>
  <c r="CB95" i="3"/>
  <c r="CC95" i="3" s="1"/>
  <c r="BG132" i="3"/>
  <c r="CC89" i="3"/>
  <c r="CC92" i="3"/>
  <c r="BG125" i="3"/>
  <c r="BC175" i="3"/>
  <c r="BD169" i="3"/>
  <c r="BD165" i="3" s="1"/>
  <c r="BE68" i="3"/>
  <c r="BE156" i="3"/>
  <c r="BE157" i="3"/>
  <c r="BH126" i="3"/>
  <c r="BH125" i="3"/>
  <c r="BK117" i="3"/>
  <c r="BF148" i="3"/>
  <c r="BF147" i="3"/>
  <c r="BF155" i="3"/>
  <c r="BF75" i="3" s="1"/>
  <c r="BJ118" i="3"/>
  <c r="BF133" i="3"/>
  <c r="BF134" i="3"/>
  <c r="BH149" i="3"/>
  <c r="BH146" i="3" s="1"/>
  <c r="BG146" i="3"/>
  <c r="BG148" i="3" s="1"/>
  <c r="BH121" i="3"/>
  <c r="BI120" i="3"/>
  <c r="BJ120" i="3"/>
  <c r="BJ124" i="3" s="1"/>
  <c r="BB175" i="3"/>
  <c r="BD161" i="3"/>
  <c r="AY166" i="3"/>
  <c r="BC170" i="3"/>
  <c r="BD152" i="3"/>
  <c r="BG133" i="3" l="1"/>
  <c r="BG67" i="3"/>
  <c r="BJ174" i="3"/>
  <c r="BO174" i="3" s="1"/>
  <c r="BO182" i="3" s="1"/>
  <c r="BE176" i="3"/>
  <c r="BE175" i="3"/>
  <c r="BF77" i="3"/>
  <c r="BF69" i="3"/>
  <c r="CD90" i="3"/>
  <c r="CD95" i="3"/>
  <c r="CF90" i="3"/>
  <c r="CF95" i="3"/>
  <c r="CB103" i="3"/>
  <c r="CB96" i="3"/>
  <c r="CB97" i="3"/>
  <c r="BG134" i="3"/>
  <c r="BZ105" i="3"/>
  <c r="BZ104" i="3"/>
  <c r="CA105" i="3"/>
  <c r="BD170" i="3"/>
  <c r="CC91" i="3"/>
  <c r="CE91" i="3" s="1"/>
  <c r="CC90" i="3"/>
  <c r="CC96" i="3"/>
  <c r="CC93" i="3"/>
  <c r="CC94" i="3"/>
  <c r="BE53" i="3"/>
  <c r="BJ125" i="3"/>
  <c r="BJ132" i="3"/>
  <c r="BJ126" i="3"/>
  <c r="BF157" i="3"/>
  <c r="BF156" i="3"/>
  <c r="BF71" i="3"/>
  <c r="BF73" i="3" s="1"/>
  <c r="BF68" i="3"/>
  <c r="BJ121" i="3"/>
  <c r="BG155" i="3"/>
  <c r="BG75" i="3" s="1"/>
  <c r="BG147" i="3"/>
  <c r="BG69" i="3"/>
  <c r="BJ149" i="3"/>
  <c r="BK118" i="3"/>
  <c r="BK120" i="3"/>
  <c r="BK121" i="3" s="1"/>
  <c r="BH134" i="3"/>
  <c r="BH133" i="3"/>
  <c r="BI122" i="3"/>
  <c r="BI121" i="3"/>
  <c r="BI124" i="3"/>
  <c r="BI125" i="3" s="1"/>
  <c r="BI132" i="3"/>
  <c r="BL117" i="3"/>
  <c r="BE169" i="3"/>
  <c r="BE161" i="3"/>
  <c r="BE162" i="3"/>
  <c r="BD166" i="3"/>
  <c r="AA57" i="3"/>
  <c r="BJ182" i="3" l="1"/>
  <c r="BO183" i="3" s="1"/>
  <c r="BI146" i="3"/>
  <c r="BH67" i="3"/>
  <c r="BG71" i="3"/>
  <c r="BJ134" i="3"/>
  <c r="BT174" i="3"/>
  <c r="BY174" i="3" s="1"/>
  <c r="BE171" i="3"/>
  <c r="CB105" i="3"/>
  <c r="CB104" i="3"/>
  <c r="CF96" i="3"/>
  <c r="CF103" i="3"/>
  <c r="CD97" i="3"/>
  <c r="CD103" i="3"/>
  <c r="CD96" i="3"/>
  <c r="CG91" i="3"/>
  <c r="CE89" i="3"/>
  <c r="CC103" i="3"/>
  <c r="BE24" i="3"/>
  <c r="BG160" i="3"/>
  <c r="BG174" i="3" s="1"/>
  <c r="BG68" i="3"/>
  <c r="BK149" i="3"/>
  <c r="BJ146" i="3"/>
  <c r="BJ67" i="3" s="1"/>
  <c r="BG157" i="3"/>
  <c r="BG156" i="3"/>
  <c r="BG77" i="3"/>
  <c r="BL120" i="3"/>
  <c r="BL124" i="3" s="1"/>
  <c r="BF161" i="3"/>
  <c r="BF162" i="3"/>
  <c r="BF169" i="3"/>
  <c r="BI149" i="3"/>
  <c r="BI147" i="3"/>
  <c r="BL118" i="3"/>
  <c r="BM117" i="3"/>
  <c r="BN117" i="3" s="1"/>
  <c r="BO119" i="3"/>
  <c r="BK124" i="3"/>
  <c r="BJ133" i="3"/>
  <c r="BE170" i="3"/>
  <c r="BI128" i="3"/>
  <c r="BI129" i="3" s="1"/>
  <c r="BI133" i="3"/>
  <c r="BH148" i="3"/>
  <c r="BH155" i="3"/>
  <c r="BH147" i="3"/>
  <c r="BH69" i="3"/>
  <c r="AA178" i="3"/>
  <c r="BH160" i="3" l="1"/>
  <c r="BH169" i="3" s="1"/>
  <c r="BG175" i="3"/>
  <c r="BL174" i="3"/>
  <c r="BT182" i="3"/>
  <c r="BT183" i="3" s="1"/>
  <c r="BJ69" i="3"/>
  <c r="BF171" i="3"/>
  <c r="CG89" i="3"/>
  <c r="CH89" i="3" s="1"/>
  <c r="CI91" i="3"/>
  <c r="CD105" i="3"/>
  <c r="CD104" i="3"/>
  <c r="CE95" i="3"/>
  <c r="CE90" i="3"/>
  <c r="CF104" i="3"/>
  <c r="CC99" i="3"/>
  <c r="CC100" i="3" s="1"/>
  <c r="CC104" i="3"/>
  <c r="BG53" i="3"/>
  <c r="BY182" i="3"/>
  <c r="CD174" i="3"/>
  <c r="BI67" i="3"/>
  <c r="BI68" i="3" s="1"/>
  <c r="BJ68" i="3"/>
  <c r="BJ160" i="3"/>
  <c r="BL126" i="3"/>
  <c r="BL125" i="3"/>
  <c r="BL132" i="3"/>
  <c r="BN119" i="3"/>
  <c r="BN118" i="3"/>
  <c r="BK132" i="3"/>
  <c r="BK126" i="3"/>
  <c r="BK125" i="3"/>
  <c r="BP119" i="3"/>
  <c r="BO117" i="3"/>
  <c r="BJ148" i="3"/>
  <c r="BJ155" i="3"/>
  <c r="BJ75" i="3" s="1"/>
  <c r="BJ147" i="3"/>
  <c r="BG73" i="3"/>
  <c r="BL149" i="3"/>
  <c r="BK146" i="3"/>
  <c r="BK67" i="3" s="1"/>
  <c r="BK69" i="3" s="1"/>
  <c r="BL121" i="3"/>
  <c r="BH68" i="3"/>
  <c r="BH157" i="3"/>
  <c r="BH156" i="3"/>
  <c r="BH75" i="3"/>
  <c r="BI155" i="3"/>
  <c r="BF170" i="3"/>
  <c r="BM120" i="3"/>
  <c r="BM121" i="3" s="1"/>
  <c r="BO122" i="3"/>
  <c r="BM118" i="3"/>
  <c r="BG169" i="3"/>
  <c r="BG171" i="3" s="1"/>
  <c r="BG162" i="3"/>
  <c r="BG161" i="3"/>
  <c r="AB57" i="3"/>
  <c r="AC57" i="3"/>
  <c r="BH174" i="3" l="1"/>
  <c r="BM174" i="3" s="1"/>
  <c r="BM176" i="3" s="1"/>
  <c r="BQ174" i="3"/>
  <c r="BL182" i="3"/>
  <c r="BJ162" i="3"/>
  <c r="BI75" i="3"/>
  <c r="BI71" i="3" s="1"/>
  <c r="BH77" i="3"/>
  <c r="BJ77" i="3"/>
  <c r="BJ157" i="3"/>
  <c r="CE96" i="3"/>
  <c r="CE97" i="3"/>
  <c r="CE103" i="3"/>
  <c r="CF97" i="3"/>
  <c r="CI89" i="3"/>
  <c r="CK91" i="3"/>
  <c r="CK89" i="3" s="1"/>
  <c r="CG95" i="3"/>
  <c r="CH95" i="3" s="1"/>
  <c r="CG90" i="3"/>
  <c r="CH90" i="3"/>
  <c r="CH91" i="3"/>
  <c r="CJ91" i="3" s="1"/>
  <c r="CH92" i="3"/>
  <c r="BK68" i="3"/>
  <c r="BK160" i="3"/>
  <c r="CD182" i="3"/>
  <c r="CI174" i="3"/>
  <c r="BY183" i="3"/>
  <c r="BJ161" i="3"/>
  <c r="BJ169" i="3"/>
  <c r="BJ61" i="3" s="1"/>
  <c r="AC59" i="3"/>
  <c r="AB59" i="3"/>
  <c r="BJ52" i="3"/>
  <c r="BK134" i="3"/>
  <c r="BK133" i="3"/>
  <c r="BH162" i="3"/>
  <c r="BH161" i="3"/>
  <c r="BK155" i="3"/>
  <c r="BK75" i="3" s="1"/>
  <c r="BK147" i="3"/>
  <c r="BK148" i="3"/>
  <c r="BO118" i="3"/>
  <c r="BI160" i="3"/>
  <c r="BM149" i="3"/>
  <c r="BL146" i="3"/>
  <c r="BL67" i="3" s="1"/>
  <c r="BL69" i="3" s="1"/>
  <c r="BL134" i="3"/>
  <c r="BL133" i="3"/>
  <c r="BQ119" i="3"/>
  <c r="BP117" i="3"/>
  <c r="BP118" i="3" s="1"/>
  <c r="BI151" i="3"/>
  <c r="BI152" i="3" s="1"/>
  <c r="BI156" i="3"/>
  <c r="BM124" i="3"/>
  <c r="BN120" i="3"/>
  <c r="BG170" i="3"/>
  <c r="BH71" i="3"/>
  <c r="BH73" i="3" s="1"/>
  <c r="BO120" i="3"/>
  <c r="BO124" i="3" s="1"/>
  <c r="BP122" i="3"/>
  <c r="BJ156" i="3"/>
  <c r="AC184" i="3"/>
  <c r="AC178" i="3"/>
  <c r="AB184" i="3"/>
  <c r="AB178" i="3"/>
  <c r="BJ176" i="3" l="1"/>
  <c r="BH175" i="3"/>
  <c r="BO176" i="3"/>
  <c r="BM182" i="3"/>
  <c r="BO184" i="3" s="1"/>
  <c r="BR174" i="3"/>
  <c r="BR176" i="3" s="1"/>
  <c r="BQ182" i="3"/>
  <c r="BV174" i="3"/>
  <c r="BJ54" i="3"/>
  <c r="BK77" i="3"/>
  <c r="BJ76" i="3"/>
  <c r="BJ71" i="3"/>
  <c r="BJ72" i="3" s="1"/>
  <c r="BI169" i="3"/>
  <c r="BI165" i="3" s="1"/>
  <c r="BH171" i="3"/>
  <c r="BJ36" i="3"/>
  <c r="BJ171" i="3"/>
  <c r="CG96" i="3"/>
  <c r="CG103" i="3"/>
  <c r="CG97" i="3"/>
  <c r="CK90" i="3"/>
  <c r="CK95" i="3"/>
  <c r="CI95" i="3"/>
  <c r="CI90" i="3"/>
  <c r="CJ89" i="3"/>
  <c r="CL91" i="3"/>
  <c r="CE104" i="3"/>
  <c r="CE105" i="3"/>
  <c r="CF105" i="3"/>
  <c r="CH94" i="3"/>
  <c r="CH93" i="3"/>
  <c r="CH96" i="3"/>
  <c r="BK76" i="3"/>
  <c r="BK71" i="3"/>
  <c r="CD183" i="3"/>
  <c r="BJ53" i="3"/>
  <c r="BL68" i="3"/>
  <c r="BL160" i="3"/>
  <c r="BJ170" i="3"/>
  <c r="BK169" i="3"/>
  <c r="BK171" i="3" s="1"/>
  <c r="BK161" i="3"/>
  <c r="BK162" i="3"/>
  <c r="CI182" i="3"/>
  <c r="CN174" i="3"/>
  <c r="BQ117" i="3"/>
  <c r="BR119" i="3"/>
  <c r="BQ122" i="3"/>
  <c r="BP120" i="3"/>
  <c r="BO132" i="3"/>
  <c r="BO126" i="3"/>
  <c r="BO125" i="3"/>
  <c r="BH170" i="3"/>
  <c r="BK157" i="3"/>
  <c r="BK156" i="3"/>
  <c r="BL148" i="3"/>
  <c r="BL155" i="3"/>
  <c r="BL75" i="3" s="1"/>
  <c r="BL77" i="3" s="1"/>
  <c r="BL147" i="3"/>
  <c r="BM132" i="3"/>
  <c r="BM126" i="3"/>
  <c r="BM125" i="3"/>
  <c r="BO149" i="3"/>
  <c r="BM146" i="3"/>
  <c r="BM67" i="3" s="1"/>
  <c r="BM69" i="3" s="1"/>
  <c r="BO121" i="3"/>
  <c r="BI163" i="3"/>
  <c r="BI161" i="3"/>
  <c r="BN122" i="3"/>
  <c r="BN121" i="3"/>
  <c r="BN124" i="3"/>
  <c r="BN125" i="3" s="1"/>
  <c r="AB180" i="3"/>
  <c r="AC180" i="3"/>
  <c r="BT176" i="3" l="1"/>
  <c r="BR182" i="3"/>
  <c r="BR184" i="3" s="1"/>
  <c r="BW174" i="3"/>
  <c r="BW176" i="3" s="1"/>
  <c r="BM184" i="3"/>
  <c r="CA174" i="3"/>
  <c r="BV182" i="3"/>
  <c r="BQ183" i="3"/>
  <c r="BI170" i="3"/>
  <c r="BJ73" i="3"/>
  <c r="BK73" i="3"/>
  <c r="BJ57" i="3"/>
  <c r="CJ90" i="3"/>
  <c r="CJ95" i="3"/>
  <c r="CK97" i="3" s="1"/>
  <c r="CI96" i="3"/>
  <c r="CI97" i="3"/>
  <c r="CI103" i="3"/>
  <c r="CK96" i="3"/>
  <c r="CK103" i="3"/>
  <c r="CL89" i="3"/>
  <c r="CN91" i="3"/>
  <c r="CG104" i="3"/>
  <c r="CG105" i="3"/>
  <c r="BL157" i="3"/>
  <c r="CH103" i="3"/>
  <c r="BM68" i="3"/>
  <c r="BM160" i="3"/>
  <c r="BN160" i="3" s="1"/>
  <c r="BN67" i="3"/>
  <c r="BN68" i="3" s="1"/>
  <c r="BI166" i="3"/>
  <c r="BL169" i="3"/>
  <c r="BL161" i="3"/>
  <c r="CN182" i="3"/>
  <c r="CS174" i="3"/>
  <c r="CI183" i="3"/>
  <c r="BL52" i="3"/>
  <c r="BK170" i="3"/>
  <c r="BK72" i="3"/>
  <c r="BL162" i="3"/>
  <c r="BL71" i="3"/>
  <c r="BL73" i="3" s="1"/>
  <c r="BL76" i="3"/>
  <c r="BM147" i="3"/>
  <c r="BM148" i="3"/>
  <c r="BM155" i="3"/>
  <c r="BN155" i="3" s="1"/>
  <c r="BO134" i="3"/>
  <c r="BO133" i="3"/>
  <c r="BP124" i="3"/>
  <c r="BP121" i="3"/>
  <c r="BP149" i="3"/>
  <c r="BO146" i="3"/>
  <c r="BO67" i="3" s="1"/>
  <c r="BO69" i="3" s="1"/>
  <c r="BQ120" i="3"/>
  <c r="BQ124" i="3" s="1"/>
  <c r="BR122" i="3"/>
  <c r="BM133" i="3"/>
  <c r="BM134" i="3"/>
  <c r="BN132" i="3"/>
  <c r="BR117" i="3"/>
  <c r="BT119" i="3"/>
  <c r="BL156" i="3"/>
  <c r="BQ118" i="3"/>
  <c r="BN146" i="3"/>
  <c r="BY176" i="3" l="1"/>
  <c r="CB174" i="3"/>
  <c r="BW182" i="3"/>
  <c r="BW184" i="3" s="1"/>
  <c r="BR183" i="3"/>
  <c r="BT184" i="3"/>
  <c r="BV183" i="3"/>
  <c r="CF174" i="3"/>
  <c r="CA182" i="3"/>
  <c r="CB176" i="3"/>
  <c r="BL61" i="3"/>
  <c r="BL171" i="3"/>
  <c r="CN89" i="3"/>
  <c r="CP91" i="3"/>
  <c r="CP89" i="3" s="1"/>
  <c r="CI104" i="3"/>
  <c r="CI105" i="3"/>
  <c r="CL95" i="3"/>
  <c r="CM95" i="3" s="1"/>
  <c r="CL90" i="3"/>
  <c r="CJ103" i="3"/>
  <c r="CK105" i="3" s="1"/>
  <c r="CJ96" i="3"/>
  <c r="CJ97" i="3"/>
  <c r="CK104" i="3"/>
  <c r="CH99" i="3"/>
  <c r="CH100" i="3" s="1"/>
  <c r="CH104" i="3"/>
  <c r="BL53" i="3"/>
  <c r="BM75" i="3"/>
  <c r="BM77" i="3" s="1"/>
  <c r="CS182" i="3"/>
  <c r="CX174" i="3"/>
  <c r="CN183" i="3"/>
  <c r="BN163" i="3"/>
  <c r="BN161" i="3"/>
  <c r="BL170" i="3"/>
  <c r="BO68" i="3"/>
  <c r="BO160" i="3"/>
  <c r="BO162" i="3" s="1"/>
  <c r="BM169" i="3"/>
  <c r="BM162" i="3"/>
  <c r="BM161" i="3"/>
  <c r="BL72" i="3"/>
  <c r="BM52" i="3"/>
  <c r="BQ126" i="3"/>
  <c r="BQ125" i="3"/>
  <c r="BQ132" i="3"/>
  <c r="BP132" i="3"/>
  <c r="BP126" i="3"/>
  <c r="BP125" i="3"/>
  <c r="BQ149" i="3"/>
  <c r="BP146" i="3"/>
  <c r="BP67" i="3" s="1"/>
  <c r="BP69" i="3" s="1"/>
  <c r="BO148" i="3"/>
  <c r="BO155" i="3"/>
  <c r="BO75" i="3" s="1"/>
  <c r="BO147" i="3"/>
  <c r="BT117" i="3"/>
  <c r="BU119" i="3"/>
  <c r="BR120" i="3"/>
  <c r="BR121" i="3" s="1"/>
  <c r="BT122" i="3"/>
  <c r="BR118" i="3"/>
  <c r="BS117" i="3"/>
  <c r="BN147" i="3"/>
  <c r="BN149" i="3"/>
  <c r="BN133" i="3"/>
  <c r="BN128" i="3"/>
  <c r="BN129" i="3" s="1"/>
  <c r="BM156" i="3"/>
  <c r="BM157" i="3"/>
  <c r="BQ121" i="3"/>
  <c r="BN151" i="3"/>
  <c r="BN152" i="3" s="1"/>
  <c r="BN156" i="3"/>
  <c r="AN298" i="3"/>
  <c r="AN293" i="3"/>
  <c r="AP293" i="3"/>
  <c r="AN292" i="3"/>
  <c r="AN187" i="3"/>
  <c r="AM298" i="3"/>
  <c r="AM292" i="3"/>
  <c r="AM293" i="3"/>
  <c r="AM187" i="3"/>
  <c r="AL298" i="3"/>
  <c r="AL292" i="3"/>
  <c r="AL293" i="3"/>
  <c r="AL187" i="3"/>
  <c r="AK298" i="3"/>
  <c r="AK293" i="3"/>
  <c r="AO291" i="3"/>
  <c r="AK292" i="3"/>
  <c r="AK187" i="3"/>
  <c r="BY184" i="3" l="1"/>
  <c r="BW183" i="3"/>
  <c r="CD176" i="3"/>
  <c r="CG174" i="3"/>
  <c r="CB182" i="3"/>
  <c r="CB184" i="3" s="1"/>
  <c r="CA183" i="3"/>
  <c r="CK174" i="3"/>
  <c r="CF182" i="3"/>
  <c r="CG176" i="3"/>
  <c r="BL57" i="3"/>
  <c r="BL36" i="3"/>
  <c r="AM52" i="3"/>
  <c r="AK52" i="3"/>
  <c r="AK53" i="3" s="1"/>
  <c r="AL52" i="3"/>
  <c r="AN52" i="3"/>
  <c r="BO77" i="3"/>
  <c r="BN169" i="3"/>
  <c r="BN170" i="3" s="1"/>
  <c r="BM171" i="3"/>
  <c r="BM54" i="3"/>
  <c r="CJ105" i="3"/>
  <c r="CJ104" i="3"/>
  <c r="CL96" i="3"/>
  <c r="CL103" i="3"/>
  <c r="CL97" i="3"/>
  <c r="CP90" i="3"/>
  <c r="CP95" i="3"/>
  <c r="CN90" i="3"/>
  <c r="CN95" i="3"/>
  <c r="BS120" i="3"/>
  <c r="BS122" i="3" s="1"/>
  <c r="BR124" i="3"/>
  <c r="BR132" i="3" s="1"/>
  <c r="CM89" i="3"/>
  <c r="CM92" i="3"/>
  <c r="BP68" i="3"/>
  <c r="BP160" i="3"/>
  <c r="BP162" i="3" s="1"/>
  <c r="BO76" i="3"/>
  <c r="BO71" i="3"/>
  <c r="CX182" i="3"/>
  <c r="CS183" i="3"/>
  <c r="BM61" i="3"/>
  <c r="BM76" i="3"/>
  <c r="BM71" i="3"/>
  <c r="BM73" i="3" s="1"/>
  <c r="BN75" i="3"/>
  <c r="BO161" i="3"/>
  <c r="BO169" i="3"/>
  <c r="BO52" i="3"/>
  <c r="BO54" i="3" s="1"/>
  <c r="BM170" i="3"/>
  <c r="BM53" i="3"/>
  <c r="BT118" i="3"/>
  <c r="BO157" i="3"/>
  <c r="BO156" i="3"/>
  <c r="BP147" i="3"/>
  <c r="BP148" i="3"/>
  <c r="BP155" i="3"/>
  <c r="BP75" i="3" s="1"/>
  <c r="BP77" i="3" s="1"/>
  <c r="BR149" i="3"/>
  <c r="BQ146" i="3"/>
  <c r="BQ67" i="3" s="1"/>
  <c r="BQ69" i="3" s="1"/>
  <c r="BS119" i="3"/>
  <c r="BS118" i="3"/>
  <c r="BP133" i="3"/>
  <c r="BP134" i="3"/>
  <c r="BU122" i="3"/>
  <c r="BT120" i="3"/>
  <c r="BT124" i="3" s="1"/>
  <c r="BQ134" i="3"/>
  <c r="BQ133" i="3"/>
  <c r="BU117" i="3"/>
  <c r="BV119" i="3"/>
  <c r="AL299" i="3"/>
  <c r="AL300" i="3"/>
  <c r="AQ299" i="3"/>
  <c r="AL195" i="3"/>
  <c r="AL61" i="3" s="1"/>
  <c r="AM189" i="3"/>
  <c r="AM188" i="3"/>
  <c r="AR188" i="3"/>
  <c r="AM300" i="3"/>
  <c r="AR299" i="3"/>
  <c r="AM299" i="3"/>
  <c r="AM195" i="3"/>
  <c r="AM61" i="3" s="1"/>
  <c r="AK188" i="3"/>
  <c r="AK189" i="3"/>
  <c r="AO187" i="3"/>
  <c r="AO52" i="3" s="1"/>
  <c r="AP188" i="3"/>
  <c r="AN188" i="3"/>
  <c r="AN189" i="3"/>
  <c r="AP189" i="3"/>
  <c r="AS188" i="3"/>
  <c r="AT292" i="3"/>
  <c r="AO292" i="3"/>
  <c r="AO298" i="3"/>
  <c r="AK299" i="3"/>
  <c r="AP299" i="3"/>
  <c r="AK300" i="3"/>
  <c r="AK195" i="3"/>
  <c r="AK61" i="3" s="1"/>
  <c r="AL189" i="3"/>
  <c r="AL188" i="3"/>
  <c r="AQ188" i="3"/>
  <c r="AN300" i="3"/>
  <c r="AN299" i="3"/>
  <c r="AS299" i="3"/>
  <c r="AP300" i="3"/>
  <c r="AN195" i="3"/>
  <c r="BM36" i="3" l="1"/>
  <c r="AK174" i="3"/>
  <c r="AK175" i="3" s="1"/>
  <c r="CD184" i="3"/>
  <c r="CB183" i="3"/>
  <c r="CL174" i="3"/>
  <c r="CL176" i="3" s="1"/>
  <c r="CG182" i="3"/>
  <c r="CI176" i="3"/>
  <c r="AP53" i="3"/>
  <c r="CF183" i="3"/>
  <c r="CG184" i="3"/>
  <c r="CP174" i="3"/>
  <c r="CK182" i="3"/>
  <c r="AM53" i="3"/>
  <c r="AM174" i="3"/>
  <c r="AM175" i="3" s="1"/>
  <c r="AR53" i="3"/>
  <c r="BM63" i="3"/>
  <c r="AM54" i="3"/>
  <c r="AL54" i="3"/>
  <c r="AN53" i="3"/>
  <c r="AS53" i="3"/>
  <c r="AN174" i="3"/>
  <c r="AP176" i="3" s="1"/>
  <c r="AP54" i="3"/>
  <c r="AN54" i="3"/>
  <c r="AQ53" i="3"/>
  <c r="AL53" i="3"/>
  <c r="AL174" i="3"/>
  <c r="AQ175" i="3" s="1"/>
  <c r="AK54" i="3"/>
  <c r="BO73" i="3"/>
  <c r="BN165" i="3"/>
  <c r="BN166" i="3" s="1"/>
  <c r="BO61" i="3"/>
  <c r="BO36" i="3" s="1"/>
  <c r="BO38" i="3" s="1"/>
  <c r="BO171" i="3"/>
  <c r="BR126" i="3"/>
  <c r="CP96" i="3"/>
  <c r="CP103" i="3"/>
  <c r="BR125" i="3"/>
  <c r="CL105" i="3"/>
  <c r="CL104" i="3"/>
  <c r="CN97" i="3"/>
  <c r="CN96" i="3"/>
  <c r="CN103" i="3"/>
  <c r="BS121" i="3"/>
  <c r="BS124" i="3"/>
  <c r="BS125" i="3" s="1"/>
  <c r="AP175" i="3"/>
  <c r="CM90" i="3"/>
  <c r="CM91" i="3"/>
  <c r="CO91" i="3" s="1"/>
  <c r="CM96" i="3"/>
  <c r="AK176" i="3"/>
  <c r="CM94" i="3"/>
  <c r="CM93" i="3"/>
  <c r="BP76" i="3"/>
  <c r="BP71" i="3"/>
  <c r="BP73" i="3" s="1"/>
  <c r="AK63" i="3"/>
  <c r="AK62" i="3"/>
  <c r="AP62" i="3"/>
  <c r="AM63" i="3"/>
  <c r="AM62" i="3"/>
  <c r="AR62" i="3"/>
  <c r="CX183" i="3"/>
  <c r="BN76" i="3"/>
  <c r="BN71" i="3"/>
  <c r="BN72" i="3" s="1"/>
  <c r="BM72" i="3"/>
  <c r="BQ160" i="3"/>
  <c r="BQ68" i="3"/>
  <c r="BO53" i="3"/>
  <c r="BM57" i="3"/>
  <c r="AL63" i="3"/>
  <c r="AL62" i="3"/>
  <c r="AQ62" i="3"/>
  <c r="BS132" i="3"/>
  <c r="BS133" i="3" s="1"/>
  <c r="BP169" i="3"/>
  <c r="BP171" i="3" s="1"/>
  <c r="BP161" i="3"/>
  <c r="BO170" i="3"/>
  <c r="AO174" i="3"/>
  <c r="AO175" i="3" s="1"/>
  <c r="AO53" i="3"/>
  <c r="AT53" i="3"/>
  <c r="BO72" i="3"/>
  <c r="BT125" i="3"/>
  <c r="BT126" i="3"/>
  <c r="BT132" i="3"/>
  <c r="BU120" i="3"/>
  <c r="BU121" i="3" s="1"/>
  <c r="BV122" i="3"/>
  <c r="BV117" i="3"/>
  <c r="BW119" i="3"/>
  <c r="BU118" i="3"/>
  <c r="BP157" i="3"/>
  <c r="BP156" i="3"/>
  <c r="BR134" i="3"/>
  <c r="BR133" i="3"/>
  <c r="BT149" i="3"/>
  <c r="BR146" i="3"/>
  <c r="BR67" i="3" s="1"/>
  <c r="BQ147" i="3"/>
  <c r="BQ148" i="3"/>
  <c r="BQ155" i="3"/>
  <c r="BQ75" i="3" s="1"/>
  <c r="BQ77" i="3" s="1"/>
  <c r="BT121" i="3"/>
  <c r="AN192" i="3"/>
  <c r="AN193" i="3" s="1"/>
  <c r="AN61" i="3"/>
  <c r="AN196" i="3"/>
  <c r="AN197" i="3"/>
  <c r="AS196" i="3"/>
  <c r="AP197" i="3"/>
  <c r="AO295" i="3"/>
  <c r="AT299" i="3"/>
  <c r="AO299" i="3"/>
  <c r="AM192" i="3"/>
  <c r="AM197" i="3"/>
  <c r="AM196" i="3"/>
  <c r="AR196" i="3"/>
  <c r="AL192" i="3"/>
  <c r="AL197" i="3"/>
  <c r="AL196" i="3"/>
  <c r="AQ196" i="3"/>
  <c r="AO195" i="3"/>
  <c r="AO61" i="3" s="1"/>
  <c r="AO36" i="3" s="1"/>
  <c r="AK197" i="3"/>
  <c r="AK196" i="3"/>
  <c r="AK192" i="3"/>
  <c r="AP196" i="3"/>
  <c r="AO188" i="3"/>
  <c r="AT188" i="3"/>
  <c r="BM38" i="3" l="1"/>
  <c r="CI184" i="3"/>
  <c r="CG183" i="3"/>
  <c r="CN176" i="3"/>
  <c r="CL182" i="3"/>
  <c r="CQ174" i="3"/>
  <c r="CQ176" i="3" s="1"/>
  <c r="CK183" i="3"/>
  <c r="CL184" i="3"/>
  <c r="CP182" i="3"/>
  <c r="CU174" i="3"/>
  <c r="BO37" i="3"/>
  <c r="AR175" i="3"/>
  <c r="BO57" i="3"/>
  <c r="BO63" i="3"/>
  <c r="BO62" i="3"/>
  <c r="AN176" i="3"/>
  <c r="AM176" i="3"/>
  <c r="AL175" i="3"/>
  <c r="AS175" i="3"/>
  <c r="AN175" i="3"/>
  <c r="AL176" i="3"/>
  <c r="BS67" i="3"/>
  <c r="BS68" i="3" s="1"/>
  <c r="BR69" i="3"/>
  <c r="CN105" i="3"/>
  <c r="CN104" i="3"/>
  <c r="CO89" i="3"/>
  <c r="CQ91" i="3"/>
  <c r="CP104" i="3"/>
  <c r="CM103" i="3"/>
  <c r="AS193" i="3"/>
  <c r="AT175" i="3"/>
  <c r="BM59" i="3"/>
  <c r="AN63" i="3"/>
  <c r="AN62" i="3"/>
  <c r="AS62" i="3"/>
  <c r="BQ76" i="3"/>
  <c r="BP170" i="3"/>
  <c r="BR68" i="3"/>
  <c r="BR160" i="3"/>
  <c r="BP72" i="3"/>
  <c r="BQ161" i="3"/>
  <c r="BQ169" i="3"/>
  <c r="BQ162" i="3"/>
  <c r="BQ52" i="3"/>
  <c r="BS128" i="3"/>
  <c r="BS129" i="3" s="1"/>
  <c r="AO62" i="3"/>
  <c r="AP63" i="3"/>
  <c r="AT62" i="3"/>
  <c r="BQ71" i="3"/>
  <c r="BQ73" i="3" s="1"/>
  <c r="BS146" i="3"/>
  <c r="BR147" i="3"/>
  <c r="BR148" i="3"/>
  <c r="BR155" i="3"/>
  <c r="BR75" i="3" s="1"/>
  <c r="BV120" i="3"/>
  <c r="BV121" i="3" s="1"/>
  <c r="BW122" i="3"/>
  <c r="BW117" i="3"/>
  <c r="BY119" i="3"/>
  <c r="BU149" i="3"/>
  <c r="BT146" i="3"/>
  <c r="BT67" i="3" s="1"/>
  <c r="BT69" i="3" s="1"/>
  <c r="BQ157" i="3"/>
  <c r="BQ156" i="3"/>
  <c r="BV118" i="3"/>
  <c r="BT134" i="3"/>
  <c r="BT133" i="3"/>
  <c r="BU124" i="3"/>
  <c r="AO192" i="3"/>
  <c r="AO193" i="3" s="1"/>
  <c r="AL193" i="3"/>
  <c r="AQ193" i="3"/>
  <c r="AM193" i="3"/>
  <c r="AR193" i="3"/>
  <c r="AK193" i="3"/>
  <c r="AP193" i="3"/>
  <c r="AT296" i="3"/>
  <c r="AO296" i="3"/>
  <c r="AO196" i="3"/>
  <c r="AT196" i="3"/>
  <c r="CS176" i="3" l="1"/>
  <c r="CV174" i="3"/>
  <c r="CQ182" i="3"/>
  <c r="CL183" i="3"/>
  <c r="CN184" i="3"/>
  <c r="BO58" i="3"/>
  <c r="CZ174" i="3"/>
  <c r="CU182" i="3"/>
  <c r="CV176" i="3"/>
  <c r="CP183" i="3"/>
  <c r="CQ184" i="3"/>
  <c r="BS75" i="3"/>
  <c r="BS71" i="3" s="1"/>
  <c r="BS72" i="3" s="1"/>
  <c r="BR77" i="3"/>
  <c r="BQ61" i="3"/>
  <c r="BQ36" i="3" s="1"/>
  <c r="BQ171" i="3"/>
  <c r="CQ89" i="3"/>
  <c r="CS91" i="3"/>
  <c r="CO90" i="3"/>
  <c r="CO95" i="3"/>
  <c r="CR92" i="3"/>
  <c r="CR94" i="3" s="1"/>
  <c r="CM99" i="3"/>
  <c r="CM100" i="3" s="1"/>
  <c r="CM104" i="3"/>
  <c r="BQ53" i="3"/>
  <c r="BQ72" i="3"/>
  <c r="BR161" i="3"/>
  <c r="BR169" i="3"/>
  <c r="BR162" i="3"/>
  <c r="BR52" i="3"/>
  <c r="BS160" i="3"/>
  <c r="BQ170" i="3"/>
  <c r="BT68" i="3"/>
  <c r="BT160" i="3"/>
  <c r="BT52" i="3" s="1"/>
  <c r="AT193" i="3"/>
  <c r="BR76" i="3"/>
  <c r="BR71" i="3"/>
  <c r="BR73" i="3" s="1"/>
  <c r="BV149" i="3"/>
  <c r="BU146" i="3"/>
  <c r="BU67" i="3" s="1"/>
  <c r="BU69" i="3" s="1"/>
  <c r="BW118" i="3"/>
  <c r="BW120" i="3"/>
  <c r="BW124" i="3" s="1"/>
  <c r="BY122" i="3"/>
  <c r="BR156" i="3"/>
  <c r="BR157" i="3"/>
  <c r="BZ119" i="3"/>
  <c r="BY117" i="3"/>
  <c r="BS155" i="3"/>
  <c r="BV124" i="3"/>
  <c r="BS149" i="3"/>
  <c r="BS147" i="3"/>
  <c r="BT148" i="3"/>
  <c r="BT147" i="3"/>
  <c r="BT155" i="3"/>
  <c r="BT157" i="3" s="1"/>
  <c r="BU125" i="3"/>
  <c r="BU126" i="3"/>
  <c r="BU132" i="3"/>
  <c r="BX117" i="3"/>
  <c r="W57" i="3"/>
  <c r="X57" i="3"/>
  <c r="CS184" i="3" l="1"/>
  <c r="CQ183" i="3"/>
  <c r="DA174" i="3"/>
  <c r="DA182" i="3" s="1"/>
  <c r="CX176" i="3"/>
  <c r="CV182" i="3"/>
  <c r="BS76" i="3"/>
  <c r="CU183" i="3"/>
  <c r="CV184" i="3"/>
  <c r="CZ182" i="3"/>
  <c r="BQ37" i="3"/>
  <c r="BQ57" i="3"/>
  <c r="BR54" i="3"/>
  <c r="BQ62" i="3"/>
  <c r="BT54" i="3"/>
  <c r="BR61" i="3"/>
  <c r="BR36" i="3" s="1"/>
  <c r="BR171" i="3"/>
  <c r="CO103" i="3"/>
  <c r="CO97" i="3"/>
  <c r="CO96" i="3"/>
  <c r="CP97" i="3"/>
  <c r="CS89" i="3"/>
  <c r="CU91" i="3"/>
  <c r="CU89" i="3" s="1"/>
  <c r="CQ90" i="3"/>
  <c r="CQ95" i="3"/>
  <c r="CR95" i="3" s="1"/>
  <c r="CR93" i="3"/>
  <c r="BS169" i="3"/>
  <c r="BS165" i="3" s="1"/>
  <c r="CR89" i="3"/>
  <c r="AB58" i="3"/>
  <c r="BT53" i="3"/>
  <c r="BR72" i="3"/>
  <c r="BU68" i="3"/>
  <c r="BU160" i="3"/>
  <c r="BR170" i="3"/>
  <c r="BS161" i="3"/>
  <c r="BS163" i="3"/>
  <c r="BT156" i="3"/>
  <c r="BT75" i="3"/>
  <c r="BT77" i="3" s="1"/>
  <c r="X59" i="3"/>
  <c r="AC58" i="3"/>
  <c r="BT162" i="3"/>
  <c r="BT161" i="3"/>
  <c r="BT169" i="3"/>
  <c r="BT171" i="3" s="1"/>
  <c r="BR53" i="3"/>
  <c r="BW126" i="3"/>
  <c r="BW132" i="3"/>
  <c r="BW125" i="3"/>
  <c r="BU133" i="3"/>
  <c r="BU134" i="3"/>
  <c r="BS151" i="3"/>
  <c r="BS156" i="3"/>
  <c r="BX118" i="3"/>
  <c r="BX119" i="3"/>
  <c r="BY120" i="3"/>
  <c r="BZ122" i="3"/>
  <c r="CA119" i="3"/>
  <c r="BZ117" i="3"/>
  <c r="BU155" i="3"/>
  <c r="BU75" i="3" s="1"/>
  <c r="BU147" i="3"/>
  <c r="BU148" i="3"/>
  <c r="BY118" i="3"/>
  <c r="BW121" i="3"/>
  <c r="BX120" i="3"/>
  <c r="BV126" i="3"/>
  <c r="BV132" i="3"/>
  <c r="BV125" i="3"/>
  <c r="BW149" i="3"/>
  <c r="BV146" i="3"/>
  <c r="BV67" i="3" s="1"/>
  <c r="BV69" i="3" s="1"/>
  <c r="X184" i="3"/>
  <c r="AC183" i="3"/>
  <c r="AB183" i="3"/>
  <c r="DA176" i="3" l="1"/>
  <c r="CX184" i="3"/>
  <c r="CV183" i="3"/>
  <c r="DA183" i="3"/>
  <c r="BQ58" i="3"/>
  <c r="CZ183" i="3"/>
  <c r="DA184" i="3"/>
  <c r="BR38" i="3"/>
  <c r="BR37" i="3"/>
  <c r="BR63" i="3"/>
  <c r="BR62" i="3"/>
  <c r="BR57" i="3"/>
  <c r="BU77" i="3"/>
  <c r="CQ96" i="3"/>
  <c r="CQ103" i="3"/>
  <c r="CR103" i="3" s="1"/>
  <c r="CQ97" i="3"/>
  <c r="CU90" i="3"/>
  <c r="CU95" i="3"/>
  <c r="CS90" i="3"/>
  <c r="CS95" i="3"/>
  <c r="CO105" i="3"/>
  <c r="CO104" i="3"/>
  <c r="CP105" i="3"/>
  <c r="BS170" i="3"/>
  <c r="CR90" i="3"/>
  <c r="CR91" i="3"/>
  <c r="CT91" i="3" s="1"/>
  <c r="CR96" i="3"/>
  <c r="BU76" i="3"/>
  <c r="BU71" i="3"/>
  <c r="BV160" i="3"/>
  <c r="BV52" i="3" s="1"/>
  <c r="BV68" i="3"/>
  <c r="BU169" i="3"/>
  <c r="BU171" i="3" s="1"/>
  <c r="BU162" i="3"/>
  <c r="BU161" i="3"/>
  <c r="BS166" i="3"/>
  <c r="BT61" i="3"/>
  <c r="BT36" i="3" s="1"/>
  <c r="BT71" i="3"/>
  <c r="BT73" i="3" s="1"/>
  <c r="BT76" i="3"/>
  <c r="BT170" i="3"/>
  <c r="BY121" i="3"/>
  <c r="BX122" i="3"/>
  <c r="BX121" i="3"/>
  <c r="BU157" i="3"/>
  <c r="BU156" i="3"/>
  <c r="BY124" i="3"/>
  <c r="BS152" i="3"/>
  <c r="BZ118" i="3"/>
  <c r="BV147" i="3"/>
  <c r="BV155" i="3"/>
  <c r="BV75" i="3" s="1"/>
  <c r="BV77" i="3" s="1"/>
  <c r="BV148" i="3"/>
  <c r="CA117" i="3"/>
  <c r="CB119" i="3"/>
  <c r="BW134" i="3"/>
  <c r="BW133" i="3"/>
  <c r="BX124" i="3"/>
  <c r="BX125" i="3" s="1"/>
  <c r="BY149" i="3"/>
  <c r="BW146" i="3"/>
  <c r="BW67" i="3" s="1"/>
  <c r="BX132" i="3"/>
  <c r="BV134" i="3"/>
  <c r="BV133" i="3"/>
  <c r="BZ120" i="3"/>
  <c r="BZ121" i="3" s="1"/>
  <c r="CA122" i="3"/>
  <c r="AB179" i="3"/>
  <c r="X180" i="3"/>
  <c r="AC179" i="3"/>
  <c r="BR59" i="3" l="1"/>
  <c r="BR58" i="3"/>
  <c r="BT37" i="3"/>
  <c r="BT63" i="3"/>
  <c r="BU73" i="3"/>
  <c r="BX67" i="3"/>
  <c r="BX68" i="3" s="1"/>
  <c r="BW69" i="3"/>
  <c r="CS103" i="3"/>
  <c r="CS96" i="3"/>
  <c r="CS97" i="3"/>
  <c r="CU103" i="3"/>
  <c r="CU96" i="3"/>
  <c r="CT89" i="3"/>
  <c r="CV91" i="3"/>
  <c r="CQ104" i="3"/>
  <c r="CQ105" i="3"/>
  <c r="CR104" i="3"/>
  <c r="CR99" i="3"/>
  <c r="CR100" i="3" s="1"/>
  <c r="BV71" i="3"/>
  <c r="BV73" i="3" s="1"/>
  <c r="BV76" i="3"/>
  <c r="BU170" i="3"/>
  <c r="BV53" i="3"/>
  <c r="BT72" i="3"/>
  <c r="BV161" i="3"/>
  <c r="BV162" i="3"/>
  <c r="BV169" i="3"/>
  <c r="BV171" i="3" s="1"/>
  <c r="BT62" i="3"/>
  <c r="BT57" i="3"/>
  <c r="BU72" i="3"/>
  <c r="BZ124" i="3"/>
  <c r="BZ132" i="3" s="1"/>
  <c r="BW68" i="3"/>
  <c r="BW160" i="3"/>
  <c r="BW147" i="3"/>
  <c r="BW148" i="3"/>
  <c r="BW155" i="3"/>
  <c r="BW75" i="3" s="1"/>
  <c r="BY125" i="3"/>
  <c r="BY132" i="3"/>
  <c r="BY126" i="3"/>
  <c r="CB117" i="3"/>
  <c r="CD119" i="3"/>
  <c r="CA118" i="3"/>
  <c r="BX146" i="3"/>
  <c r="BX133" i="3"/>
  <c r="BX128" i="3"/>
  <c r="BX129" i="3" s="1"/>
  <c r="CA120" i="3"/>
  <c r="CA121" i="3" s="1"/>
  <c r="CB122" i="3"/>
  <c r="BZ149" i="3"/>
  <c r="BY146" i="3"/>
  <c r="BY67" i="3" s="1"/>
  <c r="BY69" i="3" s="1"/>
  <c r="BV156" i="3"/>
  <c r="BV157" i="3"/>
  <c r="Q117" i="3"/>
  <c r="Q120" i="3"/>
  <c r="B146" i="3"/>
  <c r="C146" i="3"/>
  <c r="C155" i="3" s="1"/>
  <c r="D146" i="3"/>
  <c r="D155" i="3" s="1"/>
  <c r="E146" i="3"/>
  <c r="E155" i="3" s="1"/>
  <c r="G146" i="3"/>
  <c r="S174" i="3"/>
  <c r="BX75" i="3" l="1"/>
  <c r="BX71" i="3" s="1"/>
  <c r="BX72" i="3" s="1"/>
  <c r="BW77" i="3"/>
  <c r="CT90" i="3"/>
  <c r="CT95" i="3"/>
  <c r="CU104" i="3"/>
  <c r="CS104" i="3"/>
  <c r="CS105" i="3"/>
  <c r="CV89" i="3"/>
  <c r="CW89" i="3" s="1"/>
  <c r="CX91" i="3"/>
  <c r="BZ125" i="3"/>
  <c r="BZ126" i="3"/>
  <c r="BY160" i="3"/>
  <c r="BY68" i="3"/>
  <c r="BT58" i="3"/>
  <c r="BW161" i="3"/>
  <c r="BW169" i="3"/>
  <c r="BW162" i="3"/>
  <c r="BW52" i="3"/>
  <c r="BX160" i="3"/>
  <c r="BV170" i="3"/>
  <c r="BV72" i="3"/>
  <c r="BV61" i="3"/>
  <c r="BV36" i="3" s="1"/>
  <c r="BW71" i="3"/>
  <c r="BW73" i="3" s="1"/>
  <c r="BW76" i="3"/>
  <c r="CA149" i="3"/>
  <c r="BZ146" i="3"/>
  <c r="BZ67" i="3" s="1"/>
  <c r="BZ69" i="3" s="1"/>
  <c r="CB118" i="3"/>
  <c r="CB120" i="3"/>
  <c r="CD122" i="3"/>
  <c r="BZ134" i="3"/>
  <c r="BZ133" i="3"/>
  <c r="BY133" i="3"/>
  <c r="BY134" i="3"/>
  <c r="CD117" i="3"/>
  <c r="CE119" i="3"/>
  <c r="BX147" i="3"/>
  <c r="BX149" i="3"/>
  <c r="BX155" i="3"/>
  <c r="BW157" i="3"/>
  <c r="BW156" i="3"/>
  <c r="CC117" i="3"/>
  <c r="BY148" i="3"/>
  <c r="BY155" i="3"/>
  <c r="BY75" i="3" s="1"/>
  <c r="BY77" i="3" s="1"/>
  <c r="BY147" i="3"/>
  <c r="CA124" i="3"/>
  <c r="G57" i="3"/>
  <c r="G175" i="3"/>
  <c r="H176" i="3"/>
  <c r="H175" i="3"/>
  <c r="I176" i="3"/>
  <c r="S163" i="3"/>
  <c r="E163" i="3"/>
  <c r="H163" i="3"/>
  <c r="H162" i="3"/>
  <c r="H161" i="3"/>
  <c r="J162" i="3"/>
  <c r="I162" i="3"/>
  <c r="I161" i="3"/>
  <c r="G162" i="3"/>
  <c r="G163" i="3"/>
  <c r="G161" i="3"/>
  <c r="K160" i="3"/>
  <c r="K174" i="3" s="1"/>
  <c r="S68" i="3"/>
  <c r="U67" i="3"/>
  <c r="U174" i="3" s="1"/>
  <c r="X68" i="3"/>
  <c r="E117" i="3"/>
  <c r="J68" i="3"/>
  <c r="E71" i="3"/>
  <c r="B155" i="3"/>
  <c r="F155" i="3" s="1"/>
  <c r="F146" i="3"/>
  <c r="F149" i="3" s="1"/>
  <c r="T153" i="3"/>
  <c r="Y152" i="3"/>
  <c r="T152" i="3"/>
  <c r="V153" i="3"/>
  <c r="G155" i="3"/>
  <c r="Q121" i="3"/>
  <c r="V121" i="3"/>
  <c r="Q118" i="3"/>
  <c r="Q124" i="3"/>
  <c r="Q146" i="3" s="1"/>
  <c r="V118" i="3"/>
  <c r="R130" i="3"/>
  <c r="W129" i="3"/>
  <c r="S130" i="3"/>
  <c r="R129" i="3"/>
  <c r="R120" i="3"/>
  <c r="D124" i="3"/>
  <c r="C124" i="3"/>
  <c r="R117" i="3"/>
  <c r="U117" i="3" s="1"/>
  <c r="BV37" i="3" l="1"/>
  <c r="BX76" i="3"/>
  <c r="BW54" i="3"/>
  <c r="E73" i="3"/>
  <c r="G73" i="3"/>
  <c r="S73" i="3"/>
  <c r="T73" i="3"/>
  <c r="BX169" i="3"/>
  <c r="BX170" i="3" s="1"/>
  <c r="BW171" i="3"/>
  <c r="CX89" i="3"/>
  <c r="CZ91" i="3"/>
  <c r="CZ89" i="3" s="1"/>
  <c r="CV95" i="3"/>
  <c r="CW95" i="3" s="1"/>
  <c r="CV90" i="3"/>
  <c r="CT96" i="3"/>
  <c r="CT97" i="3"/>
  <c r="CT103" i="3"/>
  <c r="CU97" i="3"/>
  <c r="CW92" i="3"/>
  <c r="CW91" i="3"/>
  <c r="CY91" i="3" s="1"/>
  <c r="CW90" i="3"/>
  <c r="BZ160" i="3"/>
  <c r="BZ68" i="3"/>
  <c r="BY71" i="3"/>
  <c r="BY73" i="3" s="1"/>
  <c r="BY76" i="3"/>
  <c r="BV57" i="3"/>
  <c r="BV62" i="3"/>
  <c r="BX161" i="3"/>
  <c r="BX163" i="3"/>
  <c r="BW53" i="3"/>
  <c r="BW170" i="3"/>
  <c r="BY162" i="3"/>
  <c r="BY169" i="3"/>
  <c r="BY171" i="3" s="1"/>
  <c r="BY161" i="3"/>
  <c r="BW72" i="3"/>
  <c r="BY52" i="3"/>
  <c r="BW61" i="3"/>
  <c r="BW36" i="3" s="1"/>
  <c r="BY156" i="3"/>
  <c r="BY157" i="3"/>
  <c r="CC119" i="3"/>
  <c r="CC118" i="3"/>
  <c r="CD118" i="3"/>
  <c r="CE122" i="3"/>
  <c r="CD120" i="3"/>
  <c r="CD124" i="3" s="1"/>
  <c r="CB121" i="3"/>
  <c r="CC120" i="3"/>
  <c r="CC124" i="3" s="1"/>
  <c r="CC125" i="3" s="1"/>
  <c r="CA132" i="3"/>
  <c r="CA125" i="3"/>
  <c r="CA126" i="3"/>
  <c r="BX151" i="3"/>
  <c r="BX152" i="3" s="1"/>
  <c r="BX156" i="3"/>
  <c r="CB124" i="3"/>
  <c r="BZ148" i="3"/>
  <c r="BZ147" i="3"/>
  <c r="BZ155" i="3"/>
  <c r="BZ75" i="3" s="1"/>
  <c r="BZ77" i="3" s="1"/>
  <c r="CE117" i="3"/>
  <c r="CF119" i="3"/>
  <c r="CB149" i="3"/>
  <c r="CA146" i="3"/>
  <c r="CA67" i="3" s="1"/>
  <c r="CA69" i="3" s="1"/>
  <c r="U163" i="3"/>
  <c r="F163" i="3"/>
  <c r="T176" i="3"/>
  <c r="S176" i="3"/>
  <c r="X175" i="3"/>
  <c r="E176" i="3"/>
  <c r="J175" i="3"/>
  <c r="G176" i="3"/>
  <c r="K161" i="3"/>
  <c r="K163" i="3"/>
  <c r="I182" i="3"/>
  <c r="J72" i="3"/>
  <c r="E119" i="3"/>
  <c r="E124" i="3"/>
  <c r="G126" i="3" s="1"/>
  <c r="Q149" i="3"/>
  <c r="Q147" i="3"/>
  <c r="Q148" i="3"/>
  <c r="V147" i="3"/>
  <c r="U68" i="3"/>
  <c r="U71" i="3"/>
  <c r="Z68" i="3"/>
  <c r="X72" i="3"/>
  <c r="S72" i="3"/>
  <c r="F71" i="3"/>
  <c r="K72" i="3" s="1"/>
  <c r="K68" i="3"/>
  <c r="R153" i="3"/>
  <c r="R152" i="3"/>
  <c r="W152" i="3"/>
  <c r="S153" i="3"/>
  <c r="U119" i="3"/>
  <c r="U118" i="3"/>
  <c r="Z118" i="3"/>
  <c r="D126" i="3"/>
  <c r="Q132" i="3"/>
  <c r="Q125" i="3"/>
  <c r="Q126" i="3"/>
  <c r="V125" i="3"/>
  <c r="F117" i="3"/>
  <c r="G118" i="3"/>
  <c r="R121" i="3"/>
  <c r="W121" i="3"/>
  <c r="H118" i="3"/>
  <c r="H124" i="3"/>
  <c r="M118" i="3"/>
  <c r="R118" i="3"/>
  <c r="R124" i="3"/>
  <c r="W118" i="3"/>
  <c r="D128" i="3"/>
  <c r="BW37" i="3" l="1"/>
  <c r="BW38" i="3"/>
  <c r="BW63" i="3"/>
  <c r="BY54" i="3"/>
  <c r="BX165" i="3"/>
  <c r="BX166" i="3" s="1"/>
  <c r="DA91" i="3"/>
  <c r="DA89" i="3" s="1"/>
  <c r="CY89" i="3"/>
  <c r="CV96" i="3"/>
  <c r="CV103" i="3"/>
  <c r="CV97" i="3"/>
  <c r="CT105" i="3"/>
  <c r="CT104" i="3"/>
  <c r="CU105" i="3"/>
  <c r="CZ95" i="3"/>
  <c r="CZ90" i="3"/>
  <c r="CX90" i="3"/>
  <c r="CX95" i="3"/>
  <c r="CW93" i="3"/>
  <c r="CW94" i="3"/>
  <c r="CW96" i="3"/>
  <c r="CA68" i="3"/>
  <c r="CA160" i="3"/>
  <c r="BY170" i="3"/>
  <c r="BY72" i="3"/>
  <c r="BW57" i="3"/>
  <c r="BW62" i="3"/>
  <c r="BY61" i="3"/>
  <c r="BY53" i="3"/>
  <c r="BZ169" i="3"/>
  <c r="BZ162" i="3"/>
  <c r="BZ161" i="3"/>
  <c r="BZ71" i="3"/>
  <c r="BZ73" i="3" s="1"/>
  <c r="BZ76" i="3"/>
  <c r="BV58" i="3"/>
  <c r="CD132" i="3"/>
  <c r="CD126" i="3"/>
  <c r="CD125" i="3"/>
  <c r="CB132" i="3"/>
  <c r="CC132" i="3" s="1"/>
  <c r="CB126" i="3"/>
  <c r="CB125" i="3"/>
  <c r="CE120" i="3"/>
  <c r="CE121" i="3" s="1"/>
  <c r="CF122" i="3"/>
  <c r="CD121" i="3"/>
  <c r="O163" i="3"/>
  <c r="CE118" i="3"/>
  <c r="CA155" i="3"/>
  <c r="CA75" i="3" s="1"/>
  <c r="CA77" i="3" s="1"/>
  <c r="CA147" i="3"/>
  <c r="CA148" i="3"/>
  <c r="CA134" i="3"/>
  <c r="CA133" i="3"/>
  <c r="CF117" i="3"/>
  <c r="CG119" i="3"/>
  <c r="BZ157" i="3"/>
  <c r="BZ156" i="3"/>
  <c r="CD149" i="3"/>
  <c r="CB146" i="3"/>
  <c r="CB67" i="3" s="1"/>
  <c r="CB69" i="3" s="1"/>
  <c r="CC122" i="3"/>
  <c r="CC121" i="3"/>
  <c r="Z175" i="3"/>
  <c r="K175" i="3"/>
  <c r="I170" i="3"/>
  <c r="G166" i="3"/>
  <c r="F169" i="3"/>
  <c r="G170" i="3"/>
  <c r="H170" i="3"/>
  <c r="O161" i="3"/>
  <c r="Q162" i="3"/>
  <c r="T161" i="3"/>
  <c r="R126" i="3"/>
  <c r="R146" i="3"/>
  <c r="E126" i="3"/>
  <c r="U72" i="3"/>
  <c r="Z72" i="3"/>
  <c r="I124" i="3"/>
  <c r="I118" i="3"/>
  <c r="N118" i="3"/>
  <c r="Q133" i="3"/>
  <c r="Q134" i="3"/>
  <c r="V133" i="3"/>
  <c r="R132" i="3"/>
  <c r="R125" i="3"/>
  <c r="W125" i="3"/>
  <c r="G125" i="3"/>
  <c r="F119" i="3"/>
  <c r="F124" i="3"/>
  <c r="C126" i="3"/>
  <c r="H125" i="3"/>
  <c r="H126" i="3"/>
  <c r="M125" i="3"/>
  <c r="O182" i="3"/>
  <c r="BY63" i="3" l="1"/>
  <c r="BZ171" i="3"/>
  <c r="T175" i="3"/>
  <c r="Q176" i="3"/>
  <c r="CV105" i="3"/>
  <c r="CV104" i="3"/>
  <c r="CY90" i="3"/>
  <c r="CY95" i="3"/>
  <c r="CZ97" i="3" s="1"/>
  <c r="CZ96" i="3"/>
  <c r="CZ103" i="3"/>
  <c r="CX103" i="3"/>
  <c r="CX96" i="3"/>
  <c r="CX97" i="3"/>
  <c r="DA90" i="3"/>
  <c r="DA95" i="3"/>
  <c r="O175" i="3"/>
  <c r="DB92" i="3"/>
  <c r="CC146" i="3"/>
  <c r="CC149" i="3" s="1"/>
  <c r="CW103" i="3"/>
  <c r="CA76" i="3"/>
  <c r="CA71" i="3"/>
  <c r="CA73" i="3" s="1"/>
  <c r="CB160" i="3"/>
  <c r="CC160" i="3" s="1"/>
  <c r="CB68" i="3"/>
  <c r="CC67" i="3"/>
  <c r="CC68" i="3" s="1"/>
  <c r="BW58" i="3"/>
  <c r="BW59" i="3"/>
  <c r="BZ72" i="3"/>
  <c r="BZ170" i="3"/>
  <c r="CA161" i="3"/>
  <c r="CA162" i="3"/>
  <c r="CA169" i="3"/>
  <c r="CA171" i="3" s="1"/>
  <c r="CA52" i="3"/>
  <c r="BY62" i="3"/>
  <c r="BY57" i="3"/>
  <c r="CF118" i="3"/>
  <c r="CC133" i="3"/>
  <c r="CC128" i="3"/>
  <c r="CC129" i="3" s="1"/>
  <c r="CF120" i="3"/>
  <c r="CG122" i="3"/>
  <c r="CB134" i="3"/>
  <c r="CB133" i="3"/>
  <c r="CB147" i="3"/>
  <c r="CB148" i="3"/>
  <c r="CB155" i="3"/>
  <c r="CB75" i="3" s="1"/>
  <c r="CB77" i="3" s="1"/>
  <c r="CA157" i="3"/>
  <c r="CA156" i="3"/>
  <c r="CE149" i="3"/>
  <c r="CD146" i="3"/>
  <c r="CD67" i="3" s="1"/>
  <c r="CD69" i="3" s="1"/>
  <c r="CE124" i="3"/>
  <c r="CG117" i="3"/>
  <c r="CH117" i="3" s="1"/>
  <c r="CI119" i="3"/>
  <c r="CD134" i="3"/>
  <c r="CD133" i="3"/>
  <c r="F165" i="3"/>
  <c r="T170" i="3"/>
  <c r="H166" i="3"/>
  <c r="I166" i="3"/>
  <c r="R149" i="3"/>
  <c r="R148" i="3"/>
  <c r="R147" i="3"/>
  <c r="W147" i="3"/>
  <c r="J117" i="3"/>
  <c r="J118" i="3" s="1"/>
  <c r="R133" i="3"/>
  <c r="W133" i="3"/>
  <c r="R134" i="3"/>
  <c r="I125" i="3"/>
  <c r="I126" i="3"/>
  <c r="N125" i="3"/>
  <c r="DB95" i="3" l="1"/>
  <c r="CZ104" i="3"/>
  <c r="CX104" i="3"/>
  <c r="CX105" i="3"/>
  <c r="CY96" i="3"/>
  <c r="CY103" i="3"/>
  <c r="CY97" i="3"/>
  <c r="DA103" i="3"/>
  <c r="DA97" i="3"/>
  <c r="DA96" i="3"/>
  <c r="CC155" i="3"/>
  <c r="CC156" i="3" s="1"/>
  <c r="CC147" i="3"/>
  <c r="T166" i="3"/>
  <c r="DB94" i="3"/>
  <c r="DB93" i="3"/>
  <c r="CW99" i="3"/>
  <c r="CW100" i="3" s="1"/>
  <c r="CW104" i="3"/>
  <c r="DB89" i="3"/>
  <c r="CB76" i="3"/>
  <c r="CB71" i="3"/>
  <c r="CB73" i="3" s="1"/>
  <c r="CC75" i="3"/>
  <c r="CA53" i="3"/>
  <c r="CC161" i="3"/>
  <c r="CC163" i="3"/>
  <c r="CA170" i="3"/>
  <c r="CB161" i="3"/>
  <c r="CB169" i="3"/>
  <c r="CB162" i="3"/>
  <c r="CB52" i="3"/>
  <c r="BY58" i="3"/>
  <c r="CA72" i="3"/>
  <c r="CA61" i="3"/>
  <c r="CD160" i="3"/>
  <c r="CD68" i="3"/>
  <c r="CH119" i="3"/>
  <c r="CH118" i="3"/>
  <c r="CE125" i="3"/>
  <c r="CE132" i="3"/>
  <c r="CE126" i="3"/>
  <c r="CG120" i="3"/>
  <c r="CG121" i="3" s="1"/>
  <c r="CI122" i="3"/>
  <c r="CF121" i="3"/>
  <c r="CD148" i="3"/>
  <c r="CD155" i="3"/>
  <c r="CD75" i="3" s="1"/>
  <c r="CD77" i="3" s="1"/>
  <c r="CD147" i="3"/>
  <c r="CF149" i="3"/>
  <c r="CE146" i="3"/>
  <c r="CE67" i="3" s="1"/>
  <c r="CE69" i="3" s="1"/>
  <c r="CG118" i="3"/>
  <c r="CF124" i="3"/>
  <c r="CI117" i="3"/>
  <c r="CJ119" i="3"/>
  <c r="CB157" i="3"/>
  <c r="CB156" i="3"/>
  <c r="K117" i="3"/>
  <c r="P118" i="3" s="1"/>
  <c r="O118" i="3"/>
  <c r="J124" i="3"/>
  <c r="J146" i="3" s="1"/>
  <c r="CC169" i="3" l="1"/>
  <c r="CC170" i="3" s="1"/>
  <c r="CB171" i="3"/>
  <c r="CB54" i="3"/>
  <c r="CC151" i="3"/>
  <c r="CC152" i="3" s="1"/>
  <c r="DA104" i="3"/>
  <c r="DA105" i="3"/>
  <c r="CY104" i="3"/>
  <c r="CY105" i="3"/>
  <c r="CZ105" i="3"/>
  <c r="CH120" i="3"/>
  <c r="CH124" i="3" s="1"/>
  <c r="CH125" i="3" s="1"/>
  <c r="DB96" i="3"/>
  <c r="DB91" i="3"/>
  <c r="DB90" i="3"/>
  <c r="CE160" i="3"/>
  <c r="CE68" i="3"/>
  <c r="CB170" i="3"/>
  <c r="CD76" i="3"/>
  <c r="CD71" i="3"/>
  <c r="CD73" i="3" s="1"/>
  <c r="CD162" i="3"/>
  <c r="CD161" i="3"/>
  <c r="CD169" i="3"/>
  <c r="CC76" i="3"/>
  <c r="CC71" i="3"/>
  <c r="CC72" i="3" s="1"/>
  <c r="CD52" i="3"/>
  <c r="CD54" i="3" s="1"/>
  <c r="CB72" i="3"/>
  <c r="CA57" i="3"/>
  <c r="CA62" i="3"/>
  <c r="CB61" i="3"/>
  <c r="CB53" i="3"/>
  <c r="CJ117" i="3"/>
  <c r="CK119" i="3"/>
  <c r="CI118" i="3"/>
  <c r="CE134" i="3"/>
  <c r="CE133" i="3"/>
  <c r="CD157" i="3"/>
  <c r="CD156" i="3"/>
  <c r="CF125" i="3"/>
  <c r="CF132" i="3"/>
  <c r="CF126" i="3"/>
  <c r="CG124" i="3"/>
  <c r="CE155" i="3"/>
  <c r="CE75" i="3" s="1"/>
  <c r="CE77" i="3" s="1"/>
  <c r="CE147" i="3"/>
  <c r="CE148" i="3"/>
  <c r="CJ122" i="3"/>
  <c r="CI120" i="3"/>
  <c r="CG149" i="3"/>
  <c r="CF146" i="3"/>
  <c r="CF67" i="3" s="1"/>
  <c r="CF69" i="3" s="1"/>
  <c r="K119" i="3"/>
  <c r="K118" i="3"/>
  <c r="K124" i="3"/>
  <c r="J126" i="3"/>
  <c r="J132" i="3"/>
  <c r="L134" i="3" s="1"/>
  <c r="J149" i="3"/>
  <c r="O147" i="3"/>
  <c r="L148" i="3"/>
  <c r="K146" i="3"/>
  <c r="O125" i="3"/>
  <c r="L126" i="3"/>
  <c r="J125" i="3"/>
  <c r="CC165" i="3" l="1"/>
  <c r="CC166" i="3" s="1"/>
  <c r="CB57" i="3"/>
  <c r="CB59" i="3" s="1"/>
  <c r="CB63" i="3"/>
  <c r="CD61" i="3"/>
  <c r="CD171" i="3"/>
  <c r="CH121" i="3"/>
  <c r="CH122" i="3"/>
  <c r="DB103" i="3"/>
  <c r="CF68" i="3"/>
  <c r="CF160" i="3"/>
  <c r="CF52" i="3" s="1"/>
  <c r="CE76" i="3"/>
  <c r="CE71" i="3"/>
  <c r="CE73" i="3" s="1"/>
  <c r="CA58" i="3"/>
  <c r="CD72" i="3"/>
  <c r="CD53" i="3"/>
  <c r="CB62" i="3"/>
  <c r="CD170" i="3"/>
  <c r="CE169" i="3"/>
  <c r="CE162" i="3"/>
  <c r="CE161" i="3"/>
  <c r="CK122" i="3"/>
  <c r="CJ120" i="3"/>
  <c r="CJ121" i="3" s="1"/>
  <c r="CI121" i="3"/>
  <c r="CI124" i="3"/>
  <c r="CE157" i="3"/>
  <c r="CE156" i="3"/>
  <c r="CF133" i="3"/>
  <c r="CF134" i="3"/>
  <c r="CI149" i="3"/>
  <c r="CG146" i="3"/>
  <c r="CH146" i="3" s="1"/>
  <c r="CL119" i="3"/>
  <c r="CK117" i="3"/>
  <c r="CG126" i="3"/>
  <c r="CG125" i="3"/>
  <c r="CG132" i="3"/>
  <c r="CF147" i="3"/>
  <c r="CF155" i="3"/>
  <c r="CF75" i="3" s="1"/>
  <c r="CF77" i="3" s="1"/>
  <c r="CF148" i="3"/>
  <c r="CJ118" i="3"/>
  <c r="O133" i="3"/>
  <c r="K125" i="3"/>
  <c r="P125" i="3"/>
  <c r="K149" i="3"/>
  <c r="P147" i="3"/>
  <c r="CB58" i="3" l="1"/>
  <c r="CD62" i="3"/>
  <c r="CD63" i="3"/>
  <c r="CD57" i="3"/>
  <c r="CD58" i="3" s="1"/>
  <c r="CE171" i="3"/>
  <c r="DB104" i="3"/>
  <c r="DB99" i="3"/>
  <c r="DB100" i="3" s="1"/>
  <c r="CJ124" i="3"/>
  <c r="CJ126" i="3" s="1"/>
  <c r="CF76" i="3"/>
  <c r="CF71" i="3"/>
  <c r="CF73" i="3" s="1"/>
  <c r="CG67" i="3"/>
  <c r="CG69" i="3" s="1"/>
  <c r="CE72" i="3"/>
  <c r="CE170" i="3"/>
  <c r="CF162" i="3"/>
  <c r="CF169" i="3"/>
  <c r="CF161" i="3"/>
  <c r="CF53" i="3"/>
  <c r="CH147" i="3"/>
  <c r="CH149" i="3"/>
  <c r="CJ149" i="3"/>
  <c r="CI146" i="3"/>
  <c r="CI67" i="3" s="1"/>
  <c r="CI132" i="3"/>
  <c r="CI126" i="3"/>
  <c r="CI125" i="3"/>
  <c r="CF156" i="3"/>
  <c r="CF157" i="3"/>
  <c r="CG134" i="3"/>
  <c r="CG133" i="3"/>
  <c r="CH132" i="3"/>
  <c r="CG147" i="3"/>
  <c r="CG155" i="3"/>
  <c r="CG156" i="3" s="1"/>
  <c r="CG148" i="3"/>
  <c r="CL117" i="3"/>
  <c r="CN119" i="3"/>
  <c r="CK118" i="3"/>
  <c r="CK120" i="3"/>
  <c r="CK124" i="3" s="1"/>
  <c r="CL122" i="3"/>
  <c r="AS103" i="3"/>
  <c r="AS75" i="3" s="1"/>
  <c r="CF61" i="3" l="1"/>
  <c r="CF171" i="3"/>
  <c r="CI69" i="3"/>
  <c r="CJ125" i="3"/>
  <c r="CJ132" i="3"/>
  <c r="CJ134" i="3" s="1"/>
  <c r="CG157" i="3"/>
  <c r="CF72" i="3"/>
  <c r="CI68" i="3"/>
  <c r="CI160" i="3"/>
  <c r="CG68" i="3"/>
  <c r="CG160" i="3"/>
  <c r="CG52" i="3" s="1"/>
  <c r="CG54" i="3" s="1"/>
  <c r="CH67" i="3"/>
  <c r="CH68" i="3" s="1"/>
  <c r="CG75" i="3"/>
  <c r="CG77" i="3" s="1"/>
  <c r="CF170" i="3"/>
  <c r="CK126" i="3"/>
  <c r="CK125" i="3"/>
  <c r="CK132" i="3"/>
  <c r="CN117" i="3"/>
  <c r="CO119" i="3"/>
  <c r="CL118" i="3"/>
  <c r="CH133" i="3"/>
  <c r="CH128" i="3"/>
  <c r="CH129" i="3" s="1"/>
  <c r="CI134" i="3"/>
  <c r="CI133" i="3"/>
  <c r="CI147" i="3"/>
  <c r="CI148" i="3"/>
  <c r="CI155" i="3"/>
  <c r="CI75" i="3" s="1"/>
  <c r="CL120" i="3"/>
  <c r="CL121" i="3" s="1"/>
  <c r="CN122" i="3"/>
  <c r="CK149" i="3"/>
  <c r="CJ146" i="3"/>
  <c r="CJ67" i="3" s="1"/>
  <c r="CJ69" i="3" s="1"/>
  <c r="CK121" i="3"/>
  <c r="CH155" i="3"/>
  <c r="CM117" i="3"/>
  <c r="AS57" i="3"/>
  <c r="AS182" i="3"/>
  <c r="AS71" i="3"/>
  <c r="AU101" i="3"/>
  <c r="AU103" i="3"/>
  <c r="AU75" i="3" s="1"/>
  <c r="CF57" i="3" l="1"/>
  <c r="CF58" i="3" s="1"/>
  <c r="CF62" i="3"/>
  <c r="CI77" i="3"/>
  <c r="AU182" i="3"/>
  <c r="AU184" i="3" s="1"/>
  <c r="AU77" i="3"/>
  <c r="CJ133" i="3"/>
  <c r="CM120" i="3"/>
  <c r="CM122" i="3" s="1"/>
  <c r="CG53" i="3"/>
  <c r="CI161" i="3"/>
  <c r="CI162" i="3"/>
  <c r="CI169" i="3"/>
  <c r="CI76" i="3"/>
  <c r="CI71" i="3"/>
  <c r="CI52" i="3"/>
  <c r="CI54" i="3" s="1"/>
  <c r="CG71" i="3"/>
  <c r="CG73" i="3" s="1"/>
  <c r="CG76" i="3"/>
  <c r="CH75" i="3"/>
  <c r="CJ68" i="3"/>
  <c r="CJ160" i="3"/>
  <c r="CG161" i="3"/>
  <c r="CG162" i="3"/>
  <c r="CG169" i="3"/>
  <c r="CG171" i="3" s="1"/>
  <c r="CH160" i="3"/>
  <c r="CL124" i="3"/>
  <c r="CP119" i="3"/>
  <c r="CO117" i="3"/>
  <c r="CN118" i="3"/>
  <c r="CO122" i="3"/>
  <c r="CN120" i="3"/>
  <c r="CN124" i="3" s="1"/>
  <c r="CI157" i="3"/>
  <c r="CI156" i="3"/>
  <c r="CK134" i="3"/>
  <c r="CK133" i="3"/>
  <c r="CL149" i="3"/>
  <c r="CK146" i="3"/>
  <c r="CK67" i="3" s="1"/>
  <c r="CK69" i="3" s="1"/>
  <c r="CM119" i="3"/>
  <c r="CM118" i="3"/>
  <c r="CJ155" i="3"/>
  <c r="CJ75" i="3" s="1"/>
  <c r="CJ77" i="3" s="1"/>
  <c r="CJ147" i="3"/>
  <c r="CJ148" i="3"/>
  <c r="CH151" i="3"/>
  <c r="CH152" i="3" s="1"/>
  <c r="CH156" i="3"/>
  <c r="AU57" i="3"/>
  <c r="AS178" i="3"/>
  <c r="AU71" i="3"/>
  <c r="AU73" i="3" s="1"/>
  <c r="AV101" i="3"/>
  <c r="AV103" i="3"/>
  <c r="AV75" i="3" s="1"/>
  <c r="AV77" i="3" s="1"/>
  <c r="AU105" i="3"/>
  <c r="CI171" i="3" l="1"/>
  <c r="CI73" i="3"/>
  <c r="CM124" i="3"/>
  <c r="CM125" i="3" s="1"/>
  <c r="CM121" i="3"/>
  <c r="CI72" i="3"/>
  <c r="CH161" i="3"/>
  <c r="CH163" i="3"/>
  <c r="CG170" i="3"/>
  <c r="CH169" i="3"/>
  <c r="CH76" i="3"/>
  <c r="CH71" i="3"/>
  <c r="CH72" i="3" s="1"/>
  <c r="CI170" i="3"/>
  <c r="CJ161" i="3"/>
  <c r="CJ169" i="3"/>
  <c r="CJ162" i="3"/>
  <c r="CG72" i="3"/>
  <c r="CG61" i="3"/>
  <c r="CI53" i="3"/>
  <c r="CJ76" i="3"/>
  <c r="CJ71" i="3"/>
  <c r="CJ73" i="3" s="1"/>
  <c r="CK68" i="3"/>
  <c r="CK160" i="3"/>
  <c r="CI61" i="3"/>
  <c r="CN132" i="3"/>
  <c r="CN126" i="3"/>
  <c r="CN125" i="3"/>
  <c r="CO120" i="3"/>
  <c r="CO121" i="3" s="1"/>
  <c r="CP122" i="3"/>
  <c r="CJ156" i="3"/>
  <c r="CJ157" i="3"/>
  <c r="CN149" i="3"/>
  <c r="CL146" i="3"/>
  <c r="CL67" i="3" s="1"/>
  <c r="CL69" i="3" s="1"/>
  <c r="CO118" i="3"/>
  <c r="CN121" i="3"/>
  <c r="CP117" i="3"/>
  <c r="CQ119" i="3"/>
  <c r="CK147" i="3"/>
  <c r="CK148" i="3"/>
  <c r="CK155" i="3"/>
  <c r="CK75" i="3" s="1"/>
  <c r="CK77" i="3" s="1"/>
  <c r="CL126" i="3"/>
  <c r="CL125" i="3"/>
  <c r="CL132" i="3"/>
  <c r="AV57" i="3"/>
  <c r="AV182" i="3"/>
  <c r="AU178" i="3"/>
  <c r="AU180" i="3" s="1"/>
  <c r="AV71" i="3"/>
  <c r="AV73" i="3" s="1"/>
  <c r="AX100" i="3"/>
  <c r="AX103" i="3"/>
  <c r="AX75" i="3" s="1"/>
  <c r="AV105" i="3"/>
  <c r="CI63" i="3" l="1"/>
  <c r="CG63" i="3"/>
  <c r="CJ171" i="3"/>
  <c r="CO124" i="3"/>
  <c r="CO132" i="3" s="1"/>
  <c r="CM146" i="3"/>
  <c r="CM147" i="3" s="1"/>
  <c r="CL68" i="3"/>
  <c r="CL160" i="3"/>
  <c r="CM160" i="3" s="1"/>
  <c r="CM67" i="3"/>
  <c r="CM68" i="3" s="1"/>
  <c r="CG57" i="3"/>
  <c r="CG62" i="3"/>
  <c r="CH170" i="3"/>
  <c r="CH165" i="3"/>
  <c r="CJ72" i="3"/>
  <c r="CJ170" i="3"/>
  <c r="CK161" i="3"/>
  <c r="CK169" i="3"/>
  <c r="CK162" i="3"/>
  <c r="CI62" i="3"/>
  <c r="CI57" i="3"/>
  <c r="AV59" i="3"/>
  <c r="CK52" i="3"/>
  <c r="CK76" i="3"/>
  <c r="CK71" i="3"/>
  <c r="CK73" i="3" s="1"/>
  <c r="CL134" i="3"/>
  <c r="CL133" i="3"/>
  <c r="CM132" i="3"/>
  <c r="CP120" i="3"/>
  <c r="CP121" i="3" s="1"/>
  <c r="CQ122" i="3"/>
  <c r="CL148" i="3"/>
  <c r="CL155" i="3"/>
  <c r="CL75" i="3" s="1"/>
  <c r="CL77" i="3" s="1"/>
  <c r="CL147" i="3"/>
  <c r="CP118" i="3"/>
  <c r="CO149" i="3"/>
  <c r="CN146" i="3"/>
  <c r="CN67" i="3" s="1"/>
  <c r="CN69" i="3" s="1"/>
  <c r="CK157" i="3"/>
  <c r="CK156" i="3"/>
  <c r="CQ117" i="3"/>
  <c r="CS119" i="3"/>
  <c r="CN133" i="3"/>
  <c r="CN134" i="3"/>
  <c r="AX57" i="3"/>
  <c r="AX182" i="3"/>
  <c r="AV178" i="3"/>
  <c r="AV184" i="3"/>
  <c r="AX71" i="3"/>
  <c r="AX76" i="3"/>
  <c r="AX104" i="3"/>
  <c r="CK61" i="3" l="1"/>
  <c r="CK57" i="3" s="1"/>
  <c r="CK171" i="3"/>
  <c r="CM149" i="3"/>
  <c r="CO125" i="3"/>
  <c r="CO126" i="3"/>
  <c r="CL76" i="3"/>
  <c r="CL71" i="3"/>
  <c r="CL73" i="3" s="1"/>
  <c r="CM75" i="3"/>
  <c r="AX58" i="3"/>
  <c r="CM163" i="3"/>
  <c r="CM161" i="3"/>
  <c r="CI58" i="3"/>
  <c r="CG58" i="3"/>
  <c r="CG59" i="3"/>
  <c r="CK72" i="3"/>
  <c r="CN68" i="3"/>
  <c r="CN160" i="3"/>
  <c r="CN52" i="3" s="1"/>
  <c r="CK170" i="3"/>
  <c r="CL162" i="3"/>
  <c r="CL161" i="3"/>
  <c r="CL169" i="3"/>
  <c r="CL171" i="3" s="1"/>
  <c r="CH166" i="3"/>
  <c r="CL52" i="3"/>
  <c r="CL54" i="3" s="1"/>
  <c r="CK53" i="3"/>
  <c r="CM128" i="3"/>
  <c r="CM129" i="3" s="1"/>
  <c r="CM133" i="3"/>
  <c r="CL157" i="3"/>
  <c r="CL156" i="3"/>
  <c r="CM155" i="3"/>
  <c r="CR117" i="3"/>
  <c r="CQ118" i="3"/>
  <c r="CN147" i="3"/>
  <c r="CN155" i="3"/>
  <c r="CN75" i="3" s="1"/>
  <c r="CN77" i="3" s="1"/>
  <c r="CN148" i="3"/>
  <c r="CP149" i="3"/>
  <c r="CO146" i="3"/>
  <c r="CO67" i="3" s="1"/>
  <c r="CO69" i="3" s="1"/>
  <c r="CQ120" i="3"/>
  <c r="CQ121" i="3" s="1"/>
  <c r="CS122" i="3"/>
  <c r="CP124" i="3"/>
  <c r="CO133" i="3"/>
  <c r="CO134" i="3"/>
  <c r="CS117" i="3"/>
  <c r="CT119" i="3"/>
  <c r="AV180" i="3"/>
  <c r="AX178" i="3"/>
  <c r="AX183" i="3"/>
  <c r="AX72" i="3"/>
  <c r="AW101" i="3"/>
  <c r="AW103" i="3"/>
  <c r="AW75" i="3" s="1"/>
  <c r="AX101" i="3"/>
  <c r="CK62" i="3" l="1"/>
  <c r="CN54" i="3"/>
  <c r="AW77" i="3"/>
  <c r="AX77" i="3"/>
  <c r="CN53" i="3"/>
  <c r="CR120" i="3"/>
  <c r="CR124" i="3" s="1"/>
  <c r="CR125" i="3" s="1"/>
  <c r="CL53" i="3"/>
  <c r="CK58" i="3"/>
  <c r="CL170" i="3"/>
  <c r="CM169" i="3"/>
  <c r="CM76" i="3"/>
  <c r="CM71" i="3"/>
  <c r="CM72" i="3" s="1"/>
  <c r="CN76" i="3"/>
  <c r="CN71" i="3"/>
  <c r="CN73" i="3" s="1"/>
  <c r="CL72" i="3"/>
  <c r="CO68" i="3"/>
  <c r="CO160" i="3"/>
  <c r="CN162" i="3"/>
  <c r="CN161" i="3"/>
  <c r="CN169" i="3"/>
  <c r="CN171" i="3" s="1"/>
  <c r="CL61" i="3"/>
  <c r="CQ124" i="3"/>
  <c r="CR119" i="3"/>
  <c r="CR118" i="3"/>
  <c r="CT117" i="3"/>
  <c r="CU119" i="3"/>
  <c r="CM156" i="3"/>
  <c r="CM151" i="3"/>
  <c r="CM152" i="3" s="1"/>
  <c r="CN157" i="3"/>
  <c r="CN156" i="3"/>
  <c r="CO155" i="3"/>
  <c r="CO75" i="3" s="1"/>
  <c r="CO77" i="3" s="1"/>
  <c r="CO147" i="3"/>
  <c r="CO148" i="3"/>
  <c r="CS118" i="3"/>
  <c r="CP126" i="3"/>
  <c r="CP132" i="3"/>
  <c r="CP125" i="3"/>
  <c r="CT122" i="3"/>
  <c r="CS120" i="3"/>
  <c r="CS124" i="3" s="1"/>
  <c r="CQ149" i="3"/>
  <c r="CP146" i="3"/>
  <c r="CP67" i="3" s="1"/>
  <c r="CP69" i="3" s="1"/>
  <c r="AW57" i="3"/>
  <c r="AW182" i="3"/>
  <c r="AX179" i="3"/>
  <c r="AW71" i="3"/>
  <c r="AY75" i="3"/>
  <c r="AW105" i="3"/>
  <c r="AY103" i="3"/>
  <c r="AY99" i="3" s="1"/>
  <c r="AX105" i="3"/>
  <c r="CL63" i="3" l="1"/>
  <c r="AW73" i="3"/>
  <c r="AX73" i="3"/>
  <c r="CR122" i="3"/>
  <c r="CR121" i="3"/>
  <c r="CP68" i="3"/>
  <c r="CP160" i="3"/>
  <c r="CL57" i="3"/>
  <c r="CL62" i="3"/>
  <c r="CM170" i="3"/>
  <c r="CM165" i="3"/>
  <c r="CN170" i="3"/>
  <c r="CN72" i="3"/>
  <c r="CN61" i="3"/>
  <c r="CQ132" i="3"/>
  <c r="CQ133" i="3" s="1"/>
  <c r="CQ126" i="3"/>
  <c r="AW59" i="3"/>
  <c r="AX59" i="3"/>
  <c r="CQ125" i="3"/>
  <c r="CO76" i="3"/>
  <c r="CO71" i="3"/>
  <c r="CO73" i="3" s="1"/>
  <c r="CO169" i="3"/>
  <c r="CO171" i="3" s="1"/>
  <c r="CO162" i="3"/>
  <c r="CO161" i="3"/>
  <c r="CU117" i="3"/>
  <c r="CV119" i="3"/>
  <c r="CS132" i="3"/>
  <c r="CS126" i="3"/>
  <c r="CS125" i="3"/>
  <c r="CT118" i="3"/>
  <c r="CP155" i="3"/>
  <c r="CP75" i="3" s="1"/>
  <c r="CP77" i="3" s="1"/>
  <c r="CP148" i="3"/>
  <c r="CP147" i="3"/>
  <c r="CO156" i="3"/>
  <c r="CO157" i="3"/>
  <c r="CP134" i="3"/>
  <c r="CP133" i="3"/>
  <c r="CS149" i="3"/>
  <c r="CQ146" i="3"/>
  <c r="CQ67" i="3" s="1"/>
  <c r="CQ69" i="3" s="1"/>
  <c r="CS121" i="3"/>
  <c r="CT120" i="3"/>
  <c r="CT121" i="3" s="1"/>
  <c r="CU122" i="3"/>
  <c r="AW184" i="3"/>
  <c r="AW178" i="3"/>
  <c r="AY182" i="3"/>
  <c r="AX184" i="3"/>
  <c r="AY71" i="3"/>
  <c r="AZ101" i="3"/>
  <c r="AZ100" i="3"/>
  <c r="CN63" i="3" l="1"/>
  <c r="CR146" i="3"/>
  <c r="CR149" i="3" s="1"/>
  <c r="CQ134" i="3"/>
  <c r="CP71" i="3"/>
  <c r="CP73" i="3" s="1"/>
  <c r="CP76" i="3"/>
  <c r="CQ68" i="3"/>
  <c r="CQ160" i="3"/>
  <c r="CQ52" i="3" s="1"/>
  <c r="CR67" i="3"/>
  <c r="CR68" i="3" s="1"/>
  <c r="CL58" i="3"/>
  <c r="CL59" i="3"/>
  <c r="CO170" i="3"/>
  <c r="CM166" i="3"/>
  <c r="CT124" i="3"/>
  <c r="CT125" i="3" s="1"/>
  <c r="CO72" i="3"/>
  <c r="CP161" i="3"/>
  <c r="CP162" i="3"/>
  <c r="CP169" i="3"/>
  <c r="CP171" i="3" s="1"/>
  <c r="CN62" i="3"/>
  <c r="CN57" i="3"/>
  <c r="CP52" i="3"/>
  <c r="CR132" i="3"/>
  <c r="CR133" i="3" s="1"/>
  <c r="CP157" i="3"/>
  <c r="CP156" i="3"/>
  <c r="CS134" i="3"/>
  <c r="CS133" i="3"/>
  <c r="CT149" i="3"/>
  <c r="CS146" i="3"/>
  <c r="CS67" i="3" s="1"/>
  <c r="CS69" i="3" s="1"/>
  <c r="CU120" i="3"/>
  <c r="CU124" i="3" s="1"/>
  <c r="CV122" i="3"/>
  <c r="CV117" i="3"/>
  <c r="CX119" i="3"/>
  <c r="CQ147" i="3"/>
  <c r="CQ155" i="3"/>
  <c r="CQ75" i="3" s="1"/>
  <c r="CQ77" i="3" s="1"/>
  <c r="CQ148" i="3"/>
  <c r="CU118" i="3"/>
  <c r="AZ75" i="3"/>
  <c r="BE104" i="3"/>
  <c r="AZ57" i="3"/>
  <c r="AZ59" i="3" s="1"/>
  <c r="AY178" i="3"/>
  <c r="AW180" i="3"/>
  <c r="AX180" i="3"/>
  <c r="BA101" i="3"/>
  <c r="BA100" i="3"/>
  <c r="BC100" i="3"/>
  <c r="AZ105" i="3"/>
  <c r="AZ104" i="3"/>
  <c r="AZ77" i="3" l="1"/>
  <c r="CQ54" i="3"/>
  <c r="CR147" i="3"/>
  <c r="BE76" i="3"/>
  <c r="AZ76" i="3"/>
  <c r="CR128" i="3"/>
  <c r="CR129" i="3" s="1"/>
  <c r="CQ169" i="3"/>
  <c r="CQ161" i="3"/>
  <c r="CQ162" i="3"/>
  <c r="CQ53" i="3"/>
  <c r="AZ58" i="3"/>
  <c r="CQ71" i="3"/>
  <c r="CQ73" i="3" s="1"/>
  <c r="CQ76" i="3"/>
  <c r="CR75" i="3"/>
  <c r="CS160" i="3"/>
  <c r="CS68" i="3"/>
  <c r="CR160" i="3"/>
  <c r="CP72" i="3"/>
  <c r="CP170" i="3"/>
  <c r="CP61" i="3"/>
  <c r="CT126" i="3"/>
  <c r="CP53" i="3"/>
  <c r="CT132" i="3"/>
  <c r="CN58" i="3"/>
  <c r="CU149" i="3"/>
  <c r="CT146" i="3"/>
  <c r="CT67" i="3" s="1"/>
  <c r="CT69" i="3" s="1"/>
  <c r="CU132" i="3"/>
  <c r="CU125" i="3"/>
  <c r="CU126" i="3"/>
  <c r="CY119" i="3"/>
  <c r="CX117" i="3"/>
  <c r="CV120" i="3"/>
  <c r="CV121" i="3" s="1"/>
  <c r="CX122" i="3"/>
  <c r="CQ157" i="3"/>
  <c r="CQ156" i="3"/>
  <c r="CV118" i="3"/>
  <c r="CW117" i="3"/>
  <c r="CU121" i="3"/>
  <c r="CR155" i="3"/>
  <c r="CS148" i="3"/>
  <c r="CS147" i="3"/>
  <c r="CS155" i="3"/>
  <c r="AZ71" i="3"/>
  <c r="AZ182" i="3"/>
  <c r="AZ184" i="3" s="1"/>
  <c r="BF104" i="3"/>
  <c r="BH104" i="3"/>
  <c r="BE105" i="3"/>
  <c r="BA57" i="3"/>
  <c r="BB101" i="3"/>
  <c r="BB100" i="3"/>
  <c r="BG104" i="3"/>
  <c r="BC104" i="3"/>
  <c r="BC101" i="3"/>
  <c r="BA105" i="3"/>
  <c r="BA104" i="3"/>
  <c r="CR169" i="3" l="1"/>
  <c r="CR170" i="3" s="1"/>
  <c r="CQ171" i="3"/>
  <c r="BF76" i="3"/>
  <c r="BA77" i="3"/>
  <c r="BB77" i="3"/>
  <c r="BE72" i="3"/>
  <c r="AZ73" i="3"/>
  <c r="BD75" i="3"/>
  <c r="BH76" i="3"/>
  <c r="CT160" i="3"/>
  <c r="CT68" i="3"/>
  <c r="CS162" i="3"/>
  <c r="CS161" i="3"/>
  <c r="CS169" i="3"/>
  <c r="CS171" i="3" s="1"/>
  <c r="CS52" i="3"/>
  <c r="CS54" i="3" s="1"/>
  <c r="CR71" i="3"/>
  <c r="CR72" i="3" s="1"/>
  <c r="CR76" i="3"/>
  <c r="CQ170" i="3"/>
  <c r="CT133" i="3"/>
  <c r="CQ72" i="3"/>
  <c r="BA59" i="3"/>
  <c r="BA58" i="3"/>
  <c r="CT134" i="3"/>
  <c r="CQ61" i="3"/>
  <c r="AZ72" i="3"/>
  <c r="CS157" i="3"/>
  <c r="CS75" i="3"/>
  <c r="CS77" i="3" s="1"/>
  <c r="CR161" i="3"/>
  <c r="CR163" i="3"/>
  <c r="CP57" i="3"/>
  <c r="CP62" i="3"/>
  <c r="CY122" i="3"/>
  <c r="CX120" i="3"/>
  <c r="CX124" i="3" s="1"/>
  <c r="CR156" i="3"/>
  <c r="CR151" i="3"/>
  <c r="CR152" i="3" s="1"/>
  <c r="CZ119" i="3"/>
  <c r="CY117" i="3"/>
  <c r="CW120" i="3"/>
  <c r="CX118" i="3"/>
  <c r="CW118" i="3"/>
  <c r="CW119" i="3"/>
  <c r="CV124" i="3"/>
  <c r="CS156" i="3"/>
  <c r="CU133" i="3"/>
  <c r="CU134" i="3"/>
  <c r="CT155" i="3"/>
  <c r="CT75" i="3" s="1"/>
  <c r="CT147" i="3"/>
  <c r="CT148" i="3"/>
  <c r="CV149" i="3"/>
  <c r="CU146" i="3"/>
  <c r="CU67" i="3" s="1"/>
  <c r="CU69" i="3" s="1"/>
  <c r="BA76" i="3"/>
  <c r="BA182" i="3"/>
  <c r="BA184" i="3" s="1"/>
  <c r="BA71" i="3"/>
  <c r="AZ178" i="3"/>
  <c r="AZ179" i="3" s="1"/>
  <c r="AZ183" i="3"/>
  <c r="BC71" i="3"/>
  <c r="BC76" i="3"/>
  <c r="BC105" i="3"/>
  <c r="BG76" i="3"/>
  <c r="BB105" i="3"/>
  <c r="BB104" i="3"/>
  <c r="BD103" i="3"/>
  <c r="BI104" i="3" s="1"/>
  <c r="CQ63" i="3" l="1"/>
  <c r="CT77" i="3"/>
  <c r="CR165" i="3"/>
  <c r="CR166" i="3" s="1"/>
  <c r="BF72" i="3"/>
  <c r="BA73" i="3"/>
  <c r="BE73" i="3"/>
  <c r="BH72" i="3"/>
  <c r="AZ180" i="3"/>
  <c r="CT71" i="3"/>
  <c r="CT76" i="3"/>
  <c r="CS53" i="3"/>
  <c r="CS170" i="3"/>
  <c r="CU160" i="3"/>
  <c r="CU68" i="3"/>
  <c r="CP58" i="3"/>
  <c r="CQ62" i="3"/>
  <c r="CQ57" i="3"/>
  <c r="CS76" i="3"/>
  <c r="CS61" i="3"/>
  <c r="CS71" i="3"/>
  <c r="CS73" i="3" s="1"/>
  <c r="CT169" i="3"/>
  <c r="CT171" i="3" s="1"/>
  <c r="CT162" i="3"/>
  <c r="CT161" i="3"/>
  <c r="CU148" i="3"/>
  <c r="CU147" i="3"/>
  <c r="CU155" i="3"/>
  <c r="CU75" i="3" s="1"/>
  <c r="CU77" i="3" s="1"/>
  <c r="CX125" i="3"/>
  <c r="CX126" i="3"/>
  <c r="CX132" i="3"/>
  <c r="CT157" i="3"/>
  <c r="CT156" i="3"/>
  <c r="CW122" i="3"/>
  <c r="CW121" i="3"/>
  <c r="CX149" i="3"/>
  <c r="CV146" i="3"/>
  <c r="CV67" i="3" s="1"/>
  <c r="CV69" i="3" s="1"/>
  <c r="CY118" i="3"/>
  <c r="CZ117" i="3"/>
  <c r="DA119" i="3"/>
  <c r="DA117" i="3" s="1"/>
  <c r="CV126" i="3"/>
  <c r="CV125" i="3"/>
  <c r="CV132" i="3"/>
  <c r="CX121" i="3"/>
  <c r="CW124" i="3"/>
  <c r="CW125" i="3" s="1"/>
  <c r="CZ122" i="3"/>
  <c r="CY120" i="3"/>
  <c r="CY121" i="3" s="1"/>
  <c r="BC72" i="3"/>
  <c r="BA72" i="3"/>
  <c r="BA178" i="3"/>
  <c r="BA179" i="3" s="1"/>
  <c r="BA183" i="3"/>
  <c r="BB57" i="3"/>
  <c r="BB182" i="3"/>
  <c r="BB76" i="3"/>
  <c r="BB71" i="3"/>
  <c r="BC73" i="3" s="1"/>
  <c r="BD104" i="3"/>
  <c r="BD99" i="3"/>
  <c r="CS63" i="3" l="1"/>
  <c r="CT73" i="3"/>
  <c r="BG72" i="3"/>
  <c r="BB73" i="3"/>
  <c r="CW146" i="3"/>
  <c r="CW149" i="3" s="1"/>
  <c r="CV160" i="3"/>
  <c r="CV68" i="3"/>
  <c r="CW67" i="3"/>
  <c r="CW68" i="3" s="1"/>
  <c r="BA180" i="3"/>
  <c r="CU161" i="3"/>
  <c r="CU169" i="3"/>
  <c r="CU162" i="3"/>
  <c r="BB58" i="3"/>
  <c r="BB59" i="3"/>
  <c r="CQ59" i="3"/>
  <c r="CQ58" i="3"/>
  <c r="CT170" i="3"/>
  <c r="CU71" i="3"/>
  <c r="CU73" i="3" s="1"/>
  <c r="CU76" i="3"/>
  <c r="CS72" i="3"/>
  <c r="CT72" i="3"/>
  <c r="CS62" i="3"/>
  <c r="CS57" i="3"/>
  <c r="CU52" i="3"/>
  <c r="CX133" i="3"/>
  <c r="CX134" i="3"/>
  <c r="DA118" i="3"/>
  <c r="CZ118" i="3"/>
  <c r="DB117" i="3"/>
  <c r="CW132" i="3"/>
  <c r="CV134" i="3"/>
  <c r="CV133" i="3"/>
  <c r="CY124" i="3"/>
  <c r="CU157" i="3"/>
  <c r="CU156" i="3"/>
  <c r="DA122" i="3"/>
  <c r="DA120" i="3" s="1"/>
  <c r="DA121" i="3" s="1"/>
  <c r="CZ120" i="3"/>
  <c r="CV147" i="3"/>
  <c r="CV155" i="3"/>
  <c r="CV75" i="3" s="1"/>
  <c r="CV77" i="3" s="1"/>
  <c r="CV148" i="3"/>
  <c r="CY149" i="3"/>
  <c r="CX146" i="3"/>
  <c r="CX67" i="3" s="1"/>
  <c r="CX69" i="3" s="1"/>
  <c r="BD100" i="3"/>
  <c r="BI100" i="3"/>
  <c r="BI76" i="3"/>
  <c r="BB184" i="3"/>
  <c r="BB178" i="3"/>
  <c r="BB183" i="3"/>
  <c r="BD76" i="3"/>
  <c r="BD71" i="3"/>
  <c r="BB72" i="3"/>
  <c r="CU61" i="3" l="1"/>
  <c r="CU171" i="3"/>
  <c r="CW147" i="3"/>
  <c r="CV76" i="3"/>
  <c r="CV71" i="3"/>
  <c r="CV73" i="3" s="1"/>
  <c r="CW75" i="3"/>
  <c r="CU170" i="3"/>
  <c r="CU53" i="3"/>
  <c r="CX160" i="3"/>
  <c r="CX68" i="3"/>
  <c r="CU72" i="3"/>
  <c r="CS58" i="3"/>
  <c r="CV161" i="3"/>
  <c r="CV169" i="3"/>
  <c r="CV162" i="3"/>
  <c r="CW160" i="3"/>
  <c r="CV52" i="3"/>
  <c r="CV54" i="3" s="1"/>
  <c r="CX148" i="3"/>
  <c r="CX155" i="3"/>
  <c r="CX75" i="3" s="1"/>
  <c r="CX77" i="3" s="1"/>
  <c r="CX147" i="3"/>
  <c r="DB119" i="3"/>
  <c r="DB118" i="3"/>
  <c r="CW133" i="3"/>
  <c r="CW128" i="3"/>
  <c r="CW129" i="3" s="1"/>
  <c r="CZ121" i="3"/>
  <c r="DB120" i="3"/>
  <c r="DB124" i="3" s="1"/>
  <c r="DB125" i="3" s="1"/>
  <c r="CZ124" i="3"/>
  <c r="CV156" i="3"/>
  <c r="CW155" i="3"/>
  <c r="CZ149" i="3"/>
  <c r="CY146" i="3"/>
  <c r="CY67" i="3" s="1"/>
  <c r="CY69" i="3" s="1"/>
  <c r="DA124" i="3"/>
  <c r="CV157" i="3"/>
  <c r="CY132" i="3"/>
  <c r="CY126" i="3"/>
  <c r="CY125" i="3"/>
  <c r="BD72" i="3"/>
  <c r="BI72" i="3"/>
  <c r="BB179" i="3"/>
  <c r="BB180" i="3"/>
  <c r="CU62" i="3" l="1"/>
  <c r="CU57" i="3"/>
  <c r="CU58" i="3" s="1"/>
  <c r="CV61" i="3"/>
  <c r="CV57" i="3" s="1"/>
  <c r="CV171" i="3"/>
  <c r="CW169" i="3"/>
  <c r="CW165" i="3" s="1"/>
  <c r="CY160" i="3"/>
  <c r="CY68" i="3"/>
  <c r="CX76" i="3"/>
  <c r="CX71" i="3"/>
  <c r="CX73" i="3" s="1"/>
  <c r="CV53" i="3"/>
  <c r="CW161" i="3"/>
  <c r="CW163" i="3"/>
  <c r="CX162" i="3"/>
  <c r="CX169" i="3"/>
  <c r="CX161" i="3"/>
  <c r="CW76" i="3"/>
  <c r="CW71" i="3"/>
  <c r="CW72" i="3" s="1"/>
  <c r="CX52" i="3"/>
  <c r="CX54" i="3" s="1"/>
  <c r="CV72" i="3"/>
  <c r="CV170" i="3"/>
  <c r="CZ126" i="3"/>
  <c r="CZ125" i="3"/>
  <c r="CZ132" i="3"/>
  <c r="DA149" i="3"/>
  <c r="DA146" i="3" s="1"/>
  <c r="DA67" i="3" s="1"/>
  <c r="CZ146" i="3"/>
  <c r="CZ67" i="3" s="1"/>
  <c r="CZ69" i="3" s="1"/>
  <c r="DB122" i="3"/>
  <c r="DB121" i="3"/>
  <c r="CW156" i="3"/>
  <c r="CW151" i="3"/>
  <c r="CX157" i="3"/>
  <c r="CX156" i="3"/>
  <c r="CY134" i="3"/>
  <c r="CY133" i="3"/>
  <c r="DA126" i="3"/>
  <c r="DA125" i="3"/>
  <c r="DA132" i="3"/>
  <c r="CY155" i="3"/>
  <c r="CY75" i="3" s="1"/>
  <c r="CY77" i="3" s="1"/>
  <c r="CY147" i="3"/>
  <c r="CY148" i="3"/>
  <c r="S120" i="3"/>
  <c r="M174" i="3"/>
  <c r="L174" i="3"/>
  <c r="N174" i="3"/>
  <c r="CV62" i="3" l="1"/>
  <c r="CV63" i="3"/>
  <c r="DA69" i="3"/>
  <c r="CX61" i="3"/>
  <c r="CX171" i="3"/>
  <c r="CW170" i="3"/>
  <c r="CY76" i="3"/>
  <c r="CY71" i="3"/>
  <c r="CY73" i="3" s="1"/>
  <c r="CZ160" i="3"/>
  <c r="CZ68" i="3"/>
  <c r="DB67" i="3"/>
  <c r="DB68" i="3" s="1"/>
  <c r="DA160" i="3"/>
  <c r="DA68" i="3"/>
  <c r="CV58" i="3"/>
  <c r="CV59" i="3"/>
  <c r="DB132" i="3"/>
  <c r="DB128" i="3" s="1"/>
  <c r="DB129" i="3" s="1"/>
  <c r="CX53" i="3"/>
  <c r="CX170" i="3"/>
  <c r="CW166" i="3"/>
  <c r="CY169" i="3"/>
  <c r="CY162" i="3"/>
  <c r="CY161" i="3"/>
  <c r="CX72" i="3"/>
  <c r="CZ148" i="3"/>
  <c r="CZ147" i="3"/>
  <c r="CZ155" i="3"/>
  <c r="CZ75" i="3" s="1"/>
  <c r="CZ77" i="3" s="1"/>
  <c r="CY157" i="3"/>
  <c r="CY156" i="3"/>
  <c r="DA148" i="3"/>
  <c r="DA155" i="3"/>
  <c r="DA75" i="3" s="1"/>
  <c r="DA147" i="3"/>
  <c r="CZ133" i="3"/>
  <c r="CZ134" i="3"/>
  <c r="CW152" i="3"/>
  <c r="DA134" i="3"/>
  <c r="DA133" i="3"/>
  <c r="DB146" i="3"/>
  <c r="L175" i="3"/>
  <c r="L176" i="3"/>
  <c r="Q175" i="3"/>
  <c r="N175" i="3"/>
  <c r="N176" i="3"/>
  <c r="S175" i="3"/>
  <c r="O176" i="3"/>
  <c r="M176" i="3"/>
  <c r="M175" i="3"/>
  <c r="R175" i="3"/>
  <c r="P160" i="3"/>
  <c r="P174" i="3" s="1"/>
  <c r="L162" i="3"/>
  <c r="L161" i="3"/>
  <c r="L163" i="3"/>
  <c r="Q161" i="3"/>
  <c r="N161" i="3"/>
  <c r="N162" i="3"/>
  <c r="N163" i="3"/>
  <c r="S161" i="3"/>
  <c r="O162" i="3"/>
  <c r="M163" i="3"/>
  <c r="R161" i="3"/>
  <c r="M161" i="3"/>
  <c r="M162" i="3"/>
  <c r="S121" i="3"/>
  <c r="X121" i="3"/>
  <c r="S124" i="3"/>
  <c r="S146" i="3" s="1"/>
  <c r="U120" i="3"/>
  <c r="S103" i="3"/>
  <c r="J103" i="3"/>
  <c r="J155" i="3" s="1"/>
  <c r="K155" i="3" s="1"/>
  <c r="K151" i="3" s="1"/>
  <c r="C101" i="3"/>
  <c r="C103" i="3"/>
  <c r="C132" i="3" s="1"/>
  <c r="D101" i="3"/>
  <c r="CX63" i="3" l="1"/>
  <c r="CX57" i="3"/>
  <c r="CX62" i="3"/>
  <c r="DA77" i="3"/>
  <c r="CY171" i="3"/>
  <c r="DB133" i="3"/>
  <c r="DA76" i="3"/>
  <c r="DA71" i="3"/>
  <c r="CZ76" i="3"/>
  <c r="DB75" i="3"/>
  <c r="CZ71" i="3"/>
  <c r="CZ73" i="3" s="1"/>
  <c r="CZ161" i="3"/>
  <c r="CZ169" i="3"/>
  <c r="CZ171" i="3" s="1"/>
  <c r="CZ162" i="3"/>
  <c r="DB160" i="3"/>
  <c r="CZ52" i="3"/>
  <c r="DA161" i="3"/>
  <c r="DA169" i="3"/>
  <c r="DA162" i="3"/>
  <c r="DA52" i="3"/>
  <c r="CY72" i="3"/>
  <c r="CY170" i="3"/>
  <c r="DB147" i="3"/>
  <c r="DB149" i="3"/>
  <c r="CZ156" i="3"/>
  <c r="CZ157" i="3"/>
  <c r="DB155" i="3"/>
  <c r="DA157" i="3"/>
  <c r="DA156" i="3"/>
  <c r="P175" i="3"/>
  <c r="U175" i="3"/>
  <c r="P161" i="3"/>
  <c r="P163" i="3"/>
  <c r="U161" i="3"/>
  <c r="S149" i="3"/>
  <c r="S147" i="3"/>
  <c r="S148" i="3"/>
  <c r="T148" i="3"/>
  <c r="X147" i="3"/>
  <c r="U146" i="3"/>
  <c r="C128" i="3"/>
  <c r="D134" i="3"/>
  <c r="C134" i="3"/>
  <c r="U122" i="3"/>
  <c r="U121" i="3"/>
  <c r="Z121" i="3"/>
  <c r="U124" i="3"/>
  <c r="S132" i="3"/>
  <c r="S155" i="3" s="1"/>
  <c r="T126" i="3"/>
  <c r="S125" i="3"/>
  <c r="S126" i="3"/>
  <c r="X125" i="3"/>
  <c r="C105" i="3"/>
  <c r="D105" i="3"/>
  <c r="DA54" i="3" l="1"/>
  <c r="CX58" i="3"/>
  <c r="DA171" i="3"/>
  <c r="DA73" i="3"/>
  <c r="DB161" i="3"/>
  <c r="DB163" i="3"/>
  <c r="CZ170" i="3"/>
  <c r="DB169" i="3"/>
  <c r="CZ72" i="3"/>
  <c r="DB71" i="3"/>
  <c r="DB72" i="3" s="1"/>
  <c r="DB76" i="3"/>
  <c r="DA53" i="3"/>
  <c r="CZ61" i="3"/>
  <c r="DA170" i="3"/>
  <c r="DA72" i="3"/>
  <c r="CZ53" i="3"/>
  <c r="DA61" i="3"/>
  <c r="DB151" i="3"/>
  <c r="DB152" i="3" s="1"/>
  <c r="DB156" i="3"/>
  <c r="D130" i="3"/>
  <c r="C130" i="3"/>
  <c r="U149" i="3"/>
  <c r="U147" i="3"/>
  <c r="Z147" i="3"/>
  <c r="S133" i="3"/>
  <c r="T134" i="3"/>
  <c r="S134" i="3"/>
  <c r="X133" i="3"/>
  <c r="U132" i="3"/>
  <c r="U125" i="3"/>
  <c r="Z125" i="3"/>
  <c r="DA63" i="3" l="1"/>
  <c r="DB170" i="3"/>
  <c r="DB165" i="3"/>
  <c r="DB166" i="3" s="1"/>
  <c r="CZ57" i="3"/>
  <c r="CZ62" i="3"/>
  <c r="DA62" i="3"/>
  <c r="DA57" i="3"/>
  <c r="U133" i="3"/>
  <c r="U128" i="3"/>
  <c r="Z133" i="3"/>
  <c r="V57" i="3"/>
  <c r="AA58" i="3" l="1"/>
  <c r="W59" i="3"/>
  <c r="CZ58" i="3"/>
  <c r="DA59" i="3"/>
  <c r="DA58" i="3"/>
  <c r="AA183" i="3"/>
  <c r="W184" i="3"/>
  <c r="U129" i="3"/>
  <c r="Z129" i="3"/>
  <c r="AC103" i="3"/>
  <c r="AC155" i="3" s="1"/>
  <c r="AH156" i="3" s="1"/>
  <c r="AA179" i="3" l="1"/>
  <c r="W180" i="3"/>
  <c r="Y57" i="3"/>
  <c r="Y59" i="3" l="1"/>
  <c r="AA59" i="3"/>
  <c r="Y184" i="3"/>
  <c r="Y178" i="3"/>
  <c r="AA184" i="3"/>
  <c r="Z182" i="3"/>
  <c r="Z57" i="3" s="1"/>
  <c r="AD101" i="3"/>
  <c r="Z178" i="3" l="1"/>
  <c r="AA180" i="3"/>
  <c r="Y180" i="3"/>
  <c r="AF75" i="3" l="1"/>
  <c r="AF101" i="3"/>
  <c r="AF57" i="3" l="1"/>
  <c r="AF182" i="3"/>
  <c r="AF76" i="3"/>
  <c r="AF71" i="3"/>
  <c r="AG103" i="3"/>
  <c r="AG101" i="3"/>
  <c r="AG75" i="3" l="1"/>
  <c r="AG71" i="3" s="1"/>
  <c r="AG73" i="3" s="1"/>
  <c r="AF58" i="3"/>
  <c r="AG57" i="3"/>
  <c r="AF183" i="3"/>
  <c r="AF178" i="3"/>
  <c r="AF72" i="3"/>
  <c r="AI100" i="3"/>
  <c r="AI103" i="3"/>
  <c r="AI75" i="3" s="1"/>
  <c r="AL103" i="3"/>
  <c r="AL75" i="3" s="1"/>
  <c r="AL100" i="3"/>
  <c r="AG105" i="3"/>
  <c r="AG76" i="3" l="1"/>
  <c r="AG182" i="3"/>
  <c r="AG184" i="3" s="1"/>
  <c r="AG77" i="3"/>
  <c r="AG59" i="3"/>
  <c r="AG58" i="3"/>
  <c r="AF179" i="3"/>
  <c r="AL57" i="3"/>
  <c r="AL182" i="3"/>
  <c r="AI57" i="3"/>
  <c r="AI182" i="3"/>
  <c r="I57" i="3"/>
  <c r="M182" i="3"/>
  <c r="N182" i="3"/>
  <c r="AL76" i="3"/>
  <c r="AL71" i="3"/>
  <c r="AI71" i="3"/>
  <c r="AG72" i="3"/>
  <c r="R100" i="3"/>
  <c r="R103" i="3"/>
  <c r="R155" i="3" s="1"/>
  <c r="S101" i="3"/>
  <c r="E101" i="3"/>
  <c r="E103" i="3"/>
  <c r="E132" i="3" s="1"/>
  <c r="J100" i="3"/>
  <c r="N101" i="3"/>
  <c r="N103" i="3"/>
  <c r="N155" i="3" s="1"/>
  <c r="S100" i="3"/>
  <c r="AH101" i="3"/>
  <c r="AH100" i="3"/>
  <c r="AH103" i="3"/>
  <c r="AN100" i="3"/>
  <c r="AN101" i="3"/>
  <c r="AN103" i="3"/>
  <c r="AN75" i="3" s="1"/>
  <c r="AS100" i="3"/>
  <c r="L103" i="3"/>
  <c r="L155" i="3" s="1"/>
  <c r="L101" i="3"/>
  <c r="AL104" i="3"/>
  <c r="M103" i="3"/>
  <c r="M155" i="3" s="1"/>
  <c r="M101" i="3"/>
  <c r="AI101" i="3"/>
  <c r="AM101" i="3"/>
  <c r="AM100" i="3"/>
  <c r="AM103" i="3"/>
  <c r="AM75" i="3" s="1"/>
  <c r="AM77" i="3" s="1"/>
  <c r="H57" i="3"/>
  <c r="AG178" i="3" l="1"/>
  <c r="AG179" i="3" s="1"/>
  <c r="AG183" i="3"/>
  <c r="AN77" i="3"/>
  <c r="I59" i="3"/>
  <c r="AL58" i="3"/>
  <c r="H59" i="3"/>
  <c r="AI178" i="3"/>
  <c r="AN57" i="3"/>
  <c r="AN182" i="3"/>
  <c r="AL183" i="3"/>
  <c r="AL178" i="3"/>
  <c r="AM57" i="3"/>
  <c r="AM182" i="3"/>
  <c r="H184" i="3"/>
  <c r="H178" i="3"/>
  <c r="N57" i="3"/>
  <c r="I184" i="3"/>
  <c r="I178" i="3"/>
  <c r="N170" i="3"/>
  <c r="S170" i="3"/>
  <c r="M170" i="3"/>
  <c r="R170" i="3"/>
  <c r="AM71" i="3"/>
  <c r="AM73" i="3" s="1"/>
  <c r="AI105" i="3"/>
  <c r="AH75" i="3"/>
  <c r="AL72" i="3"/>
  <c r="E128" i="3"/>
  <c r="E134" i="3"/>
  <c r="F132" i="3"/>
  <c r="F128" i="3" s="1"/>
  <c r="J133" i="3"/>
  <c r="AN76" i="3"/>
  <c r="AN71" i="3"/>
  <c r="AS76" i="3"/>
  <c r="S157" i="3"/>
  <c r="S156" i="3"/>
  <c r="N157" i="3"/>
  <c r="R156" i="3"/>
  <c r="M157" i="3"/>
  <c r="L157" i="3"/>
  <c r="V100" i="3"/>
  <c r="H100" i="3"/>
  <c r="H103" i="3"/>
  <c r="H132" i="3" s="1"/>
  <c r="AM104" i="3"/>
  <c r="AM105" i="3"/>
  <c r="N105" i="3"/>
  <c r="S104" i="3"/>
  <c r="E105" i="3"/>
  <c r="F103" i="3"/>
  <c r="F99" i="3" s="1"/>
  <c r="J104" i="3"/>
  <c r="L105" i="3"/>
  <c r="Q103" i="3"/>
  <c r="Q155" i="3" s="1"/>
  <c r="Q100" i="3"/>
  <c r="AN105" i="3"/>
  <c r="AN104" i="3"/>
  <c r="AS104" i="3"/>
  <c r="M100" i="3"/>
  <c r="R104" i="3"/>
  <c r="S105" i="3"/>
  <c r="M105" i="3"/>
  <c r="AH105" i="3"/>
  <c r="AH104" i="3"/>
  <c r="AJ103" i="3"/>
  <c r="R101" i="3"/>
  <c r="AG180" i="3" l="1"/>
  <c r="AN73" i="3"/>
  <c r="AH77" i="3"/>
  <c r="AI77" i="3"/>
  <c r="AN58" i="3"/>
  <c r="AN59" i="3"/>
  <c r="AS58" i="3"/>
  <c r="N58" i="3"/>
  <c r="AM59" i="3"/>
  <c r="AM184" i="3"/>
  <c r="AM178" i="3"/>
  <c r="AL179" i="3"/>
  <c r="AN183" i="3"/>
  <c r="AN178" i="3"/>
  <c r="AN184" i="3"/>
  <c r="AS183" i="3"/>
  <c r="AH57" i="3"/>
  <c r="AM58" i="3" s="1"/>
  <c r="AH182" i="3"/>
  <c r="P165" i="3"/>
  <c r="I180" i="3"/>
  <c r="M57" i="3"/>
  <c r="J57" i="3"/>
  <c r="U170" i="3"/>
  <c r="N183" i="3"/>
  <c r="N184" i="3"/>
  <c r="N178" i="3"/>
  <c r="H180" i="3"/>
  <c r="S57" i="3"/>
  <c r="N166" i="3"/>
  <c r="S166" i="3"/>
  <c r="M166" i="3"/>
  <c r="R166" i="3"/>
  <c r="J129" i="3"/>
  <c r="E130" i="3"/>
  <c r="H128" i="3"/>
  <c r="M133" i="3"/>
  <c r="H133" i="3"/>
  <c r="AH71" i="3"/>
  <c r="AH76" i="3"/>
  <c r="AJ75" i="3"/>
  <c r="AJ57" i="3" s="1"/>
  <c r="AN72" i="3"/>
  <c r="AS72" i="3"/>
  <c r="AM76" i="3"/>
  <c r="V156" i="3"/>
  <c r="R157" i="3"/>
  <c r="Q156" i="3"/>
  <c r="AJ99" i="3"/>
  <c r="T101" i="3"/>
  <c r="T100" i="3"/>
  <c r="T103" i="3"/>
  <c r="T155" i="3" s="1"/>
  <c r="I103" i="3"/>
  <c r="I132" i="3" s="1"/>
  <c r="I101" i="3"/>
  <c r="I100" i="3"/>
  <c r="J101" i="3"/>
  <c r="N100" i="3"/>
  <c r="Q104" i="3"/>
  <c r="H104" i="3"/>
  <c r="G101" i="3"/>
  <c r="G100" i="3"/>
  <c r="G103" i="3"/>
  <c r="G132" i="3" s="1"/>
  <c r="L100" i="3"/>
  <c r="M104" i="3"/>
  <c r="H101" i="3"/>
  <c r="V104" i="3"/>
  <c r="O101" i="3"/>
  <c r="O100" i="3"/>
  <c r="O103" i="3"/>
  <c r="AK103" i="3"/>
  <c r="AK75" i="3" s="1"/>
  <c r="AK100" i="3"/>
  <c r="AK101" i="3"/>
  <c r="AL101" i="3"/>
  <c r="R105" i="3"/>
  <c r="V101" i="3"/>
  <c r="Q101" i="3"/>
  <c r="W101" i="3"/>
  <c r="W100" i="3"/>
  <c r="W103" i="3"/>
  <c r="W155" i="3" s="1"/>
  <c r="R57" i="3"/>
  <c r="AK77" i="3" l="1"/>
  <c r="AL77" i="3"/>
  <c r="AM72" i="3"/>
  <c r="AH73" i="3"/>
  <c r="AI73" i="3"/>
  <c r="J59" i="3"/>
  <c r="M58" i="3"/>
  <c r="S59" i="3"/>
  <c r="S58" i="3"/>
  <c r="X58" i="3"/>
  <c r="N59" i="3"/>
  <c r="AH59" i="3"/>
  <c r="AH58" i="3"/>
  <c r="AI59" i="3"/>
  <c r="R58" i="3"/>
  <c r="W58" i="3"/>
  <c r="U166" i="3"/>
  <c r="AH183" i="3"/>
  <c r="AH184" i="3"/>
  <c r="AH178" i="3"/>
  <c r="AM179" i="3" s="1"/>
  <c r="AJ182" i="3"/>
  <c r="AI184" i="3"/>
  <c r="AK57" i="3"/>
  <c r="AK182" i="3"/>
  <c r="AN179" i="3"/>
  <c r="AN180" i="3"/>
  <c r="AS179" i="3"/>
  <c r="AM180" i="3"/>
  <c r="AM183" i="3"/>
  <c r="N179" i="3"/>
  <c r="R183" i="3"/>
  <c r="R178" i="3"/>
  <c r="W183" i="3"/>
  <c r="M183" i="3"/>
  <c r="M178" i="3"/>
  <c r="N180" i="3" s="1"/>
  <c r="O57" i="3"/>
  <c r="S183" i="3"/>
  <c r="S184" i="3"/>
  <c r="X183" i="3"/>
  <c r="S178" i="3"/>
  <c r="AK76" i="3"/>
  <c r="AK71" i="3"/>
  <c r="AO75" i="3"/>
  <c r="AO57" i="3" s="1"/>
  <c r="AO58" i="3" s="1"/>
  <c r="AJ71" i="3"/>
  <c r="AH72" i="3"/>
  <c r="I128" i="3"/>
  <c r="I134" i="3"/>
  <c r="I133" i="3"/>
  <c r="N133" i="3"/>
  <c r="J134" i="3"/>
  <c r="M129" i="3"/>
  <c r="H129" i="3"/>
  <c r="W157" i="3"/>
  <c r="W156" i="3"/>
  <c r="V157" i="3"/>
  <c r="T157" i="3"/>
  <c r="U103" i="3"/>
  <c r="U99" i="3" s="1"/>
  <c r="U155" i="3"/>
  <c r="V105" i="3"/>
  <c r="Q105" i="3"/>
  <c r="O155" i="3"/>
  <c r="G128" i="3"/>
  <c r="L133" i="3"/>
  <c r="G133" i="3"/>
  <c r="H134" i="3"/>
  <c r="K132" i="3"/>
  <c r="G134" i="3"/>
  <c r="I105" i="3"/>
  <c r="I104" i="3"/>
  <c r="J105" i="3"/>
  <c r="N104" i="3"/>
  <c r="G104" i="3"/>
  <c r="G105" i="3"/>
  <c r="K103" i="3"/>
  <c r="L104" i="3"/>
  <c r="AQ101" i="3"/>
  <c r="AQ100" i="3"/>
  <c r="AQ103" i="3"/>
  <c r="AQ75" i="3" s="1"/>
  <c r="AV100" i="3"/>
  <c r="AK105" i="3"/>
  <c r="AK104" i="3"/>
  <c r="AO103" i="3"/>
  <c r="AL105" i="3"/>
  <c r="T105" i="3"/>
  <c r="T104" i="3"/>
  <c r="AP103" i="3"/>
  <c r="AP75" i="3" s="1"/>
  <c r="AP77" i="3" s="1"/>
  <c r="AP100" i="3"/>
  <c r="AP101" i="3"/>
  <c r="AU100" i="3"/>
  <c r="O105" i="3"/>
  <c r="O104" i="3"/>
  <c r="P103" i="3"/>
  <c r="H105" i="3"/>
  <c r="W105" i="3"/>
  <c r="W104" i="3"/>
  <c r="AQ77" i="3" l="1"/>
  <c r="AK73" i="3"/>
  <c r="AL73" i="3"/>
  <c r="AK59" i="3"/>
  <c r="AK58" i="3"/>
  <c r="AL59" i="3"/>
  <c r="O58" i="3"/>
  <c r="O59" i="3"/>
  <c r="AQ57" i="3"/>
  <c r="AQ182" i="3"/>
  <c r="AK184" i="3"/>
  <c r="AK178" i="3"/>
  <c r="AK183" i="3"/>
  <c r="AO182" i="3"/>
  <c r="AL184" i="3"/>
  <c r="AP57" i="3"/>
  <c r="AP182" i="3"/>
  <c r="AJ178" i="3"/>
  <c r="AH179" i="3"/>
  <c r="AH180" i="3"/>
  <c r="AI180" i="3"/>
  <c r="L57" i="3"/>
  <c r="T57" i="3"/>
  <c r="S180" i="3"/>
  <c r="X179" i="3"/>
  <c r="S179" i="3"/>
  <c r="W179" i="3"/>
  <c r="R179" i="3"/>
  <c r="O184" i="3"/>
  <c r="O178" i="3"/>
  <c r="M179" i="3"/>
  <c r="N129" i="3"/>
  <c r="J130" i="3"/>
  <c r="I130" i="3"/>
  <c r="I129" i="3"/>
  <c r="AQ76" i="3"/>
  <c r="AQ71" i="3"/>
  <c r="AV76" i="3"/>
  <c r="AP71" i="3"/>
  <c r="AP73" i="3" s="1"/>
  <c r="AP76" i="3"/>
  <c r="AU76" i="3"/>
  <c r="AO71" i="3"/>
  <c r="AO72" i="3" s="1"/>
  <c r="AO76" i="3"/>
  <c r="AK72" i="3"/>
  <c r="U151" i="3"/>
  <c r="O156" i="3"/>
  <c r="Q157" i="3"/>
  <c r="T156" i="3"/>
  <c r="O157" i="3"/>
  <c r="P155" i="3"/>
  <c r="K128" i="3"/>
  <c r="P133" i="3"/>
  <c r="K133" i="3"/>
  <c r="L129" i="3"/>
  <c r="H130" i="3"/>
  <c r="G129" i="3"/>
  <c r="G130" i="3"/>
  <c r="X101" i="3"/>
  <c r="X100" i="3"/>
  <c r="X103" i="3"/>
  <c r="X155" i="3" s="1"/>
  <c r="AC100" i="3"/>
  <c r="AR101" i="3"/>
  <c r="AR100" i="3"/>
  <c r="AR103" i="3"/>
  <c r="AS101" i="3"/>
  <c r="AW100" i="3"/>
  <c r="AB100" i="3"/>
  <c r="AB103" i="3"/>
  <c r="AB155" i="3" s="1"/>
  <c r="AC101" i="3"/>
  <c r="AG100" i="3"/>
  <c r="AO104" i="3"/>
  <c r="AO99" i="3"/>
  <c r="AO100" i="3" s="1"/>
  <c r="K99" i="3"/>
  <c r="K100" i="3" s="1"/>
  <c r="K104" i="3"/>
  <c r="P99" i="3"/>
  <c r="P104" i="3"/>
  <c r="U104" i="3"/>
  <c r="AP105" i="3"/>
  <c r="AP104" i="3"/>
  <c r="AU104" i="3"/>
  <c r="AQ104" i="3"/>
  <c r="AQ105" i="3"/>
  <c r="AV104" i="3"/>
  <c r="AB101" i="3"/>
  <c r="AQ73" i="3" l="1"/>
  <c r="T58" i="3"/>
  <c r="T59" i="3"/>
  <c r="V59" i="3"/>
  <c r="Y58" i="3"/>
  <c r="L59" i="3"/>
  <c r="L58" i="3"/>
  <c r="M59" i="3"/>
  <c r="AQ59" i="3"/>
  <c r="AQ58" i="3"/>
  <c r="AV58" i="3"/>
  <c r="AP59" i="3"/>
  <c r="AP58" i="3"/>
  <c r="AU58" i="3"/>
  <c r="AO183" i="3"/>
  <c r="AO178" i="3"/>
  <c r="AO179" i="3" s="1"/>
  <c r="AP184" i="3"/>
  <c r="AP183" i="3"/>
  <c r="AP178" i="3"/>
  <c r="AU183" i="3"/>
  <c r="AK180" i="3"/>
  <c r="AK179" i="3"/>
  <c r="AL180" i="3"/>
  <c r="AQ184" i="3"/>
  <c r="AQ183" i="3"/>
  <c r="AQ178" i="3"/>
  <c r="AV183" i="3"/>
  <c r="Q57" i="3"/>
  <c r="T184" i="3"/>
  <c r="T183" i="3"/>
  <c r="T178" i="3"/>
  <c r="V184" i="3"/>
  <c r="Y183" i="3"/>
  <c r="O180" i="3"/>
  <c r="AP72" i="3"/>
  <c r="AU72" i="3"/>
  <c r="AT103" i="3"/>
  <c r="AT104" i="3" s="1"/>
  <c r="AR75" i="3"/>
  <c r="AQ72" i="3"/>
  <c r="AV72" i="3"/>
  <c r="AG156" i="3"/>
  <c r="AC157" i="3"/>
  <c r="AB156" i="3"/>
  <c r="AC156" i="3"/>
  <c r="X156" i="3"/>
  <c r="X157" i="3"/>
  <c r="P151" i="3"/>
  <c r="P156" i="3"/>
  <c r="U156" i="3"/>
  <c r="P129" i="3"/>
  <c r="K129" i="3"/>
  <c r="P100" i="3"/>
  <c r="AB104" i="3"/>
  <c r="AC105" i="3"/>
  <c r="AG104" i="3"/>
  <c r="U100" i="3"/>
  <c r="AR105" i="3"/>
  <c r="AR104" i="3"/>
  <c r="AS105" i="3"/>
  <c r="AW104" i="3"/>
  <c r="X105" i="3"/>
  <c r="X104" i="3"/>
  <c r="AC104" i="3"/>
  <c r="AA103" i="3"/>
  <c r="AA155" i="3" s="1"/>
  <c r="AA100" i="3"/>
  <c r="AF100" i="3"/>
  <c r="AA101" i="3"/>
  <c r="AR77" i="3" l="1"/>
  <c r="AS77" i="3"/>
  <c r="Q58" i="3"/>
  <c r="Q59" i="3"/>
  <c r="V58" i="3"/>
  <c r="R59" i="3"/>
  <c r="AP180" i="3"/>
  <c r="AP179" i="3"/>
  <c r="AU179" i="3"/>
  <c r="AR57" i="3"/>
  <c r="AR182" i="3"/>
  <c r="AQ180" i="3"/>
  <c r="AQ179" i="3"/>
  <c r="AV179" i="3"/>
  <c r="Y179" i="3"/>
  <c r="T180" i="3"/>
  <c r="T179" i="3"/>
  <c r="V180" i="3"/>
  <c r="U182" i="3"/>
  <c r="U57" i="3" s="1"/>
  <c r="Q184" i="3"/>
  <c r="Q178" i="3"/>
  <c r="V183" i="3"/>
  <c r="R184" i="3"/>
  <c r="AT99" i="3"/>
  <c r="AT100" i="3" s="1"/>
  <c r="AR76" i="3"/>
  <c r="AR71" i="3"/>
  <c r="AW76" i="3"/>
  <c r="AT75" i="3"/>
  <c r="AT57" i="3" s="1"/>
  <c r="AY104" i="3"/>
  <c r="AF156" i="3"/>
  <c r="AB157" i="3"/>
  <c r="AA156" i="3"/>
  <c r="P152" i="3"/>
  <c r="U152" i="3"/>
  <c r="AA104" i="3"/>
  <c r="AF104" i="3"/>
  <c r="AB105" i="3"/>
  <c r="Y100" i="3"/>
  <c r="Y101" i="3"/>
  <c r="Y103" i="3"/>
  <c r="Y155" i="3" s="1"/>
  <c r="AD100" i="3"/>
  <c r="AR73" i="3" l="1"/>
  <c r="AS73" i="3"/>
  <c r="Z58" i="3"/>
  <c r="AR59" i="3"/>
  <c r="AR58" i="3"/>
  <c r="AS59" i="3"/>
  <c r="AW58" i="3"/>
  <c r="AT58" i="3"/>
  <c r="AU59" i="3"/>
  <c r="AY58" i="3"/>
  <c r="AR184" i="3"/>
  <c r="AR183" i="3"/>
  <c r="AR178" i="3"/>
  <c r="AS180" i="3" s="1"/>
  <c r="AS184" i="3"/>
  <c r="AW183" i="3"/>
  <c r="AT182" i="3"/>
  <c r="U178" i="3"/>
  <c r="Z183" i="3"/>
  <c r="Q180" i="3"/>
  <c r="V179" i="3"/>
  <c r="R180" i="3"/>
  <c r="AY100" i="3"/>
  <c r="AT76" i="3"/>
  <c r="AT71" i="3"/>
  <c r="AY76" i="3"/>
  <c r="AR72" i="3"/>
  <c r="AW72" i="3"/>
  <c r="AA157" i="3"/>
  <c r="Y156" i="3"/>
  <c r="Y157" i="3"/>
  <c r="Z155" i="3"/>
  <c r="Y105" i="3"/>
  <c r="Y104" i="3"/>
  <c r="Z103" i="3"/>
  <c r="AA105" i="3"/>
  <c r="AT183" i="3" l="1"/>
  <c r="AT178" i="3"/>
  <c r="AY183" i="3"/>
  <c r="AR180" i="3"/>
  <c r="AR179" i="3"/>
  <c r="AW179" i="3"/>
  <c r="Z179" i="3"/>
  <c r="AT72" i="3"/>
  <c r="AY72" i="3"/>
  <c r="Z151" i="3"/>
  <c r="Z152" i="3" s="1"/>
  <c r="Z156" i="3"/>
  <c r="Z99" i="3"/>
  <c r="Z100" i="3" s="1"/>
  <c r="Z104" i="3"/>
  <c r="AT179" i="3" l="1"/>
  <c r="AY179" i="3"/>
  <c r="BD38" i="5" l="1"/>
  <c r="BD29" i="5"/>
  <c r="BD20" i="5"/>
  <c r="BD21" i="5"/>
  <c r="BD14" i="5"/>
  <c r="BD30" i="5" l="1"/>
  <c r="BD533" i="3"/>
  <c r="AY533" i="3"/>
  <c r="BD512" i="3"/>
  <c r="AY512" i="3"/>
  <c r="AY524" i="3" s="1"/>
  <c r="AT512" i="3"/>
  <c r="AT524" i="3" s="1"/>
  <c r="BD505" i="3"/>
  <c r="AY505" i="3"/>
  <c r="AT505" i="3"/>
  <c r="BC35" i="4" l="1"/>
  <c r="BC26" i="4"/>
  <c r="BC9" i="4"/>
  <c r="BB25" i="8"/>
  <c r="BC26" i="2"/>
  <c r="BC25" i="2"/>
  <c r="BC19" i="2"/>
  <c r="BC16" i="2"/>
  <c r="BC9" i="8" s="1"/>
  <c r="BC15" i="2"/>
  <c r="BC30" i="8" s="1"/>
  <c r="BC10" i="2"/>
  <c r="BH36" i="2" s="1"/>
  <c r="BD8" i="2"/>
  <c r="BB28" i="8"/>
  <c r="AZ26" i="5"/>
  <c r="AZ29" i="5"/>
  <c r="BM36" i="2" l="1"/>
  <c r="BD474" i="3"/>
  <c r="BD471" i="3" s="1"/>
  <c r="BC50" i="2"/>
  <c r="BC57" i="4"/>
  <c r="BE54" i="4" s="1"/>
  <c r="BC8" i="8"/>
  <c r="BC10" i="8" s="1"/>
  <c r="BC25" i="8"/>
  <c r="BB71" i="2"/>
  <c r="BB72" i="2" s="1"/>
  <c r="BI10" i="2" l="1"/>
  <c r="AT66" i="5" l="1"/>
  <c r="AY66" i="5"/>
  <c r="S11" i="7"/>
  <c r="T11" i="7"/>
  <c r="U11" i="7"/>
  <c r="V11" i="7"/>
  <c r="BU56" i="4"/>
  <c r="BA36" i="5" l="1"/>
  <c r="BA35" i="5"/>
  <c r="BA28" i="8" l="1"/>
  <c r="CY19" i="8" l="1"/>
  <c r="CZ19" i="8" s="1"/>
  <c r="DA19" i="8" s="1"/>
  <c r="DB19" i="8" s="1"/>
  <c r="CT19" i="8"/>
  <c r="CU19" i="8" s="1"/>
  <c r="CV19" i="8" s="1"/>
  <c r="CW19" i="8" s="1"/>
  <c r="CO19" i="8"/>
  <c r="CP19" i="8" s="1"/>
  <c r="CQ19" i="8" s="1"/>
  <c r="CR19" i="8" s="1"/>
  <c r="CJ19" i="8"/>
  <c r="CK19" i="8" s="1"/>
  <c r="CL19" i="8" s="1"/>
  <c r="CM19" i="8" s="1"/>
  <c r="CE19" i="8"/>
  <c r="CF19" i="8" s="1"/>
  <c r="CG19" i="8" s="1"/>
  <c r="CH19" i="8" s="1"/>
  <c r="BZ19" i="8"/>
  <c r="CA19" i="8" s="1"/>
  <c r="CB19" i="8" s="1"/>
  <c r="CC19" i="8" s="1"/>
  <c r="BU19" i="8"/>
  <c r="BV19" i="8" s="1"/>
  <c r="BW19" i="8" s="1"/>
  <c r="BX19" i="8" s="1"/>
  <c r="BP19" i="8"/>
  <c r="BQ19" i="8" s="1"/>
  <c r="BR19" i="8" s="1"/>
  <c r="BS19" i="8" s="1"/>
  <c r="BK19" i="8"/>
  <c r="BL19" i="8" s="1"/>
  <c r="BM19" i="8" s="1"/>
  <c r="BN19" i="8" s="1"/>
  <c r="BF19" i="8"/>
  <c r="AV19" i="8"/>
  <c r="AW19" i="8" s="1"/>
  <c r="AX19" i="8" s="1"/>
  <c r="AY19" i="8" s="1"/>
  <c r="BG19" i="8" l="1"/>
  <c r="BB55" i="8"/>
  <c r="BB48" i="8"/>
  <c r="BC45" i="8" s="1"/>
  <c r="BB40" i="8"/>
  <c r="BB24" i="8"/>
  <c r="BB14" i="8" s="1"/>
  <c r="BB9" i="8"/>
  <c r="BB57" i="4"/>
  <c r="BC54" i="4" s="1"/>
  <c r="BC55" i="4" s="1"/>
  <c r="BB45" i="4"/>
  <c r="BB35" i="4"/>
  <c r="BB29" i="4"/>
  <c r="BB26" i="4"/>
  <c r="BB9" i="4"/>
  <c r="BB8" i="8" s="1"/>
  <c r="BH19" i="8" l="1"/>
  <c r="BH20" i="8" s="1"/>
  <c r="BB10" i="8"/>
  <c r="BB8" i="2"/>
  <c r="BH29" i="8" l="1"/>
  <c r="BH32" i="8"/>
  <c r="BI19" i="8"/>
  <c r="BB474" i="3"/>
  <c r="BA73" i="5"/>
  <c r="BA41" i="5"/>
  <c r="BA37" i="5"/>
  <c r="BB36" i="5"/>
  <c r="BC36" i="5" s="1"/>
  <c r="BA34" i="5"/>
  <c r="BA33" i="5"/>
  <c r="BA28" i="5"/>
  <c r="BA27" i="5"/>
  <c r="BA26" i="5"/>
  <c r="BA25" i="5"/>
  <c r="BA19" i="5"/>
  <c r="BA18" i="5"/>
  <c r="BA17" i="5"/>
  <c r="BA13" i="5"/>
  <c r="BA12" i="5"/>
  <c r="BA11" i="5"/>
  <c r="BA10" i="5"/>
  <c r="BA9" i="5"/>
  <c r="BA47" i="8" s="1"/>
  <c r="BA29" i="5"/>
  <c r="AZ14" i="5"/>
  <c r="AZ21" i="5"/>
  <c r="AZ20" i="5"/>
  <c r="AY38" i="5"/>
  <c r="AY29" i="5"/>
  <c r="AY30" i="5" s="1"/>
  <c r="AY21" i="5"/>
  <c r="AY20" i="5"/>
  <c r="AY14" i="5"/>
  <c r="AV73" i="5"/>
  <c r="AW73" i="5" s="1"/>
  <c r="AV41" i="5"/>
  <c r="AW41" i="5" s="1"/>
  <c r="AV36" i="5"/>
  <c r="AV35" i="5"/>
  <c r="AW35" i="5" s="1"/>
  <c r="AV34" i="5"/>
  <c r="AW34" i="5" s="1"/>
  <c r="AV33" i="5"/>
  <c r="AW33" i="5" s="1"/>
  <c r="AV28" i="5"/>
  <c r="AW28" i="5" s="1"/>
  <c r="AV27" i="5"/>
  <c r="AW27" i="5" s="1"/>
  <c r="AV26" i="5"/>
  <c r="AW26" i="5" s="1"/>
  <c r="AV25" i="5"/>
  <c r="AW25" i="5" s="1"/>
  <c r="AV19" i="5"/>
  <c r="AW19" i="5" s="1"/>
  <c r="AV18" i="5"/>
  <c r="AW18" i="5" s="1"/>
  <c r="AV17" i="5"/>
  <c r="AW17" i="5" s="1"/>
  <c r="AV13" i="5"/>
  <c r="AW13" i="5" s="1"/>
  <c r="AV12" i="5"/>
  <c r="AW12" i="5" s="1"/>
  <c r="AV11" i="5"/>
  <c r="AW11" i="5" s="1"/>
  <c r="AV10" i="5"/>
  <c r="AW10" i="5" s="1"/>
  <c r="AV9" i="5"/>
  <c r="AV8" i="5"/>
  <c r="AW8" i="5" s="1"/>
  <c r="AU37" i="5"/>
  <c r="AV37" i="5" s="1"/>
  <c r="AW37" i="5" s="1"/>
  <c r="AU29" i="5"/>
  <c r="AV29" i="5" s="1"/>
  <c r="AW29" i="5" s="1"/>
  <c r="AU21" i="5"/>
  <c r="AV21" i="5" s="1"/>
  <c r="AW21" i="5" s="1"/>
  <c r="AU20" i="5"/>
  <c r="AV20" i="5" s="1"/>
  <c r="AW20" i="5" s="1"/>
  <c r="AU14" i="5"/>
  <c r="AV14" i="5" s="1"/>
  <c r="AW14" i="5" s="1"/>
  <c r="AT59" i="5"/>
  <c r="AT37" i="5"/>
  <c r="AT38" i="5" s="1"/>
  <c r="AT29" i="5"/>
  <c r="AT21" i="5"/>
  <c r="AT20" i="5"/>
  <c r="AT14" i="5"/>
  <c r="AQ73" i="5"/>
  <c r="AR73" i="5" s="1"/>
  <c r="AQ41" i="5"/>
  <c r="AR41" i="5" s="1"/>
  <c r="AQ36" i="5"/>
  <c r="AQ35" i="5"/>
  <c r="AR35" i="5" s="1"/>
  <c r="AQ34" i="5"/>
  <c r="AR34" i="5" s="1"/>
  <c r="AQ33" i="5"/>
  <c r="AR33" i="5" s="1"/>
  <c r="AQ28" i="5"/>
  <c r="AR28" i="5" s="1"/>
  <c r="AQ27" i="5"/>
  <c r="AR27" i="5" s="1"/>
  <c r="AQ26" i="5"/>
  <c r="AR26" i="5" s="1"/>
  <c r="AQ25" i="5"/>
  <c r="AR25" i="5" s="1"/>
  <c r="AQ19" i="5"/>
  <c r="AR19" i="5" s="1"/>
  <c r="AQ18" i="5"/>
  <c r="AR18" i="5" s="1"/>
  <c r="AQ17" i="5"/>
  <c r="AR17" i="5" s="1"/>
  <c r="AQ13" i="5"/>
  <c r="AR13" i="5" s="1"/>
  <c r="AQ12" i="5"/>
  <c r="AR12" i="5" s="1"/>
  <c r="AQ11" i="5"/>
  <c r="AR11" i="5" s="1"/>
  <c r="AQ10" i="5"/>
  <c r="AR10" i="5" s="1"/>
  <c r="AQ9" i="5"/>
  <c r="AQ8" i="5"/>
  <c r="AR8" i="5" s="1"/>
  <c r="AP37" i="5"/>
  <c r="AQ37" i="5" s="1"/>
  <c r="AR37" i="5" s="1"/>
  <c r="AP29" i="5"/>
  <c r="AQ29" i="5" s="1"/>
  <c r="AR29" i="5" s="1"/>
  <c r="AP14" i="5"/>
  <c r="AQ14" i="5" s="1"/>
  <c r="AR14" i="5" s="1"/>
  <c r="AP21" i="5"/>
  <c r="AQ21" i="5" s="1"/>
  <c r="AR21" i="5" s="1"/>
  <c r="AP20" i="5"/>
  <c r="AQ20" i="5" s="1"/>
  <c r="AR20" i="5" s="1"/>
  <c r="AO59" i="5"/>
  <c r="AO58" i="5"/>
  <c r="AO37" i="5"/>
  <c r="AO38" i="5" s="1"/>
  <c r="AO29" i="5"/>
  <c r="AO30" i="5" s="1"/>
  <c r="AO21" i="5"/>
  <c r="AO20" i="5"/>
  <c r="AO14" i="5"/>
  <c r="AL73" i="5"/>
  <c r="AM73" i="5" s="1"/>
  <c r="AL41" i="5"/>
  <c r="AM41" i="5" s="1"/>
  <c r="AN41" i="5" s="1"/>
  <c r="AL36" i="5"/>
  <c r="AM36" i="5" s="1"/>
  <c r="AL35" i="5"/>
  <c r="AM35" i="5" s="1"/>
  <c r="AL34" i="5"/>
  <c r="AM34" i="5" s="1"/>
  <c r="AL33" i="5"/>
  <c r="AM33" i="5" s="1"/>
  <c r="AL28" i="5"/>
  <c r="AM28" i="5" s="1"/>
  <c r="AL27" i="5"/>
  <c r="AM27" i="5" s="1"/>
  <c r="AL26" i="5"/>
  <c r="AM26" i="5" s="1"/>
  <c r="AL25" i="5"/>
  <c r="AM25" i="5" s="1"/>
  <c r="AL9" i="5"/>
  <c r="AL19" i="5"/>
  <c r="AM19" i="5" s="1"/>
  <c r="AL17" i="5"/>
  <c r="AM17" i="5" s="1"/>
  <c r="AL18" i="5"/>
  <c r="AM18" i="5" s="1"/>
  <c r="AL13" i="5"/>
  <c r="AM13" i="5" s="1"/>
  <c r="AL12" i="5"/>
  <c r="AM12" i="5" s="1"/>
  <c r="AL11" i="5"/>
  <c r="AM11" i="5" s="1"/>
  <c r="AL10" i="5"/>
  <c r="AM10" i="5" s="1"/>
  <c r="AL8" i="5"/>
  <c r="AM8" i="5" s="1"/>
  <c r="AK37" i="5"/>
  <c r="AL37" i="5" s="1"/>
  <c r="AM37" i="5" s="1"/>
  <c r="AK29" i="5"/>
  <c r="AL29" i="5" s="1"/>
  <c r="AM29" i="5" s="1"/>
  <c r="AK21" i="5"/>
  <c r="AL21" i="5" s="1"/>
  <c r="AM21" i="5" s="1"/>
  <c r="AK20" i="5"/>
  <c r="AL20" i="5" s="1"/>
  <c r="AM20" i="5" s="1"/>
  <c r="AK14" i="5"/>
  <c r="AL14" i="5" s="1"/>
  <c r="AM14" i="5" s="1"/>
  <c r="AJ59" i="5"/>
  <c r="AJ58" i="5"/>
  <c r="AJ37" i="5"/>
  <c r="AJ35" i="5"/>
  <c r="AJ29" i="5"/>
  <c r="AJ30" i="5" s="1"/>
  <c r="AJ21" i="5"/>
  <c r="AJ20" i="5"/>
  <c r="AJ14" i="5"/>
  <c r="AC73" i="5"/>
  <c r="AD73" i="5" s="1"/>
  <c r="AH73" i="5"/>
  <c r="AI73" i="5" s="1"/>
  <c r="AG41" i="5"/>
  <c r="AH41" i="5" s="1"/>
  <c r="AI41" i="5" s="1"/>
  <c r="AG37" i="5"/>
  <c r="AH37" i="5" s="1"/>
  <c r="AG36" i="5"/>
  <c r="AH36" i="5" s="1"/>
  <c r="AG35" i="5"/>
  <c r="AH35" i="5" s="1"/>
  <c r="AG34" i="5"/>
  <c r="AH34" i="5" s="1"/>
  <c r="AG33" i="5"/>
  <c r="AH33" i="5" s="1"/>
  <c r="AG28" i="5"/>
  <c r="AH28" i="5" s="1"/>
  <c r="AG27" i="5"/>
  <c r="AH27" i="5" s="1"/>
  <c r="AG26" i="5"/>
  <c r="AH26" i="5" s="1"/>
  <c r="AG25" i="5"/>
  <c r="AH25" i="5" s="1"/>
  <c r="AG19" i="5"/>
  <c r="AH19" i="5" s="1"/>
  <c r="AG18" i="5"/>
  <c r="AH18" i="5" s="1"/>
  <c r="AG17" i="5"/>
  <c r="AH17" i="5" s="1"/>
  <c r="AG13" i="5"/>
  <c r="AH13" i="5" s="1"/>
  <c r="AG12" i="5"/>
  <c r="AH12" i="5" s="1"/>
  <c r="AG11" i="5"/>
  <c r="AH11" i="5" s="1"/>
  <c r="AG10" i="5"/>
  <c r="AH10" i="5" s="1"/>
  <c r="AG9" i="5"/>
  <c r="AG8" i="5"/>
  <c r="AH8" i="5" s="1"/>
  <c r="AF29" i="5"/>
  <c r="AG29" i="5" s="1"/>
  <c r="AH29" i="5" s="1"/>
  <c r="AF21" i="5"/>
  <c r="AG21" i="5" s="1"/>
  <c r="AH21" i="5" s="1"/>
  <c r="AF20" i="5"/>
  <c r="AG20" i="5" s="1"/>
  <c r="AH20" i="5" s="1"/>
  <c r="AF14" i="5"/>
  <c r="AG14" i="5" s="1"/>
  <c r="AH14" i="5" s="1"/>
  <c r="AE59" i="5"/>
  <c r="AE37" i="5"/>
  <c r="AE38" i="5" s="1"/>
  <c r="AE29" i="5"/>
  <c r="AE30" i="5" s="1"/>
  <c r="AE14" i="5"/>
  <c r="AE21" i="5"/>
  <c r="AE20" i="5"/>
  <c r="AB41" i="5"/>
  <c r="AC41" i="5" s="1"/>
  <c r="AB35" i="5"/>
  <c r="AC35" i="5" s="1"/>
  <c r="AB36" i="5"/>
  <c r="AC36" i="5" s="1"/>
  <c r="AB34" i="5"/>
  <c r="AC34" i="5" s="1"/>
  <c r="AB33" i="5"/>
  <c r="AC33" i="5" s="1"/>
  <c r="AB27" i="5"/>
  <c r="AC27" i="5" s="1"/>
  <c r="AB19" i="5"/>
  <c r="AC19" i="5" s="1"/>
  <c r="AB18" i="5"/>
  <c r="AC18" i="5" s="1"/>
  <c r="AB17" i="5"/>
  <c r="AC17" i="5" s="1"/>
  <c r="AB12" i="5"/>
  <c r="AC12" i="5" s="1"/>
  <c r="AB9" i="5"/>
  <c r="AB8" i="5"/>
  <c r="AC8" i="5" s="1"/>
  <c r="AE44" i="5"/>
  <c r="AA37" i="5"/>
  <c r="AB37" i="5" s="1"/>
  <c r="AC37" i="5" s="1"/>
  <c r="AA29" i="5"/>
  <c r="AB29" i="5" s="1"/>
  <c r="AC29" i="5" s="1"/>
  <c r="AB28" i="5"/>
  <c r="AC28" i="5" s="1"/>
  <c r="AB26" i="5"/>
  <c r="AB25" i="5"/>
  <c r="AA21" i="5"/>
  <c r="AB21" i="5" s="1"/>
  <c r="AC21" i="5" s="1"/>
  <c r="AA20" i="5"/>
  <c r="AB20" i="5" s="1"/>
  <c r="AA14" i="5"/>
  <c r="AB14" i="5" s="1"/>
  <c r="AC14" i="5" s="1"/>
  <c r="Y59" i="5"/>
  <c r="Z59" i="5" s="1"/>
  <c r="Z37" i="5"/>
  <c r="Z38" i="5" s="1"/>
  <c r="Z29" i="5"/>
  <c r="Z30" i="5" s="1"/>
  <c r="Z21" i="5"/>
  <c r="Z20" i="5"/>
  <c r="Z14" i="5"/>
  <c r="X59" i="5"/>
  <c r="W41" i="5"/>
  <c r="X41" i="5" s="1"/>
  <c r="W12" i="5"/>
  <c r="X12" i="5" s="1"/>
  <c r="W37" i="5"/>
  <c r="X37" i="5" s="1"/>
  <c r="W36" i="5"/>
  <c r="X36" i="5" s="1"/>
  <c r="W35" i="5"/>
  <c r="X35" i="5" s="1"/>
  <c r="W34" i="5"/>
  <c r="X34" i="5" s="1"/>
  <c r="W33" i="5"/>
  <c r="X33" i="5" s="1"/>
  <c r="W28" i="5"/>
  <c r="X28" i="5" s="1"/>
  <c r="W27" i="5"/>
  <c r="X27" i="5" s="1"/>
  <c r="W26" i="5"/>
  <c r="X26" i="5" s="1"/>
  <c r="W25" i="5"/>
  <c r="X25" i="5" s="1"/>
  <c r="W17" i="5"/>
  <c r="X17" i="5" s="1"/>
  <c r="W19" i="5"/>
  <c r="X19" i="5" s="1"/>
  <c r="W18" i="5"/>
  <c r="X18" i="5" s="1"/>
  <c r="W13" i="5"/>
  <c r="X13" i="5" s="1"/>
  <c r="W11" i="5"/>
  <c r="X11" i="5" s="1"/>
  <c r="W10" i="5"/>
  <c r="X10" i="5" s="1"/>
  <c r="W9" i="5"/>
  <c r="X9" i="5" s="1"/>
  <c r="W8" i="5"/>
  <c r="X8" i="5" s="1"/>
  <c r="V59" i="5"/>
  <c r="V29" i="5"/>
  <c r="W29" i="5" s="1"/>
  <c r="X29" i="5" s="1"/>
  <c r="V14" i="5"/>
  <c r="W14" i="5" s="1"/>
  <c r="X14" i="5" s="1"/>
  <c r="V21" i="5"/>
  <c r="W21" i="5" s="1"/>
  <c r="X21" i="5" s="1"/>
  <c r="V20" i="5"/>
  <c r="W20" i="5" s="1"/>
  <c r="X20" i="5" s="1"/>
  <c r="BB479" i="3" l="1"/>
  <c r="BB484" i="3" s="1"/>
  <c r="AM9" i="5"/>
  <c r="AM39" i="8" s="1"/>
  <c r="AL39" i="8"/>
  <c r="AR9" i="5"/>
  <c r="AR39" i="8" s="1"/>
  <c r="AQ39" i="8"/>
  <c r="AH9" i="5"/>
  <c r="AH39" i="8" s="1"/>
  <c r="AG39" i="8"/>
  <c r="AC9" i="5"/>
  <c r="AC39" i="8" s="1"/>
  <c r="AB39" i="8"/>
  <c r="AW9" i="5"/>
  <c r="AW39" i="8" s="1"/>
  <c r="AV39" i="8"/>
  <c r="BB471" i="3"/>
  <c r="BB34" i="5"/>
  <c r="BC34" i="5" s="1"/>
  <c r="BB11" i="5"/>
  <c r="BC11" i="5" s="1"/>
  <c r="AY22" i="5"/>
  <c r="BB12" i="5"/>
  <c r="BC12" i="5" s="1"/>
  <c r="AR36" i="5"/>
  <c r="AS36" i="5" s="1"/>
  <c r="BB13" i="5"/>
  <c r="BC13" i="5" s="1"/>
  <c r="BB37" i="5"/>
  <c r="BC37" i="5" s="1"/>
  <c r="BA21" i="5"/>
  <c r="BB21" i="5" s="1"/>
  <c r="BB19" i="5"/>
  <c r="BC19" i="5" s="1"/>
  <c r="AT30" i="5"/>
  <c r="AS29" i="5"/>
  <c r="BA14" i="5"/>
  <c r="BB14" i="5" s="1"/>
  <c r="BC14" i="5" s="1"/>
  <c r="BB25" i="5"/>
  <c r="BC25" i="5" s="1"/>
  <c r="BB41" i="5"/>
  <c r="BC41" i="5" s="1"/>
  <c r="BB29" i="5"/>
  <c r="BC29" i="5" s="1"/>
  <c r="BB10" i="5"/>
  <c r="BC10" i="5" s="1"/>
  <c r="AW36" i="5"/>
  <c r="AX36" i="5" s="1"/>
  <c r="BB27" i="5"/>
  <c r="BB38" i="8" s="1"/>
  <c r="BB17" i="5"/>
  <c r="BC17" i="5" s="1"/>
  <c r="BB9" i="5"/>
  <c r="BB47" i="8" s="1"/>
  <c r="BB28" i="5"/>
  <c r="BC28" i="5" s="1"/>
  <c r="BA20" i="5"/>
  <c r="BB20" i="5" s="1"/>
  <c r="BB18" i="5"/>
  <c r="BC18" i="5" s="1"/>
  <c r="BB33" i="5"/>
  <c r="BC33" i="5" s="1"/>
  <c r="BB26" i="5"/>
  <c r="BC26" i="5" s="1"/>
  <c r="AT22" i="5"/>
  <c r="AJ22" i="5"/>
  <c r="AJ38" i="5"/>
  <c r="Z22" i="5"/>
  <c r="Z40" i="5" s="1"/>
  <c r="AO22" i="5"/>
  <c r="AI20" i="5"/>
  <c r="AX20" i="5"/>
  <c r="AS20" i="5"/>
  <c r="AN20" i="5"/>
  <c r="AC20" i="5"/>
  <c r="AD20" i="5" s="1"/>
  <c r="Y20" i="5"/>
  <c r="AE22" i="5"/>
  <c r="F58" i="5"/>
  <c r="J58" i="5"/>
  <c r="T58" i="5"/>
  <c r="U37" i="5"/>
  <c r="U29" i="5"/>
  <c r="U21" i="5"/>
  <c r="U14" i="5"/>
  <c r="U20" i="5"/>
  <c r="BB490" i="3" l="1"/>
  <c r="BB480" i="3"/>
  <c r="AD39" i="8"/>
  <c r="BC21" i="5"/>
  <c r="BC27" i="5"/>
  <c r="BC30" i="5" s="1"/>
  <c r="BC9" i="5"/>
  <c r="BC47" i="8" s="1"/>
  <c r="BC20" i="5"/>
  <c r="BB30" i="5"/>
  <c r="R35" i="5"/>
  <c r="S35" i="5" s="1"/>
  <c r="R34" i="5"/>
  <c r="S34" i="5" s="1"/>
  <c r="R28" i="5"/>
  <c r="R27" i="5"/>
  <c r="S27" i="5" s="1"/>
  <c r="R26" i="5"/>
  <c r="S26" i="5" s="1"/>
  <c r="R19" i="5"/>
  <c r="S19" i="5" s="1"/>
  <c r="R12" i="5"/>
  <c r="S12" i="5" s="1"/>
  <c r="R18" i="5"/>
  <c r="S18" i="5" s="1"/>
  <c r="R17" i="5"/>
  <c r="S17" i="5" s="1"/>
  <c r="R9" i="5"/>
  <c r="S9" i="5" s="1"/>
  <c r="R8" i="5"/>
  <c r="S8" i="5" s="1"/>
  <c r="BA71" i="2"/>
  <c r="BA72" i="2" s="1"/>
  <c r="BA8" i="2"/>
  <c r="AZ71" i="2"/>
  <c r="AZ72" i="2" s="1"/>
  <c r="AZ8" i="2"/>
  <c r="AY71" i="2"/>
  <c r="AY8" i="2"/>
  <c r="AY474" i="3" s="1"/>
  <c r="AY479" i="3" s="1"/>
  <c r="AW71" i="2"/>
  <c r="AW72" i="2" s="1"/>
  <c r="AY72" i="2" l="1"/>
  <c r="AY73" i="2"/>
  <c r="AY484" i="3"/>
  <c r="AY480" i="3"/>
  <c r="AY490" i="3"/>
  <c r="BB485" i="3"/>
  <c r="BB494" i="3"/>
  <c r="BA474" i="3"/>
  <c r="AZ474" i="3"/>
  <c r="AY471" i="3"/>
  <c r="BD475" i="3"/>
  <c r="BC22" i="5"/>
  <c r="T9" i="5"/>
  <c r="AW8" i="2"/>
  <c r="AV71" i="2"/>
  <c r="AV72" i="2" s="1"/>
  <c r="AV8" i="2"/>
  <c r="AU71" i="2"/>
  <c r="AU72" i="2" s="1"/>
  <c r="AU8" i="2"/>
  <c r="AT71" i="2"/>
  <c r="AS26" i="2"/>
  <c r="AT8" i="2"/>
  <c r="AT474" i="3" s="1"/>
  <c r="AT479" i="3" s="1"/>
  <c r="AR71" i="2"/>
  <c r="AR72" i="2" s="1"/>
  <c r="AR8" i="2"/>
  <c r="AR474" i="3" s="1"/>
  <c r="AR479" i="3" s="1"/>
  <c r="AQ71" i="2"/>
  <c r="AQ72" i="2" s="1"/>
  <c r="AQ8" i="2"/>
  <c r="AQ474" i="3" s="1"/>
  <c r="AQ479" i="3" s="1"/>
  <c r="AP71" i="2"/>
  <c r="AP72" i="2" s="1"/>
  <c r="AP8" i="2"/>
  <c r="AP474" i="3" s="1"/>
  <c r="AP479" i="3" s="1"/>
  <c r="AO71" i="2"/>
  <c r="AO8" i="2"/>
  <c r="AO474" i="3" s="1"/>
  <c r="AO479" i="3" s="1"/>
  <c r="AX17" i="2"/>
  <c r="AX16" i="2"/>
  <c r="AX15" i="2"/>
  <c r="AX12" i="2"/>
  <c r="AX11" i="2"/>
  <c r="AX10" i="2"/>
  <c r="AX7" i="2"/>
  <c r="AS22" i="2"/>
  <c r="AS17" i="2"/>
  <c r="AS16" i="2"/>
  <c r="AS15" i="2"/>
  <c r="AS12" i="2"/>
  <c r="AS11" i="2"/>
  <c r="AS10" i="2"/>
  <c r="AS7" i="2"/>
  <c r="AS20" i="3" s="1"/>
  <c r="AN22" i="2"/>
  <c r="AN17" i="2"/>
  <c r="AN16" i="2"/>
  <c r="AN15" i="2"/>
  <c r="AN12" i="2"/>
  <c r="AN11" i="2"/>
  <c r="AN10" i="2"/>
  <c r="AN7" i="2"/>
  <c r="AN20" i="3" s="1"/>
  <c r="AM71" i="2"/>
  <c r="AM72" i="2" s="1"/>
  <c r="AM8" i="2"/>
  <c r="AM474" i="3" s="1"/>
  <c r="AM479" i="3" s="1"/>
  <c r="AL71" i="2"/>
  <c r="AL72" i="2" s="1"/>
  <c r="AL8" i="2"/>
  <c r="AL474" i="3" s="1"/>
  <c r="AL479" i="3" s="1"/>
  <c r="AK71" i="2"/>
  <c r="AK72" i="2" s="1"/>
  <c r="AK8" i="2"/>
  <c r="AK474" i="3" s="1"/>
  <c r="AK479" i="3" s="1"/>
  <c r="AJ71" i="2"/>
  <c r="AI26" i="2"/>
  <c r="AI25" i="2"/>
  <c r="AI22" i="2"/>
  <c r="AI17" i="2"/>
  <c r="AI16" i="2"/>
  <c r="AI15" i="2"/>
  <c r="AI12" i="2"/>
  <c r="AI11" i="2"/>
  <c r="AI10" i="2"/>
  <c r="AI7" i="2"/>
  <c r="AI20" i="3" s="1"/>
  <c r="AJ8" i="2"/>
  <c r="AJ474" i="3" s="1"/>
  <c r="AJ479" i="3" s="1"/>
  <c r="AH71" i="2"/>
  <c r="AH72" i="2" s="1"/>
  <c r="AH8" i="2"/>
  <c r="AH474" i="3" s="1"/>
  <c r="AH479" i="3" s="1"/>
  <c r="AG71" i="2"/>
  <c r="AG72" i="2" s="1"/>
  <c r="AG8" i="2"/>
  <c r="AG474" i="3" s="1"/>
  <c r="AG479" i="3" s="1"/>
  <c r="AF71" i="2"/>
  <c r="AF72" i="2" s="1"/>
  <c r="AF8" i="2"/>
  <c r="AF474" i="3" s="1"/>
  <c r="AF479" i="3" s="1"/>
  <c r="AE71" i="2"/>
  <c r="AD26" i="2"/>
  <c r="AD25" i="2"/>
  <c r="AE8" i="2"/>
  <c r="AD12" i="2"/>
  <c r="AC71" i="2"/>
  <c r="AC72" i="2" s="1"/>
  <c r="E12" i="2"/>
  <c r="Y12" i="2"/>
  <c r="AC8" i="2"/>
  <c r="AB71" i="2"/>
  <c r="AB72" i="2" s="1"/>
  <c r="AB8" i="2"/>
  <c r="AB474" i="3" s="1"/>
  <c r="AB479" i="3" s="1"/>
  <c r="AA71" i="2"/>
  <c r="AA72" i="2" s="1"/>
  <c r="AD11" i="2"/>
  <c r="AD10" i="2"/>
  <c r="AD7" i="2"/>
  <c r="AD20" i="3" s="1"/>
  <c r="AA8" i="2"/>
  <c r="Z71" i="2"/>
  <c r="Z8" i="2"/>
  <c r="Z474" i="3" s="1"/>
  <c r="Z479" i="3" s="1"/>
  <c r="Y22" i="2"/>
  <c r="Y17" i="2"/>
  <c r="Y16" i="2"/>
  <c r="Y15" i="2"/>
  <c r="Y11" i="2"/>
  <c r="Y10" i="2"/>
  <c r="Y7" i="2"/>
  <c r="Y20" i="3" s="1"/>
  <c r="X71" i="2"/>
  <c r="X72" i="2" s="1"/>
  <c r="X8" i="2"/>
  <c r="W71" i="2"/>
  <c r="W72" i="2" s="1"/>
  <c r="W8" i="2"/>
  <c r="V71" i="2"/>
  <c r="V72" i="2" s="1"/>
  <c r="V8" i="2"/>
  <c r="U71" i="2"/>
  <c r="T26" i="2"/>
  <c r="T25" i="2"/>
  <c r="U8" i="2"/>
  <c r="S71" i="2"/>
  <c r="S72" i="2" s="1"/>
  <c r="S8" i="2"/>
  <c r="R71" i="2"/>
  <c r="R72" i="2" s="1"/>
  <c r="R8" i="2"/>
  <c r="Q71" i="2"/>
  <c r="Q72" i="2" s="1"/>
  <c r="Q8" i="2"/>
  <c r="P9" i="2"/>
  <c r="P14" i="2" s="1"/>
  <c r="Z58" i="5"/>
  <c r="AE58" i="5"/>
  <c r="AT58" i="5"/>
  <c r="AY58" i="5"/>
  <c r="P58" i="5"/>
  <c r="BA35" i="4"/>
  <c r="BA29" i="4"/>
  <c r="BA26" i="4"/>
  <c r="BA9" i="4"/>
  <c r="AZ35" i="4"/>
  <c r="AZ30" i="4"/>
  <c r="AZ28" i="8" s="1"/>
  <c r="AZ29" i="4"/>
  <c r="AZ26" i="4"/>
  <c r="AZ9" i="4"/>
  <c r="AX43" i="4"/>
  <c r="AX45" i="4" s="1"/>
  <c r="AX35" i="4"/>
  <c r="AX36" i="4" s="1"/>
  <c r="AX30" i="4"/>
  <c r="AX29" i="4"/>
  <c r="AX26" i="4"/>
  <c r="AX9" i="4"/>
  <c r="AX13" i="4" s="1"/>
  <c r="AX19" i="4"/>
  <c r="AW35" i="4"/>
  <c r="AW29" i="4"/>
  <c r="AW26" i="4"/>
  <c r="AW9" i="4"/>
  <c r="AV35" i="4"/>
  <c r="AV30" i="4"/>
  <c r="AV29" i="4"/>
  <c r="AV26" i="4"/>
  <c r="AV9" i="4"/>
  <c r="AU35" i="4"/>
  <c r="AU29" i="4"/>
  <c r="AU26" i="4"/>
  <c r="AU18" i="4"/>
  <c r="AU9" i="4"/>
  <c r="AS35" i="4"/>
  <c r="AS30" i="4"/>
  <c r="AS29" i="4"/>
  <c r="AS26" i="4"/>
  <c r="AS18" i="4"/>
  <c r="AS12" i="4"/>
  <c r="AS9" i="4"/>
  <c r="AR26" i="4"/>
  <c r="AR35" i="4"/>
  <c r="AR12" i="4"/>
  <c r="AR9" i="4"/>
  <c r="AQ35" i="4"/>
  <c r="AQ29" i="4"/>
  <c r="AQ26" i="4"/>
  <c r="AQ12" i="4"/>
  <c r="AQ9" i="4"/>
  <c r="AP35" i="4"/>
  <c r="AP26" i="4"/>
  <c r="AP12" i="4"/>
  <c r="AP9" i="4"/>
  <c r="AN35" i="4"/>
  <c r="AN26" i="4"/>
  <c r="AN9" i="4"/>
  <c r="AN12" i="4"/>
  <c r="AN10" i="4"/>
  <c r="AM35" i="4"/>
  <c r="AM29" i="4"/>
  <c r="AM26" i="4"/>
  <c r="AM12" i="4"/>
  <c r="AM9" i="4"/>
  <c r="AL35" i="4"/>
  <c r="AL29" i="4"/>
  <c r="AL26" i="4"/>
  <c r="AL12" i="4"/>
  <c r="AL9" i="4"/>
  <c r="AK35" i="4"/>
  <c r="AK29" i="4"/>
  <c r="AK26" i="4"/>
  <c r="AK12" i="4"/>
  <c r="AK9" i="4"/>
  <c r="AI35" i="4"/>
  <c r="AJ35" i="4" s="1"/>
  <c r="AI29" i="4"/>
  <c r="AI26" i="4"/>
  <c r="AI12" i="4"/>
  <c r="AI9" i="4"/>
  <c r="AH35" i="4"/>
  <c r="AH29" i="4"/>
  <c r="AH26" i="4"/>
  <c r="AH12" i="4"/>
  <c r="AH9" i="4"/>
  <c r="AG35" i="4"/>
  <c r="AG36" i="4" s="1"/>
  <c r="AG29" i="4"/>
  <c r="AG26" i="4"/>
  <c r="AG12" i="4"/>
  <c r="AG9" i="4"/>
  <c r="AF35" i="4"/>
  <c r="AF26" i="4"/>
  <c r="AF12" i="4"/>
  <c r="AF9" i="4"/>
  <c r="AD35" i="4"/>
  <c r="AD26" i="4"/>
  <c r="AE28" i="4"/>
  <c r="AE29" i="4"/>
  <c r="AD18" i="4"/>
  <c r="AD12" i="4"/>
  <c r="AD9" i="4"/>
  <c r="AC35" i="4"/>
  <c r="AC29" i="4"/>
  <c r="AC26" i="4"/>
  <c r="AC18" i="4"/>
  <c r="AC12" i="4"/>
  <c r="AC9" i="4"/>
  <c r="AB35" i="4"/>
  <c r="AB29" i="4"/>
  <c r="AB26" i="4"/>
  <c r="AB12" i="4"/>
  <c r="AB9" i="4"/>
  <c r="AJ33" i="4"/>
  <c r="AJ34" i="4"/>
  <c r="AA35" i="4"/>
  <c r="AA30" i="4"/>
  <c r="AA29" i="4"/>
  <c r="AA26" i="4"/>
  <c r="AA12" i="4"/>
  <c r="AA9" i="4"/>
  <c r="Y35" i="4"/>
  <c r="Y29" i="4"/>
  <c r="Y26" i="4"/>
  <c r="Y12" i="4"/>
  <c r="Y18" i="4"/>
  <c r="Y9" i="4"/>
  <c r="X35" i="4"/>
  <c r="X29" i="4"/>
  <c r="X26" i="4"/>
  <c r="X18" i="4"/>
  <c r="X12" i="4"/>
  <c r="X9" i="4"/>
  <c r="W35" i="4"/>
  <c r="W29" i="4"/>
  <c r="W26" i="4"/>
  <c r="W18" i="4"/>
  <c r="W12" i="4"/>
  <c r="W9" i="4"/>
  <c r="V35" i="4"/>
  <c r="V29" i="4"/>
  <c r="V26" i="4"/>
  <c r="V18" i="4"/>
  <c r="AI13" i="2" l="1"/>
  <c r="AE72" i="2"/>
  <c r="AE73" i="2"/>
  <c r="AT72" i="2"/>
  <c r="AT73" i="2"/>
  <c r="AO72" i="2"/>
  <c r="AO73" i="2"/>
  <c r="Z72" i="2"/>
  <c r="Z73" i="2"/>
  <c r="U72" i="2"/>
  <c r="U73" i="2"/>
  <c r="AJ72" i="2"/>
  <c r="AJ73" i="2"/>
  <c r="AD13" i="2"/>
  <c r="AD52" i="2" s="1"/>
  <c r="AI52" i="2"/>
  <c r="AX13" i="2"/>
  <c r="AX52" i="2" s="1"/>
  <c r="AS13" i="2"/>
  <c r="AS52" i="2" s="1"/>
  <c r="Y13" i="2"/>
  <c r="Y52" i="2" s="1"/>
  <c r="AN13" i="2"/>
  <c r="P48" i="2"/>
  <c r="P75" i="2"/>
  <c r="AX20" i="3"/>
  <c r="Y51" i="2"/>
  <c r="AN50" i="2"/>
  <c r="AN51" i="2"/>
  <c r="AX50" i="2"/>
  <c r="AD51" i="2"/>
  <c r="AS51" i="2"/>
  <c r="AD50" i="2"/>
  <c r="Y50" i="2"/>
  <c r="AS50" i="2"/>
  <c r="AI36" i="2"/>
  <c r="AI50" i="2"/>
  <c r="AI51" i="2"/>
  <c r="AX51" i="2"/>
  <c r="AD34" i="2"/>
  <c r="AI34" i="2"/>
  <c r="AN36" i="2"/>
  <c r="AS34" i="2"/>
  <c r="AI37" i="2"/>
  <c r="AN34" i="2"/>
  <c r="AN37" i="2"/>
  <c r="AX34" i="2"/>
  <c r="BC34" i="2"/>
  <c r="BA479" i="3"/>
  <c r="AH490" i="3"/>
  <c r="AH480" i="3"/>
  <c r="AH484" i="3"/>
  <c r="AQ490" i="3"/>
  <c r="AQ482" i="3"/>
  <c r="AQ480" i="3"/>
  <c r="AQ484" i="3"/>
  <c r="AP480" i="3"/>
  <c r="AP490" i="3"/>
  <c r="AP484" i="3"/>
  <c r="AP482" i="3"/>
  <c r="AL482" i="3"/>
  <c r="AL484" i="3"/>
  <c r="AL490" i="3"/>
  <c r="AL480" i="3"/>
  <c r="AT482" i="3"/>
  <c r="AT490" i="3"/>
  <c r="AY491" i="3" s="1"/>
  <c r="AT480" i="3"/>
  <c r="AY481" i="3" s="1"/>
  <c r="AT484" i="3"/>
  <c r="AY488" i="3" s="1"/>
  <c r="BB487" i="3"/>
  <c r="AJ484" i="3"/>
  <c r="AJ480" i="3"/>
  <c r="AJ490" i="3"/>
  <c r="AK484" i="3"/>
  <c r="AK482" i="3"/>
  <c r="AK480" i="3"/>
  <c r="AK490" i="3"/>
  <c r="AM484" i="3"/>
  <c r="AM482" i="3"/>
  <c r="AM480" i="3"/>
  <c r="AM490" i="3"/>
  <c r="AY482" i="3"/>
  <c r="AG482" i="3"/>
  <c r="AG480" i="3"/>
  <c r="AG490" i="3"/>
  <c r="AG484" i="3"/>
  <c r="AB480" i="3"/>
  <c r="AB484" i="3"/>
  <c r="AB490" i="3"/>
  <c r="AF490" i="3"/>
  <c r="AF480" i="3"/>
  <c r="AF484" i="3"/>
  <c r="AO490" i="3"/>
  <c r="AO484" i="3"/>
  <c r="AO482" i="3"/>
  <c r="AO480" i="3"/>
  <c r="BE475" i="3"/>
  <c r="AZ479" i="3"/>
  <c r="AR490" i="3"/>
  <c r="AR482" i="3"/>
  <c r="AR480" i="3"/>
  <c r="AR484" i="3"/>
  <c r="Z480" i="3"/>
  <c r="Z490" i="3"/>
  <c r="Z484" i="3"/>
  <c r="AY485" i="3"/>
  <c r="AY494" i="3"/>
  <c r="AY475" i="3"/>
  <c r="BA471" i="3"/>
  <c r="AZ471" i="3"/>
  <c r="BE472" i="3" s="1"/>
  <c r="AW474" i="3"/>
  <c r="AV474" i="3"/>
  <c r="AV479" i="3" s="1"/>
  <c r="AU474" i="3"/>
  <c r="AU479" i="3" s="1"/>
  <c r="AJ471" i="3"/>
  <c r="AE9" i="2"/>
  <c r="AE474" i="3"/>
  <c r="AE479" i="3" s="1"/>
  <c r="AJ482" i="3" s="1"/>
  <c r="AK475" i="3"/>
  <c r="AK471" i="3"/>
  <c r="AQ471" i="3"/>
  <c r="AQ475" i="3"/>
  <c r="U9" i="2"/>
  <c r="U474" i="3"/>
  <c r="U479" i="3" s="1"/>
  <c r="BD472" i="3"/>
  <c r="AT475" i="3"/>
  <c r="AT471" i="3"/>
  <c r="V9" i="2"/>
  <c r="V474" i="3"/>
  <c r="V479" i="3" s="1"/>
  <c r="AM475" i="3"/>
  <c r="AM471" i="3"/>
  <c r="Q9" i="2"/>
  <c r="Q474" i="3"/>
  <c r="Q479" i="3" s="1"/>
  <c r="AB471" i="3"/>
  <c r="AF471" i="3"/>
  <c r="AR475" i="3"/>
  <c r="AR471" i="3"/>
  <c r="Z471" i="3"/>
  <c r="R9" i="2"/>
  <c r="R474" i="3"/>
  <c r="R479" i="3" s="1"/>
  <c r="AC9" i="2"/>
  <c r="AC474" i="3"/>
  <c r="AC479" i="3" s="1"/>
  <c r="X9" i="2"/>
  <c r="X474" i="3"/>
  <c r="X479" i="3" s="1"/>
  <c r="AA9" i="2"/>
  <c r="AA474" i="3"/>
  <c r="AA479" i="3" s="1"/>
  <c r="AO475" i="3"/>
  <c r="AO471" i="3"/>
  <c r="S9" i="2"/>
  <c r="S474" i="3"/>
  <c r="S479" i="3" s="1"/>
  <c r="AH471" i="3"/>
  <c r="AL471" i="3"/>
  <c r="AL475" i="3"/>
  <c r="W9" i="2"/>
  <c r="W474" i="3"/>
  <c r="W479" i="3" s="1"/>
  <c r="AG475" i="3"/>
  <c r="AG471" i="3"/>
  <c r="AP471" i="3"/>
  <c r="AP475" i="3"/>
  <c r="AX31" i="4"/>
  <c r="AX38" i="4" s="1"/>
  <c r="AX8" i="2"/>
  <c r="AI8" i="2"/>
  <c r="AN8" i="2"/>
  <c r="AS8" i="2"/>
  <c r="AD8" i="2"/>
  <c r="Y8" i="2"/>
  <c r="AB9" i="2"/>
  <c r="Z9" i="2"/>
  <c r="AX21" i="4"/>
  <c r="V12" i="4"/>
  <c r="T35" i="4"/>
  <c r="T29" i="4"/>
  <c r="T26" i="4"/>
  <c r="T18" i="4"/>
  <c r="T12" i="4"/>
  <c r="T9" i="4"/>
  <c r="S29" i="4"/>
  <c r="S26" i="4"/>
  <c r="S18" i="4"/>
  <c r="S12" i="4"/>
  <c r="S9" i="4"/>
  <c r="R29" i="4"/>
  <c r="R26" i="4"/>
  <c r="R18" i="4"/>
  <c r="R12" i="4"/>
  <c r="R9" i="4"/>
  <c r="AW45" i="4"/>
  <c r="AN45" i="4"/>
  <c r="AL45" i="4"/>
  <c r="AK45" i="4"/>
  <c r="AI45" i="4"/>
  <c r="AH45" i="4"/>
  <c r="AG45" i="4"/>
  <c r="AD45" i="4"/>
  <c r="AC45" i="4"/>
  <c r="AB45" i="4"/>
  <c r="AA45" i="4"/>
  <c r="Y45" i="4"/>
  <c r="X45" i="4"/>
  <c r="T45" i="4"/>
  <c r="S45" i="4"/>
  <c r="R45" i="4"/>
  <c r="Q45" i="4"/>
  <c r="Q30" i="4"/>
  <c r="Q29" i="4"/>
  <c r="Q26" i="4"/>
  <c r="Q12" i="4"/>
  <c r="Q18" i="4"/>
  <c r="Q9" i="4"/>
  <c r="AI38" i="2" l="1"/>
  <c r="AN38" i="2"/>
  <c r="AN52" i="2"/>
  <c r="AS38" i="2"/>
  <c r="AX38" i="2"/>
  <c r="AD38" i="2"/>
  <c r="R48" i="2"/>
  <c r="R14" i="2"/>
  <c r="AA48" i="2"/>
  <c r="AA14" i="2"/>
  <c r="Z79" i="2"/>
  <c r="Z14" i="2"/>
  <c r="Q48" i="2"/>
  <c r="Q14" i="2"/>
  <c r="U79" i="2"/>
  <c r="U14" i="2"/>
  <c r="U55" i="2" s="1"/>
  <c r="X48" i="2"/>
  <c r="X14" i="2"/>
  <c r="S48" i="2"/>
  <c r="S14" i="2"/>
  <c r="AB48" i="2"/>
  <c r="AB14" i="2"/>
  <c r="W48" i="2"/>
  <c r="W14" i="2"/>
  <c r="AC48" i="2"/>
  <c r="AC14" i="2"/>
  <c r="AE79" i="2"/>
  <c r="AE14" i="2"/>
  <c r="V48" i="2"/>
  <c r="V14" i="2"/>
  <c r="AE48" i="2"/>
  <c r="AE75" i="2"/>
  <c r="U48" i="2"/>
  <c r="U49" i="2" s="1"/>
  <c r="U75" i="2"/>
  <c r="Z48" i="2"/>
  <c r="Z75" i="2"/>
  <c r="P18" i="2"/>
  <c r="P20" i="2" s="1"/>
  <c r="P53" i="2"/>
  <c r="AC35" i="2"/>
  <c r="AE35" i="2"/>
  <c r="Z35" i="2"/>
  <c r="P31" i="2"/>
  <c r="P56" i="2" s="1"/>
  <c r="AB35" i="2"/>
  <c r="V35" i="2"/>
  <c r="AA35" i="2"/>
  <c r="U35" i="2"/>
  <c r="X35" i="2"/>
  <c r="W35" i="2"/>
  <c r="AR481" i="3"/>
  <c r="AG481" i="3"/>
  <c r="AF482" i="3"/>
  <c r="AM481" i="3"/>
  <c r="W482" i="3"/>
  <c r="W480" i="3"/>
  <c r="AB481" i="3" s="1"/>
  <c r="W490" i="3"/>
  <c r="AB491" i="3" s="1"/>
  <c r="W484" i="3"/>
  <c r="AB488" i="3" s="1"/>
  <c r="AK485" i="3"/>
  <c r="AK488" i="3"/>
  <c r="AK494" i="3"/>
  <c r="AL481" i="3"/>
  <c r="AQ494" i="3"/>
  <c r="AQ485" i="3"/>
  <c r="AQ488" i="3"/>
  <c r="AA484" i="3"/>
  <c r="AA490" i="3"/>
  <c r="AB492" i="3" s="1"/>
  <c r="AA482" i="3"/>
  <c r="AA480" i="3"/>
  <c r="AL491" i="3"/>
  <c r="AL492" i="3"/>
  <c r="AQ481" i="3"/>
  <c r="U480" i="3"/>
  <c r="U481" i="3" s="1"/>
  <c r="U490" i="3"/>
  <c r="U491" i="3" s="1"/>
  <c r="U484" i="3"/>
  <c r="Z488" i="3" s="1"/>
  <c r="U482" i="3"/>
  <c r="AL488" i="3"/>
  <c r="AL494" i="3"/>
  <c r="AL485" i="3"/>
  <c r="AU484" i="3"/>
  <c r="AU480" i="3"/>
  <c r="AU481" i="3" s="1"/>
  <c r="AU490" i="3"/>
  <c r="AU482" i="3"/>
  <c r="AY487" i="3"/>
  <c r="AZ484" i="3"/>
  <c r="AZ485" i="3" s="1"/>
  <c r="AZ482" i="3"/>
  <c r="AZ490" i="3"/>
  <c r="AZ480" i="3"/>
  <c r="AJ485" i="3"/>
  <c r="AJ494" i="3"/>
  <c r="AH485" i="3"/>
  <c r="AH494" i="3"/>
  <c r="AG492" i="3"/>
  <c r="AG491" i="3"/>
  <c r="AQ491" i="3"/>
  <c r="AQ492" i="3"/>
  <c r="AC482" i="3"/>
  <c r="AC480" i="3"/>
  <c r="AC490" i="3"/>
  <c r="AH491" i="3" s="1"/>
  <c r="AC484" i="3"/>
  <c r="AH488" i="3" s="1"/>
  <c r="AB494" i="3"/>
  <c r="AB485" i="3"/>
  <c r="AV480" i="3"/>
  <c r="AV481" i="3" s="1"/>
  <c r="AV490" i="3"/>
  <c r="AV482" i="3"/>
  <c r="AV484" i="3"/>
  <c r="Z485" i="3"/>
  <c r="Z494" i="3"/>
  <c r="AO481" i="3"/>
  <c r="AR492" i="3"/>
  <c r="AR491" i="3"/>
  <c r="S484" i="3"/>
  <c r="S480" i="3"/>
  <c r="S481" i="3" s="1"/>
  <c r="S482" i="3"/>
  <c r="S490" i="3"/>
  <c r="R484" i="3"/>
  <c r="R490" i="3"/>
  <c r="R482" i="3"/>
  <c r="R480" i="3"/>
  <c r="R481" i="3" s="1"/>
  <c r="AB482" i="3"/>
  <c r="AM485" i="3"/>
  <c r="AM488" i="3"/>
  <c r="AM494" i="3"/>
  <c r="AT488" i="3"/>
  <c r="AT494" i="3"/>
  <c r="AY495" i="3" s="1"/>
  <c r="AT485" i="3"/>
  <c r="AP488" i="3"/>
  <c r="AP494" i="3"/>
  <c r="AP485" i="3"/>
  <c r="AH492" i="3"/>
  <c r="Q484" i="3"/>
  <c r="Q482" i="3"/>
  <c r="Q490" i="3"/>
  <c r="Q480" i="3"/>
  <c r="Q481" i="3" s="1"/>
  <c r="V490" i="3"/>
  <c r="V480" i="3"/>
  <c r="V484" i="3"/>
  <c r="V482" i="3"/>
  <c r="AW471" i="3"/>
  <c r="BB472" i="3" s="1"/>
  <c r="AW479" i="3"/>
  <c r="AW484" i="3" s="1"/>
  <c r="AO488" i="3"/>
  <c r="AO494" i="3"/>
  <c r="AO485" i="3"/>
  <c r="AK491" i="3"/>
  <c r="AT481" i="3"/>
  <c r="AP491" i="3"/>
  <c r="AH482" i="3"/>
  <c r="X490" i="3"/>
  <c r="X482" i="3"/>
  <c r="X480" i="3"/>
  <c r="X484" i="3"/>
  <c r="AE484" i="3"/>
  <c r="AE480" i="3"/>
  <c r="AE481" i="3" s="1"/>
  <c r="AE482" i="3"/>
  <c r="AE490" i="3"/>
  <c r="AE491" i="3" s="1"/>
  <c r="Z482" i="3"/>
  <c r="AO491" i="3"/>
  <c r="AG494" i="3"/>
  <c r="AG485" i="3"/>
  <c r="AG488" i="3"/>
  <c r="AK481" i="3"/>
  <c r="AT491" i="3"/>
  <c r="AP481" i="3"/>
  <c r="BA480" i="3"/>
  <c r="BA490" i="3"/>
  <c r="BA482" i="3"/>
  <c r="BA484" i="3"/>
  <c r="AM491" i="3"/>
  <c r="AM492" i="3"/>
  <c r="AR494" i="3"/>
  <c r="AR488" i="3"/>
  <c r="AR485" i="3"/>
  <c r="AF494" i="3"/>
  <c r="AF485" i="3"/>
  <c r="AH475" i="3"/>
  <c r="Z475" i="3"/>
  <c r="AF475" i="3"/>
  <c r="BA475" i="3"/>
  <c r="AB475" i="3"/>
  <c r="BB62" i="4"/>
  <c r="AZ475" i="3"/>
  <c r="AV475" i="3"/>
  <c r="AV471" i="3"/>
  <c r="BA472" i="3" s="1"/>
  <c r="BB475" i="3"/>
  <c r="AW475" i="3"/>
  <c r="AU475" i="3"/>
  <c r="AU471" i="3"/>
  <c r="AU472" i="3" s="1"/>
  <c r="AO472" i="3"/>
  <c r="AD9" i="2"/>
  <c r="AD474" i="3"/>
  <c r="AD479" i="3" s="1"/>
  <c r="AM472" i="3"/>
  <c r="AA471" i="3"/>
  <c r="AA475" i="3"/>
  <c r="AR472" i="3"/>
  <c r="V471" i="3"/>
  <c r="V475" i="3"/>
  <c r="X471" i="3"/>
  <c r="X475" i="3"/>
  <c r="AT472" i="3"/>
  <c r="AP472" i="3"/>
  <c r="AC471" i="3"/>
  <c r="AC475" i="3"/>
  <c r="AQ472" i="3"/>
  <c r="AS9" i="2"/>
  <c r="AS474" i="3"/>
  <c r="AS479" i="3" s="1"/>
  <c r="AN9" i="2"/>
  <c r="AN474" i="3"/>
  <c r="AN479" i="3" s="1"/>
  <c r="AG472" i="3"/>
  <c r="R471" i="3"/>
  <c r="R475" i="3"/>
  <c r="AI9" i="2"/>
  <c r="AI474" i="3"/>
  <c r="AI479" i="3" s="1"/>
  <c r="Q475" i="3"/>
  <c r="Q471" i="3"/>
  <c r="AK472" i="3"/>
  <c r="AL472" i="3"/>
  <c r="AX9" i="2"/>
  <c r="AX474" i="3"/>
  <c r="AX479" i="3" s="1"/>
  <c r="AY472" i="3"/>
  <c r="AE475" i="3"/>
  <c r="AE471" i="3"/>
  <c r="AE472" i="3" s="1"/>
  <c r="S471" i="3"/>
  <c r="S475" i="3"/>
  <c r="Y9" i="2"/>
  <c r="Y474" i="3"/>
  <c r="Y479" i="3" s="1"/>
  <c r="W475" i="3"/>
  <c r="W471" i="3"/>
  <c r="BJ471" i="3"/>
  <c r="U475" i="3"/>
  <c r="U471" i="3"/>
  <c r="U472" i="3" s="1"/>
  <c r="AJ475" i="3"/>
  <c r="O45" i="4"/>
  <c r="O29" i="4"/>
  <c r="O26" i="4"/>
  <c r="O18" i="4"/>
  <c r="O12" i="4"/>
  <c r="O9" i="4"/>
  <c r="N45" i="4"/>
  <c r="N29" i="4"/>
  <c r="N26" i="4"/>
  <c r="P71" i="2"/>
  <c r="E70" i="2"/>
  <c r="E69" i="2"/>
  <c r="E68" i="2"/>
  <c r="C71" i="2"/>
  <c r="C72" i="2" s="1"/>
  <c r="N18" i="4"/>
  <c r="N12" i="4"/>
  <c r="N9" i="4"/>
  <c r="Q37" i="5"/>
  <c r="R37" i="5" s="1"/>
  <c r="S37" i="5" s="1"/>
  <c r="Q29" i="5"/>
  <c r="R29" i="5" s="1"/>
  <c r="S29" i="5" s="1"/>
  <c r="Q21" i="5"/>
  <c r="R21" i="5" s="1"/>
  <c r="S21" i="5" s="1"/>
  <c r="Q20" i="5"/>
  <c r="Q14" i="5"/>
  <c r="R14" i="5" s="1"/>
  <c r="S14" i="5" s="1"/>
  <c r="F37" i="5"/>
  <c r="F35" i="5"/>
  <c r="P37" i="5"/>
  <c r="P33" i="5"/>
  <c r="K37" i="5"/>
  <c r="K38" i="5" s="1"/>
  <c r="M35" i="5"/>
  <c r="N35" i="5" s="1"/>
  <c r="M34" i="5"/>
  <c r="N34" i="5" s="1"/>
  <c r="M33" i="5"/>
  <c r="N33" i="5" s="1"/>
  <c r="M36" i="5"/>
  <c r="L37" i="5"/>
  <c r="M37" i="5" s="1"/>
  <c r="N37" i="5" s="1"/>
  <c r="G37" i="5"/>
  <c r="H37" i="5" s="1"/>
  <c r="I37" i="5" s="1"/>
  <c r="H34" i="5"/>
  <c r="I34" i="5" s="1"/>
  <c r="H35" i="5"/>
  <c r="I35" i="5" s="1"/>
  <c r="C37" i="5"/>
  <c r="D37" i="5" s="1"/>
  <c r="D35" i="5"/>
  <c r="D34" i="5"/>
  <c r="E34" i="5" s="1"/>
  <c r="D33" i="5"/>
  <c r="E33" i="5" s="1"/>
  <c r="P29" i="5"/>
  <c r="P30" i="5" s="1"/>
  <c r="M27" i="5"/>
  <c r="N27" i="5" s="1"/>
  <c r="M28" i="5"/>
  <c r="N28" i="5" s="1"/>
  <c r="L29" i="5"/>
  <c r="M29" i="5" s="1"/>
  <c r="N29" i="5" s="1"/>
  <c r="F30" i="5"/>
  <c r="K29" i="5"/>
  <c r="K28" i="5"/>
  <c r="D29" i="5"/>
  <c r="E29" i="5" s="1"/>
  <c r="D28" i="5"/>
  <c r="E28" i="5" s="1"/>
  <c r="D27" i="5"/>
  <c r="E27" i="5" s="1"/>
  <c r="D26" i="5"/>
  <c r="E26" i="5" s="1"/>
  <c r="D25" i="5"/>
  <c r="E25" i="5" s="1"/>
  <c r="H29" i="5"/>
  <c r="I29" i="5" s="1"/>
  <c r="H27" i="5"/>
  <c r="I27" i="5" s="1"/>
  <c r="P21" i="5"/>
  <c r="P20" i="5"/>
  <c r="P14" i="5"/>
  <c r="M19" i="5"/>
  <c r="N19" i="5" s="1"/>
  <c r="M18" i="5"/>
  <c r="N18" i="5" s="1"/>
  <c r="M12" i="5"/>
  <c r="N12" i="5" s="1"/>
  <c r="M9" i="5"/>
  <c r="N9" i="5" s="1"/>
  <c r="M8" i="5"/>
  <c r="N8" i="5" s="1"/>
  <c r="L21" i="5"/>
  <c r="M21" i="5" s="1"/>
  <c r="N21" i="5" s="1"/>
  <c r="L17" i="5"/>
  <c r="M17" i="5" s="1"/>
  <c r="N17" i="5" s="1"/>
  <c r="L14" i="5"/>
  <c r="M14" i="5" s="1"/>
  <c r="N14" i="5" s="1"/>
  <c r="L20" i="5"/>
  <c r="M20" i="5" s="1"/>
  <c r="N20" i="5" s="1"/>
  <c r="M10" i="5"/>
  <c r="N10" i="5" s="1"/>
  <c r="H12" i="5"/>
  <c r="I12" i="5" s="1"/>
  <c r="H19" i="5"/>
  <c r="I19" i="5" s="1"/>
  <c r="J19" i="5" s="1"/>
  <c r="H18" i="5"/>
  <c r="H17" i="5"/>
  <c r="H13" i="5"/>
  <c r="H11" i="5"/>
  <c r="I11" i="5" s="1"/>
  <c r="H10" i="5"/>
  <c r="I10" i="5" s="1"/>
  <c r="H9" i="5"/>
  <c r="I9" i="5" s="1"/>
  <c r="H8" i="5"/>
  <c r="G14" i="5"/>
  <c r="H14" i="5" s="1"/>
  <c r="I14" i="5" s="1"/>
  <c r="G21" i="5"/>
  <c r="G20" i="5"/>
  <c r="H20" i="5" s="1"/>
  <c r="I20" i="5" s="1"/>
  <c r="K21" i="5"/>
  <c r="K20" i="5"/>
  <c r="K14" i="5"/>
  <c r="D9" i="5"/>
  <c r="E9" i="5" s="1"/>
  <c r="D8" i="5"/>
  <c r="E8" i="5" s="1"/>
  <c r="D19" i="5"/>
  <c r="E19" i="5" s="1"/>
  <c r="D18" i="5"/>
  <c r="E18" i="5" s="1"/>
  <c r="D17" i="5"/>
  <c r="E17" i="5" s="1"/>
  <c r="D13" i="5"/>
  <c r="E13" i="5" s="1"/>
  <c r="D12" i="5"/>
  <c r="D11" i="5"/>
  <c r="E11" i="5" s="1"/>
  <c r="D10" i="5"/>
  <c r="E10" i="5" s="1"/>
  <c r="C21" i="5"/>
  <c r="D21" i="5" s="1"/>
  <c r="C20" i="5"/>
  <c r="D20" i="5" s="1"/>
  <c r="AC49" i="2" l="1"/>
  <c r="P72" i="2"/>
  <c r="P73" i="2"/>
  <c r="W49" i="2"/>
  <c r="AB49" i="2"/>
  <c r="Z49" i="2"/>
  <c r="V49" i="2"/>
  <c r="X49" i="2"/>
  <c r="Y48" i="2"/>
  <c r="Y14" i="2"/>
  <c r="AA49" i="2"/>
  <c r="AD48" i="2"/>
  <c r="AD14" i="2"/>
  <c r="AI48" i="2"/>
  <c r="AI14" i="2"/>
  <c r="AN48" i="2"/>
  <c r="AN14" i="2"/>
  <c r="AX48" i="2"/>
  <c r="AX14" i="2"/>
  <c r="AS48" i="2"/>
  <c r="AS14" i="2"/>
  <c r="AE55" i="2"/>
  <c r="AE49" i="2"/>
  <c r="W55" i="2"/>
  <c r="AB55" i="2"/>
  <c r="AC53" i="2"/>
  <c r="AC55" i="2"/>
  <c r="S53" i="2"/>
  <c r="AA55" i="2"/>
  <c r="Q31" i="2"/>
  <c r="Q56" i="2" s="1"/>
  <c r="Z55" i="2"/>
  <c r="V53" i="2"/>
  <c r="V55" i="2"/>
  <c r="X53" i="2"/>
  <c r="X55" i="2"/>
  <c r="AF491" i="3"/>
  <c r="Z31" i="2"/>
  <c r="Z56" i="2" s="1"/>
  <c r="Z53" i="2"/>
  <c r="E50" i="2"/>
  <c r="E51" i="2"/>
  <c r="U39" i="2"/>
  <c r="U53" i="2"/>
  <c r="U54" i="2" s="1"/>
  <c r="X18" i="2"/>
  <c r="X20" i="2" s="1"/>
  <c r="X31" i="2"/>
  <c r="X56" i="2" s="1"/>
  <c r="AA39" i="2"/>
  <c r="AA53" i="2"/>
  <c r="AE39" i="2"/>
  <c r="AE53" i="2"/>
  <c r="P59" i="2"/>
  <c r="P58" i="2"/>
  <c r="AB31" i="2"/>
  <c r="AB56" i="2" s="1"/>
  <c r="AB53" i="2"/>
  <c r="Q18" i="2"/>
  <c r="Q20" i="2" s="1"/>
  <c r="Q53" i="2"/>
  <c r="W39" i="2"/>
  <c r="W53" i="2"/>
  <c r="R18" i="2"/>
  <c r="R20" i="2" s="1"/>
  <c r="R53" i="2"/>
  <c r="AC39" i="2"/>
  <c r="V39" i="2"/>
  <c r="V18" i="2"/>
  <c r="V20" i="2" s="1"/>
  <c r="AF488" i="3"/>
  <c r="Z18" i="2"/>
  <c r="Z20" i="2" s="1"/>
  <c r="V31" i="2"/>
  <c r="U31" i="2"/>
  <c r="AX35" i="2"/>
  <c r="AN35" i="2"/>
  <c r="W18" i="2"/>
  <c r="W20" i="2" s="1"/>
  <c r="AB39" i="2"/>
  <c r="AI35" i="2"/>
  <c r="AB18" i="2"/>
  <c r="AB20" i="2" s="1"/>
  <c r="W31" i="2"/>
  <c r="W56" i="2" s="1"/>
  <c r="AS35" i="2"/>
  <c r="AD35" i="2"/>
  <c r="S18" i="2"/>
  <c r="S20" i="2" s="1"/>
  <c r="X39" i="2"/>
  <c r="S31" i="2"/>
  <c r="S56" i="2" s="1"/>
  <c r="U18" i="2"/>
  <c r="U20" i="2" s="1"/>
  <c r="Z39" i="2"/>
  <c r="R31" i="2"/>
  <c r="R56" i="2" s="1"/>
  <c r="AC31" i="2"/>
  <c r="AC18" i="2"/>
  <c r="AC20" i="2" s="1"/>
  <c r="Z481" i="3"/>
  <c r="Z491" i="3"/>
  <c r="AA31" i="2"/>
  <c r="AA56" i="2" s="1"/>
  <c r="AA18" i="2"/>
  <c r="AA20" i="2" s="1"/>
  <c r="AE31" i="2"/>
  <c r="AE18" i="2"/>
  <c r="AE20" i="2" s="1"/>
  <c r="AW472" i="3"/>
  <c r="AC481" i="3"/>
  <c r="V481" i="3"/>
  <c r="AJ491" i="3"/>
  <c r="AO495" i="3"/>
  <c r="AJ481" i="3"/>
  <c r="AX484" i="3"/>
  <c r="AX480" i="3"/>
  <c r="AX490" i="3"/>
  <c r="AZ492" i="3" s="1"/>
  <c r="AX482" i="3"/>
  <c r="AM486" i="3"/>
  <c r="AM487" i="3"/>
  <c r="S488" i="3"/>
  <c r="S494" i="3"/>
  <c r="S485" i="3"/>
  <c r="AV491" i="3"/>
  <c r="AV492" i="3"/>
  <c r="AU485" i="3"/>
  <c r="AU488" i="3"/>
  <c r="AU494" i="3"/>
  <c r="AK495" i="3"/>
  <c r="AD490" i="3"/>
  <c r="AD482" i="3"/>
  <c r="AD484" i="3"/>
  <c r="AD480" i="3"/>
  <c r="AG487" i="3"/>
  <c r="AG486" i="3"/>
  <c r="AW480" i="3"/>
  <c r="AW490" i="3"/>
  <c r="AW482" i="3"/>
  <c r="BB482" i="3"/>
  <c r="AU491" i="3"/>
  <c r="AG496" i="3"/>
  <c r="AG495" i="3"/>
  <c r="AF487" i="3"/>
  <c r="BA492" i="3"/>
  <c r="BA491" i="3"/>
  <c r="BB492" i="3"/>
  <c r="V491" i="3"/>
  <c r="AP486" i="3"/>
  <c r="AP487" i="3"/>
  <c r="AZ491" i="3"/>
  <c r="AL487" i="3"/>
  <c r="AL486" i="3"/>
  <c r="AQ496" i="3"/>
  <c r="AQ495" i="3"/>
  <c r="AZ481" i="3"/>
  <c r="AA481" i="3"/>
  <c r="Y490" i="3"/>
  <c r="Y480" i="3"/>
  <c r="Y484" i="3"/>
  <c r="AN490" i="3"/>
  <c r="AN480" i="3"/>
  <c r="AN484" i="3"/>
  <c r="AN482" i="3"/>
  <c r="AR487" i="3"/>
  <c r="AR486" i="3"/>
  <c r="BA481" i="3"/>
  <c r="AP495" i="3"/>
  <c r="AH481" i="3"/>
  <c r="AB487" i="3"/>
  <c r="AH496" i="3"/>
  <c r="AL495" i="3"/>
  <c r="AL496" i="3"/>
  <c r="W494" i="3"/>
  <c r="W485" i="3"/>
  <c r="W488" i="3"/>
  <c r="AJ487" i="3"/>
  <c r="AE488" i="3"/>
  <c r="AE494" i="3"/>
  <c r="AE495" i="3" s="1"/>
  <c r="AE485" i="3"/>
  <c r="AZ488" i="3"/>
  <c r="AZ494" i="3"/>
  <c r="AA491" i="3"/>
  <c r="W492" i="3"/>
  <c r="W491" i="3"/>
  <c r="AR496" i="3"/>
  <c r="AR495" i="3"/>
  <c r="AO486" i="3"/>
  <c r="AO487" i="3"/>
  <c r="AT487" i="3"/>
  <c r="AT486" i="3"/>
  <c r="R491" i="3"/>
  <c r="R492" i="3"/>
  <c r="AY486" i="3"/>
  <c r="AA488" i="3"/>
  <c r="AA494" i="3"/>
  <c r="AB496" i="3" s="1"/>
  <c r="AA485" i="3"/>
  <c r="X492" i="3"/>
  <c r="X491" i="3"/>
  <c r="AI490" i="3"/>
  <c r="AI482" i="3"/>
  <c r="AI480" i="3"/>
  <c r="AI484" i="3"/>
  <c r="X485" i="3"/>
  <c r="X494" i="3"/>
  <c r="X488" i="3"/>
  <c r="Q491" i="3"/>
  <c r="AT495" i="3"/>
  <c r="R485" i="3"/>
  <c r="R488" i="3"/>
  <c r="R494" i="3"/>
  <c r="AC488" i="3"/>
  <c r="AC494" i="3"/>
  <c r="AC485" i="3"/>
  <c r="AH486" i="3" s="1"/>
  <c r="AH487" i="3"/>
  <c r="U485" i="3"/>
  <c r="Z486" i="3" s="1"/>
  <c r="U488" i="3"/>
  <c r="U494" i="3"/>
  <c r="U495" i="3" s="1"/>
  <c r="W481" i="3"/>
  <c r="BA488" i="3"/>
  <c r="BA485" i="3"/>
  <c r="BA494" i="3"/>
  <c r="V488" i="3"/>
  <c r="V494" i="3"/>
  <c r="V485" i="3"/>
  <c r="X481" i="3"/>
  <c r="S492" i="3"/>
  <c r="S491" i="3"/>
  <c r="AS490" i="3"/>
  <c r="AU492" i="3" s="1"/>
  <c r="AS484" i="3"/>
  <c r="AS482" i="3"/>
  <c r="AS480" i="3"/>
  <c r="AV488" i="3"/>
  <c r="AV485" i="3"/>
  <c r="AV494" i="3"/>
  <c r="AK486" i="3"/>
  <c r="AK487" i="3"/>
  <c r="Q485" i="3"/>
  <c r="Q494" i="3"/>
  <c r="Q488" i="3"/>
  <c r="AM496" i="3"/>
  <c r="AM495" i="3"/>
  <c r="Z487" i="3"/>
  <c r="AC491" i="3"/>
  <c r="AC492" i="3"/>
  <c r="AJ488" i="3"/>
  <c r="AQ487" i="3"/>
  <c r="AQ486" i="3"/>
  <c r="AF481" i="3"/>
  <c r="AV472" i="3"/>
  <c r="AZ472" i="3"/>
  <c r="AA472" i="3"/>
  <c r="R472" i="3"/>
  <c r="W472" i="3"/>
  <c r="Q472" i="3"/>
  <c r="AC472" i="3"/>
  <c r="V472" i="3"/>
  <c r="AH472" i="3"/>
  <c r="BO471" i="3"/>
  <c r="AS471" i="3"/>
  <c r="AS475" i="3"/>
  <c r="AJ472" i="3"/>
  <c r="AI475" i="3"/>
  <c r="AI471" i="3"/>
  <c r="AF472" i="3"/>
  <c r="Y471" i="3"/>
  <c r="Z472" i="3"/>
  <c r="AX475" i="3"/>
  <c r="AX471" i="3"/>
  <c r="AN471" i="3"/>
  <c r="AN475" i="3"/>
  <c r="AB472" i="3"/>
  <c r="AD471" i="3"/>
  <c r="AD475" i="3"/>
  <c r="S472" i="3"/>
  <c r="X472" i="3"/>
  <c r="K30" i="5"/>
  <c r="F38" i="5"/>
  <c r="E35" i="5"/>
  <c r="G22" i="5"/>
  <c r="P38" i="5"/>
  <c r="R20" i="5"/>
  <c r="S20" i="5" s="1"/>
  <c r="P22" i="5"/>
  <c r="P68" i="5" s="1"/>
  <c r="I13" i="5"/>
  <c r="J13" i="5" s="1"/>
  <c r="J14" i="5"/>
  <c r="H21" i="5"/>
  <c r="I21" i="5" s="1"/>
  <c r="E71" i="2"/>
  <c r="E72" i="2" s="1"/>
  <c r="J20" i="5"/>
  <c r="K22" i="5"/>
  <c r="I17" i="5"/>
  <c r="J17" i="5" s="1"/>
  <c r="J11" i="5"/>
  <c r="I8" i="5"/>
  <c r="J8" i="5" s="1"/>
  <c r="I18" i="5"/>
  <c r="J18" i="5" s="1"/>
  <c r="J12" i="5"/>
  <c r="J9" i="5"/>
  <c r="J10" i="5"/>
  <c r="E9" i="2"/>
  <c r="E14" i="2" s="1"/>
  <c r="E37" i="5"/>
  <c r="E30" i="5"/>
  <c r="O20" i="5"/>
  <c r="C14" i="5"/>
  <c r="D14" i="5" s="1"/>
  <c r="F21" i="5"/>
  <c r="E21" i="5" s="1"/>
  <c r="F14" i="5"/>
  <c r="F20" i="5"/>
  <c r="E20" i="5" s="1"/>
  <c r="F12" i="5"/>
  <c r="E12" i="5" s="1"/>
  <c r="AD62" i="4"/>
  <c r="AE62" i="4" s="1"/>
  <c r="AC62" i="4"/>
  <c r="AB62" i="4"/>
  <c r="AA62" i="4"/>
  <c r="AD61" i="4"/>
  <c r="AE61" i="4" s="1"/>
  <c r="AC61" i="4"/>
  <c r="AB61" i="4"/>
  <c r="AA61" i="4"/>
  <c r="Y62" i="4"/>
  <c r="Z62" i="4" s="1"/>
  <c r="Y61" i="4"/>
  <c r="Z61" i="4" s="1"/>
  <c r="AD49" i="2" l="1"/>
  <c r="AI49" i="2"/>
  <c r="AN49" i="2"/>
  <c r="AX49" i="2"/>
  <c r="AS49" i="2"/>
  <c r="X54" i="2"/>
  <c r="AI53" i="2"/>
  <c r="AI55" i="2"/>
  <c r="AC54" i="2"/>
  <c r="AN53" i="2"/>
  <c r="AN55" i="2"/>
  <c r="AA54" i="2"/>
  <c r="AD55" i="2"/>
  <c r="AX55" i="2"/>
  <c r="AS53" i="2"/>
  <c r="AS55" i="2"/>
  <c r="AE54" i="2"/>
  <c r="W54" i="2"/>
  <c r="V41" i="2"/>
  <c r="E48" i="2"/>
  <c r="AE40" i="2"/>
  <c r="AE56" i="2"/>
  <c r="AE57" i="2" s="1"/>
  <c r="X41" i="2"/>
  <c r="S59" i="2"/>
  <c r="S58" i="2"/>
  <c r="AA59" i="2"/>
  <c r="AA58" i="2"/>
  <c r="Y53" i="2"/>
  <c r="R58" i="2"/>
  <c r="R59" i="2"/>
  <c r="AD53" i="2"/>
  <c r="AE59" i="2"/>
  <c r="AE58" i="2"/>
  <c r="AX18" i="2"/>
  <c r="AX58" i="2" s="1"/>
  <c r="AX53" i="2"/>
  <c r="W41" i="2"/>
  <c r="W59" i="2"/>
  <c r="W58" i="2"/>
  <c r="AC59" i="2"/>
  <c r="AC58" i="2"/>
  <c r="W57" i="2"/>
  <c r="U40" i="2"/>
  <c r="U56" i="2"/>
  <c r="U57" i="2" s="1"/>
  <c r="Q59" i="2"/>
  <c r="Q58" i="2"/>
  <c r="AC40" i="2"/>
  <c r="AC56" i="2"/>
  <c r="AC57" i="2" s="1"/>
  <c r="AB59" i="2"/>
  <c r="AB58" i="2"/>
  <c r="V40" i="2"/>
  <c r="V56" i="2"/>
  <c r="V57" i="2" s="1"/>
  <c r="V54" i="2"/>
  <c r="Z59" i="2"/>
  <c r="Z58" i="2"/>
  <c r="AB54" i="2"/>
  <c r="Z54" i="2"/>
  <c r="X59" i="2"/>
  <c r="X58" i="2"/>
  <c r="AB57" i="2"/>
  <c r="U41" i="2"/>
  <c r="U59" i="2"/>
  <c r="U58" i="2"/>
  <c r="V59" i="2"/>
  <c r="V58" i="2"/>
  <c r="X57" i="2"/>
  <c r="AA40" i="2"/>
  <c r="Z40" i="2"/>
  <c r="AN39" i="2"/>
  <c r="AD18" i="2"/>
  <c r="AD20" i="2" s="1"/>
  <c r="Y18" i="2"/>
  <c r="Y58" i="2" s="1"/>
  <c r="AD39" i="2"/>
  <c r="AB41" i="2"/>
  <c r="AB21" i="2"/>
  <c r="AB60" i="2" s="1"/>
  <c r="AS39" i="2"/>
  <c r="W40" i="2"/>
  <c r="Z41" i="2"/>
  <c r="AN18" i="2"/>
  <c r="AN58" i="2" s="1"/>
  <c r="AS18" i="2"/>
  <c r="AI39" i="2"/>
  <c r="X40" i="2"/>
  <c r="AX39" i="2"/>
  <c r="AE21" i="2"/>
  <c r="AE60" i="2" s="1"/>
  <c r="AE41" i="2"/>
  <c r="AA21" i="2"/>
  <c r="AA41" i="2"/>
  <c r="AI18" i="2"/>
  <c r="AI58" i="2" s="1"/>
  <c r="AC21" i="2"/>
  <c r="AC41" i="2"/>
  <c r="AB40" i="2"/>
  <c r="AI481" i="3"/>
  <c r="AJ495" i="3"/>
  <c r="AS481" i="3"/>
  <c r="AD481" i="3"/>
  <c r="U487" i="3"/>
  <c r="U486" i="3"/>
  <c r="AI492" i="3"/>
  <c r="AI491" i="3"/>
  <c r="AK492" i="3"/>
  <c r="W487" i="3"/>
  <c r="W486" i="3"/>
  <c r="AD488" i="3"/>
  <c r="AD494" i="3"/>
  <c r="AD485" i="3"/>
  <c r="S486" i="3"/>
  <c r="S487" i="3"/>
  <c r="Y492" i="3"/>
  <c r="AD492" i="3"/>
  <c r="AD491" i="3"/>
  <c r="AF492" i="3"/>
  <c r="AW491" i="3"/>
  <c r="AW492" i="3"/>
  <c r="BB491" i="3"/>
  <c r="Q495" i="3"/>
  <c r="AS485" i="3"/>
  <c r="AS488" i="3"/>
  <c r="AS494" i="3"/>
  <c r="AU496" i="3" s="1"/>
  <c r="BA495" i="3"/>
  <c r="BA496" i="3"/>
  <c r="BB496" i="3"/>
  <c r="AC486" i="3"/>
  <c r="AC487" i="3"/>
  <c r="X495" i="3"/>
  <c r="X496" i="3"/>
  <c r="AA486" i="3"/>
  <c r="AA487" i="3"/>
  <c r="AW481" i="3"/>
  <c r="BB481" i="3"/>
  <c r="W496" i="3"/>
  <c r="W495" i="3"/>
  <c r="Q487" i="3"/>
  <c r="Q486" i="3"/>
  <c r="AS492" i="3"/>
  <c r="AS491" i="3"/>
  <c r="BA486" i="3"/>
  <c r="BA487" i="3"/>
  <c r="AC496" i="3"/>
  <c r="AC495" i="3"/>
  <c r="AA495" i="3"/>
  <c r="AF495" i="3"/>
  <c r="AU495" i="3"/>
  <c r="R487" i="3"/>
  <c r="R486" i="3"/>
  <c r="V487" i="3"/>
  <c r="V486" i="3"/>
  <c r="AB495" i="3"/>
  <c r="X487" i="3"/>
  <c r="X486" i="3"/>
  <c r="AA492" i="3"/>
  <c r="AH495" i="3"/>
  <c r="AN488" i="3"/>
  <c r="AN494" i="3"/>
  <c r="AN485" i="3"/>
  <c r="AW494" i="3"/>
  <c r="AW485" i="3"/>
  <c r="AW488" i="3"/>
  <c r="BB488" i="3"/>
  <c r="S496" i="3"/>
  <c r="S495" i="3"/>
  <c r="Z495" i="3"/>
  <c r="AN481" i="3"/>
  <c r="AF486" i="3"/>
  <c r="AX491" i="3"/>
  <c r="AX492" i="3"/>
  <c r="AZ486" i="3"/>
  <c r="AZ487" i="3"/>
  <c r="V495" i="3"/>
  <c r="AE486" i="3"/>
  <c r="AE487" i="3"/>
  <c r="R495" i="3"/>
  <c r="R496" i="3"/>
  <c r="AZ495" i="3"/>
  <c r="AJ486" i="3"/>
  <c r="AB486" i="3"/>
  <c r="AN491" i="3"/>
  <c r="AN492" i="3"/>
  <c r="AP492" i="3"/>
  <c r="AU487" i="3"/>
  <c r="AU486" i="3"/>
  <c r="AX481" i="3"/>
  <c r="AV487" i="3"/>
  <c r="AV486" i="3"/>
  <c r="AV495" i="3"/>
  <c r="AV496" i="3"/>
  <c r="AI485" i="3"/>
  <c r="AI488" i="3"/>
  <c r="AI494" i="3"/>
  <c r="Y485" i="3"/>
  <c r="Y494" i="3"/>
  <c r="AX488" i="3"/>
  <c r="AX494" i="3"/>
  <c r="AZ496" i="3" s="1"/>
  <c r="AX485" i="3"/>
  <c r="AD472" i="3"/>
  <c r="AX472" i="3"/>
  <c r="AS472" i="3"/>
  <c r="BT471" i="3"/>
  <c r="AI472" i="3"/>
  <c r="AN472" i="3"/>
  <c r="E14" i="5"/>
  <c r="J21" i="5"/>
  <c r="T20" i="5"/>
  <c r="F22" i="5"/>
  <c r="E62" i="4"/>
  <c r="E61" i="4"/>
  <c r="AS54" i="2" l="1"/>
  <c r="AN54" i="2"/>
  <c r="AI54" i="2"/>
  <c r="AX54" i="2"/>
  <c r="E53" i="2"/>
  <c r="E31" i="2"/>
  <c r="E56" i="2" s="1"/>
  <c r="E18" i="2"/>
  <c r="E20" i="2" s="1"/>
  <c r="AD41" i="2"/>
  <c r="AD21" i="2"/>
  <c r="AD60" i="2" s="1"/>
  <c r="AA29" i="2"/>
  <c r="AA60" i="2"/>
  <c r="AS41" i="2"/>
  <c r="AS58" i="2"/>
  <c r="AD54" i="2"/>
  <c r="AA57" i="2"/>
  <c r="AC29" i="2"/>
  <c r="AC60" i="2"/>
  <c r="Z57" i="2"/>
  <c r="AD59" i="2"/>
  <c r="AD58" i="2"/>
  <c r="AC28" i="2"/>
  <c r="AI41" i="2"/>
  <c r="AX41" i="2"/>
  <c r="AA28" i="2"/>
  <c r="AA23" i="2"/>
  <c r="AA61" i="2" s="1"/>
  <c r="AB28" i="2"/>
  <c r="AB23" i="2"/>
  <c r="AB61" i="2" s="1"/>
  <c r="AB29" i="2"/>
  <c r="AN41" i="2"/>
  <c r="AE28" i="2"/>
  <c r="AE29" i="2"/>
  <c r="AE23" i="2"/>
  <c r="AE61" i="2" s="1"/>
  <c r="AC23" i="2"/>
  <c r="AC61" i="2" s="1"/>
  <c r="AI486" i="3"/>
  <c r="AI487" i="3"/>
  <c r="AX487" i="3"/>
  <c r="AX486" i="3"/>
  <c r="AX496" i="3"/>
  <c r="AX495" i="3"/>
  <c r="AN496" i="3"/>
  <c r="AN495" i="3"/>
  <c r="AP496" i="3"/>
  <c r="AD495" i="3"/>
  <c r="AD496" i="3"/>
  <c r="AF496" i="3"/>
  <c r="AS496" i="3"/>
  <c r="AS495" i="3"/>
  <c r="AN487" i="3"/>
  <c r="AN486" i="3"/>
  <c r="Y496" i="3"/>
  <c r="AA496" i="3"/>
  <c r="AW486" i="3"/>
  <c r="AW487" i="3"/>
  <c r="BB486" i="3"/>
  <c r="Y487" i="3"/>
  <c r="AS487" i="3"/>
  <c r="AS486" i="3"/>
  <c r="AW495" i="3"/>
  <c r="AW496" i="3"/>
  <c r="BB495" i="3"/>
  <c r="AI496" i="3"/>
  <c r="AI495" i="3"/>
  <c r="AK496" i="3"/>
  <c r="AD487" i="3"/>
  <c r="AD486" i="3"/>
  <c r="BY471" i="3"/>
  <c r="I62" i="4"/>
  <c r="H62" i="4"/>
  <c r="G62" i="4"/>
  <c r="I61" i="4"/>
  <c r="G61" i="4"/>
  <c r="H61" i="4"/>
  <c r="M45" i="4"/>
  <c r="M36" i="4"/>
  <c r="M29" i="4"/>
  <c r="M26" i="4"/>
  <c r="L45" i="4"/>
  <c r="L30" i="4"/>
  <c r="L29" i="4"/>
  <c r="L26" i="4"/>
  <c r="J45" i="4"/>
  <c r="J29" i="4"/>
  <c r="J26" i="4"/>
  <c r="I45" i="4"/>
  <c r="I30" i="4"/>
  <c r="I29" i="4"/>
  <c r="I26" i="4"/>
  <c r="E58" i="2" l="1"/>
  <c r="E59" i="2"/>
  <c r="AD29" i="2"/>
  <c r="AD28" i="2"/>
  <c r="CD471" i="3"/>
  <c r="E45" i="4"/>
  <c r="H45" i="4"/>
  <c r="CI471" i="3" l="1"/>
  <c r="E33" i="4"/>
  <c r="E26" i="4"/>
  <c r="E29" i="4"/>
  <c r="H33" i="4"/>
  <c r="H29" i="4"/>
  <c r="H26" i="4"/>
  <c r="CN471" i="3" l="1"/>
  <c r="M18" i="4"/>
  <c r="L18" i="4"/>
  <c r="L12" i="4"/>
  <c r="L9" i="4"/>
  <c r="M12" i="4"/>
  <c r="M9" i="4"/>
  <c r="J18" i="4"/>
  <c r="J12" i="4"/>
  <c r="J9" i="4"/>
  <c r="I18" i="4"/>
  <c r="I12" i="4"/>
  <c r="I9" i="4"/>
  <c r="E18" i="4"/>
  <c r="E12" i="4"/>
  <c r="CS471" i="3" l="1"/>
  <c r="H18" i="4"/>
  <c r="H12" i="4"/>
  <c r="H13" i="4" s="1"/>
  <c r="C21" i="2"/>
  <c r="BC70" i="2"/>
  <c r="BC69" i="2"/>
  <c r="BC68" i="2"/>
  <c r="AX70" i="2"/>
  <c r="AX77" i="2" s="1"/>
  <c r="AX69" i="2"/>
  <c r="AX68" i="2"/>
  <c r="AS70" i="2"/>
  <c r="AS69" i="2"/>
  <c r="AS68" i="2"/>
  <c r="AN70" i="2"/>
  <c r="AN69" i="2"/>
  <c r="AN68" i="2"/>
  <c r="AI70" i="2"/>
  <c r="AI69" i="2"/>
  <c r="AI68" i="2"/>
  <c r="AD70" i="2"/>
  <c r="AD69" i="2"/>
  <c r="AD68" i="2"/>
  <c r="Y70" i="2"/>
  <c r="Y69" i="2"/>
  <c r="Y68" i="2"/>
  <c r="T70" i="2"/>
  <c r="T69" i="2"/>
  <c r="T68" i="2"/>
  <c r="O70" i="2"/>
  <c r="O69" i="2"/>
  <c r="O68" i="2"/>
  <c r="N71" i="2"/>
  <c r="N72" i="2" s="1"/>
  <c r="M71" i="2"/>
  <c r="M72" i="2" s="1"/>
  <c r="O26" i="2"/>
  <c r="J26" i="2"/>
  <c r="J25" i="2"/>
  <c r="AE37" i="2"/>
  <c r="AD37" i="2"/>
  <c r="AC37" i="2"/>
  <c r="AB37" i="2"/>
  <c r="AA37" i="2"/>
  <c r="AD36" i="2"/>
  <c r="AC36" i="2"/>
  <c r="AB36" i="2"/>
  <c r="AA36" i="2"/>
  <c r="Z37" i="2"/>
  <c r="X37" i="2"/>
  <c r="W37" i="2"/>
  <c r="V37" i="2"/>
  <c r="Z36" i="2"/>
  <c r="X36" i="2"/>
  <c r="W36" i="2"/>
  <c r="V36" i="2"/>
  <c r="U37" i="2"/>
  <c r="S37" i="2"/>
  <c r="R37" i="2"/>
  <c r="Q37" i="2"/>
  <c r="U36" i="2"/>
  <c r="S36" i="2"/>
  <c r="R36" i="2"/>
  <c r="Q36" i="2"/>
  <c r="P37" i="2"/>
  <c r="N37" i="2"/>
  <c r="M37" i="2"/>
  <c r="P36" i="2"/>
  <c r="N36" i="2"/>
  <c r="M36" i="2"/>
  <c r="T11" i="2"/>
  <c r="T10" i="2"/>
  <c r="T8" i="2"/>
  <c r="T474" i="3" s="1"/>
  <c r="T479" i="3" s="1"/>
  <c r="T7" i="2"/>
  <c r="O11" i="2"/>
  <c r="O10" i="2"/>
  <c r="O8" i="2"/>
  <c r="O474" i="3" s="1"/>
  <c r="O7" i="2"/>
  <c r="O20" i="3" s="1"/>
  <c r="J19" i="2"/>
  <c r="J17" i="2"/>
  <c r="J16" i="2"/>
  <c r="J15" i="2"/>
  <c r="J11" i="2"/>
  <c r="J10" i="2"/>
  <c r="J8" i="2"/>
  <c r="J474" i="3" s="1"/>
  <c r="J479" i="3" s="1"/>
  <c r="H71" i="2"/>
  <c r="H72" i="2" s="1"/>
  <c r="N9" i="2"/>
  <c r="M9" i="2"/>
  <c r="G71" i="2"/>
  <c r="G72" i="2" s="1"/>
  <c r="L71" i="2"/>
  <c r="L72" i="2" s="1"/>
  <c r="H9" i="2"/>
  <c r="G9" i="2"/>
  <c r="L37" i="2"/>
  <c r="L36" i="2"/>
  <c r="L9" i="2"/>
  <c r="J70" i="2"/>
  <c r="J69" i="2"/>
  <c r="J68" i="2"/>
  <c r="H37" i="2"/>
  <c r="H36" i="2"/>
  <c r="K37" i="2"/>
  <c r="K36" i="2"/>
  <c r="K9" i="2"/>
  <c r="K14" i="2" s="1"/>
  <c r="D71" i="2"/>
  <c r="D72" i="2" s="1"/>
  <c r="I71" i="2"/>
  <c r="I72" i="2" s="1"/>
  <c r="K71" i="2"/>
  <c r="F71" i="2"/>
  <c r="J13" i="2" l="1"/>
  <c r="F72" i="2"/>
  <c r="F73" i="2"/>
  <c r="K72" i="2"/>
  <c r="K73" i="2"/>
  <c r="T13" i="2"/>
  <c r="T52" i="2" s="1"/>
  <c r="J38" i="2"/>
  <c r="J52" i="2"/>
  <c r="L48" i="2"/>
  <c r="Q49" i="2" s="1"/>
  <c r="L14" i="2"/>
  <c r="G48" i="2"/>
  <c r="G49" i="2" s="1"/>
  <c r="G14" i="2"/>
  <c r="G55" i="2" s="1"/>
  <c r="H48" i="2"/>
  <c r="H49" i="2" s="1"/>
  <c r="H14" i="2"/>
  <c r="N48" i="2"/>
  <c r="S49" i="2" s="1"/>
  <c r="N14" i="2"/>
  <c r="M48" i="2"/>
  <c r="R49" i="2" s="1"/>
  <c r="M14" i="2"/>
  <c r="O13" i="2"/>
  <c r="K48" i="2"/>
  <c r="P49" i="2" s="1"/>
  <c r="K75" i="2"/>
  <c r="J51" i="2"/>
  <c r="O50" i="2"/>
  <c r="O51" i="2"/>
  <c r="J34" i="2"/>
  <c r="J50" i="2"/>
  <c r="T50" i="2"/>
  <c r="C23" i="2"/>
  <c r="C61" i="2" s="1"/>
  <c r="C60" i="2"/>
  <c r="T51" i="2"/>
  <c r="O34" i="2"/>
  <c r="M35" i="2"/>
  <c r="R35" i="2"/>
  <c r="S35" i="2"/>
  <c r="P35" i="2"/>
  <c r="T34" i="2"/>
  <c r="Y34" i="2"/>
  <c r="L35" i="2"/>
  <c r="Q35" i="2"/>
  <c r="G35" i="2"/>
  <c r="H35" i="2"/>
  <c r="T490" i="3"/>
  <c r="T480" i="3"/>
  <c r="T484" i="3"/>
  <c r="Y482" i="3"/>
  <c r="O479" i="3"/>
  <c r="T475" i="3"/>
  <c r="T471" i="3"/>
  <c r="Y475" i="3"/>
  <c r="CX471" i="3"/>
  <c r="J471" i="3"/>
  <c r="O475" i="3"/>
  <c r="O471" i="3"/>
  <c r="T71" i="2"/>
  <c r="T72" i="2" s="1"/>
  <c r="O62" i="4"/>
  <c r="P62" i="4" s="1"/>
  <c r="S62" i="4"/>
  <c r="R62" i="4"/>
  <c r="Q62" i="4"/>
  <c r="L61" i="4"/>
  <c r="N61" i="4"/>
  <c r="M61" i="4"/>
  <c r="J61" i="4"/>
  <c r="N62" i="4"/>
  <c r="M62" i="4"/>
  <c r="L62" i="4"/>
  <c r="J62" i="4"/>
  <c r="Q61" i="4"/>
  <c r="R61" i="4"/>
  <c r="O61" i="4"/>
  <c r="P61" i="4" s="1"/>
  <c r="S61" i="4"/>
  <c r="T36" i="2"/>
  <c r="X62" i="4"/>
  <c r="W62" i="4"/>
  <c r="V62" i="4"/>
  <c r="T62" i="4"/>
  <c r="U62" i="4" s="1"/>
  <c r="T9" i="2"/>
  <c r="T48" i="2" s="1"/>
  <c r="V61" i="4"/>
  <c r="X61" i="4"/>
  <c r="T61" i="4"/>
  <c r="U61" i="4" s="1"/>
  <c r="W61" i="4"/>
  <c r="AX71" i="2"/>
  <c r="AX72" i="2" s="1"/>
  <c r="T37" i="2"/>
  <c r="O36" i="2"/>
  <c r="BC71" i="2"/>
  <c r="Y37" i="2"/>
  <c r="AI71" i="2"/>
  <c r="AI72" i="2" s="1"/>
  <c r="Y71" i="2"/>
  <c r="Y72" i="2" s="1"/>
  <c r="Y36" i="2"/>
  <c r="AN71" i="2"/>
  <c r="AN72" i="2" s="1"/>
  <c r="J9" i="2"/>
  <c r="J14" i="2" s="1"/>
  <c r="AD71" i="2"/>
  <c r="AD72" i="2" s="1"/>
  <c r="AS71" i="2"/>
  <c r="AS72" i="2" s="1"/>
  <c r="O71" i="2"/>
  <c r="O72" i="2" s="1"/>
  <c r="O37" i="2"/>
  <c r="O9" i="2"/>
  <c r="J71" i="2"/>
  <c r="J72" i="2" s="1"/>
  <c r="Y38" i="2" l="1"/>
  <c r="L49" i="2"/>
  <c r="O38" i="2"/>
  <c r="O52" i="2"/>
  <c r="T38" i="2"/>
  <c r="O48" i="2"/>
  <c r="T49" i="2" s="1"/>
  <c r="O14" i="2"/>
  <c r="T14" i="2"/>
  <c r="M49" i="2"/>
  <c r="L53" i="2"/>
  <c r="Q54" i="2" s="1"/>
  <c r="L55" i="2"/>
  <c r="Q55" i="2"/>
  <c r="K53" i="2"/>
  <c r="P54" i="2" s="1"/>
  <c r="P55" i="2"/>
  <c r="H18" i="2"/>
  <c r="H20" i="2" s="1"/>
  <c r="H55" i="2"/>
  <c r="M53" i="2"/>
  <c r="R54" i="2" s="1"/>
  <c r="M55" i="2"/>
  <c r="R55" i="2"/>
  <c r="S55" i="2"/>
  <c r="C28" i="2"/>
  <c r="C29" i="2"/>
  <c r="N18" i="2"/>
  <c r="N20" i="2" s="1"/>
  <c r="N53" i="2"/>
  <c r="H39" i="2"/>
  <c r="H53" i="2"/>
  <c r="H54" i="2" s="1"/>
  <c r="G39" i="2"/>
  <c r="G53" i="2"/>
  <c r="G54" i="2" s="1"/>
  <c r="Y49" i="2"/>
  <c r="J35" i="2"/>
  <c r="J48" i="2"/>
  <c r="J49" i="2" s="1"/>
  <c r="M18" i="2"/>
  <c r="M20" i="2" s="1"/>
  <c r="M31" i="2"/>
  <c r="M56" i="2" s="1"/>
  <c r="H31" i="2"/>
  <c r="N31" i="2"/>
  <c r="N56" i="2" s="1"/>
  <c r="G18" i="2"/>
  <c r="G20" i="2" s="1"/>
  <c r="G31" i="2"/>
  <c r="P39" i="2"/>
  <c r="L39" i="2"/>
  <c r="Q39" i="2"/>
  <c r="O35" i="2"/>
  <c r="T35" i="2"/>
  <c r="Y35" i="2"/>
  <c r="S39" i="2"/>
  <c r="M39" i="2"/>
  <c r="R39" i="2"/>
  <c r="K31" i="2"/>
  <c r="K56" i="2" s="1"/>
  <c r="K18" i="2"/>
  <c r="K20" i="2" s="1"/>
  <c r="J55" i="2"/>
  <c r="L31" i="2"/>
  <c r="L56" i="2" s="1"/>
  <c r="L18" i="2"/>
  <c r="L20" i="2" s="1"/>
  <c r="T482" i="3"/>
  <c r="T494" i="3"/>
  <c r="T485" i="3"/>
  <c r="Y488" i="3"/>
  <c r="Y481" i="3"/>
  <c r="T492" i="3"/>
  <c r="V492" i="3"/>
  <c r="Y491" i="3"/>
  <c r="O484" i="3"/>
  <c r="J484" i="3"/>
  <c r="J494" i="3" s="1"/>
  <c r="O482" i="3"/>
  <c r="O490" i="3"/>
  <c r="O480" i="3"/>
  <c r="T481" i="3" s="1"/>
  <c r="J490" i="3"/>
  <c r="J480" i="3"/>
  <c r="O472" i="3"/>
  <c r="T472" i="3"/>
  <c r="Y472" i="3"/>
  <c r="O55" i="2" l="1"/>
  <c r="H58" i="2"/>
  <c r="H41" i="2"/>
  <c r="H59" i="2"/>
  <c r="T55" i="2"/>
  <c r="Y55" i="2"/>
  <c r="H21" i="2"/>
  <c r="H60" i="2" s="1"/>
  <c r="S41" i="2"/>
  <c r="M54" i="2"/>
  <c r="S40" i="2"/>
  <c r="L54" i="2"/>
  <c r="G41" i="2"/>
  <c r="G59" i="2"/>
  <c r="G58" i="2"/>
  <c r="J39" i="2"/>
  <c r="J53" i="2"/>
  <c r="J54" i="2" s="1"/>
  <c r="S57" i="2"/>
  <c r="O49" i="2"/>
  <c r="K59" i="2"/>
  <c r="K58" i="2"/>
  <c r="H40" i="2"/>
  <c r="H56" i="2"/>
  <c r="H57" i="2" s="1"/>
  <c r="Q57" i="2"/>
  <c r="P57" i="2"/>
  <c r="T31" i="2"/>
  <c r="T56" i="2" s="1"/>
  <c r="T53" i="2"/>
  <c r="R57" i="2"/>
  <c r="M58" i="2"/>
  <c r="M59" i="2"/>
  <c r="O39" i="2"/>
  <c r="O53" i="2"/>
  <c r="R40" i="2"/>
  <c r="M40" i="2"/>
  <c r="R41" i="2"/>
  <c r="S54" i="2"/>
  <c r="M41" i="2"/>
  <c r="N59" i="2"/>
  <c r="N58" i="2"/>
  <c r="G21" i="2"/>
  <c r="G60" i="2" s="1"/>
  <c r="L59" i="2"/>
  <c r="L58" i="2"/>
  <c r="G40" i="2"/>
  <c r="G56" i="2"/>
  <c r="G57" i="2" s="1"/>
  <c r="P40" i="2"/>
  <c r="T39" i="2"/>
  <c r="Y39" i="2"/>
  <c r="L40" i="2"/>
  <c r="Q40" i="2"/>
  <c r="L21" i="2"/>
  <c r="L41" i="2"/>
  <c r="Q41" i="2"/>
  <c r="P41" i="2"/>
  <c r="J31" i="2"/>
  <c r="J18" i="2"/>
  <c r="J20" i="2" s="1"/>
  <c r="T487" i="3"/>
  <c r="Y486" i="3"/>
  <c r="O492" i="3"/>
  <c r="Q492" i="3"/>
  <c r="O494" i="3"/>
  <c r="Q496" i="3" s="1"/>
  <c r="T496" i="3"/>
  <c r="V496" i="3"/>
  <c r="Y495" i="3"/>
  <c r="T488" i="3"/>
  <c r="T491" i="3"/>
  <c r="J492" i="3"/>
  <c r="L492" i="3"/>
  <c r="J496" i="3"/>
  <c r="L496" i="3"/>
  <c r="J485" i="3"/>
  <c r="J487" i="3" s="1"/>
  <c r="O485" i="3"/>
  <c r="O487" i="3" s="1"/>
  <c r="O488" i="3"/>
  <c r="O491" i="3"/>
  <c r="O481" i="3"/>
  <c r="H23" i="2" l="1"/>
  <c r="H61" i="2" s="1"/>
  <c r="H42" i="2"/>
  <c r="O54" i="2"/>
  <c r="G42" i="2"/>
  <c r="M57" i="2"/>
  <c r="T54" i="2"/>
  <c r="Y54" i="2"/>
  <c r="J40" i="2"/>
  <c r="J56" i="2"/>
  <c r="J57" i="2" s="1"/>
  <c r="J59" i="2"/>
  <c r="J58" i="2"/>
  <c r="G23" i="2"/>
  <c r="L23" i="2"/>
  <c r="L61" i="2" s="1"/>
  <c r="L60" i="2"/>
  <c r="L57" i="2"/>
  <c r="L29" i="2"/>
  <c r="J21" i="2"/>
  <c r="J60" i="2" s="1"/>
  <c r="J41" i="2"/>
  <c r="L28" i="2"/>
  <c r="L42" i="2"/>
  <c r="O495" i="3"/>
  <c r="T495" i="3"/>
  <c r="O496" i="3"/>
  <c r="T486" i="3"/>
  <c r="O486" i="3"/>
  <c r="H29" i="2" l="1"/>
  <c r="H45" i="2" s="1"/>
  <c r="H43" i="2"/>
  <c r="H28" i="2"/>
  <c r="L43" i="2"/>
  <c r="G28" i="2"/>
  <c r="G61" i="2"/>
  <c r="G29" i="2"/>
  <c r="G45" i="2" s="1"/>
  <c r="G43" i="2"/>
  <c r="J23" i="2"/>
  <c r="J61" i="2" s="1"/>
  <c r="L45" i="2" l="1"/>
  <c r="J28" i="2"/>
  <c r="J29" i="2"/>
  <c r="J37" i="2"/>
  <c r="J36" i="2"/>
  <c r="F9" i="2"/>
  <c r="F14" i="2" s="1"/>
  <c r="F48" i="2" l="1"/>
  <c r="K49" i="2" s="1"/>
  <c r="F75" i="2"/>
  <c r="K35" i="2"/>
  <c r="D9" i="2"/>
  <c r="D14" i="2" s="1"/>
  <c r="F31" i="2" l="1"/>
  <c r="K40" i="2" s="1"/>
  <c r="K55" i="2"/>
  <c r="F18" i="2"/>
  <c r="F20" i="2" s="1"/>
  <c r="D53" i="2"/>
  <c r="D48" i="2"/>
  <c r="K39" i="2"/>
  <c r="F53" i="2"/>
  <c r="K54" i="2" s="1"/>
  <c r="F21" i="2"/>
  <c r="E21" i="2"/>
  <c r="E60" i="2" s="1"/>
  <c r="I37" i="2"/>
  <c r="I36" i="2"/>
  <c r="I9" i="2"/>
  <c r="BI25" i="5"/>
  <c r="BN13" i="5"/>
  <c r="BN25" i="5"/>
  <c r="BN26" i="5"/>
  <c r="BN46" i="8" s="1"/>
  <c r="BJ46" i="8" s="1"/>
  <c r="BN28" i="5"/>
  <c r="BN29" i="5"/>
  <c r="BN34" i="5"/>
  <c r="BN35" i="5"/>
  <c r="BN37" i="5"/>
  <c r="AZ9" i="2"/>
  <c r="I48" i="2" l="1"/>
  <c r="I49" i="2" s="1"/>
  <c r="I14" i="2"/>
  <c r="AZ48" i="2"/>
  <c r="AZ14" i="2"/>
  <c r="BE55" i="2" s="1"/>
  <c r="F56" i="2"/>
  <c r="K57" i="2" s="1"/>
  <c r="D18" i="2"/>
  <c r="D20" i="2" s="1"/>
  <c r="F59" i="2"/>
  <c r="F58" i="2"/>
  <c r="K41" i="2"/>
  <c r="D31" i="2"/>
  <c r="D56" i="2" s="1"/>
  <c r="BE49" i="2"/>
  <c r="F23" i="2"/>
  <c r="F61" i="2" s="1"/>
  <c r="F60" i="2"/>
  <c r="BE35" i="2"/>
  <c r="I35" i="2"/>
  <c r="N35" i="2"/>
  <c r="E23" i="2"/>
  <c r="J42" i="2"/>
  <c r="BK46" i="8"/>
  <c r="BL46" i="8" s="1"/>
  <c r="A66" i="8"/>
  <c r="N49" i="2" l="1"/>
  <c r="D59" i="2"/>
  <c r="I53" i="2"/>
  <c r="N54" i="2" s="1"/>
  <c r="I55" i="2"/>
  <c r="N55" i="2"/>
  <c r="D21" i="2"/>
  <c r="D23" i="2" s="1"/>
  <c r="D61" i="2" s="1"/>
  <c r="AZ53" i="2"/>
  <c r="BE54" i="2" s="1"/>
  <c r="D58" i="2"/>
  <c r="AZ18" i="2"/>
  <c r="AZ20" i="2" s="1"/>
  <c r="AZ31" i="2"/>
  <c r="AZ56" i="2" s="1"/>
  <c r="J43" i="2"/>
  <c r="E61" i="2"/>
  <c r="I39" i="2"/>
  <c r="N39" i="2"/>
  <c r="BE39" i="2"/>
  <c r="I31" i="2"/>
  <c r="I56" i="2" s="1"/>
  <c r="I18" i="2"/>
  <c r="I20" i="2" s="1"/>
  <c r="F29" i="2"/>
  <c r="F28" i="2"/>
  <c r="E29" i="2"/>
  <c r="J45" i="2" s="1"/>
  <c r="E28" i="2"/>
  <c r="BM46" i="8"/>
  <c r="D60" i="2" l="1"/>
  <c r="I54" i="2"/>
  <c r="AZ21" i="2"/>
  <c r="AZ60" i="2" s="1"/>
  <c r="BE41" i="2"/>
  <c r="BE57" i="2"/>
  <c r="D28" i="2"/>
  <c r="I59" i="2"/>
  <c r="I58" i="2"/>
  <c r="BE40" i="2"/>
  <c r="D29" i="2"/>
  <c r="I57" i="2"/>
  <c r="N57" i="2"/>
  <c r="AZ59" i="2"/>
  <c r="AZ58" i="2"/>
  <c r="I40" i="2"/>
  <c r="N40" i="2"/>
  <c r="I41" i="2"/>
  <c r="N41" i="2"/>
  <c r="AZ28" i="2" l="1"/>
  <c r="AZ29" i="2"/>
  <c r="BE45" i="2" s="1"/>
  <c r="BE42" i="2"/>
  <c r="AZ23" i="2"/>
  <c r="AZ61" i="2" s="1"/>
  <c r="BA87" i="4"/>
  <c r="BA55" i="8"/>
  <c r="BA48" i="8"/>
  <c r="BB45" i="8" s="1"/>
  <c r="BB46" i="8" s="1"/>
  <c r="BA40" i="8"/>
  <c r="BA30" i="8"/>
  <c r="BA24" i="8"/>
  <c r="BA9" i="8"/>
  <c r="BB35" i="5"/>
  <c r="BC35" i="5" s="1"/>
  <c r="BA38" i="8"/>
  <c r="BA57" i="4"/>
  <c r="BB54" i="4" s="1"/>
  <c r="BB55" i="4" s="1"/>
  <c r="BA89" i="4"/>
  <c r="AZ22" i="8"/>
  <c r="B1" i="7"/>
  <c r="AX30" i="8"/>
  <c r="AW30" i="8"/>
  <c r="AV30" i="8"/>
  <c r="AU30" i="8"/>
  <c r="AZ30" i="8"/>
  <c r="BE43" i="2" l="1"/>
  <c r="BB26" i="8"/>
  <c r="BA14" i="8"/>
  <c r="BA91" i="4"/>
  <c r="BA8" i="8"/>
  <c r="BA10" i="8" s="1"/>
  <c r="BA88" i="4"/>
  <c r="BR514" i="35"/>
  <c r="BN514" i="35"/>
  <c r="DB54" i="8" l="1"/>
  <c r="CW54" i="8"/>
  <c r="DB41" i="5"/>
  <c r="DB37" i="5"/>
  <c r="DB35" i="5"/>
  <c r="DB34" i="5"/>
  <c r="DB29" i="5"/>
  <c r="DB28" i="5"/>
  <c r="DB26" i="5"/>
  <c r="DB46" i="8" s="1"/>
  <c r="DB25" i="5"/>
  <c r="DB53" i="8" s="1"/>
  <c r="DB13" i="5"/>
  <c r="CW41" i="5"/>
  <c r="CW37" i="5"/>
  <c r="CW35" i="5"/>
  <c r="CW34" i="5"/>
  <c r="CW29" i="5"/>
  <c r="CW28" i="5"/>
  <c r="CW26" i="5"/>
  <c r="CW46" i="8" s="1"/>
  <c r="CS46" i="8" s="1"/>
  <c r="CW25" i="5"/>
  <c r="CW53" i="8" s="1"/>
  <c r="CW13" i="5"/>
  <c r="CX46" i="8" l="1"/>
  <c r="CX53" i="8"/>
  <c r="CT46" i="8"/>
  <c r="CS53" i="8"/>
  <c r="CT53" i="8" s="1"/>
  <c r="CU53" i="8" s="1"/>
  <c r="AZ55" i="8"/>
  <c r="AZ48" i="8"/>
  <c r="AZ40" i="8"/>
  <c r="AZ38" i="8"/>
  <c r="AZ9" i="8"/>
  <c r="BD9" i="8" s="1"/>
  <c r="AZ57" i="4"/>
  <c r="AZ88" i="4" l="1"/>
  <c r="AZ24" i="8"/>
  <c r="AZ14" i="8" s="1"/>
  <c r="BA36" i="8"/>
  <c r="BA37" i="8" s="1"/>
  <c r="AZ87" i="4"/>
  <c r="BA45" i="8"/>
  <c r="BA46" i="8" s="1"/>
  <c r="BA52" i="8"/>
  <c r="BA53" i="8" s="1"/>
  <c r="CY53" i="8"/>
  <c r="CZ53" i="8" s="1"/>
  <c r="CY46" i="8"/>
  <c r="CZ46" i="8" s="1"/>
  <c r="CV53" i="8"/>
  <c r="CU46" i="8"/>
  <c r="CV46" i="8" s="1"/>
  <c r="AZ91" i="4"/>
  <c r="AZ89" i="4"/>
  <c r="DA53" i="8" l="1"/>
  <c r="DA46" i="8"/>
  <c r="AX24" i="8"/>
  <c r="AX35" i="5"/>
  <c r="AX28" i="5"/>
  <c r="AX26" i="5"/>
  <c r="AX13" i="5"/>
  <c r="AX11" i="5"/>
  <c r="AX10" i="5"/>
  <c r="AX55" i="8" l="1"/>
  <c r="AX48" i="8"/>
  <c r="AX40" i="8"/>
  <c r="AX9" i="8"/>
  <c r="AX28" i="8"/>
  <c r="AX22" i="8"/>
  <c r="AX14" i="8" l="1"/>
  <c r="AX88" i="4"/>
  <c r="AW55" i="8" l="1"/>
  <c r="AX52" i="8" s="1"/>
  <c r="AX53" i="8" s="1"/>
  <c r="AW48" i="8"/>
  <c r="AX45" i="8" s="1"/>
  <c r="AW40" i="8"/>
  <c r="AX36" i="8" s="1"/>
  <c r="AX25" i="5"/>
  <c r="AW9" i="8"/>
  <c r="AW22" i="8"/>
  <c r="AW57" i="4"/>
  <c r="AW9" i="2"/>
  <c r="AW48" i="2" l="1"/>
  <c r="AW14" i="2"/>
  <c r="AX54" i="4"/>
  <c r="AW88" i="4"/>
  <c r="AW31" i="2" l="1"/>
  <c r="AW56" i="2" s="1"/>
  <c r="AW53" i="2"/>
  <c r="AW18" i="2"/>
  <c r="AW20" i="2" s="1"/>
  <c r="AV9" i="8"/>
  <c r="AV55" i="8"/>
  <c r="AV48" i="8"/>
  <c r="AW45" i="8" s="1"/>
  <c r="AV40" i="8"/>
  <c r="AW36" i="8" s="1"/>
  <c r="AV57" i="4"/>
  <c r="AV28" i="8"/>
  <c r="AV88" i="4"/>
  <c r="AW58" i="2" l="1"/>
  <c r="AW59" i="2"/>
  <c r="AX73" i="5"/>
  <c r="AX19" i="5"/>
  <c r="AX27" i="5"/>
  <c r="AW46" i="8"/>
  <c r="AX33" i="5"/>
  <c r="AX12" i="5"/>
  <c r="AX34" i="5"/>
  <c r="AX17" i="5"/>
  <c r="AX18" i="5"/>
  <c r="AX41" i="5"/>
  <c r="AV8" i="8"/>
  <c r="AV10" i="8" s="1"/>
  <c r="AV22" i="8"/>
  <c r="AX8" i="5"/>
  <c r="AW52" i="8"/>
  <c r="AW53" i="8" s="1"/>
  <c r="AW38" i="8" l="1"/>
  <c r="AX9" i="5"/>
  <c r="AU9" i="8"/>
  <c r="AU55" i="8"/>
  <c r="AU48" i="8"/>
  <c r="AU40" i="8"/>
  <c r="AV36" i="8" s="1"/>
  <c r="AU38" i="8"/>
  <c r="AU57" i="4"/>
  <c r="AU28" i="8"/>
  <c r="AU22" i="8"/>
  <c r="AU88" i="4"/>
  <c r="AU36" i="2"/>
  <c r="AX39" i="8" l="1"/>
  <c r="AY39" i="8" s="1"/>
  <c r="AX31" i="2"/>
  <c r="AX14" i="5"/>
  <c r="AW37" i="8"/>
  <c r="AU8" i="8"/>
  <c r="AU10" i="8" s="1"/>
  <c r="AV52" i="8"/>
  <c r="AV53" i="8" s="1"/>
  <c r="AV45" i="8"/>
  <c r="AX56" i="2" l="1"/>
  <c r="AX21" i="5"/>
  <c r="AX37" i="5"/>
  <c r="AX29" i="5"/>
  <c r="AS55" i="8" l="1"/>
  <c r="AU52" i="8" s="1"/>
  <c r="AU53" i="8" s="1"/>
  <c r="AY53" i="8" s="1"/>
  <c r="AS48" i="8"/>
  <c r="AU45" i="8" s="1"/>
  <c r="AU46" i="8" s="1"/>
  <c r="AS40" i="8"/>
  <c r="AU36" i="8" s="1"/>
  <c r="AU37" i="8" s="1"/>
  <c r="AS30" i="8"/>
  <c r="AS28" i="8"/>
  <c r="AS24" i="8"/>
  <c r="AS22" i="8"/>
  <c r="AS35" i="5"/>
  <c r="AS28" i="5"/>
  <c r="AS26" i="5"/>
  <c r="AS13" i="5"/>
  <c r="AS11" i="5"/>
  <c r="AS10" i="5"/>
  <c r="AS87" i="4"/>
  <c r="AS89" i="4"/>
  <c r="AS9" i="8"/>
  <c r="CR54" i="8"/>
  <c r="CR41" i="5"/>
  <c r="CR37" i="5"/>
  <c r="CR35" i="5"/>
  <c r="CR34" i="5"/>
  <c r="CR29" i="5"/>
  <c r="CR28" i="5"/>
  <c r="CR26" i="5"/>
  <c r="CR46" i="8" s="1"/>
  <c r="CN46" i="8" s="1"/>
  <c r="CR25" i="5"/>
  <c r="CR53" i="8" s="1"/>
  <c r="CR13" i="5"/>
  <c r="AR55" i="8"/>
  <c r="AR48" i="8"/>
  <c r="AR40" i="8"/>
  <c r="AR24" i="8"/>
  <c r="AR87" i="4"/>
  <c r="AR9" i="8"/>
  <c r="AS14" i="8" l="1"/>
  <c r="AS88" i="4"/>
  <c r="AS8" i="8"/>
  <c r="AS10" i="8" s="1"/>
  <c r="AR22" i="8"/>
  <c r="AR28" i="8"/>
  <c r="CO46" i="8"/>
  <c r="CP46" i="8" s="1"/>
  <c r="CQ46" i="8" s="1"/>
  <c r="CN53" i="8"/>
  <c r="AR57" i="4"/>
  <c r="AR14" i="8" l="1"/>
  <c r="AR8" i="8"/>
  <c r="AR10" i="8" s="1"/>
  <c r="AV11" i="8" s="1"/>
  <c r="AR88" i="4"/>
  <c r="AR89" i="4"/>
  <c r="AR91" i="4"/>
  <c r="AS54" i="4"/>
  <c r="CO53" i="8"/>
  <c r="AR30" i="8"/>
  <c r="CP53" i="8" l="1"/>
  <c r="CQ53" i="8" s="1"/>
  <c r="AQ24" i="8" l="1"/>
  <c r="AQ55" i="8"/>
  <c r="AQ48" i="8"/>
  <c r="AQ40" i="8"/>
  <c r="AQ30" i="8"/>
  <c r="AQ38" i="8"/>
  <c r="AS18" i="5" l="1"/>
  <c r="AS41" i="5"/>
  <c r="AS73" i="5"/>
  <c r="AS27" i="5"/>
  <c r="AS25" i="5"/>
  <c r="AS33" i="5"/>
  <c r="AS34" i="5"/>
  <c r="AS17" i="5"/>
  <c r="AS19" i="5"/>
  <c r="AS37" i="5"/>
  <c r="AS8" i="5"/>
  <c r="AR52" i="8"/>
  <c r="AR53" i="8" s="1"/>
  <c r="AS9" i="5" l="1"/>
  <c r="AS38" i="8"/>
  <c r="AR38" i="8"/>
  <c r="AS12" i="5"/>
  <c r="AQ9" i="8"/>
  <c r="AQ57" i="4"/>
  <c r="AQ91" i="4" s="1"/>
  <c r="AS39" i="8" l="1"/>
  <c r="AT39" i="8" s="1"/>
  <c r="AS31" i="2"/>
  <c r="AQ22" i="8"/>
  <c r="AQ87" i="4"/>
  <c r="AQ28" i="8"/>
  <c r="AQ88" i="4"/>
  <c r="AQ89" i="4"/>
  <c r="AQ8" i="8"/>
  <c r="AQ10" i="8" s="1"/>
  <c r="AU11" i="8" s="1"/>
  <c r="AQ14" i="8" l="1"/>
  <c r="AS56" i="2"/>
  <c r="AX40" i="2"/>
  <c r="AP57" i="4"/>
  <c r="AP55" i="8"/>
  <c r="AQ52" i="8" s="1"/>
  <c r="AQ53" i="8" s="1"/>
  <c r="AP48" i="8"/>
  <c r="AT47" i="8"/>
  <c r="AP40" i="8"/>
  <c r="AP38" i="8"/>
  <c r="AT38" i="8" s="1"/>
  <c r="AP30" i="8"/>
  <c r="AP28" i="8"/>
  <c r="AP24" i="8"/>
  <c r="AP22" i="8"/>
  <c r="AP88" i="4"/>
  <c r="AP87" i="4"/>
  <c r="AP89" i="4"/>
  <c r="AP9" i="8"/>
  <c r="AX57" i="2" l="1"/>
  <c r="AP14" i="8"/>
  <c r="AQ54" i="4"/>
  <c r="AQ55" i="4" s="1"/>
  <c r="AP8" i="8"/>
  <c r="AP10" i="8" s="1"/>
  <c r="AS11" i="8" s="1"/>
  <c r="AU37" i="2"/>
  <c r="AM33" i="8"/>
  <c r="AO33" i="8"/>
  <c r="AN55" i="8"/>
  <c r="AP52" i="8" s="1"/>
  <c r="AP53" i="8" s="1"/>
  <c r="AN48" i="8"/>
  <c r="AP45" i="8" s="1"/>
  <c r="AP46" i="8" s="1"/>
  <c r="AN40" i="8"/>
  <c r="AP36" i="8" s="1"/>
  <c r="AP37" i="8" s="1"/>
  <c r="AN30" i="8"/>
  <c r="AJ32" i="8"/>
  <c r="AN24" i="8"/>
  <c r="AN22" i="8"/>
  <c r="AN9" i="8"/>
  <c r="AN35" i="5"/>
  <c r="AN33" i="5"/>
  <c r="AN28" i="5"/>
  <c r="AN26" i="5"/>
  <c r="AN13" i="5"/>
  <c r="AN11" i="5"/>
  <c r="AN8" i="8"/>
  <c r="AN14" i="8" l="1"/>
  <c r="AO22" i="8"/>
  <c r="AS21" i="5"/>
  <c r="AS14" i="5"/>
  <c r="AN10" i="8"/>
  <c r="AR11" i="8" s="1"/>
  <c r="AM55" i="8" l="1"/>
  <c r="AM48" i="8"/>
  <c r="AM40" i="8"/>
  <c r="AM30" i="8"/>
  <c r="AM24" i="8"/>
  <c r="AM22" i="8"/>
  <c r="AM9" i="8"/>
  <c r="AM57" i="4"/>
  <c r="AM14" i="8" l="1"/>
  <c r="AM8" i="8"/>
  <c r="AM10" i="8" s="1"/>
  <c r="AQ11" i="8" s="1"/>
  <c r="AL40" i="8" l="1"/>
  <c r="AL33" i="8"/>
  <c r="AL32" i="8"/>
  <c r="AL55" i="8"/>
  <c r="AL48" i="8"/>
  <c r="AL30" i="8"/>
  <c r="AK30" i="8"/>
  <c r="AI30" i="8"/>
  <c r="AL9" i="8"/>
  <c r="AL57" i="4"/>
  <c r="AL22" i="8"/>
  <c r="AL24" i="8"/>
  <c r="AL9" i="2"/>
  <c r="AL48" i="2" l="1"/>
  <c r="AL14" i="2"/>
  <c r="AL14" i="8"/>
  <c r="AN73" i="5"/>
  <c r="AN17" i="5"/>
  <c r="AN18" i="5"/>
  <c r="AN19" i="5"/>
  <c r="AN34" i="5"/>
  <c r="AN37" i="5"/>
  <c r="AL8" i="8"/>
  <c r="AL10" i="8" s="1"/>
  <c r="AP11" i="8" s="1"/>
  <c r="AN8" i="5"/>
  <c r="AK55" i="8"/>
  <c r="AJ54" i="8"/>
  <c r="AK32" i="8"/>
  <c r="AN32" i="8" s="1"/>
  <c r="AK33" i="8"/>
  <c r="AN33" i="8" s="1"/>
  <c r="AP33" i="8" s="1"/>
  <c r="AL53" i="2" l="1"/>
  <c r="AL18" i="2"/>
  <c r="AL20" i="2" s="1"/>
  <c r="AL31" i="2"/>
  <c r="AL56" i="2" s="1"/>
  <c r="AQ33" i="8"/>
  <c r="AR33" i="8" s="1"/>
  <c r="AS33" i="8" s="1"/>
  <c r="AU33" i="8" s="1"/>
  <c r="AN12" i="5"/>
  <c r="AN9" i="5"/>
  <c r="AL60" i="8"/>
  <c r="AL52" i="8"/>
  <c r="AL53" i="8" s="1"/>
  <c r="AN39" i="8" l="1"/>
  <c r="AO39" i="8" s="1"/>
  <c r="AN31" i="2"/>
  <c r="AL59" i="2"/>
  <c r="AL58" i="2"/>
  <c r="AT33" i="8"/>
  <c r="AI55" i="8"/>
  <c r="AN56" i="2" l="1"/>
  <c r="AS40" i="2"/>
  <c r="AK52" i="8"/>
  <c r="AK53" i="8" s="1"/>
  <c r="AK9" i="8"/>
  <c r="AS57" i="2" l="1"/>
  <c r="AO47" i="8"/>
  <c r="AK48" i="8"/>
  <c r="AL45" i="8" s="1"/>
  <c r="AL46" i="8" s="1"/>
  <c r="AK40" i="8"/>
  <c r="AL36" i="8" s="1"/>
  <c r="AK57" i="4"/>
  <c r="AL54" i="4" s="1"/>
  <c r="AK24" i="8"/>
  <c r="AN21" i="5" l="1"/>
  <c r="AK22" i="8"/>
  <c r="AK14" i="8" s="1"/>
  <c r="AN25" i="5" l="1"/>
  <c r="AN27" i="5"/>
  <c r="AN38" i="8" s="1"/>
  <c r="AN29" i="5"/>
  <c r="AN14" i="5"/>
  <c r="CM54" i="8"/>
  <c r="CM13" i="5"/>
  <c r="CM25" i="5"/>
  <c r="CM53" i="8" s="1"/>
  <c r="CI53" i="8" s="1"/>
  <c r="CM26" i="5"/>
  <c r="CM46" i="8" s="1"/>
  <c r="CM28" i="5"/>
  <c r="CM29" i="5"/>
  <c r="CM34" i="5"/>
  <c r="CM35" i="5"/>
  <c r="CM37" i="5"/>
  <c r="CM41" i="5"/>
  <c r="CI46" i="8" l="1"/>
  <c r="CJ46" i="8" s="1"/>
  <c r="CJ53" i="8"/>
  <c r="CK53" i="8" s="1"/>
  <c r="CK46" i="8" l="1"/>
  <c r="CL46" i="8" s="1"/>
  <c r="CL53" i="8"/>
  <c r="AI48" i="8" l="1"/>
  <c r="AI40" i="8"/>
  <c r="AI32" i="8"/>
  <c r="AI35" i="5"/>
  <c r="AI26" i="5"/>
  <c r="AI13" i="5"/>
  <c r="AI11" i="5"/>
  <c r="AI24" i="8"/>
  <c r="AI22" i="8"/>
  <c r="AI9" i="8"/>
  <c r="AI57" i="4"/>
  <c r="AI14" i="8" l="1"/>
  <c r="AJ14" i="8" s="1"/>
  <c r="AJ22" i="8"/>
  <c r="AI8" i="8"/>
  <c r="AI10" i="8" s="1"/>
  <c r="AH48" i="8" l="1"/>
  <c r="AH40" i="8"/>
  <c r="AH30" i="8"/>
  <c r="AH24" i="8"/>
  <c r="AH22" i="8"/>
  <c r="AH57" i="4"/>
  <c r="AH55" i="8"/>
  <c r="AH9" i="8"/>
  <c r="AH14" i="8" l="1"/>
  <c r="AH8" i="8"/>
  <c r="AH10" i="8" s="1"/>
  <c r="AG55" i="8" l="1"/>
  <c r="AG48" i="8"/>
  <c r="AG40" i="8"/>
  <c r="AG30" i="8"/>
  <c r="AG24" i="8"/>
  <c r="AI28" i="5"/>
  <c r="AI17" i="5" l="1"/>
  <c r="AI37" i="5"/>
  <c r="AI8" i="5"/>
  <c r="AI34" i="5"/>
  <c r="AI25" i="5"/>
  <c r="AH38" i="8"/>
  <c r="AG38" i="8"/>
  <c r="AG57" i="4"/>
  <c r="AI27" i="5" l="1"/>
  <c r="AI38" i="8" s="1"/>
  <c r="AJ47" i="8"/>
  <c r="AI9" i="5"/>
  <c r="AI12" i="5"/>
  <c r="AG22" i="8"/>
  <c r="AG14" i="8" s="1"/>
  <c r="AG9" i="8"/>
  <c r="AG8" i="8"/>
  <c r="AI39" i="8" l="1"/>
  <c r="AJ39" i="8" s="1"/>
  <c r="AI31" i="2"/>
  <c r="AG10" i="8"/>
  <c r="AI56" i="2" l="1"/>
  <c r="AN40" i="2"/>
  <c r="AF30" i="8"/>
  <c r="AN57" i="2" l="1"/>
  <c r="AF40" i="8"/>
  <c r="AG36" i="8" s="1"/>
  <c r="AG37" i="8" s="1"/>
  <c r="AD40" i="8"/>
  <c r="AF36" i="8" s="1"/>
  <c r="AJ36" i="8" s="1"/>
  <c r="AF38" i="8"/>
  <c r="AJ38" i="8" s="1"/>
  <c r="AF48" i="8"/>
  <c r="AG45" i="8" s="1"/>
  <c r="AG46" i="8" s="1"/>
  <c r="AF55" i="8"/>
  <c r="AF57" i="4"/>
  <c r="AG54" i="4" s="1"/>
  <c r="AG55" i="4" s="1"/>
  <c r="AF24" i="8"/>
  <c r="AF22" i="8"/>
  <c r="AF9" i="8"/>
  <c r="AF19" i="4"/>
  <c r="AF8" i="8"/>
  <c r="AF9" i="2"/>
  <c r="CH54" i="8"/>
  <c r="CH41" i="5"/>
  <c r="CH37" i="5"/>
  <c r="CH35" i="5"/>
  <c r="CH34" i="5"/>
  <c r="CH29" i="5"/>
  <c r="CH28" i="5"/>
  <c r="CH26" i="5"/>
  <c r="CH46" i="8" s="1"/>
  <c r="CD46" i="8" s="1"/>
  <c r="CE46" i="8" s="1"/>
  <c r="CH25" i="5"/>
  <c r="CH53" i="8" s="1"/>
  <c r="CD53" i="8" s="1"/>
  <c r="CH13" i="5"/>
  <c r="AD55" i="8"/>
  <c r="AF52" i="8" s="1"/>
  <c r="AJ52" i="8" s="1"/>
  <c r="AD48" i="8"/>
  <c r="AF45" i="8" s="1"/>
  <c r="AJ45" i="8" s="1"/>
  <c r="AC30" i="8"/>
  <c r="AB30" i="8"/>
  <c r="AD24" i="8"/>
  <c r="AD22" i="8"/>
  <c r="AD9" i="8"/>
  <c r="AD57" i="4"/>
  <c r="AE44" i="4"/>
  <c r="AE41" i="4"/>
  <c r="AE35" i="4"/>
  <c r="AE18" i="4"/>
  <c r="AC48" i="8"/>
  <c r="AD45" i="8" s="1"/>
  <c r="AC40" i="8"/>
  <c r="AD36" i="8" s="1"/>
  <c r="AC24" i="8"/>
  <c r="AC9" i="8"/>
  <c r="AC57" i="4"/>
  <c r="AD54" i="4" s="1"/>
  <c r="AC22" i="8"/>
  <c r="AC8" i="8"/>
  <c r="AB55" i="8"/>
  <c r="AC52" i="8" s="1"/>
  <c r="AB48" i="8"/>
  <c r="AC45" i="8" s="1"/>
  <c r="AB40" i="8"/>
  <c r="AC36" i="8" s="1"/>
  <c r="AA32" i="8"/>
  <c r="AD32" i="8" s="1"/>
  <c r="AB24" i="8"/>
  <c r="AB13" i="5"/>
  <c r="AB11" i="5"/>
  <c r="AB10" i="5"/>
  <c r="AC10" i="5" s="1"/>
  <c r="AD8" i="5"/>
  <c r="A51" i="2"/>
  <c r="A34" i="2"/>
  <c r="A37" i="2"/>
  <c r="A36" i="2"/>
  <c r="AB9" i="8"/>
  <c r="AB57" i="4"/>
  <c r="AC54" i="4" s="1"/>
  <c r="AB28" i="8"/>
  <c r="AA20" i="8"/>
  <c r="AA57" i="4"/>
  <c r="AB54" i="4" s="1"/>
  <c r="AA55" i="8"/>
  <c r="AB52" i="8" s="1"/>
  <c r="AA40" i="8"/>
  <c r="AB36" i="8" s="1"/>
  <c r="AA38" i="8"/>
  <c r="AA24" i="8"/>
  <c r="AA9" i="8"/>
  <c r="AA36" i="4"/>
  <c r="AA74" i="4"/>
  <c r="AA66" i="4"/>
  <c r="CC54" i="8"/>
  <c r="CC41" i="5"/>
  <c r="CC37" i="5"/>
  <c r="CC35" i="5"/>
  <c r="CC34" i="5"/>
  <c r="CC29" i="5"/>
  <c r="CC28" i="5"/>
  <c r="CC26" i="5"/>
  <c r="CC46" i="8" s="1"/>
  <c r="BY46" i="8" s="1"/>
  <c r="BZ46" i="8" s="1"/>
  <c r="CC25" i="5"/>
  <c r="CC53" i="8" s="1"/>
  <c r="BY53" i="8" s="1"/>
  <c r="CC13" i="5"/>
  <c r="AE18" i="8"/>
  <c r="AB19" i="8"/>
  <c r="Y31" i="4"/>
  <c r="Z31" i="4" s="1"/>
  <c r="Y55" i="8"/>
  <c r="AA52" i="8" s="1"/>
  <c r="AE52" i="8" s="1"/>
  <c r="Y48" i="8"/>
  <c r="AA45" i="8" s="1"/>
  <c r="AA46" i="8" s="1"/>
  <c r="Y40" i="8"/>
  <c r="AA36" i="8" s="1"/>
  <c r="AE36" i="8" s="1"/>
  <c r="Y32" i="8"/>
  <c r="Y35" i="5"/>
  <c r="Y26" i="5"/>
  <c r="Y25" i="5"/>
  <c r="Y13" i="5"/>
  <c r="Y11" i="5"/>
  <c r="Y30" i="8"/>
  <c r="Y9" i="8"/>
  <c r="Y28" i="8"/>
  <c r="X40" i="8"/>
  <c r="Y36" i="8" s="1"/>
  <c r="X55" i="8"/>
  <c r="Y52" i="8" s="1"/>
  <c r="X48" i="8"/>
  <c r="Y45" i="8" s="1"/>
  <c r="X33" i="8"/>
  <c r="X30" i="8"/>
  <c r="X24" i="8"/>
  <c r="X9" i="8"/>
  <c r="X57" i="4"/>
  <c r="Y54" i="4" s="1"/>
  <c r="X22" i="8"/>
  <c r="V47" i="8"/>
  <c r="W55" i="8"/>
  <c r="X52" i="8" s="1"/>
  <c r="W48" i="8"/>
  <c r="X45" i="8" s="1"/>
  <c r="W40" i="8"/>
  <c r="X36" i="8" s="1"/>
  <c r="W33" i="8"/>
  <c r="W22" i="8"/>
  <c r="W9" i="8"/>
  <c r="Y37" i="5"/>
  <c r="Y19" i="5"/>
  <c r="Y12" i="5"/>
  <c r="W39" i="8"/>
  <c r="Y8" i="5"/>
  <c r="W57" i="4"/>
  <c r="X54" i="4" s="1"/>
  <c r="W28" i="8"/>
  <c r="Y17" i="5"/>
  <c r="V24" i="8"/>
  <c r="V89" i="4"/>
  <c r="V30" i="8"/>
  <c r="V38" i="8"/>
  <c r="Y21" i="5"/>
  <c r="V40" i="8"/>
  <c r="W36" i="8" s="1"/>
  <c r="V55" i="8"/>
  <c r="W52" i="8" s="1"/>
  <c r="V48" i="8"/>
  <c r="W45" i="8" s="1"/>
  <c r="V9" i="8"/>
  <c r="V57" i="4"/>
  <c r="V91" i="4" s="1"/>
  <c r="BX54" i="8"/>
  <c r="BX46" i="8"/>
  <c r="BX53" i="8"/>
  <c r="BT53" i="8" s="1"/>
  <c r="T55" i="8"/>
  <c r="V52" i="8" s="1"/>
  <c r="Z52" i="8" s="1"/>
  <c r="T48" i="8"/>
  <c r="V45" i="8" s="1"/>
  <c r="T40" i="8"/>
  <c r="V36" i="8" s="1"/>
  <c r="T28" i="8"/>
  <c r="T24" i="8"/>
  <c r="U24" i="8" s="1"/>
  <c r="T22" i="8"/>
  <c r="U22" i="8" s="1"/>
  <c r="T57" i="4"/>
  <c r="T91" i="4" s="1"/>
  <c r="S55" i="8"/>
  <c r="T52" i="8" s="1"/>
  <c r="S48" i="8"/>
  <c r="T45" i="8" s="1"/>
  <c r="S40" i="8"/>
  <c r="T36" i="8" s="1"/>
  <c r="S24" i="8"/>
  <c r="R24" i="8"/>
  <c r="Q24" i="8"/>
  <c r="S22" i="8"/>
  <c r="S30" i="8"/>
  <c r="S28" i="8"/>
  <c r="S9" i="8"/>
  <c r="S57" i="4"/>
  <c r="T54" i="4" s="1"/>
  <c r="T41" i="5"/>
  <c r="R55" i="8"/>
  <c r="S52" i="8" s="1"/>
  <c r="R48" i="8"/>
  <c r="S45" i="8" s="1"/>
  <c r="R30" i="8"/>
  <c r="R28" i="8"/>
  <c r="R22" i="8"/>
  <c r="R14" i="8" s="1"/>
  <c r="R9" i="8"/>
  <c r="R36" i="5"/>
  <c r="S36" i="5" s="1"/>
  <c r="R33" i="5"/>
  <c r="T27" i="5"/>
  <c r="T38" i="8" s="1"/>
  <c r="T26" i="5"/>
  <c r="R25" i="5"/>
  <c r="S25" i="5" s="1"/>
  <c r="S28" i="5"/>
  <c r="T28" i="5" s="1"/>
  <c r="T19" i="5"/>
  <c r="T17" i="5"/>
  <c r="R13" i="5"/>
  <c r="S13" i="5" s="1"/>
  <c r="T13" i="5" s="1"/>
  <c r="R11" i="5"/>
  <c r="R10" i="5"/>
  <c r="S10" i="5" s="1"/>
  <c r="T10" i="5" s="1"/>
  <c r="R39" i="8"/>
  <c r="R57" i="4"/>
  <c r="S54" i="4" s="1"/>
  <c r="R36" i="4"/>
  <c r="R40" i="8"/>
  <c r="S36" i="8" s="1"/>
  <c r="R8" i="8"/>
  <c r="R19" i="4"/>
  <c r="Q22" i="8"/>
  <c r="Q30" i="8"/>
  <c r="Q55" i="8"/>
  <c r="R52" i="8" s="1"/>
  <c r="Q48" i="8"/>
  <c r="R45" i="8" s="1"/>
  <c r="U45" i="8"/>
  <c r="Q39" i="8"/>
  <c r="Q38" i="8"/>
  <c r="Q9" i="8"/>
  <c r="Q38" i="5"/>
  <c r="Q57" i="4"/>
  <c r="R54" i="4" s="1"/>
  <c r="Q84" i="4"/>
  <c r="R84" i="4"/>
  <c r="Q36" i="4"/>
  <c r="Q13" i="4"/>
  <c r="BS54" i="8"/>
  <c r="BS46" i="8"/>
  <c r="BO46" i="8" s="1"/>
  <c r="BS53" i="8"/>
  <c r="S27" i="7"/>
  <c r="S28" i="7" s="1"/>
  <c r="O48" i="8"/>
  <c r="O55" i="8"/>
  <c r="Q52" i="8" s="1"/>
  <c r="U52" i="8" s="1"/>
  <c r="O40" i="8"/>
  <c r="Q36" i="8" s="1"/>
  <c r="U36" i="8" s="1"/>
  <c r="O22" i="8"/>
  <c r="O14" i="8" s="1"/>
  <c r="P14" i="8" s="1"/>
  <c r="O24" i="8"/>
  <c r="P24" i="8" s="1"/>
  <c r="O28" i="8"/>
  <c r="P28" i="8" s="1"/>
  <c r="O57" i="4"/>
  <c r="Q54" i="4" s="1"/>
  <c r="U54" i="4" s="1"/>
  <c r="N28" i="8"/>
  <c r="O35" i="5"/>
  <c r="O10" i="5"/>
  <c r="N22" i="8"/>
  <c r="N14" i="8" s="1"/>
  <c r="N30" i="8"/>
  <c r="N55" i="8"/>
  <c r="O52" i="8" s="1"/>
  <c r="N48" i="8"/>
  <c r="O45" i="8" s="1"/>
  <c r="N40" i="8"/>
  <c r="O36" i="8" s="1"/>
  <c r="N9" i="8"/>
  <c r="N57" i="4"/>
  <c r="O54" i="4" s="1"/>
  <c r="N36" i="4"/>
  <c r="N69" i="4"/>
  <c r="N77" i="4"/>
  <c r="N8" i="8"/>
  <c r="O41" i="5"/>
  <c r="O28" i="5"/>
  <c r="M26" i="5"/>
  <c r="M25" i="5"/>
  <c r="O19" i="5"/>
  <c r="O17" i="5"/>
  <c r="M13" i="5"/>
  <c r="N13" i="5" s="1"/>
  <c r="O13" i="5" s="1"/>
  <c r="M11" i="5"/>
  <c r="N11" i="5" s="1"/>
  <c r="O8" i="5"/>
  <c r="O18" i="5"/>
  <c r="M30" i="8"/>
  <c r="M28" i="8"/>
  <c r="M24" i="8"/>
  <c r="M22" i="8"/>
  <c r="M14" i="8" s="1"/>
  <c r="M9" i="8"/>
  <c r="M40" i="8"/>
  <c r="N36" i="8" s="1"/>
  <c r="M55" i="8"/>
  <c r="N52" i="8" s="1"/>
  <c r="M48" i="8"/>
  <c r="N45" i="8" s="1"/>
  <c r="M57" i="4"/>
  <c r="N54" i="4" s="1"/>
  <c r="L40" i="8"/>
  <c r="M36" i="8" s="1"/>
  <c r="L39" i="8"/>
  <c r="L38" i="8"/>
  <c r="L38" i="5"/>
  <c r="U47" i="8"/>
  <c r="U54" i="8"/>
  <c r="P47" i="8"/>
  <c r="P54" i="8"/>
  <c r="P45" i="8"/>
  <c r="L55" i="8"/>
  <c r="M52" i="8" s="1"/>
  <c r="L48" i="8"/>
  <c r="M45" i="8" s="1"/>
  <c r="L22" i="8"/>
  <c r="L14" i="8" s="1"/>
  <c r="L24" i="8"/>
  <c r="L30" i="8"/>
  <c r="L28" i="8"/>
  <c r="L9" i="8"/>
  <c r="L57" i="4"/>
  <c r="L91" i="4" s="1"/>
  <c r="L36" i="4"/>
  <c r="L60" i="8"/>
  <c r="J40" i="8"/>
  <c r="L36" i="8" s="1"/>
  <c r="P36" i="8" s="1"/>
  <c r="BN54" i="8"/>
  <c r="BN53" i="8"/>
  <c r="BN41" i="5"/>
  <c r="J22" i="8"/>
  <c r="J14" i="8" s="1"/>
  <c r="K14" i="8" s="1"/>
  <c r="J24" i="8"/>
  <c r="K24" i="8" s="1"/>
  <c r="J30" i="8"/>
  <c r="J28" i="8"/>
  <c r="K28" i="8" s="1"/>
  <c r="I30" i="8"/>
  <c r="I28" i="8"/>
  <c r="J9" i="8"/>
  <c r="J57" i="4"/>
  <c r="J91" i="4" s="1"/>
  <c r="I40" i="8"/>
  <c r="J36" i="8" s="1"/>
  <c r="I9" i="8"/>
  <c r="I22" i="8"/>
  <c r="I14" i="8" s="1"/>
  <c r="I55" i="8"/>
  <c r="J52" i="8" s="1"/>
  <c r="I48" i="8"/>
  <c r="J45" i="8" s="1"/>
  <c r="I57" i="4"/>
  <c r="J54" i="4" s="1"/>
  <c r="I24" i="8"/>
  <c r="H41" i="5"/>
  <c r="I41" i="5" s="1"/>
  <c r="H36" i="5"/>
  <c r="I36" i="5" s="1"/>
  <c r="H33" i="5"/>
  <c r="I33" i="5" s="1"/>
  <c r="J33" i="5" s="1"/>
  <c r="H28" i="5"/>
  <c r="I28" i="5" s="1"/>
  <c r="H26" i="5"/>
  <c r="I26" i="5" s="1"/>
  <c r="J26" i="5" s="1"/>
  <c r="H25" i="5"/>
  <c r="I25" i="5" s="1"/>
  <c r="J25" i="5" s="1"/>
  <c r="H24" i="8"/>
  <c r="H30" i="8"/>
  <c r="H22" i="8"/>
  <c r="H14" i="8" s="1"/>
  <c r="H28" i="8"/>
  <c r="H9" i="8"/>
  <c r="H55" i="8"/>
  <c r="I52" i="8" s="1"/>
  <c r="H48" i="8"/>
  <c r="I45" i="8" s="1"/>
  <c r="H40" i="8"/>
  <c r="I36" i="8" s="1"/>
  <c r="H57" i="4"/>
  <c r="I54" i="4" s="1"/>
  <c r="G59" i="8"/>
  <c r="K59" i="8" s="1"/>
  <c r="G55" i="8"/>
  <c r="H52" i="8" s="1"/>
  <c r="K52" i="8"/>
  <c r="G48" i="8"/>
  <c r="H45" i="8" s="1"/>
  <c r="K45" i="8"/>
  <c r="H36" i="8"/>
  <c r="G30" i="8"/>
  <c r="G22" i="8"/>
  <c r="G14" i="8" s="1"/>
  <c r="G9" i="8"/>
  <c r="G57" i="4"/>
  <c r="H54" i="4" s="1"/>
  <c r="E30" i="8"/>
  <c r="E28" i="8"/>
  <c r="F28" i="8" s="1"/>
  <c r="E24" i="8"/>
  <c r="E22" i="8"/>
  <c r="E14" i="8" s="1"/>
  <c r="F14" i="8" s="1"/>
  <c r="E9" i="8"/>
  <c r="E40" i="8"/>
  <c r="BI54" i="8"/>
  <c r="BI41" i="5"/>
  <c r="BI35" i="5"/>
  <c r="BI28" i="5"/>
  <c r="BI26" i="5"/>
  <c r="BI53" i="8"/>
  <c r="BI13" i="5"/>
  <c r="E57" i="4"/>
  <c r="E91" i="4" s="1"/>
  <c r="E55" i="8"/>
  <c r="F54" i="8"/>
  <c r="F47" i="8"/>
  <c r="E48" i="8"/>
  <c r="E8" i="8"/>
  <c r="D55" i="8"/>
  <c r="E52" i="8" s="1"/>
  <c r="D48" i="8"/>
  <c r="E45" i="8" s="1"/>
  <c r="D40" i="8"/>
  <c r="E36" i="8" s="1"/>
  <c r="D30" i="8"/>
  <c r="D28" i="8"/>
  <c r="D24" i="8"/>
  <c r="E26" i="8" s="1"/>
  <c r="D22" i="8"/>
  <c r="D14" i="8" s="1"/>
  <c r="D9" i="8"/>
  <c r="D57" i="4"/>
  <c r="E54" i="4" s="1"/>
  <c r="D8" i="8"/>
  <c r="D36" i="8"/>
  <c r="C41" i="5"/>
  <c r="D41" i="5" s="1"/>
  <c r="C36" i="5"/>
  <c r="D36" i="5" s="1"/>
  <c r="D38" i="8"/>
  <c r="D30" i="5"/>
  <c r="C55" i="8"/>
  <c r="D52" i="8" s="1"/>
  <c r="C48" i="8"/>
  <c r="D45" i="8" s="1"/>
  <c r="C30" i="8"/>
  <c r="C22" i="8"/>
  <c r="C14" i="8" s="1"/>
  <c r="C9" i="8"/>
  <c r="C57" i="4"/>
  <c r="D54" i="4" s="1"/>
  <c r="B39" i="8"/>
  <c r="B38" i="8"/>
  <c r="B30" i="8"/>
  <c r="B16" i="8" s="1"/>
  <c r="B28" i="8"/>
  <c r="B24" i="8"/>
  <c r="C26" i="8" s="1"/>
  <c r="B22" i="8"/>
  <c r="B14" i="8" s="1"/>
  <c r="B9" i="8"/>
  <c r="B55" i="8"/>
  <c r="C52" i="8" s="1"/>
  <c r="B48" i="8"/>
  <c r="F45" i="8"/>
  <c r="B40" i="8"/>
  <c r="B8" i="8"/>
  <c r="BD54" i="8"/>
  <c r="AY54" i="8"/>
  <c r="AT54" i="8"/>
  <c r="K54" i="8"/>
  <c r="Z54" i="8"/>
  <c r="AE54" i="8"/>
  <c r="AO54" i="8"/>
  <c r="AF8" i="7"/>
  <c r="A58" i="7"/>
  <c r="AI10" i="5"/>
  <c r="AN10" i="5"/>
  <c r="A48" i="5"/>
  <c r="A49" i="4"/>
  <c r="A64" i="4"/>
  <c r="A68" i="4"/>
  <c r="A72" i="4"/>
  <c r="A76" i="4"/>
  <c r="A41" i="2"/>
  <c r="G30" i="5"/>
  <c r="F35" i="4"/>
  <c r="F18" i="4"/>
  <c r="F41" i="4"/>
  <c r="F28" i="4"/>
  <c r="F44" i="4"/>
  <c r="F34" i="4"/>
  <c r="L30" i="5"/>
  <c r="K34" i="4"/>
  <c r="K35" i="4"/>
  <c r="K44" i="4"/>
  <c r="K28" i="4"/>
  <c r="K41" i="4"/>
  <c r="K18" i="4"/>
  <c r="S20" i="7"/>
  <c r="K45" i="4"/>
  <c r="S49" i="7" s="1"/>
  <c r="P28" i="4"/>
  <c r="P44" i="4"/>
  <c r="P34" i="4"/>
  <c r="P18" i="4"/>
  <c r="P41" i="4"/>
  <c r="P35" i="4"/>
  <c r="K40" i="4"/>
  <c r="V30" i="5"/>
  <c r="U35" i="4"/>
  <c r="U41" i="4"/>
  <c r="U18" i="4"/>
  <c r="U44" i="4"/>
  <c r="W30" i="5"/>
  <c r="P40" i="4"/>
  <c r="AA30" i="5"/>
  <c r="Z28" i="4"/>
  <c r="Z44" i="4"/>
  <c r="Z34" i="4"/>
  <c r="Z18" i="4"/>
  <c r="Z41" i="4"/>
  <c r="Z27" i="4"/>
  <c r="Z35" i="4"/>
  <c r="Z40" i="4"/>
  <c r="AK30" i="5"/>
  <c r="B59" i="8"/>
  <c r="F59" i="8" s="1"/>
  <c r="F12" i="4"/>
  <c r="BV56" i="4"/>
  <c r="BW56" i="4" s="1"/>
  <c r="F11" i="4"/>
  <c r="F26" i="4"/>
  <c r="F10" i="4"/>
  <c r="K12" i="4"/>
  <c r="K11" i="4"/>
  <c r="P12" i="4"/>
  <c r="U12" i="4"/>
  <c r="Z12" i="4"/>
  <c r="AE12" i="4"/>
  <c r="F25" i="4"/>
  <c r="F16" i="4"/>
  <c r="F17" i="4"/>
  <c r="F42" i="4"/>
  <c r="F15" i="4"/>
  <c r="E19" i="4"/>
  <c r="F19" i="4" s="1"/>
  <c r="H19" i="4"/>
  <c r="I19" i="4"/>
  <c r="K15" i="4"/>
  <c r="C28" i="8"/>
  <c r="C24" i="8"/>
  <c r="D26" i="8" s="1"/>
  <c r="F29" i="4"/>
  <c r="F30" i="4"/>
  <c r="F43" i="4"/>
  <c r="E88" i="4"/>
  <c r="E89" i="4"/>
  <c r="E13" i="4"/>
  <c r="F13" i="4" s="1"/>
  <c r="F9" i="4"/>
  <c r="E87" i="4"/>
  <c r="F33" i="4"/>
  <c r="E36" i="4"/>
  <c r="K42" i="4"/>
  <c r="G45" i="4"/>
  <c r="G84" i="4" s="1"/>
  <c r="P42" i="4"/>
  <c r="U42" i="4"/>
  <c r="G88" i="4"/>
  <c r="G36" i="4"/>
  <c r="Z42" i="4"/>
  <c r="K26" i="4"/>
  <c r="G61" i="5"/>
  <c r="G38" i="5"/>
  <c r="G87" i="4"/>
  <c r="G89" i="4"/>
  <c r="G24" i="8"/>
  <c r="H26" i="8" s="1"/>
  <c r="G28" i="8"/>
  <c r="K30" i="4"/>
  <c r="H84" i="4"/>
  <c r="P30" i="4"/>
  <c r="H88" i="4"/>
  <c r="H89" i="4"/>
  <c r="H8" i="8"/>
  <c r="H36" i="4"/>
  <c r="H87" i="4"/>
  <c r="U30" i="4"/>
  <c r="I65" i="4"/>
  <c r="J66" i="4"/>
  <c r="K66" i="4" s="1"/>
  <c r="S43" i="7" s="1"/>
  <c r="I73" i="4"/>
  <c r="K10" i="4"/>
  <c r="L59" i="8"/>
  <c r="P59" i="8" s="1"/>
  <c r="K29" i="4"/>
  <c r="P29" i="4"/>
  <c r="K25" i="4"/>
  <c r="U29" i="4"/>
  <c r="I84" i="4"/>
  <c r="I36" i="4"/>
  <c r="I87" i="4"/>
  <c r="I89" i="4"/>
  <c r="I8" i="8"/>
  <c r="I88" i="4"/>
  <c r="I13" i="4"/>
  <c r="N36" i="5"/>
  <c r="O36" i="5" s="1"/>
  <c r="L65" i="4"/>
  <c r="L73" i="4"/>
  <c r="M69" i="4"/>
  <c r="Q78" i="4"/>
  <c r="O77" i="4"/>
  <c r="P77" i="4" s="1"/>
  <c r="Q74" i="4"/>
  <c r="O69" i="4"/>
  <c r="P26" i="4"/>
  <c r="P10" i="4"/>
  <c r="P11" i="4"/>
  <c r="P25" i="4"/>
  <c r="K30" i="8"/>
  <c r="K43" i="4"/>
  <c r="J36" i="4"/>
  <c r="K33" i="4"/>
  <c r="J87" i="4"/>
  <c r="J88" i="4"/>
  <c r="J89" i="4"/>
  <c r="K9" i="4"/>
  <c r="S26" i="7" s="1"/>
  <c r="L22" i="5"/>
  <c r="L68" i="5" s="1"/>
  <c r="L87" i="4"/>
  <c r="L89" i="4"/>
  <c r="L88" i="4"/>
  <c r="L13" i="4"/>
  <c r="L8" i="8"/>
  <c r="M84" i="4"/>
  <c r="O33" i="5"/>
  <c r="M89" i="4"/>
  <c r="M88" i="4"/>
  <c r="M87" i="4"/>
  <c r="M13" i="4"/>
  <c r="M8" i="8"/>
  <c r="N93" i="4"/>
  <c r="N89" i="4"/>
  <c r="N88" i="4"/>
  <c r="N87" i="4"/>
  <c r="N13" i="4"/>
  <c r="K16" i="4"/>
  <c r="J48" i="8"/>
  <c r="P16" i="4"/>
  <c r="U16" i="4"/>
  <c r="Z16" i="4"/>
  <c r="K17" i="4"/>
  <c r="J19" i="4"/>
  <c r="K19" i="4" s="1"/>
  <c r="J55" i="8"/>
  <c r="L19" i="4"/>
  <c r="M19" i="4"/>
  <c r="N19" i="4"/>
  <c r="P17" i="4"/>
  <c r="U17" i="4"/>
  <c r="R65" i="4"/>
  <c r="S65" i="4"/>
  <c r="S69" i="4"/>
  <c r="T27" i="7"/>
  <c r="T28" i="7" s="1"/>
  <c r="O84" i="4"/>
  <c r="P43" i="4"/>
  <c r="T20" i="7"/>
  <c r="O36" i="4"/>
  <c r="O87" i="4"/>
  <c r="P33" i="4"/>
  <c r="O88" i="4"/>
  <c r="O89" i="4"/>
  <c r="O13" i="4"/>
  <c r="P13" i="4" s="1"/>
  <c r="P9" i="4"/>
  <c r="T26" i="7" s="1"/>
  <c r="Q22" i="5"/>
  <c r="Q87" i="4"/>
  <c r="O19" i="4"/>
  <c r="P19" i="4" s="1"/>
  <c r="P15" i="4"/>
  <c r="Q88" i="4"/>
  <c r="Q89" i="4"/>
  <c r="Q8" i="8"/>
  <c r="R87" i="4"/>
  <c r="R93" i="4"/>
  <c r="U27" i="7"/>
  <c r="U28" i="7" s="1"/>
  <c r="S84" i="4"/>
  <c r="S19" i="4"/>
  <c r="S89" i="4"/>
  <c r="S88" i="4"/>
  <c r="S13" i="4"/>
  <c r="S87" i="4"/>
  <c r="T19" i="4"/>
  <c r="U19" i="4" s="1"/>
  <c r="U15" i="4"/>
  <c r="U20" i="7"/>
  <c r="V65" i="4"/>
  <c r="T65" i="4"/>
  <c r="U65" i="4" s="1"/>
  <c r="T60" i="8"/>
  <c r="T69" i="4"/>
  <c r="U69" i="4" s="1"/>
  <c r="U26" i="4"/>
  <c r="U10" i="4"/>
  <c r="U25" i="4"/>
  <c r="U11" i="4"/>
  <c r="U43" i="4"/>
  <c r="T84" i="4"/>
  <c r="U33" i="4"/>
  <c r="T87" i="4"/>
  <c r="T13" i="4"/>
  <c r="U13" i="4" s="1"/>
  <c r="T88" i="4"/>
  <c r="U9" i="4"/>
  <c r="T89" i="4"/>
  <c r="Y36" i="5"/>
  <c r="V87" i="4"/>
  <c r="V36" i="4"/>
  <c r="V19" i="4"/>
  <c r="Z17" i="4"/>
  <c r="V74" i="4"/>
  <c r="V88" i="4"/>
  <c r="V13" i="4"/>
  <c r="W65" i="4"/>
  <c r="X77" i="4"/>
  <c r="AB78" i="4"/>
  <c r="W73" i="4"/>
  <c r="X73" i="4"/>
  <c r="Z26" i="4"/>
  <c r="Y69" i="4"/>
  <c r="Z69" i="4" s="1"/>
  <c r="Z11" i="4"/>
  <c r="Z10" i="4"/>
  <c r="AA38" i="5"/>
  <c r="W19" i="4"/>
  <c r="X19" i="4"/>
  <c r="W36" i="4"/>
  <c r="V22" i="5"/>
  <c r="W89" i="4"/>
  <c r="X84" i="4"/>
  <c r="X88" i="4"/>
  <c r="X13" i="4"/>
  <c r="X89" i="4"/>
  <c r="X87" i="4"/>
  <c r="X36" i="4"/>
  <c r="Z43" i="4"/>
  <c r="Z25" i="4"/>
  <c r="V20" i="7"/>
  <c r="Y19" i="4"/>
  <c r="Z19" i="4" s="1"/>
  <c r="Z15" i="4"/>
  <c r="Y88" i="4"/>
  <c r="Y13" i="4"/>
  <c r="Z13" i="4" s="1"/>
  <c r="Y8" i="8"/>
  <c r="Z9" i="4"/>
  <c r="V26" i="7" s="1"/>
  <c r="Y36" i="4"/>
  <c r="Z33" i="4"/>
  <c r="AE15" i="4"/>
  <c r="Y89" i="4"/>
  <c r="Y87" i="4"/>
  <c r="Z30" i="4"/>
  <c r="Y24" i="8"/>
  <c r="Z24" i="8" s="1"/>
  <c r="AA31" i="4"/>
  <c r="AB31" i="4"/>
  <c r="Y28" i="5"/>
  <c r="AA22" i="5"/>
  <c r="AA68" i="5" s="1"/>
  <c r="AA19" i="4"/>
  <c r="AA87" i="4"/>
  <c r="AA88" i="4"/>
  <c r="AA89" i="4"/>
  <c r="AA13" i="4"/>
  <c r="AB93" i="4"/>
  <c r="AB19" i="4"/>
  <c r="AC31" i="4"/>
  <c r="AC13" i="4"/>
  <c r="AC88" i="4"/>
  <c r="AE11" i="4"/>
  <c r="AE25" i="4"/>
  <c r="AE16" i="4"/>
  <c r="AC19" i="4"/>
  <c r="AC55" i="8"/>
  <c r="AD52" i="8" s="1"/>
  <c r="AD19" i="4"/>
  <c r="AE17" i="4"/>
  <c r="AE10" i="4"/>
  <c r="AG61" i="4"/>
  <c r="AG66" i="4" s="1"/>
  <c r="AE43" i="4"/>
  <c r="AE33" i="4"/>
  <c r="AE9" i="4"/>
  <c r="AD88" i="4"/>
  <c r="AD13" i="4"/>
  <c r="AE13" i="4" s="1"/>
  <c r="AD89" i="4"/>
  <c r="AD87" i="4"/>
  <c r="AE30" i="4"/>
  <c r="W20" i="7"/>
  <c r="AF88" i="4"/>
  <c r="AF89" i="4"/>
  <c r="AF13" i="4"/>
  <c r="AF87" i="4"/>
  <c r="AD35" i="5"/>
  <c r="AH54" i="4"/>
  <c r="AH55" i="4" s="1"/>
  <c r="AI54" i="4"/>
  <c r="AI55" i="4" s="1"/>
  <c r="AH36" i="8"/>
  <c r="AH37" i="8" s="1"/>
  <c r="AF48" i="2" l="1"/>
  <c r="AF49" i="2" s="1"/>
  <c r="AF14" i="2"/>
  <c r="AD14" i="8"/>
  <c r="AC14" i="8"/>
  <c r="AF35" i="2"/>
  <c r="S14" i="8"/>
  <c r="Z28" i="8"/>
  <c r="Y14" i="8"/>
  <c r="G36" i="8"/>
  <c r="G37" i="8" s="1"/>
  <c r="AE24" i="8"/>
  <c r="X47" i="8"/>
  <c r="X46" i="8" s="1"/>
  <c r="V39" i="8"/>
  <c r="V37" i="8" s="1"/>
  <c r="AF14" i="8"/>
  <c r="U28" i="8"/>
  <c r="T14" i="8"/>
  <c r="U14" i="8" s="1"/>
  <c r="B15" i="8"/>
  <c r="F36" i="4"/>
  <c r="AA38" i="4"/>
  <c r="Z36" i="4"/>
  <c r="Z38" i="4" s="1"/>
  <c r="Y38" i="4"/>
  <c r="P36" i="4"/>
  <c r="AE22" i="8"/>
  <c r="F26" i="8"/>
  <c r="C16" i="8"/>
  <c r="C15" i="8" s="1"/>
  <c r="F24" i="8"/>
  <c r="G26" i="8"/>
  <c r="G16" i="8" s="1"/>
  <c r="G15" i="8" s="1"/>
  <c r="Y33" i="8"/>
  <c r="AA33" i="8" s="1"/>
  <c r="AB33" i="8" s="1"/>
  <c r="AC33" i="8" s="1"/>
  <c r="P45" i="4"/>
  <c r="AF91" i="4"/>
  <c r="F22" i="8"/>
  <c r="P22" i="8"/>
  <c r="AB20" i="8"/>
  <c r="Q28" i="8"/>
  <c r="Y46" i="8"/>
  <c r="E46" i="8"/>
  <c r="E36" i="5"/>
  <c r="AB30" i="5"/>
  <c r="Q61" i="5"/>
  <c r="S33" i="5"/>
  <c r="T33" i="5" s="1"/>
  <c r="W38" i="5"/>
  <c r="Y9" i="5"/>
  <c r="V61" i="5"/>
  <c r="W27" i="7"/>
  <c r="W28" i="7" s="1"/>
  <c r="N26" i="5"/>
  <c r="O26" i="5" s="1"/>
  <c r="T12" i="5"/>
  <c r="Y14" i="5"/>
  <c r="N25" i="5"/>
  <c r="O25" i="5" s="1"/>
  <c r="AB46" i="8"/>
  <c r="Y53" i="8"/>
  <c r="X21" i="4"/>
  <c r="W48" i="7"/>
  <c r="T53" i="8"/>
  <c r="S46" i="8"/>
  <c r="Z45" i="4"/>
  <c r="W45" i="4"/>
  <c r="W84" i="4" s="1"/>
  <c r="V45" i="4"/>
  <c r="V84" i="4" s="1"/>
  <c r="R38" i="5"/>
  <c r="R38" i="8"/>
  <c r="T39" i="8"/>
  <c r="T37" i="8" s="1"/>
  <c r="M38" i="5"/>
  <c r="M30" i="5"/>
  <c r="Y34" i="5"/>
  <c r="X38" i="5"/>
  <c r="E38" i="8"/>
  <c r="E39" i="8" s="1"/>
  <c r="AF38" i="5"/>
  <c r="J37" i="5"/>
  <c r="T35" i="5"/>
  <c r="AB38" i="5"/>
  <c r="Q68" i="5"/>
  <c r="H38" i="5"/>
  <c r="E41" i="5"/>
  <c r="M39" i="8"/>
  <c r="O11" i="5"/>
  <c r="J34" i="5"/>
  <c r="C30" i="5"/>
  <c r="C38" i="5"/>
  <c r="X8" i="8"/>
  <c r="X10" i="8" s="1"/>
  <c r="R53" i="8"/>
  <c r="AA21" i="4"/>
  <c r="AD31" i="4"/>
  <c r="AE31" i="4" s="1"/>
  <c r="I53" i="8"/>
  <c r="I21" i="4"/>
  <c r="W87" i="4"/>
  <c r="AF21" i="4"/>
  <c r="AB87" i="4"/>
  <c r="S36" i="4"/>
  <c r="AB88" i="4"/>
  <c r="S53" i="8"/>
  <c r="W13" i="4"/>
  <c r="W21" i="4" s="1"/>
  <c r="T48" i="7"/>
  <c r="T29" i="7" s="1"/>
  <c r="W88" i="4"/>
  <c r="H46" i="8"/>
  <c r="AC87" i="4"/>
  <c r="AB89" i="4"/>
  <c r="R88" i="4"/>
  <c r="W46" i="8"/>
  <c r="R89" i="4"/>
  <c r="Z29" i="4"/>
  <c r="U26" i="7"/>
  <c r="R13" i="4"/>
  <c r="R21" i="4" s="1"/>
  <c r="AD91" i="4"/>
  <c r="D53" i="8"/>
  <c r="AC89" i="4"/>
  <c r="AB8" i="8"/>
  <c r="AB10" i="8" s="1"/>
  <c r="M46" i="8"/>
  <c r="AB13" i="4"/>
  <c r="AB21" i="4" s="1"/>
  <c r="S21" i="4"/>
  <c r="O21" i="4"/>
  <c r="P21" i="4" s="1"/>
  <c r="B37" i="8"/>
  <c r="E21" i="4"/>
  <c r="F21" i="4" s="1"/>
  <c r="AF54" i="4"/>
  <c r="AJ54" i="4" s="1"/>
  <c r="M22" i="5"/>
  <c r="I10" i="8"/>
  <c r="AC91" i="4"/>
  <c r="AB70" i="4"/>
  <c r="W91" i="4"/>
  <c r="Q85" i="4"/>
  <c r="M54" i="4"/>
  <c r="M55" i="4" s="1"/>
  <c r="L85" i="4"/>
  <c r="AD55" i="4"/>
  <c r="W22" i="5"/>
  <c r="W68" i="5" s="1"/>
  <c r="C22" i="5"/>
  <c r="C61" i="5" s="1"/>
  <c r="W11" i="7"/>
  <c r="R22" i="5"/>
  <c r="O91" i="4"/>
  <c r="K22" i="8"/>
  <c r="AD53" i="8"/>
  <c r="N46" i="8"/>
  <c r="Q14" i="8"/>
  <c r="J46" i="8"/>
  <c r="Q46" i="8"/>
  <c r="Q91" i="4"/>
  <c r="L54" i="4"/>
  <c r="L55" i="4" s="1"/>
  <c r="H55" i="4"/>
  <c r="W54" i="4"/>
  <c r="W55" i="4" s="1"/>
  <c r="R10" i="8"/>
  <c r="AE45" i="8"/>
  <c r="AC19" i="8"/>
  <c r="AD19" i="8" s="1"/>
  <c r="AG19" i="8" s="1"/>
  <c r="AC46" i="8"/>
  <c r="W53" i="8"/>
  <c r="H53" i="8"/>
  <c r="R46" i="8"/>
  <c r="M53" i="8"/>
  <c r="J53" i="8"/>
  <c r="L46" i="8"/>
  <c r="AG52" i="8"/>
  <c r="AG53" i="8" s="1"/>
  <c r="AF53" i="8"/>
  <c r="I91" i="4"/>
  <c r="Y10" i="8"/>
  <c r="H91" i="4"/>
  <c r="X55" i="4"/>
  <c r="X91" i="4"/>
  <c r="G91" i="4"/>
  <c r="Z9" i="8"/>
  <c r="AA91" i="4"/>
  <c r="N10" i="8"/>
  <c r="D10" i="8"/>
  <c r="V38" i="5"/>
  <c r="V40" i="5" s="1"/>
  <c r="V42" i="5" s="1"/>
  <c r="V45" i="5" s="1"/>
  <c r="V46" i="5" s="1"/>
  <c r="AA30" i="8"/>
  <c r="R91" i="4"/>
  <c r="AC78" i="4"/>
  <c r="R85" i="4"/>
  <c r="R55" i="4"/>
  <c r="Q10" i="8"/>
  <c r="AA55" i="5"/>
  <c r="T55" i="4"/>
  <c r="S91" i="4"/>
  <c r="V54" i="4"/>
  <c r="V55" i="4" s="1"/>
  <c r="H22" i="5"/>
  <c r="D55" i="4"/>
  <c r="AB22" i="5"/>
  <c r="L10" i="8"/>
  <c r="N91" i="4"/>
  <c r="I55" i="4"/>
  <c r="AB91" i="4"/>
  <c r="B10" i="8"/>
  <c r="AC10" i="8"/>
  <c r="AB55" i="4"/>
  <c r="M10" i="8"/>
  <c r="M91" i="4"/>
  <c r="Q93" i="4"/>
  <c r="J93" i="4"/>
  <c r="J84" i="4"/>
  <c r="N74" i="4"/>
  <c r="T73" i="4"/>
  <c r="U73" i="4" s="1"/>
  <c r="W77" i="4"/>
  <c r="B29" i="8"/>
  <c r="AF62" i="4"/>
  <c r="AF70" i="4" s="1"/>
  <c r="AA70" i="4"/>
  <c r="AA82" i="4" s="1"/>
  <c r="AA61" i="5"/>
  <c r="V48" i="7"/>
  <c r="S73" i="4"/>
  <c r="S81" i="4" s="1"/>
  <c r="L55" i="5"/>
  <c r="U40" i="4"/>
  <c r="U45" i="4" s="1"/>
  <c r="U49" i="7" s="1"/>
  <c r="Y74" i="4"/>
  <c r="Z74" i="4" s="1"/>
  <c r="V45" i="7" s="1"/>
  <c r="Y66" i="4"/>
  <c r="Z66" i="4" s="1"/>
  <c r="V43" i="7" s="1"/>
  <c r="S74" i="4"/>
  <c r="L40" i="5"/>
  <c r="L42" i="5" s="1"/>
  <c r="L45" i="5" s="1"/>
  <c r="H21" i="4"/>
  <c r="AD21" i="4"/>
  <c r="AE21" i="4" s="1"/>
  <c r="L61" i="5"/>
  <c r="BJ56" i="4"/>
  <c r="BK56" i="4" s="1"/>
  <c r="BL56" i="4" s="1"/>
  <c r="BM56" i="4" s="1"/>
  <c r="BO56" i="4" s="1"/>
  <c r="J36" i="5"/>
  <c r="L37" i="8"/>
  <c r="O46" i="8"/>
  <c r="AA28" i="8"/>
  <c r="C53" i="8"/>
  <c r="I38" i="5"/>
  <c r="N55" i="4"/>
  <c r="Q31" i="4"/>
  <c r="Q38" i="4" s="1"/>
  <c r="T36" i="5"/>
  <c r="T25" i="5"/>
  <c r="AC55" i="4"/>
  <c r="C38" i="8"/>
  <c r="J28" i="5"/>
  <c r="N53" i="8"/>
  <c r="N73" i="4"/>
  <c r="O8" i="8"/>
  <c r="Q53" i="8"/>
  <c r="AE14" i="8"/>
  <c r="L78" i="4"/>
  <c r="J85" i="4"/>
  <c r="AA84" i="4"/>
  <c r="K9" i="8"/>
  <c r="L69" i="4"/>
  <c r="L81" i="4" s="1"/>
  <c r="N70" i="4"/>
  <c r="E10" i="8"/>
  <c r="G40" i="5"/>
  <c r="G42" i="5" s="1"/>
  <c r="G45" i="5" s="1"/>
  <c r="AF37" i="8"/>
  <c r="AA40" i="5"/>
  <c r="AA42" i="5" s="1"/>
  <c r="Y70" i="4"/>
  <c r="Z70" i="4" s="1"/>
  <c r="V44" i="7" s="1"/>
  <c r="V77" i="4"/>
  <c r="N21" i="4"/>
  <c r="S48" i="7"/>
  <c r="S29" i="7" s="1"/>
  <c r="S13" i="7" s="1"/>
  <c r="H10" i="8"/>
  <c r="V68" i="5"/>
  <c r="W74" i="4"/>
  <c r="Z36" i="8"/>
  <c r="M21" i="4"/>
  <c r="V46" i="8"/>
  <c r="L21" i="4"/>
  <c r="U48" i="7"/>
  <c r="G55" i="5"/>
  <c r="AC21" i="4"/>
  <c r="Y73" i="4"/>
  <c r="Z73" i="4" s="1"/>
  <c r="V21" i="4"/>
  <c r="AE27" i="4"/>
  <c r="G54" i="4"/>
  <c r="K54" i="4" s="1"/>
  <c r="E55" i="4"/>
  <c r="B46" i="8"/>
  <c r="C45" i="8"/>
  <c r="C46" i="8" s="1"/>
  <c r="D16" i="8"/>
  <c r="D29" i="8" s="1"/>
  <c r="N39" i="8"/>
  <c r="O9" i="5"/>
  <c r="O31" i="2" s="1"/>
  <c r="W38" i="8"/>
  <c r="W37" i="8" s="1"/>
  <c r="X38" i="8"/>
  <c r="Y41" i="5"/>
  <c r="C8" i="8"/>
  <c r="C10" i="8" s="1"/>
  <c r="C39" i="8"/>
  <c r="G8" i="8"/>
  <c r="G10" i="8" s="1"/>
  <c r="I46" i="8"/>
  <c r="N38" i="8"/>
  <c r="M38" i="8"/>
  <c r="O37" i="5"/>
  <c r="Q55" i="4"/>
  <c r="Q40" i="8"/>
  <c r="R36" i="8" s="1"/>
  <c r="Q19" i="4"/>
  <c r="Q21" i="4" s="1"/>
  <c r="S11" i="5"/>
  <c r="T11" i="5" s="1"/>
  <c r="T18" i="5"/>
  <c r="T37" i="5"/>
  <c r="V8" i="8"/>
  <c r="V10" i="8" s="1"/>
  <c r="AF22" i="5"/>
  <c r="AF30" i="5"/>
  <c r="D46" i="8"/>
  <c r="BO53" i="8"/>
  <c r="BP53" i="8" s="1"/>
  <c r="V22" i="8"/>
  <c r="V14" i="8" s="1"/>
  <c r="S8" i="8"/>
  <c r="S10" i="8" s="1"/>
  <c r="AA22" i="8"/>
  <c r="AC13" i="5"/>
  <c r="AD13" i="5" s="1"/>
  <c r="O53" i="8"/>
  <c r="Y18" i="5"/>
  <c r="Y33" i="5"/>
  <c r="AA53" i="8"/>
  <c r="AC38" i="5"/>
  <c r="AE42" i="4"/>
  <c r="AD37" i="5"/>
  <c r="O34" i="5"/>
  <c r="O55" i="4"/>
  <c r="S55" i="4"/>
  <c r="X74" i="4"/>
  <c r="L74" i="4"/>
  <c r="T74" i="4"/>
  <c r="U74" i="4" s="1"/>
  <c r="U45" i="7" s="1"/>
  <c r="O73" i="4"/>
  <c r="P73" i="4" s="1"/>
  <c r="V69" i="4"/>
  <c r="G93" i="4"/>
  <c r="AQ30" i="5"/>
  <c r="N84" i="4"/>
  <c r="I85" i="4"/>
  <c r="O93" i="4"/>
  <c r="S55" i="7"/>
  <c r="S56" i="7" s="1"/>
  <c r="AZ30" i="5"/>
  <c r="W26" i="7"/>
  <c r="V73" i="4"/>
  <c r="V66" i="4"/>
  <c r="S70" i="4"/>
  <c r="S78" i="4"/>
  <c r="G69" i="4"/>
  <c r="G73" i="4"/>
  <c r="AD36" i="5"/>
  <c r="X20" i="7"/>
  <c r="AE19" i="4"/>
  <c r="Y21" i="4"/>
  <c r="Z21" i="4" s="1"/>
  <c r="V55" i="5"/>
  <c r="AE26" i="4"/>
  <c r="W78" i="4"/>
  <c r="V70" i="4"/>
  <c r="T21" i="4"/>
  <c r="U21" i="4" s="1"/>
  <c r="U34" i="7" s="1"/>
  <c r="V78" i="4"/>
  <c r="N85" i="4"/>
  <c r="S66" i="4"/>
  <c r="S77" i="4"/>
  <c r="M74" i="4"/>
  <c r="L66" i="4"/>
  <c r="I69" i="4"/>
  <c r="I81" i="4" s="1"/>
  <c r="J78" i="4"/>
  <c r="K78" i="4" s="1"/>
  <c r="G70" i="4"/>
  <c r="U12" i="7"/>
  <c r="Z45" i="8"/>
  <c r="X66" i="4"/>
  <c r="W66" i="4"/>
  <c r="Y65" i="4"/>
  <c r="Z65" i="4" s="1"/>
  <c r="M73" i="4"/>
  <c r="BX56" i="4"/>
  <c r="BY56" i="4"/>
  <c r="AR30" i="5"/>
  <c r="AP30" i="5"/>
  <c r="I30" i="5"/>
  <c r="H30" i="5"/>
  <c r="I38" i="8"/>
  <c r="J27" i="5"/>
  <c r="J38" i="8" s="1"/>
  <c r="H38" i="8"/>
  <c r="O21" i="5"/>
  <c r="T21" i="5"/>
  <c r="G46" i="8"/>
  <c r="H39" i="8"/>
  <c r="J41" i="5"/>
  <c r="J35" i="5"/>
  <c r="J55" i="4"/>
  <c r="BJ53" i="8"/>
  <c r="J13" i="4"/>
  <c r="S38" i="8"/>
  <c r="Y29" i="5"/>
  <c r="J8" i="8"/>
  <c r="J10" i="8" s="1"/>
  <c r="L61" i="8"/>
  <c r="M59" i="8" s="1"/>
  <c r="N65" i="4"/>
  <c r="N24" i="8"/>
  <c r="Q30" i="5"/>
  <c r="T8" i="8"/>
  <c r="BU53" i="8"/>
  <c r="BV53" i="8" s="1"/>
  <c r="BW53" i="8" s="1"/>
  <c r="O14" i="5"/>
  <c r="N66" i="4"/>
  <c r="T8" i="5"/>
  <c r="AD21" i="5"/>
  <c r="W8" i="8"/>
  <c r="W10" i="8" s="1"/>
  <c r="X28" i="8"/>
  <c r="X14" i="8" s="1"/>
  <c r="AA78" i="4"/>
  <c r="AA65" i="4"/>
  <c r="AD29" i="5"/>
  <c r="AA77" i="4"/>
  <c r="AA8" i="8"/>
  <c r="AA10" i="8" s="1"/>
  <c r="AD33" i="5"/>
  <c r="W24" i="8"/>
  <c r="W14" i="8" s="1"/>
  <c r="AD14" i="5"/>
  <c r="AB22" i="8"/>
  <c r="AB14" i="8" s="1"/>
  <c r="AB38" i="8"/>
  <c r="AC11" i="5"/>
  <c r="AD11" i="5" s="1"/>
  <c r="AD17" i="5"/>
  <c r="AC25" i="5"/>
  <c r="AD41" i="5"/>
  <c r="AD10" i="5"/>
  <c r="AD19" i="5"/>
  <c r="AD18" i="5"/>
  <c r="AC26" i="5"/>
  <c r="AD26" i="5" s="1"/>
  <c r="AC38" i="8"/>
  <c r="AD8" i="8"/>
  <c r="AD10" i="8" s="1"/>
  <c r="AD28" i="5"/>
  <c r="AF10" i="8"/>
  <c r="H74" i="4"/>
  <c r="H69" i="4"/>
  <c r="H73" i="4"/>
  <c r="H70" i="4"/>
  <c r="AG65" i="4"/>
  <c r="AG77" i="4"/>
  <c r="X78" i="4"/>
  <c r="V53" i="8"/>
  <c r="L52" i="8"/>
  <c r="F62" i="4"/>
  <c r="E70" i="4"/>
  <c r="F70" i="4" s="1"/>
  <c r="X65" i="4"/>
  <c r="AJ24" i="8"/>
  <c r="X69" i="4"/>
  <c r="T70" i="4"/>
  <c r="U70" i="4" s="1"/>
  <c r="U44" i="7" s="1"/>
  <c r="O66" i="4"/>
  <c r="P66" i="4" s="1"/>
  <c r="T43" i="7" s="1"/>
  <c r="O65" i="4"/>
  <c r="P65" i="4" s="1"/>
  <c r="O78" i="4"/>
  <c r="P78" i="4" s="1"/>
  <c r="Q77" i="4"/>
  <c r="Q66" i="4"/>
  <c r="Q65" i="4"/>
  <c r="M77" i="4"/>
  <c r="M78" i="4"/>
  <c r="O74" i="4"/>
  <c r="P74" i="4" s="1"/>
  <c r="T45" i="7" s="1"/>
  <c r="I70" i="4"/>
  <c r="I66" i="4"/>
  <c r="G74" i="4"/>
  <c r="O70" i="4"/>
  <c r="P70" i="4" s="1"/>
  <c r="T44" i="7" s="1"/>
  <c r="S12" i="7"/>
  <c r="J77" i="4"/>
  <c r="K77" i="4" s="1"/>
  <c r="E53" i="8"/>
  <c r="CA46" i="8"/>
  <c r="CB46" i="8" s="1"/>
  <c r="CF46" i="8"/>
  <c r="CG46" i="8" s="1"/>
  <c r="CE53" i="8"/>
  <c r="X53" i="8"/>
  <c r="BZ53" i="8"/>
  <c r="CA53" i="8" s="1"/>
  <c r="AF46" i="8"/>
  <c r="BP46" i="8"/>
  <c r="BT46" i="8"/>
  <c r="N78" i="4"/>
  <c r="M85" i="4"/>
  <c r="Y93" i="4"/>
  <c r="L93" i="4"/>
  <c r="H93" i="4"/>
  <c r="AI36" i="8"/>
  <c r="AI37" i="8" s="1"/>
  <c r="AJ30" i="4"/>
  <c r="AJ18" i="8"/>
  <c r="AT18" i="8"/>
  <c r="AO18" i="8"/>
  <c r="AH52" i="8"/>
  <c r="AH53" i="8" s="1"/>
  <c r="Y78" i="4"/>
  <c r="Z78" i="4" s="1"/>
  <c r="Y77" i="4"/>
  <c r="Z77" i="4" s="1"/>
  <c r="R77" i="4"/>
  <c r="I77" i="4"/>
  <c r="I78" i="4"/>
  <c r="L77" i="4"/>
  <c r="AB77" i="4"/>
  <c r="AB65" i="4"/>
  <c r="AB66" i="4"/>
  <c r="R66" i="4"/>
  <c r="M66" i="4"/>
  <c r="T66" i="4"/>
  <c r="U66" i="4" s="1"/>
  <c r="U43" i="7" s="1"/>
  <c r="T77" i="4"/>
  <c r="U77" i="4" s="1"/>
  <c r="R78" i="4"/>
  <c r="M65" i="4"/>
  <c r="J65" i="4"/>
  <c r="K65" i="4" s="1"/>
  <c r="T78" i="4"/>
  <c r="U78" i="4" s="1"/>
  <c r="K61" i="4"/>
  <c r="H60" i="8"/>
  <c r="AF61" i="4"/>
  <c r="P69" i="4"/>
  <c r="J73" i="4"/>
  <c r="K73" i="4" s="1"/>
  <c r="J74" i="4"/>
  <c r="K74" i="4" s="1"/>
  <c r="S45" i="7" s="1"/>
  <c r="K62" i="4"/>
  <c r="J70" i="4"/>
  <c r="J69" i="4"/>
  <c r="Q73" i="4"/>
  <c r="Q69" i="4"/>
  <c r="Q70" i="4"/>
  <c r="R73" i="4"/>
  <c r="R70" i="4"/>
  <c r="R74" i="4"/>
  <c r="X70" i="4"/>
  <c r="W69" i="4"/>
  <c r="W81" i="4" s="1"/>
  <c r="W70" i="4"/>
  <c r="R69" i="4"/>
  <c r="L70" i="4"/>
  <c r="M70" i="4"/>
  <c r="E73" i="4"/>
  <c r="F73" i="4" s="1"/>
  <c r="E69" i="4"/>
  <c r="F69" i="4" s="1"/>
  <c r="E74" i="4"/>
  <c r="F74" i="4" s="1"/>
  <c r="I74" i="4"/>
  <c r="AA69" i="4"/>
  <c r="AA73" i="4"/>
  <c r="AK54" i="4"/>
  <c r="T85" i="4"/>
  <c r="AC85" i="4"/>
  <c r="M93" i="4"/>
  <c r="L84" i="4"/>
  <c r="T93" i="4"/>
  <c r="H85" i="4"/>
  <c r="AO28" i="4"/>
  <c r="AJ28" i="4"/>
  <c r="R31" i="4"/>
  <c r="U28" i="4"/>
  <c r="AC36" i="4"/>
  <c r="AC38" i="4" s="1"/>
  <c r="U34" i="4"/>
  <c r="T36" i="4"/>
  <c r="K36" i="4"/>
  <c r="AB36" i="4"/>
  <c r="AB38" i="4" s="1"/>
  <c r="AA93" i="4"/>
  <c r="AA85" i="4"/>
  <c r="X93" i="4"/>
  <c r="O85" i="4"/>
  <c r="I93" i="4"/>
  <c r="S93" i="4"/>
  <c r="AB85" i="4"/>
  <c r="G85" i="4"/>
  <c r="AB84" i="4"/>
  <c r="X85" i="4"/>
  <c r="S85" i="4"/>
  <c r="Y84" i="4"/>
  <c r="AO12" i="4"/>
  <c r="AJ12" i="4"/>
  <c r="E78" i="4"/>
  <c r="F78" i="4" s="1"/>
  <c r="G66" i="4"/>
  <c r="H66" i="4"/>
  <c r="AG78" i="4"/>
  <c r="AG19" i="4"/>
  <c r="AJ18" i="4"/>
  <c r="AJ41" i="4"/>
  <c r="AJ44" i="4"/>
  <c r="AJ29" i="4"/>
  <c r="AD84" i="4"/>
  <c r="AA37" i="8"/>
  <c r="AD46" i="8"/>
  <c r="AG9" i="2"/>
  <c r="AG62" i="4"/>
  <c r="AG48" i="2" l="1"/>
  <c r="AL49" i="2" s="1"/>
  <c r="AG14" i="2"/>
  <c r="AF18" i="2"/>
  <c r="AF20" i="2" s="1"/>
  <c r="AF55" i="2"/>
  <c r="V51" i="5"/>
  <c r="W44" i="5"/>
  <c r="O40" i="2"/>
  <c r="O56" i="2"/>
  <c r="T40" i="2"/>
  <c r="Y39" i="8"/>
  <c r="Y31" i="2"/>
  <c r="AF41" i="2"/>
  <c r="AG49" i="2"/>
  <c r="AF39" i="2"/>
  <c r="AF53" i="2"/>
  <c r="AF54" i="2" s="1"/>
  <c r="AF31" i="2"/>
  <c r="AG35" i="2"/>
  <c r="AL35" i="2"/>
  <c r="K36" i="8"/>
  <c r="Z47" i="8"/>
  <c r="AA14" i="8"/>
  <c r="C29" i="8"/>
  <c r="R38" i="4"/>
  <c r="R47" i="4" s="1"/>
  <c r="R52" i="4" s="1"/>
  <c r="AJ37" i="8"/>
  <c r="AJ40" i="8" s="1"/>
  <c r="C37" i="8"/>
  <c r="F38" i="8"/>
  <c r="Q47" i="4"/>
  <c r="Q52" i="4" s="1"/>
  <c r="BN56" i="4"/>
  <c r="S38" i="5"/>
  <c r="Z14" i="8"/>
  <c r="N30" i="5"/>
  <c r="E38" i="5"/>
  <c r="M37" i="8"/>
  <c r="AE53" i="8"/>
  <c r="AE55" i="8" s="1"/>
  <c r="Z46" i="8"/>
  <c r="U53" i="8"/>
  <c r="U55" i="8" s="1"/>
  <c r="AC20" i="8"/>
  <c r="Y38" i="5"/>
  <c r="AA45" i="5"/>
  <c r="AA46" i="5" s="1"/>
  <c r="AA51" i="5" s="1"/>
  <c r="AB61" i="5"/>
  <c r="X39" i="8"/>
  <c r="R61" i="5"/>
  <c r="S39" i="8"/>
  <c r="U39" i="8" s="1"/>
  <c r="W29" i="7"/>
  <c r="W13" i="7" s="1"/>
  <c r="AF55" i="4"/>
  <c r="AJ55" i="4" s="1"/>
  <c r="AJ57" i="4" s="1"/>
  <c r="S22" i="5"/>
  <c r="T14" i="5"/>
  <c r="T22" i="5" s="1"/>
  <c r="R37" i="8"/>
  <c r="U38" i="8"/>
  <c r="M61" i="5"/>
  <c r="M40" i="5"/>
  <c r="M42" i="5" s="1"/>
  <c r="M45" i="5" s="1"/>
  <c r="D38" i="5"/>
  <c r="W93" i="4"/>
  <c r="W85" i="4"/>
  <c r="V93" i="4"/>
  <c r="V85" i="4"/>
  <c r="Q37" i="8"/>
  <c r="M55" i="5"/>
  <c r="M68" i="5"/>
  <c r="H61" i="5"/>
  <c r="AF40" i="5"/>
  <c r="AF42" i="5" s="1"/>
  <c r="O39" i="8"/>
  <c r="P39" i="8" s="1"/>
  <c r="J38" i="5"/>
  <c r="J29" i="5"/>
  <c r="J30" i="5" s="1"/>
  <c r="E22" i="5"/>
  <c r="E55" i="5" s="1"/>
  <c r="U29" i="7"/>
  <c r="U13" i="7" s="1"/>
  <c r="U46" i="8"/>
  <c r="U48" i="8" s="1"/>
  <c r="BI56" i="4"/>
  <c r="K53" i="8"/>
  <c r="K55" i="8" s="1"/>
  <c r="V21" i="2"/>
  <c r="V60" i="2" s="1"/>
  <c r="AB73" i="4"/>
  <c r="AB69" i="4"/>
  <c r="AB74" i="4"/>
  <c r="AB82" i="4" s="1"/>
  <c r="C55" i="5"/>
  <c r="C40" i="5"/>
  <c r="C42" i="5" s="1"/>
  <c r="C45" i="5" s="1"/>
  <c r="C46" i="5" s="1"/>
  <c r="D44" i="5" s="1"/>
  <c r="W55" i="5"/>
  <c r="W61" i="5"/>
  <c r="W40" i="5"/>
  <c r="W42" i="5" s="1"/>
  <c r="W45" i="5" s="1"/>
  <c r="R68" i="5"/>
  <c r="Z54" i="4"/>
  <c r="P54" i="4"/>
  <c r="AC66" i="4"/>
  <c r="BA30" i="5"/>
  <c r="S50" i="7"/>
  <c r="K46" i="8"/>
  <c r="K48" i="8" s="1"/>
  <c r="P46" i="8"/>
  <c r="P48" i="8" s="1"/>
  <c r="F46" i="8"/>
  <c r="F48" i="8" s="1"/>
  <c r="AE46" i="8"/>
  <c r="AE48" i="8" s="1"/>
  <c r="AC77" i="4"/>
  <c r="AC65" i="4"/>
  <c r="F55" i="8"/>
  <c r="K38" i="8"/>
  <c r="AD65" i="4"/>
  <c r="AE65" i="4" s="1"/>
  <c r="N81" i="4"/>
  <c r="AD78" i="4"/>
  <c r="AE78" i="4" s="1"/>
  <c r="N82" i="4"/>
  <c r="AD66" i="4"/>
  <c r="AE66" i="4" s="1"/>
  <c r="W43" i="7" s="1"/>
  <c r="AD77" i="4"/>
  <c r="AE77" i="4" s="1"/>
  <c r="B11" i="8"/>
  <c r="AC74" i="4"/>
  <c r="P55" i="4"/>
  <c r="C11" i="8"/>
  <c r="T81" i="4"/>
  <c r="M81" i="4"/>
  <c r="AD70" i="4"/>
  <c r="AE70" i="4" s="1"/>
  <c r="W44" i="7" s="1"/>
  <c r="G29" i="8"/>
  <c r="AC60" i="8"/>
  <c r="AF11" i="8"/>
  <c r="Y60" i="8"/>
  <c r="N11" i="8"/>
  <c r="AB40" i="5"/>
  <c r="AB42" i="5" s="1"/>
  <c r="AB45" i="5" s="1"/>
  <c r="AB68" i="5"/>
  <c r="AB55" i="5"/>
  <c r="G55" i="4"/>
  <c r="K55" i="4" s="1"/>
  <c r="K57" i="4" s="1"/>
  <c r="D15" i="8"/>
  <c r="X82" i="4"/>
  <c r="M11" i="8"/>
  <c r="AD11" i="8"/>
  <c r="R21" i="2"/>
  <c r="R60" i="2" s="1"/>
  <c r="M60" i="8"/>
  <c r="M61" i="8" s="1"/>
  <c r="N59" i="8" s="1"/>
  <c r="M21" i="2"/>
  <c r="M82" i="4"/>
  <c r="AF69" i="4"/>
  <c r="AF73" i="4"/>
  <c r="R60" i="8"/>
  <c r="AF74" i="4"/>
  <c r="V46" i="7"/>
  <c r="AU30" i="5"/>
  <c r="AG11" i="8"/>
  <c r="Y81" i="4"/>
  <c r="AB11" i="8"/>
  <c r="BQ53" i="8"/>
  <c r="BR53" i="8" s="1"/>
  <c r="AG20" i="8"/>
  <c r="AH19" i="8"/>
  <c r="AI19" i="8" s="1"/>
  <c r="AD27" i="5"/>
  <c r="AD38" i="8" s="1"/>
  <c r="AE38" i="8" s="1"/>
  <c r="AE19" i="8"/>
  <c r="O38" i="5"/>
  <c r="H82" i="4"/>
  <c r="Y27" i="5"/>
  <c r="Y38" i="8" s="1"/>
  <c r="AD20" i="8"/>
  <c r="X30" i="5"/>
  <c r="L82" i="4"/>
  <c r="W82" i="4"/>
  <c r="Y11" i="8"/>
  <c r="O29" i="5"/>
  <c r="O27" i="5"/>
  <c r="O38" i="8" s="1"/>
  <c r="E65" i="4"/>
  <c r="E81" i="4" s="1"/>
  <c r="U55" i="4"/>
  <c r="U57" i="4" s="1"/>
  <c r="X81" i="4"/>
  <c r="AC84" i="4"/>
  <c r="I39" i="8"/>
  <c r="I37" i="8" s="1"/>
  <c r="I22" i="5"/>
  <c r="Y82" i="4"/>
  <c r="N22" i="5"/>
  <c r="V81" i="4"/>
  <c r="AI33" i="5"/>
  <c r="AF21" i="2"/>
  <c r="AF60" i="8"/>
  <c r="AI21" i="5"/>
  <c r="AD34" i="5"/>
  <c r="AD38" i="5" s="1"/>
  <c r="AI18" i="5"/>
  <c r="D39" i="8"/>
  <c r="D37" i="8" s="1"/>
  <c r="D22" i="5"/>
  <c r="AF68" i="5"/>
  <c r="AF55" i="5"/>
  <c r="AF61" i="5"/>
  <c r="AH11" i="8"/>
  <c r="AI11" i="8"/>
  <c r="O12" i="5"/>
  <c r="S82" i="4"/>
  <c r="J39" i="8"/>
  <c r="J37" i="8" s="1"/>
  <c r="D11" i="8"/>
  <c r="E60" i="8"/>
  <c r="E11" i="8"/>
  <c r="AA11" i="8"/>
  <c r="T34" i="5"/>
  <c r="T38" i="5" s="1"/>
  <c r="V82" i="4"/>
  <c r="N38" i="5"/>
  <c r="AC11" i="8"/>
  <c r="AI14" i="5"/>
  <c r="AI19" i="5"/>
  <c r="AG30" i="5"/>
  <c r="N37" i="8"/>
  <c r="AJ27" i="4"/>
  <c r="AF31" i="4"/>
  <c r="AD60" i="8"/>
  <c r="U46" i="7"/>
  <c r="O82" i="4"/>
  <c r="R81" i="4"/>
  <c r="AS30" i="5"/>
  <c r="T46" i="7"/>
  <c r="O60" i="8"/>
  <c r="H37" i="8"/>
  <c r="E37" i="8"/>
  <c r="BU46" i="8"/>
  <c r="BV46" i="8" s="1"/>
  <c r="BW46" i="8" s="1"/>
  <c r="AC22" i="5"/>
  <c r="AD12" i="5"/>
  <c r="AD33" i="8"/>
  <c r="AF33" i="8" s="1"/>
  <c r="AI33" i="8" s="1"/>
  <c r="R30" i="5"/>
  <c r="S30" i="5"/>
  <c r="BZ56" i="4"/>
  <c r="CA56" i="4" s="1"/>
  <c r="CB56" i="4" s="1"/>
  <c r="CD56" i="4" s="1"/>
  <c r="G82" i="4"/>
  <c r="AC93" i="4"/>
  <c r="I82" i="4"/>
  <c r="Q82" i="4"/>
  <c r="O81" i="4"/>
  <c r="CB53" i="8"/>
  <c r="AF20" i="8"/>
  <c r="AD9" i="5"/>
  <c r="AD31" i="2" s="1"/>
  <c r="K13" i="4"/>
  <c r="J21" i="4"/>
  <c r="K21" i="4" s="1"/>
  <c r="BK53" i="8"/>
  <c r="BL53" i="8" s="1"/>
  <c r="H40" i="5"/>
  <c r="H42" i="5" s="1"/>
  <c r="H45" i="5" s="1"/>
  <c r="L11" i="8"/>
  <c r="Y47" i="4"/>
  <c r="Z47" i="4" s="1"/>
  <c r="AB37" i="8"/>
  <c r="BP56" i="4"/>
  <c r="BQ56" i="4" s="1"/>
  <c r="BR56" i="4" s="1"/>
  <c r="AC30" i="5"/>
  <c r="AD25" i="5"/>
  <c r="Q55" i="5"/>
  <c r="Q40" i="5"/>
  <c r="Q42" i="5" s="1"/>
  <c r="H55" i="5"/>
  <c r="X21" i="2"/>
  <c r="X60" i="2" s="1"/>
  <c r="X60" i="8"/>
  <c r="B60" i="8"/>
  <c r="B61" i="8" s="1"/>
  <c r="C59" i="8" s="1"/>
  <c r="E66" i="4"/>
  <c r="E82" i="4" s="1"/>
  <c r="AY18" i="8"/>
  <c r="AT12" i="4"/>
  <c r="P52" i="8"/>
  <c r="L53" i="8"/>
  <c r="P53" i="8" s="1"/>
  <c r="R82" i="4"/>
  <c r="BQ46" i="8"/>
  <c r="BR46" i="8" s="1"/>
  <c r="CF53" i="8"/>
  <c r="CG53" i="8" s="1"/>
  <c r="G11" i="8"/>
  <c r="H11" i="8"/>
  <c r="J11" i="8"/>
  <c r="I11" i="8"/>
  <c r="AG69" i="4"/>
  <c r="AG73" i="4"/>
  <c r="Z53" i="8"/>
  <c r="Z55" i="8" s="1"/>
  <c r="G60" i="8"/>
  <c r="G61" i="8" s="1"/>
  <c r="H59" i="8" s="1"/>
  <c r="H61" i="8" s="1"/>
  <c r="I59" i="8" s="1"/>
  <c r="Q81" i="4"/>
  <c r="AA81" i="4"/>
  <c r="E77" i="4"/>
  <c r="F77" i="4" s="1"/>
  <c r="J60" i="8"/>
  <c r="F61" i="4"/>
  <c r="W34" i="7"/>
  <c r="W12" i="7"/>
  <c r="T12" i="7"/>
  <c r="T13" i="7"/>
  <c r="T34" i="7"/>
  <c r="V34" i="7"/>
  <c r="AF65" i="4"/>
  <c r="AF77" i="4"/>
  <c r="AF66" i="4"/>
  <c r="AF78" i="4"/>
  <c r="T82" i="4"/>
  <c r="Q60" i="8"/>
  <c r="Q21" i="2"/>
  <c r="S21" i="2"/>
  <c r="S60" i="8"/>
  <c r="C60" i="8"/>
  <c r="K69" i="4"/>
  <c r="J81" i="4"/>
  <c r="I60" i="8"/>
  <c r="I21" i="2"/>
  <c r="I60" i="2" s="1"/>
  <c r="N60" i="8"/>
  <c r="N21" i="2"/>
  <c r="N60" i="2" s="1"/>
  <c r="K70" i="4"/>
  <c r="S44" i="7" s="1"/>
  <c r="S46" i="7" s="1"/>
  <c r="J82" i="4"/>
  <c r="S33" i="7"/>
  <c r="K21" i="2"/>
  <c r="K60" i="2" s="1"/>
  <c r="X27" i="7"/>
  <c r="AO54" i="4"/>
  <c r="G65" i="4"/>
  <c r="G81" i="4" s="1"/>
  <c r="G78" i="4"/>
  <c r="H78" i="4"/>
  <c r="AF45" i="4"/>
  <c r="AE40" i="4"/>
  <c r="AE45" i="4" s="1"/>
  <c r="W38" i="7" s="1"/>
  <c r="S31" i="4"/>
  <c r="U36" i="4"/>
  <c r="AE34" i="4"/>
  <c r="AD36" i="4"/>
  <c r="AD38" i="4" s="1"/>
  <c r="U38" i="7"/>
  <c r="T49" i="7"/>
  <c r="T38" i="7"/>
  <c r="U55" i="7"/>
  <c r="U56" i="7" s="1"/>
  <c r="U50" i="7"/>
  <c r="V38" i="7"/>
  <c r="V49" i="7"/>
  <c r="G77" i="4"/>
  <c r="H65" i="4"/>
  <c r="H81" i="4" s="1"/>
  <c r="H77" i="4"/>
  <c r="D60" i="8"/>
  <c r="AI36" i="5"/>
  <c r="AO35" i="4"/>
  <c r="AO18" i="4"/>
  <c r="AO44" i="4"/>
  <c r="AO41" i="4"/>
  <c r="AD93" i="4"/>
  <c r="AD85" i="4"/>
  <c r="AF58" i="2" l="1"/>
  <c r="AF59" i="2"/>
  <c r="AG53" i="2"/>
  <c r="AL54" i="2" s="1"/>
  <c r="AG55" i="2"/>
  <c r="AL55" i="2"/>
  <c r="Z39" i="8"/>
  <c r="Z48" i="8"/>
  <c r="AD56" i="2"/>
  <c r="AD40" i="2"/>
  <c r="AI40" i="2"/>
  <c r="Y56" i="2"/>
  <c r="Y57" i="2" s="1"/>
  <c r="Y40" i="2"/>
  <c r="T57" i="2"/>
  <c r="O57" i="2"/>
  <c r="AF40" i="2"/>
  <c r="AF56" i="2"/>
  <c r="AF57" i="2" s="1"/>
  <c r="Q42" i="2"/>
  <c r="Q60" i="2"/>
  <c r="AF42" i="2"/>
  <c r="AF60" i="2"/>
  <c r="M42" i="2"/>
  <c r="M60" i="2"/>
  <c r="S42" i="2"/>
  <c r="S60" i="2"/>
  <c r="N42" i="2"/>
  <c r="X42" i="2"/>
  <c r="AC42" i="2"/>
  <c r="K23" i="2"/>
  <c r="K42" i="2"/>
  <c r="R23" i="2"/>
  <c r="R61" i="2" s="1"/>
  <c r="R42" i="2"/>
  <c r="V42" i="2"/>
  <c r="AA42" i="2"/>
  <c r="I23" i="2"/>
  <c r="I42" i="2"/>
  <c r="AG39" i="2"/>
  <c r="AL39" i="2"/>
  <c r="AG31" i="2"/>
  <c r="AG56" i="2" s="1"/>
  <c r="AG18" i="2"/>
  <c r="AG20" i="2" s="1"/>
  <c r="X23" i="2"/>
  <c r="X61" i="2" s="1"/>
  <c r="X28" i="2"/>
  <c r="X29" i="2"/>
  <c r="AF23" i="2"/>
  <c r="AF28" i="2"/>
  <c r="AF29" i="2"/>
  <c r="AF45" i="2" s="1"/>
  <c r="V23" i="2"/>
  <c r="V61" i="2" s="1"/>
  <c r="V28" i="2"/>
  <c r="V29" i="2"/>
  <c r="N29" i="2"/>
  <c r="N23" i="2"/>
  <c r="N61" i="2" s="1"/>
  <c r="N28" i="2"/>
  <c r="S29" i="2"/>
  <c r="S23" i="2"/>
  <c r="S61" i="2" s="1"/>
  <c r="S28" i="2"/>
  <c r="M29" i="2"/>
  <c r="M45" i="2" s="1"/>
  <c r="M28" i="2"/>
  <c r="M23" i="2"/>
  <c r="Q23" i="2"/>
  <c r="Q29" i="2"/>
  <c r="Q45" i="2" s="1"/>
  <c r="U38" i="5"/>
  <c r="S38" i="4"/>
  <c r="S47" i="4" s="1"/>
  <c r="S52" i="4" s="1"/>
  <c r="F39" i="8"/>
  <c r="AE20" i="8"/>
  <c r="N55" i="5"/>
  <c r="AH20" i="8"/>
  <c r="AF45" i="5"/>
  <c r="AB43" i="5"/>
  <c r="AA57" i="5"/>
  <c r="AB44" i="5"/>
  <c r="AB46" i="5" s="1"/>
  <c r="AB51" i="5" s="1"/>
  <c r="Y30" i="5"/>
  <c r="S37" i="8"/>
  <c r="U37" i="8" s="1"/>
  <c r="U40" i="8" s="1"/>
  <c r="Q45" i="5"/>
  <c r="X37" i="8"/>
  <c r="S61" i="5"/>
  <c r="T29" i="5"/>
  <c r="T30" i="5" s="1"/>
  <c r="S55" i="5"/>
  <c r="S68" i="5"/>
  <c r="W60" i="8"/>
  <c r="W21" i="2"/>
  <c r="W60" i="2" s="1"/>
  <c r="S40" i="5"/>
  <c r="S42" i="5" s="1"/>
  <c r="AD30" i="5"/>
  <c r="AD37" i="8"/>
  <c r="J22" i="5"/>
  <c r="E40" i="5"/>
  <c r="E42" i="5" s="1"/>
  <c r="E45" i="5" s="1"/>
  <c r="E61" i="5"/>
  <c r="O22" i="5"/>
  <c r="K39" i="8"/>
  <c r="CC56" i="4"/>
  <c r="AO27" i="4"/>
  <c r="K37" i="8"/>
  <c r="AA60" i="8"/>
  <c r="V60" i="8"/>
  <c r="U33" i="7"/>
  <c r="U35" i="7" s="1"/>
  <c r="V33" i="7"/>
  <c r="AB81" i="4"/>
  <c r="P57" i="4"/>
  <c r="AF82" i="4"/>
  <c r="AC37" i="8"/>
  <c r="AD73" i="4"/>
  <c r="AE73" i="4" s="1"/>
  <c r="AC70" i="4"/>
  <c r="AC82" i="4" s="1"/>
  <c r="AD74" i="4"/>
  <c r="AE74" i="4" s="1"/>
  <c r="W45" i="7" s="1"/>
  <c r="W46" i="7" s="1"/>
  <c r="AC73" i="4"/>
  <c r="AC69" i="4"/>
  <c r="AD69" i="4"/>
  <c r="AF81" i="4"/>
  <c r="N40" i="5"/>
  <c r="N42" i="5" s="1"/>
  <c r="N45" i="5" s="1"/>
  <c r="AT28" i="4"/>
  <c r="Z20" i="7"/>
  <c r="F65" i="4"/>
  <c r="N68" i="5"/>
  <c r="N61" i="5"/>
  <c r="C61" i="8"/>
  <c r="D59" i="8" s="1"/>
  <c r="D61" i="8" s="1"/>
  <c r="E59" i="8" s="1"/>
  <c r="E61" i="8" s="1"/>
  <c r="BM53" i="8"/>
  <c r="O37" i="8"/>
  <c r="P37" i="8" s="1"/>
  <c r="P38" i="8"/>
  <c r="O30" i="5"/>
  <c r="W49" i="7"/>
  <c r="W55" i="7" s="1"/>
  <c r="W56" i="7" s="1"/>
  <c r="AG81" i="4"/>
  <c r="H16" i="8"/>
  <c r="D40" i="5"/>
  <c r="D42" i="5" s="1"/>
  <c r="D45" i="5" s="1"/>
  <c r="D46" i="5" s="1"/>
  <c r="D61" i="5"/>
  <c r="D55" i="5"/>
  <c r="I61" i="5"/>
  <c r="I40" i="5"/>
  <c r="I42" i="5" s="1"/>
  <c r="I45" i="5" s="1"/>
  <c r="I55" i="5"/>
  <c r="E16" i="8"/>
  <c r="E29" i="8" s="1"/>
  <c r="I26" i="8"/>
  <c r="AH30" i="5"/>
  <c r="AI29" i="5"/>
  <c r="AI30" i="5" s="1"/>
  <c r="T33" i="7"/>
  <c r="T35" i="7" s="1"/>
  <c r="P60" i="8"/>
  <c r="Y37" i="8"/>
  <c r="Z38" i="8"/>
  <c r="R40" i="5"/>
  <c r="R42" i="5" s="1"/>
  <c r="R45" i="5" s="1"/>
  <c r="R55" i="5"/>
  <c r="F66" i="4"/>
  <c r="P55" i="8"/>
  <c r="S38" i="7"/>
  <c r="S34" i="7"/>
  <c r="S35" i="7" s="1"/>
  <c r="U22" i="5"/>
  <c r="T61" i="5"/>
  <c r="T68" i="5"/>
  <c r="AD22" i="5"/>
  <c r="BS56" i="4"/>
  <c r="CE56" i="4"/>
  <c r="CF56" i="4" s="1"/>
  <c r="CG56" i="4" s="1"/>
  <c r="CI56" i="4" s="1"/>
  <c r="AC68" i="5"/>
  <c r="AC61" i="5"/>
  <c r="AC55" i="5"/>
  <c r="AC40" i="5"/>
  <c r="AC42" i="5" s="1"/>
  <c r="AK36" i="8"/>
  <c r="AK37" i="8" s="1"/>
  <c r="AJ15" i="4"/>
  <c r="Z21" i="2"/>
  <c r="Z60" i="2" s="1"/>
  <c r="AH45" i="8"/>
  <c r="AI52" i="8"/>
  <c r="AI53" i="8" s="1"/>
  <c r="AJ53" i="8" s="1"/>
  <c r="AJ55" i="8" s="1"/>
  <c r="I61" i="8"/>
  <c r="J59" i="8" s="1"/>
  <c r="J61" i="8" s="1"/>
  <c r="K60" i="8"/>
  <c r="S30" i="7"/>
  <c r="N61" i="8"/>
  <c r="O59" i="8" s="1"/>
  <c r="O61" i="8" s="1"/>
  <c r="P61" i="8" s="1"/>
  <c r="Q59" i="8" s="1"/>
  <c r="S37" i="7"/>
  <c r="U60" i="8"/>
  <c r="X28" i="7"/>
  <c r="F60" i="8"/>
  <c r="U27" i="4"/>
  <c r="T31" i="4"/>
  <c r="T38" i="4" s="1"/>
  <c r="AF36" i="4"/>
  <c r="AF38" i="4" s="1"/>
  <c r="AE36" i="4"/>
  <c r="AE38" i="4" s="1"/>
  <c r="T55" i="7"/>
  <c r="T56" i="7" s="1"/>
  <c r="T50" i="7"/>
  <c r="V50" i="7"/>
  <c r="AY28" i="4"/>
  <c r="BB28" i="4"/>
  <c r="BJ28" i="4" s="1"/>
  <c r="BK28" i="4" s="1"/>
  <c r="BL28" i="4" s="1"/>
  <c r="BM28" i="4" s="1"/>
  <c r="AT44" i="4"/>
  <c r="AT35" i="4"/>
  <c r="AT41" i="4"/>
  <c r="AT27" i="4"/>
  <c r="AT18" i="4"/>
  <c r="AJ19" i="8"/>
  <c r="AI20" i="8"/>
  <c r="AG60" i="8"/>
  <c r="AG70" i="4"/>
  <c r="AG74" i="4"/>
  <c r="AG31" i="4"/>
  <c r="AG38" i="4" s="1"/>
  <c r="AG54" i="2" l="1"/>
  <c r="BG20" i="8"/>
  <c r="S45" i="2"/>
  <c r="AD57" i="2"/>
  <c r="AI57" i="2"/>
  <c r="Q43" i="2"/>
  <c r="Q61" i="2"/>
  <c r="I43" i="2"/>
  <c r="I61" i="2"/>
  <c r="M43" i="2"/>
  <c r="M61" i="2"/>
  <c r="AF43" i="2"/>
  <c r="AF61" i="2"/>
  <c r="K43" i="2"/>
  <c r="K61" i="2"/>
  <c r="AG21" i="2"/>
  <c r="AG59" i="2"/>
  <c r="AG58" i="2"/>
  <c r="AG57" i="2"/>
  <c r="AL57" i="2"/>
  <c r="S43" i="2"/>
  <c r="V45" i="2"/>
  <c r="AA45" i="2"/>
  <c r="V43" i="2"/>
  <c r="AA43" i="2"/>
  <c r="X45" i="2"/>
  <c r="AC45" i="2"/>
  <c r="R43" i="2"/>
  <c r="I28" i="2"/>
  <c r="X43" i="2"/>
  <c r="AC43" i="2"/>
  <c r="W42" i="2"/>
  <c r="AB42" i="2"/>
  <c r="I29" i="2"/>
  <c r="I45" i="2" s="1"/>
  <c r="N43" i="2"/>
  <c r="AG41" i="2"/>
  <c r="AL41" i="2"/>
  <c r="AE42" i="2"/>
  <c r="AG40" i="2"/>
  <c r="AL40" i="2"/>
  <c r="Z23" i="2"/>
  <c r="Z61" i="2" s="1"/>
  <c r="Z28" i="2"/>
  <c r="Z29" i="2"/>
  <c r="W23" i="2"/>
  <c r="W61" i="2" s="1"/>
  <c r="W29" i="2"/>
  <c r="W28" i="2"/>
  <c r="BJ12" i="4"/>
  <c r="R29" i="2"/>
  <c r="R45" i="2" s="1"/>
  <c r="R28" i="2"/>
  <c r="K28" i="2"/>
  <c r="K29" i="2"/>
  <c r="K45" i="2" s="1"/>
  <c r="Q28" i="2"/>
  <c r="Z60" i="8"/>
  <c r="AC44" i="5"/>
  <c r="AB57" i="5"/>
  <c r="AC45" i="5"/>
  <c r="AC43" i="5"/>
  <c r="AE37" i="8"/>
  <c r="AE40" i="8" s="1"/>
  <c r="Z37" i="8"/>
  <c r="Z40" i="8" s="1"/>
  <c r="U30" i="5"/>
  <c r="U40" i="5" s="1"/>
  <c r="U42" i="5" s="1"/>
  <c r="U45" i="5" s="1"/>
  <c r="T40" i="5"/>
  <c r="T42" i="5" s="1"/>
  <c r="T45" i="5" s="1"/>
  <c r="T55" i="5"/>
  <c r="S45" i="5"/>
  <c r="AB60" i="8"/>
  <c r="AE60" i="8" s="1"/>
  <c r="E44" i="5"/>
  <c r="E46" i="5" s="1"/>
  <c r="O61" i="5"/>
  <c r="O55" i="5"/>
  <c r="AA47" i="4"/>
  <c r="AA52" i="4" s="1"/>
  <c r="O40" i="5"/>
  <c r="O42" i="5" s="1"/>
  <c r="O45" i="5" s="1"/>
  <c r="O68" i="5"/>
  <c r="T19" i="7"/>
  <c r="T21" i="7" s="1"/>
  <c r="J61" i="5"/>
  <c r="J55" i="5"/>
  <c r="J40" i="5"/>
  <c r="J42" i="5" s="1"/>
  <c r="J45" i="5" s="1"/>
  <c r="K40" i="8"/>
  <c r="U30" i="7"/>
  <c r="U31" i="7" s="1"/>
  <c r="T30" i="7"/>
  <c r="T52" i="7" s="1"/>
  <c r="W50" i="7"/>
  <c r="BD18" i="8"/>
  <c r="P40" i="8"/>
  <c r="AC81" i="4"/>
  <c r="BD56" i="4"/>
  <c r="AD82" i="4"/>
  <c r="AD81" i="4"/>
  <c r="AE69" i="4"/>
  <c r="AY12" i="4"/>
  <c r="V30" i="7"/>
  <c r="CJ56" i="4"/>
  <c r="CK56" i="4" s="1"/>
  <c r="CL56" i="4" s="1"/>
  <c r="CN56" i="4" s="1"/>
  <c r="I16" i="8"/>
  <c r="I15" i="8" s="1"/>
  <c r="H15" i="8"/>
  <c r="J26" i="8"/>
  <c r="K26" i="8" s="1"/>
  <c r="L25" i="8"/>
  <c r="E15" i="8"/>
  <c r="F15" i="8" s="1"/>
  <c r="F16" i="8"/>
  <c r="F29" i="8" s="1"/>
  <c r="F61" i="5"/>
  <c r="F40" i="5"/>
  <c r="F42" i="5" s="1"/>
  <c r="F45" i="5" s="1"/>
  <c r="F46" i="5" s="1"/>
  <c r="H29" i="8"/>
  <c r="V37" i="7"/>
  <c r="CH56" i="4"/>
  <c r="AD61" i="5"/>
  <c r="AD68" i="5"/>
  <c r="AD40" i="5"/>
  <c r="AD42" i="5" s="1"/>
  <c r="AD45" i="5" s="1"/>
  <c r="AD55" i="5"/>
  <c r="U61" i="5"/>
  <c r="U68" i="5"/>
  <c r="U19" i="7"/>
  <c r="U21" i="7" s="1"/>
  <c r="K40" i="5"/>
  <c r="K42" i="5" s="1"/>
  <c r="K45" i="5" s="1"/>
  <c r="S19" i="7"/>
  <c r="S21" i="7" s="1"/>
  <c r="K61" i="5"/>
  <c r="Y52" i="4"/>
  <c r="Z52" i="4" s="1"/>
  <c r="AO36" i="8"/>
  <c r="AH19" i="4"/>
  <c r="S39" i="7"/>
  <c r="S40" i="7" s="1"/>
  <c r="S15" i="7"/>
  <c r="S16" i="7" s="1"/>
  <c r="S17" i="7" s="1"/>
  <c r="U59" i="8"/>
  <c r="Q61" i="8"/>
  <c r="R59" i="8" s="1"/>
  <c r="R61" i="8" s="1"/>
  <c r="S59" i="8" s="1"/>
  <c r="S61" i="8" s="1"/>
  <c r="T59" i="8" s="1"/>
  <c r="T61" i="8" s="1"/>
  <c r="U61" i="8" s="1"/>
  <c r="V59" i="8" s="1"/>
  <c r="S31" i="7"/>
  <c r="S53" i="7"/>
  <c r="S52" i="7"/>
  <c r="AF85" i="4"/>
  <c r="AF93" i="4"/>
  <c r="AF84" i="4"/>
  <c r="AJ40" i="4"/>
  <c r="V31" i="4"/>
  <c r="V38" i="4" s="1"/>
  <c r="U31" i="4"/>
  <c r="U38" i="4" s="1"/>
  <c r="AO24" i="8"/>
  <c r="AO30" i="4"/>
  <c r="BJ35" i="4"/>
  <c r="BK35" i="4" s="1"/>
  <c r="BL35" i="4" s="1"/>
  <c r="BM35" i="4" s="1"/>
  <c r="AY35" i="4"/>
  <c r="BD28" i="4"/>
  <c r="AY44" i="4"/>
  <c r="BJ44" i="4"/>
  <c r="BK44" i="4" s="1"/>
  <c r="BL44" i="4" s="1"/>
  <c r="BM44" i="4" s="1"/>
  <c r="AY27" i="4"/>
  <c r="BB27" i="4"/>
  <c r="BJ27" i="4" s="1"/>
  <c r="BK27" i="4" s="1"/>
  <c r="BL27" i="4" s="1"/>
  <c r="BM27" i="4" s="1"/>
  <c r="BD12" i="4"/>
  <c r="AY18" i="4"/>
  <c r="BJ18" i="4"/>
  <c r="BK18" i="4" s="1"/>
  <c r="BL18" i="4" s="1"/>
  <c r="BM18" i="4" s="1"/>
  <c r="AY41" i="4"/>
  <c r="BJ41" i="4"/>
  <c r="BK41" i="4" s="1"/>
  <c r="BL41" i="4" s="1"/>
  <c r="BM41" i="4" s="1"/>
  <c r="AL19" i="8"/>
  <c r="AK20" i="8"/>
  <c r="AJ20" i="8"/>
  <c r="V35" i="7"/>
  <c r="AG82" i="4"/>
  <c r="BI18" i="8" l="1"/>
  <c r="BJ18" i="8"/>
  <c r="BK18" i="8" s="1"/>
  <c r="BL18" i="8" s="1"/>
  <c r="BM18" i="8" s="1"/>
  <c r="BN18" i="8" s="1"/>
  <c r="BO18" i="8" s="1"/>
  <c r="BP18" i="8" s="1"/>
  <c r="BQ18" i="8" s="1"/>
  <c r="BR18" i="8" s="1"/>
  <c r="BG32" i="8"/>
  <c r="BG29" i="8"/>
  <c r="E57" i="5"/>
  <c r="E51" i="5"/>
  <c r="F57" i="5"/>
  <c r="F51" i="5"/>
  <c r="N45" i="2"/>
  <c r="AG42" i="2"/>
  <c r="AG60" i="2"/>
  <c r="AG29" i="2"/>
  <c r="AG45" i="2" s="1"/>
  <c r="AG28" i="2"/>
  <c r="AG23" i="2"/>
  <c r="AE43" i="2"/>
  <c r="W45" i="2"/>
  <c r="AB45" i="2"/>
  <c r="W43" i="2"/>
  <c r="AB43" i="2"/>
  <c r="AE45" i="2"/>
  <c r="BK12" i="4"/>
  <c r="AC46" i="5"/>
  <c r="AC51" i="5" s="1"/>
  <c r="AD43" i="5"/>
  <c r="G44" i="5"/>
  <c r="G46" i="5" s="1"/>
  <c r="G51" i="5" s="1"/>
  <c r="U52" i="7"/>
  <c r="K44" i="5"/>
  <c r="K46" i="5" s="1"/>
  <c r="K51" i="5" s="1"/>
  <c r="AB47" i="4"/>
  <c r="AB52" i="4" s="1"/>
  <c r="V47" i="4"/>
  <c r="V52" i="4" s="1"/>
  <c r="U53" i="7"/>
  <c r="P40" i="5"/>
  <c r="P42" i="5" s="1"/>
  <c r="P45" i="5" s="1"/>
  <c r="T53" i="7"/>
  <c r="T31" i="7"/>
  <c r="CO56" i="4"/>
  <c r="CP56" i="4" s="1"/>
  <c r="CQ56" i="4" s="1"/>
  <c r="CS56" i="4" s="1"/>
  <c r="W37" i="7"/>
  <c r="W33" i="7"/>
  <c r="W35" i="7" s="1"/>
  <c r="W30" i="7"/>
  <c r="W31" i="7" s="1"/>
  <c r="V52" i="7"/>
  <c r="V53" i="7"/>
  <c r="F37" i="8"/>
  <c r="F40" i="8" s="1"/>
  <c r="CM56" i="4"/>
  <c r="L26" i="8"/>
  <c r="M25" i="8"/>
  <c r="I29" i="8"/>
  <c r="J16" i="8"/>
  <c r="J29" i="8" s="1"/>
  <c r="T23" i="7"/>
  <c r="T24" i="7" s="1"/>
  <c r="T22" i="7"/>
  <c r="S22" i="7"/>
  <c r="S23" i="7"/>
  <c r="S24" i="7" s="1"/>
  <c r="AE55" i="5"/>
  <c r="AE61" i="5"/>
  <c r="W19" i="7"/>
  <c r="W21" i="7" s="1"/>
  <c r="AE68" i="5"/>
  <c r="AE40" i="5"/>
  <c r="AE42" i="5" s="1"/>
  <c r="AE45" i="5" s="1"/>
  <c r="AE46" i="5" s="1"/>
  <c r="AE51" i="5" s="1"/>
  <c r="U23" i="7"/>
  <c r="U24" i="7" s="1"/>
  <c r="U22" i="7"/>
  <c r="AJ17" i="4"/>
  <c r="V61" i="8"/>
  <c r="W59" i="8" s="1"/>
  <c r="W61" i="8" s="1"/>
  <c r="X59" i="8" s="1"/>
  <c r="X61" i="8" s="1"/>
  <c r="Y59" i="8" s="1"/>
  <c r="Y61" i="8" s="1"/>
  <c r="Z61" i="8" s="1"/>
  <c r="AA59" i="8" s="1"/>
  <c r="Z59" i="8"/>
  <c r="AP45" i="4"/>
  <c r="AO40" i="4"/>
  <c r="T47" i="4"/>
  <c r="W31" i="4"/>
  <c r="W38" i="4" s="1"/>
  <c r="X31" i="4"/>
  <c r="X38" i="4" s="1"/>
  <c r="AO34" i="4"/>
  <c r="BD27" i="4"/>
  <c r="BD18" i="4"/>
  <c r="BI28" i="4"/>
  <c r="BD41" i="4"/>
  <c r="BD44" i="4"/>
  <c r="BI12" i="4"/>
  <c r="BD35" i="4"/>
  <c r="AL20" i="8"/>
  <c r="AM19" i="8"/>
  <c r="H44" i="5" l="1"/>
  <c r="H46" i="5" s="1"/>
  <c r="I44" i="5" s="1"/>
  <c r="I46" i="5" s="1"/>
  <c r="AD44" i="5"/>
  <c r="AD46" i="5" s="1"/>
  <c r="AD51" i="5" s="1"/>
  <c r="AG43" i="2"/>
  <c r="AG61" i="2"/>
  <c r="BL12" i="4"/>
  <c r="AC57" i="5"/>
  <c r="AE57" i="5"/>
  <c r="AJ44" i="5"/>
  <c r="P44" i="5"/>
  <c r="P46" i="5" s="1"/>
  <c r="P51" i="5" s="1"/>
  <c r="K57" i="5"/>
  <c r="AC47" i="4"/>
  <c r="AC52" i="4" s="1"/>
  <c r="X47" i="4"/>
  <c r="X52" i="4" s="1"/>
  <c r="W47" i="4"/>
  <c r="W52" i="4" s="1"/>
  <c r="CR56" i="4"/>
  <c r="CT56" i="4"/>
  <c r="CU56" i="4" s="1"/>
  <c r="CV56" i="4" s="1"/>
  <c r="CX56" i="4" s="1"/>
  <c r="W52" i="7"/>
  <c r="W53" i="7"/>
  <c r="N25" i="8"/>
  <c r="M26" i="8"/>
  <c r="J15" i="8"/>
  <c r="K15" i="8" s="1"/>
  <c r="K16" i="8"/>
  <c r="K29" i="8" s="1"/>
  <c r="L16" i="8"/>
  <c r="AD47" i="4"/>
  <c r="AE47" i="4" s="1"/>
  <c r="W23" i="7"/>
  <c r="W24" i="7" s="1"/>
  <c r="W22" i="7"/>
  <c r="AO52" i="8"/>
  <c r="AO55" i="8" s="1"/>
  <c r="AE59" i="8"/>
  <c r="AA61" i="8"/>
  <c r="AB59" i="8" s="1"/>
  <c r="AB61" i="8" s="1"/>
  <c r="AC59" i="8" s="1"/>
  <c r="AC61" i="8" s="1"/>
  <c r="AD59" i="8" s="1"/>
  <c r="AD61" i="8" s="1"/>
  <c r="AE61" i="8" s="1"/>
  <c r="AF59" i="8" s="1"/>
  <c r="U47" i="4"/>
  <c r="T52" i="4"/>
  <c r="U52" i="4" s="1"/>
  <c r="AT34" i="4"/>
  <c r="BS18" i="8"/>
  <c r="BT18" i="8"/>
  <c r="BU18" i="8" s="1"/>
  <c r="BV18" i="8" s="1"/>
  <c r="BW18" i="8" s="1"/>
  <c r="BI18" i="4"/>
  <c r="BI35" i="4"/>
  <c r="BI44" i="4"/>
  <c r="BN28" i="4"/>
  <c r="BO28" i="4"/>
  <c r="BP28" i="4" s="1"/>
  <c r="BQ28" i="4" s="1"/>
  <c r="BR28" i="4" s="1"/>
  <c r="BI41" i="4"/>
  <c r="BI27" i="4"/>
  <c r="AM20" i="8"/>
  <c r="AN19" i="8"/>
  <c r="AG22" i="5"/>
  <c r="AD57" i="5" l="1"/>
  <c r="AF44" i="5"/>
  <c r="AF46" i="5" s="1"/>
  <c r="AF51" i="5" s="1"/>
  <c r="I57" i="5"/>
  <c r="I51" i="5"/>
  <c r="P57" i="5"/>
  <c r="H57" i="5"/>
  <c r="H51" i="5"/>
  <c r="BI17" i="2"/>
  <c r="BM12" i="4"/>
  <c r="L15" i="8"/>
  <c r="AG68" i="5"/>
  <c r="AQ45" i="4"/>
  <c r="U44" i="5"/>
  <c r="U46" i="5" s="1"/>
  <c r="U51" i="5" s="1"/>
  <c r="J44" i="5"/>
  <c r="J46" i="5" s="1"/>
  <c r="J51" i="5" s="1"/>
  <c r="CW56" i="4"/>
  <c r="CY56" i="4"/>
  <c r="CZ56" i="4" s="1"/>
  <c r="DA56" i="4" s="1"/>
  <c r="L29" i="8"/>
  <c r="O25" i="8"/>
  <c r="N26" i="8"/>
  <c r="M16" i="8"/>
  <c r="M29" i="8" s="1"/>
  <c r="AV33" i="8"/>
  <c r="AW33" i="8" s="1"/>
  <c r="AX33" i="8" s="1"/>
  <c r="AZ33" i="8" s="1"/>
  <c r="BA33" i="8" s="1"/>
  <c r="AF61" i="8"/>
  <c r="AG59" i="8" s="1"/>
  <c r="AG61" i="8" s="1"/>
  <c r="AH59" i="8" s="1"/>
  <c r="AJ59" i="8"/>
  <c r="AY40" i="4"/>
  <c r="AY34" i="4"/>
  <c r="BB34" i="4"/>
  <c r="BJ34" i="4" s="1"/>
  <c r="BK34" i="4" s="1"/>
  <c r="BL34" i="4" s="1"/>
  <c r="BM34" i="4" s="1"/>
  <c r="BX18" i="8"/>
  <c r="BY18" i="8"/>
  <c r="BZ18" i="8" s="1"/>
  <c r="CA18" i="8" s="1"/>
  <c r="CB18" i="8" s="1"/>
  <c r="BO27" i="4"/>
  <c r="BP27" i="4" s="1"/>
  <c r="BQ27" i="4" s="1"/>
  <c r="BR27" i="4" s="1"/>
  <c r="BN27" i="4"/>
  <c r="BN41" i="4"/>
  <c r="BO41" i="4"/>
  <c r="BP41" i="4" s="1"/>
  <c r="BQ41" i="4" s="1"/>
  <c r="BR41" i="4" s="1"/>
  <c r="BN44" i="4"/>
  <c r="BO44" i="4"/>
  <c r="BP44" i="4" s="1"/>
  <c r="BQ44" i="4" s="1"/>
  <c r="BR44" i="4" s="1"/>
  <c r="BN18" i="4"/>
  <c r="BO18" i="4"/>
  <c r="BP18" i="4" s="1"/>
  <c r="BQ18" i="4" s="1"/>
  <c r="BR18" i="4" s="1"/>
  <c r="BS28" i="4"/>
  <c r="BT28" i="4"/>
  <c r="BU28" i="4" s="1"/>
  <c r="BV28" i="4" s="1"/>
  <c r="BW28" i="4" s="1"/>
  <c r="BO35" i="4"/>
  <c r="BP35" i="4" s="1"/>
  <c r="BQ35" i="4" s="1"/>
  <c r="BR35" i="4" s="1"/>
  <c r="BN35" i="4"/>
  <c r="BN17" i="2"/>
  <c r="AO19" i="8"/>
  <c r="AN20" i="8"/>
  <c r="AG55" i="5"/>
  <c r="AG61" i="5"/>
  <c r="AG84" i="4"/>
  <c r="AG85" i="4"/>
  <c r="AG44" i="5" l="1"/>
  <c r="AF57" i="5"/>
  <c r="J57" i="5"/>
  <c r="U57" i="5"/>
  <c r="BO12" i="4"/>
  <c r="BN12" i="4"/>
  <c r="DB56" i="4"/>
  <c r="AZ45" i="4"/>
  <c r="AR45" i="4"/>
  <c r="AF47" i="4"/>
  <c r="AF52" i="4" s="1"/>
  <c r="L44" i="5"/>
  <c r="L46" i="5" s="1"/>
  <c r="N16" i="8"/>
  <c r="N15" i="8" s="1"/>
  <c r="O26" i="8"/>
  <c r="Q25" i="8"/>
  <c r="Q26" i="8" s="1"/>
  <c r="Q16" i="8" s="1"/>
  <c r="Q29" i="8" s="1"/>
  <c r="P25" i="8"/>
  <c r="R25" i="8" s="1"/>
  <c r="M15" i="8"/>
  <c r="AD52" i="4"/>
  <c r="AE52" i="4" s="1"/>
  <c r="AM52" i="8"/>
  <c r="AM53" i="8" s="1"/>
  <c r="BD34" i="4"/>
  <c r="BS17" i="2"/>
  <c r="AT24" i="8"/>
  <c r="AT30" i="4"/>
  <c r="CC18" i="8"/>
  <c r="CD18" i="8"/>
  <c r="CE18" i="8" s="1"/>
  <c r="CF18" i="8" s="1"/>
  <c r="CG18" i="8" s="1"/>
  <c r="BS44" i="4"/>
  <c r="BT44" i="4"/>
  <c r="BU44" i="4" s="1"/>
  <c r="BV44" i="4" s="1"/>
  <c r="BW44" i="4" s="1"/>
  <c r="BS35" i="4"/>
  <c r="BT35" i="4"/>
  <c r="BU35" i="4" s="1"/>
  <c r="BV35" i="4" s="1"/>
  <c r="BW35" i="4" s="1"/>
  <c r="BY28" i="4"/>
  <c r="BZ28" i="4" s="1"/>
  <c r="CA28" i="4" s="1"/>
  <c r="CB28" i="4" s="1"/>
  <c r="BX28" i="4"/>
  <c r="BS18" i="4"/>
  <c r="BT18" i="4"/>
  <c r="BU18" i="4" s="1"/>
  <c r="BV18" i="4" s="1"/>
  <c r="BW18" i="4" s="1"/>
  <c r="BS41" i="4"/>
  <c r="BT41" i="4"/>
  <c r="BU41" i="4" s="1"/>
  <c r="BV41" i="4" s="1"/>
  <c r="BW41" i="4" s="1"/>
  <c r="BS27" i="4"/>
  <c r="BT27" i="4"/>
  <c r="BU27" i="4" s="1"/>
  <c r="BV27" i="4" s="1"/>
  <c r="BW27" i="4" s="1"/>
  <c r="AO20" i="8"/>
  <c r="AQ19" i="8"/>
  <c r="AP20" i="8"/>
  <c r="AP32" i="8" s="1"/>
  <c r="AG38" i="5"/>
  <c r="M44" i="5" l="1"/>
  <c r="M46" i="5" s="1"/>
  <c r="M51" i="5" s="1"/>
  <c r="L51" i="5"/>
  <c r="L57" i="5"/>
  <c r="BP12" i="4"/>
  <c r="P26" i="8"/>
  <c r="BA45" i="4"/>
  <c r="AS45" i="4"/>
  <c r="AT40" i="4"/>
  <c r="CH18" i="8"/>
  <c r="CI18" i="8"/>
  <c r="R26" i="8"/>
  <c r="R16" i="8" s="1"/>
  <c r="S25" i="8"/>
  <c r="N29" i="8"/>
  <c r="BX17" i="2"/>
  <c r="AM36" i="8"/>
  <c r="AN52" i="8"/>
  <c r="AN53" i="8" s="1"/>
  <c r="BI34" i="4"/>
  <c r="BY27" i="4"/>
  <c r="BZ27" i="4" s="1"/>
  <c r="CA27" i="4" s="1"/>
  <c r="CB27" i="4" s="1"/>
  <c r="BX27" i="4"/>
  <c r="BY18" i="4"/>
  <c r="BZ18" i="4" s="1"/>
  <c r="CA18" i="4" s="1"/>
  <c r="CB18" i="4" s="1"/>
  <c r="BX18" i="4"/>
  <c r="BX41" i="4"/>
  <c r="BY41" i="4"/>
  <c r="BZ41" i="4" s="1"/>
  <c r="CA41" i="4" s="1"/>
  <c r="CB41" i="4" s="1"/>
  <c r="BX35" i="4"/>
  <c r="BY35" i="4"/>
  <c r="BZ35" i="4" s="1"/>
  <c r="CA35" i="4" s="1"/>
  <c r="CB35" i="4" s="1"/>
  <c r="BX44" i="4"/>
  <c r="BY44" i="4"/>
  <c r="BZ44" i="4" s="1"/>
  <c r="CA44" i="4" s="1"/>
  <c r="CB44" i="4" s="1"/>
  <c r="CC28" i="4"/>
  <c r="CD28" i="4"/>
  <c r="CE28" i="4" s="1"/>
  <c r="CF28" i="4" s="1"/>
  <c r="CG28" i="4" s="1"/>
  <c r="AR19" i="8"/>
  <c r="AQ20" i="8"/>
  <c r="AQ32" i="8" s="1"/>
  <c r="AG40" i="5"/>
  <c r="AG42" i="5" s="1"/>
  <c r="M57" i="5" l="1"/>
  <c r="BQ12" i="4"/>
  <c r="AG45" i="5"/>
  <c r="AG46" i="5" s="1"/>
  <c r="AG51" i="5" s="1"/>
  <c r="AG43" i="5"/>
  <c r="BD40" i="4"/>
  <c r="AU45" i="4"/>
  <c r="N44" i="5"/>
  <c r="N46" i="5" s="1"/>
  <c r="N51" i="5" s="1"/>
  <c r="CH28" i="4"/>
  <c r="CI28" i="4"/>
  <c r="CJ28" i="4" s="1"/>
  <c r="CK28" i="4" s="1"/>
  <c r="CL28" i="4" s="1"/>
  <c r="CJ18" i="8"/>
  <c r="S26" i="8"/>
  <c r="T25" i="8"/>
  <c r="R15" i="8"/>
  <c r="AX47" i="4"/>
  <c r="AY33" i="8"/>
  <c r="AO17" i="4"/>
  <c r="BO34" i="4"/>
  <c r="BP34" i="4" s="1"/>
  <c r="BQ34" i="4" s="1"/>
  <c r="BR34" i="4" s="1"/>
  <c r="BN34" i="4"/>
  <c r="CC35" i="4"/>
  <c r="CD35" i="4"/>
  <c r="CE35" i="4" s="1"/>
  <c r="CF35" i="4" s="1"/>
  <c r="CG35" i="4" s="1"/>
  <c r="CD18" i="4"/>
  <c r="CE18" i="4" s="1"/>
  <c r="CF18" i="4" s="1"/>
  <c r="CG18" i="4" s="1"/>
  <c r="CC18" i="4"/>
  <c r="CC44" i="4"/>
  <c r="CD44" i="4"/>
  <c r="CE44" i="4" s="1"/>
  <c r="CF44" i="4" s="1"/>
  <c r="CG44" i="4" s="1"/>
  <c r="CC41" i="4"/>
  <c r="CD41" i="4"/>
  <c r="CE41" i="4" s="1"/>
  <c r="CF41" i="4" s="1"/>
  <c r="CG41" i="4" s="1"/>
  <c r="CC27" i="4"/>
  <c r="CD27" i="4"/>
  <c r="CE27" i="4" s="1"/>
  <c r="CF27" i="4" s="1"/>
  <c r="CG27" i="4" s="1"/>
  <c r="CC17" i="2"/>
  <c r="AR20" i="8"/>
  <c r="AR32" i="8" s="1"/>
  <c r="AS19" i="8"/>
  <c r="AG57" i="5" l="1"/>
  <c r="N57" i="5"/>
  <c r="BR12" i="4"/>
  <c r="AH44" i="5"/>
  <c r="BJ40" i="4"/>
  <c r="BK40" i="4" s="1"/>
  <c r="BL40" i="4" s="1"/>
  <c r="BM40" i="4" s="1"/>
  <c r="BI40" i="4"/>
  <c r="AV45" i="4"/>
  <c r="O44" i="5"/>
  <c r="O46" i="5" s="1"/>
  <c r="O51" i="5" s="1"/>
  <c r="CM28" i="4"/>
  <c r="CN28" i="4"/>
  <c r="CO28" i="4" s="1"/>
  <c r="CP28" i="4" s="1"/>
  <c r="CQ28" i="4" s="1"/>
  <c r="CH27" i="4"/>
  <c r="CI27" i="4"/>
  <c r="CJ27" i="4" s="1"/>
  <c r="CK27" i="4" s="1"/>
  <c r="CL27" i="4" s="1"/>
  <c r="CK18" i="8"/>
  <c r="CH41" i="4"/>
  <c r="CI41" i="4"/>
  <c r="CJ41" i="4" s="1"/>
  <c r="CK41" i="4" s="1"/>
  <c r="CL41" i="4" s="1"/>
  <c r="CH35" i="4"/>
  <c r="CI35" i="4"/>
  <c r="CJ35" i="4" s="1"/>
  <c r="CK35" i="4" s="1"/>
  <c r="CL35" i="4" s="1"/>
  <c r="CH18" i="4"/>
  <c r="CI18" i="4"/>
  <c r="CH44" i="4"/>
  <c r="CI44" i="4"/>
  <c r="R29" i="8"/>
  <c r="V25" i="8"/>
  <c r="U25" i="8"/>
  <c r="T26" i="8"/>
  <c r="S16" i="8"/>
  <c r="S15" i="8" s="1"/>
  <c r="AT52" i="8"/>
  <c r="BT34" i="4"/>
  <c r="BU34" i="4" s="1"/>
  <c r="BV34" i="4" s="1"/>
  <c r="BW34" i="4" s="1"/>
  <c r="BS34" i="4"/>
  <c r="CH17" i="2"/>
  <c r="AS20" i="8"/>
  <c r="AS32" i="8" s="1"/>
  <c r="AT32" i="8" s="1"/>
  <c r="AT19" i="8"/>
  <c r="AG13" i="4"/>
  <c r="AG21" i="4" s="1"/>
  <c r="AG89" i="4"/>
  <c r="AG91" i="4"/>
  <c r="AG88" i="4"/>
  <c r="AG47" i="4"/>
  <c r="AG93" i="4"/>
  <c r="AG87" i="4"/>
  <c r="O57" i="5" l="1"/>
  <c r="BS12" i="4"/>
  <c r="BT12" i="4"/>
  <c r="BO40" i="4"/>
  <c r="BP40" i="4" s="1"/>
  <c r="BQ40" i="4" s="1"/>
  <c r="BR40" i="4" s="1"/>
  <c r="BN40" i="4"/>
  <c r="Q44" i="5"/>
  <c r="Q46" i="5" s="1"/>
  <c r="Q51" i="5" s="1"/>
  <c r="CR28" i="4"/>
  <c r="CS28" i="4"/>
  <c r="CT28" i="4" s="1"/>
  <c r="CU28" i="4" s="1"/>
  <c r="CV28" i="4" s="1"/>
  <c r="CM41" i="4"/>
  <c r="CN41" i="4"/>
  <c r="CO41" i="4" s="1"/>
  <c r="CP41" i="4" s="1"/>
  <c r="CQ41" i="4" s="1"/>
  <c r="CM27" i="4"/>
  <c r="CN27" i="4"/>
  <c r="CO27" i="4" s="1"/>
  <c r="CP27" i="4" s="1"/>
  <c r="CQ27" i="4" s="1"/>
  <c r="CM35" i="4"/>
  <c r="CN35" i="4"/>
  <c r="CO35" i="4" s="1"/>
  <c r="CP35" i="4" s="1"/>
  <c r="CQ35" i="4" s="1"/>
  <c r="CM17" i="2"/>
  <c r="CL18" i="8"/>
  <c r="CJ18" i="4"/>
  <c r="CJ44" i="4"/>
  <c r="S29" i="8"/>
  <c r="V26" i="8"/>
  <c r="W25" i="8"/>
  <c r="U26" i="8"/>
  <c r="BB33" i="8"/>
  <c r="BC33" i="8" s="1"/>
  <c r="BX34" i="4"/>
  <c r="BY34" i="4"/>
  <c r="BZ34" i="4" s="1"/>
  <c r="CA34" i="4" s="1"/>
  <c r="CB34" i="4" s="1"/>
  <c r="AU20" i="8"/>
  <c r="AT20" i="8"/>
  <c r="AG52" i="4"/>
  <c r="Q57" i="5" l="1"/>
  <c r="BU12" i="4"/>
  <c r="AU32" i="8"/>
  <c r="R44" i="5"/>
  <c r="R46" i="5" s="1"/>
  <c r="R51" i="5" s="1"/>
  <c r="BS40" i="4"/>
  <c r="BT40" i="4"/>
  <c r="BU40" i="4" s="1"/>
  <c r="BV40" i="4" s="1"/>
  <c r="BW40" i="4" s="1"/>
  <c r="CR27" i="4"/>
  <c r="CS27" i="4"/>
  <c r="CT27" i="4" s="1"/>
  <c r="CU27" i="4" s="1"/>
  <c r="CV27" i="4" s="1"/>
  <c r="CW28" i="4"/>
  <c r="CX28" i="4"/>
  <c r="CY28" i="4" s="1"/>
  <c r="CZ28" i="4" s="1"/>
  <c r="DA28" i="4" s="1"/>
  <c r="DB28" i="4" s="1"/>
  <c r="CR41" i="4"/>
  <c r="CS41" i="4"/>
  <c r="CT41" i="4" s="1"/>
  <c r="CU41" i="4" s="1"/>
  <c r="CV41" i="4" s="1"/>
  <c r="CR35" i="4"/>
  <c r="CS35" i="4"/>
  <c r="CT35" i="4" s="1"/>
  <c r="CU35" i="4" s="1"/>
  <c r="CV35" i="4" s="1"/>
  <c r="CW17" i="2"/>
  <c r="CM18" i="8"/>
  <c r="CN18" i="8"/>
  <c r="CR17" i="2"/>
  <c r="CK18" i="4"/>
  <c r="CK44" i="4"/>
  <c r="X25" i="8"/>
  <c r="W26" i="8"/>
  <c r="CC34" i="4"/>
  <c r="CD34" i="4"/>
  <c r="CE34" i="4" s="1"/>
  <c r="CF34" i="4" s="1"/>
  <c r="CG34" i="4" s="1"/>
  <c r="AV20" i="8"/>
  <c r="R57" i="5" l="1"/>
  <c r="BV12" i="4"/>
  <c r="AV32" i="8"/>
  <c r="S44" i="5"/>
  <c r="S46" i="5" s="1"/>
  <c r="S51" i="5" s="1"/>
  <c r="BY40" i="4"/>
  <c r="BZ40" i="4" s="1"/>
  <c r="CA40" i="4" s="1"/>
  <c r="CB40" i="4" s="1"/>
  <c r="BX40" i="4"/>
  <c r="CX27" i="4"/>
  <c r="CY27" i="4" s="1"/>
  <c r="CZ27" i="4" s="1"/>
  <c r="DA27" i="4" s="1"/>
  <c r="DB27" i="4" s="1"/>
  <c r="CW27" i="4"/>
  <c r="CW41" i="4"/>
  <c r="CX41" i="4"/>
  <c r="CY41" i="4" s="1"/>
  <c r="CZ41" i="4" s="1"/>
  <c r="DA41" i="4" s="1"/>
  <c r="DB41" i="4" s="1"/>
  <c r="CW35" i="4"/>
  <c r="CX35" i="4"/>
  <c r="CY35" i="4" s="1"/>
  <c r="CZ35" i="4" s="1"/>
  <c r="DA35" i="4" s="1"/>
  <c r="DB35" i="4" s="1"/>
  <c r="CO18" i="8"/>
  <c r="CH34" i="4"/>
  <c r="CI34" i="4"/>
  <c r="CJ34" i="4" s="1"/>
  <c r="CK34" i="4" s="1"/>
  <c r="CL34" i="4" s="1"/>
  <c r="CL18" i="4"/>
  <c r="CN18" i="4" s="1"/>
  <c r="CL44" i="4"/>
  <c r="CN44" i="4" s="1"/>
  <c r="CO44" i="4" s="1"/>
  <c r="CP44" i="4" s="1"/>
  <c r="CQ44" i="4" s="1"/>
  <c r="Y25" i="8"/>
  <c r="X26" i="8"/>
  <c r="BD33" i="8"/>
  <c r="AS52" i="8"/>
  <c r="AS53" i="8" s="1"/>
  <c r="AT53" i="8" s="1"/>
  <c r="AT55" i="8" s="1"/>
  <c r="AW20" i="8"/>
  <c r="S57" i="5" l="1"/>
  <c r="BW12" i="4"/>
  <c r="AW32" i="8"/>
  <c r="T44" i="5"/>
  <c r="T46" i="5" s="1"/>
  <c r="T51" i="5" s="1"/>
  <c r="CC40" i="4"/>
  <c r="CD40" i="4"/>
  <c r="CE40" i="4" s="1"/>
  <c r="CF40" i="4" s="1"/>
  <c r="CG40" i="4" s="1"/>
  <c r="CR44" i="4"/>
  <c r="CS44" i="4"/>
  <c r="CT44" i="4" s="1"/>
  <c r="CU44" i="4" s="1"/>
  <c r="CV44" i="4" s="1"/>
  <c r="DB17" i="2"/>
  <c r="CP18" i="8"/>
  <c r="CM34" i="4"/>
  <c r="CN34" i="4"/>
  <c r="CO34" i="4" s="1"/>
  <c r="CP34" i="4" s="1"/>
  <c r="CQ34" i="4" s="1"/>
  <c r="CO18" i="4"/>
  <c r="CM18" i="4"/>
  <c r="CM44" i="4"/>
  <c r="AA25" i="8"/>
  <c r="Z25" i="8"/>
  <c r="Y26" i="8"/>
  <c r="AT17" i="4"/>
  <c r="F27" i="4"/>
  <c r="E31" i="4"/>
  <c r="E38" i="4" s="1"/>
  <c r="AZ19" i="8"/>
  <c r="AZ20" i="8" s="1"/>
  <c r="AX20" i="8"/>
  <c r="BX12" i="4" l="1"/>
  <c r="BY12" i="4"/>
  <c r="Z26" i="8"/>
  <c r="AX32" i="8"/>
  <c r="T57" i="5"/>
  <c r="CI40" i="4"/>
  <c r="CJ40" i="4" s="1"/>
  <c r="CK40" i="4" s="1"/>
  <c r="CL40" i="4" s="1"/>
  <c r="CH40" i="4"/>
  <c r="CR34" i="4"/>
  <c r="CS34" i="4"/>
  <c r="CT34" i="4" s="1"/>
  <c r="CU34" i="4" s="1"/>
  <c r="CV34" i="4" s="1"/>
  <c r="CX44" i="4"/>
  <c r="CY44" i="4" s="1"/>
  <c r="CZ44" i="4" s="1"/>
  <c r="DA44" i="4" s="1"/>
  <c r="DB44" i="4" s="1"/>
  <c r="CW44" i="4"/>
  <c r="CQ18" i="8"/>
  <c r="CP18" i="4"/>
  <c r="AB25" i="8"/>
  <c r="AA26" i="8"/>
  <c r="AY52" i="8"/>
  <c r="AY55" i="8" s="1"/>
  <c r="G31" i="4"/>
  <c r="F31" i="4"/>
  <c r="F38" i="4" s="1"/>
  <c r="E47" i="4"/>
  <c r="AY20" i="8"/>
  <c r="BA19" i="8"/>
  <c r="BA20" i="8" s="1"/>
  <c r="AZ32" i="8"/>
  <c r="V57" i="5" l="1"/>
  <c r="BZ12" i="4"/>
  <c r="BH14" i="5"/>
  <c r="G38" i="4"/>
  <c r="G47" i="4" s="1"/>
  <c r="G52" i="4" s="1"/>
  <c r="W46" i="5"/>
  <c r="W51" i="5" s="1"/>
  <c r="CM40" i="4"/>
  <c r="CN40" i="4"/>
  <c r="CO40" i="4" s="1"/>
  <c r="CP40" i="4" s="1"/>
  <c r="CQ40" i="4" s="1"/>
  <c r="CX34" i="4"/>
  <c r="CY34" i="4" s="1"/>
  <c r="CZ34" i="4" s="1"/>
  <c r="DA34" i="4" s="1"/>
  <c r="DB34" i="4" s="1"/>
  <c r="CW34" i="4"/>
  <c r="CR18" i="8"/>
  <c r="CS18" i="8"/>
  <c r="CQ18" i="4"/>
  <c r="CS18" i="4" s="1"/>
  <c r="CT18" i="4" s="1"/>
  <c r="CU18" i="4" s="1"/>
  <c r="CV18" i="4" s="1"/>
  <c r="AC25" i="8"/>
  <c r="AB26" i="8"/>
  <c r="F40" i="4"/>
  <c r="D85" i="4"/>
  <c r="D84" i="4"/>
  <c r="H31" i="4"/>
  <c r="H38" i="4" s="1"/>
  <c r="BB19" i="8"/>
  <c r="CA12" i="4" l="1"/>
  <c r="BA32" i="8"/>
  <c r="W57" i="5"/>
  <c r="X44" i="5"/>
  <c r="CS40" i="4"/>
  <c r="CT40" i="4" s="1"/>
  <c r="CU40" i="4" s="1"/>
  <c r="CV40" i="4" s="1"/>
  <c r="CR40" i="4"/>
  <c r="H47" i="4"/>
  <c r="H52" i="4" s="1"/>
  <c r="CT18" i="8"/>
  <c r="CX18" i="4"/>
  <c r="CY18" i="4" s="1"/>
  <c r="CZ18" i="4" s="1"/>
  <c r="DA18" i="4" s="1"/>
  <c r="DB18" i="4" s="1"/>
  <c r="CW18" i="4"/>
  <c r="CR18" i="4"/>
  <c r="E85" i="4"/>
  <c r="F45" i="4"/>
  <c r="E93" i="4"/>
  <c r="E84" i="4"/>
  <c r="AD25" i="8"/>
  <c r="AC26" i="8"/>
  <c r="BI14" i="5"/>
  <c r="BJ33" i="8"/>
  <c r="BJ14" i="5" s="1"/>
  <c r="BI33" i="8"/>
  <c r="F47" i="4"/>
  <c r="E52" i="4"/>
  <c r="F52" i="4" s="1"/>
  <c r="I31" i="4"/>
  <c r="BC19" i="8"/>
  <c r="BC20" i="8" s="1"/>
  <c r="BB20" i="8"/>
  <c r="BB32" i="8" l="1"/>
  <c r="BB29" i="8"/>
  <c r="I38" i="4"/>
  <c r="I47" i="4" s="1"/>
  <c r="I52" i="4" s="1"/>
  <c r="BC32" i="8"/>
  <c r="CB12" i="4"/>
  <c r="CW40" i="4"/>
  <c r="CX40" i="4"/>
  <c r="CY40" i="4" s="1"/>
  <c r="CZ40" i="4" s="1"/>
  <c r="DA40" i="4" s="1"/>
  <c r="DB40" i="4" s="1"/>
  <c r="CU18" i="8"/>
  <c r="AF25" i="8"/>
  <c r="AE25" i="8"/>
  <c r="AD26" i="8"/>
  <c r="BK33" i="8"/>
  <c r="BK14" i="5" s="1"/>
  <c r="K27" i="4"/>
  <c r="J31" i="4"/>
  <c r="J38" i="4" s="1"/>
  <c r="BD19" i="8"/>
  <c r="CD12" i="4" l="1"/>
  <c r="CC12" i="4"/>
  <c r="AE26" i="8"/>
  <c r="CV18" i="8"/>
  <c r="AF26" i="8"/>
  <c r="AG25" i="8"/>
  <c r="BL33" i="8"/>
  <c r="BL14" i="5" s="1"/>
  <c r="AZ52" i="8"/>
  <c r="AZ53" i="8" s="1"/>
  <c r="AY17" i="4"/>
  <c r="L31" i="4"/>
  <c r="K31" i="4"/>
  <c r="K38" i="4" s="1"/>
  <c r="BE20" i="8"/>
  <c r="BD20" i="8"/>
  <c r="BE32" i="8" l="1"/>
  <c r="L38" i="4"/>
  <c r="L47" i="4" s="1"/>
  <c r="L52" i="4" s="1"/>
  <c r="CE12" i="4"/>
  <c r="CW18" i="8"/>
  <c r="CX18" i="8"/>
  <c r="AG26" i="8"/>
  <c r="AH25" i="8"/>
  <c r="AZ26" i="8"/>
  <c r="AZ29" i="8" s="1"/>
  <c r="BM33" i="8"/>
  <c r="BD52" i="8"/>
  <c r="J47" i="4"/>
  <c r="M31" i="4"/>
  <c r="BF20" i="8"/>
  <c r="BF32" i="8" s="1"/>
  <c r="M38" i="4" l="1"/>
  <c r="M47" i="4" s="1"/>
  <c r="M52" i="4" s="1"/>
  <c r="BM14" i="5"/>
  <c r="BN14" i="5" s="1"/>
  <c r="CF12" i="4"/>
  <c r="CY18" i="8"/>
  <c r="AH26" i="8"/>
  <c r="AI25" i="8"/>
  <c r="BO33" i="8"/>
  <c r="BO14" i="5" s="1"/>
  <c r="BN33" i="8"/>
  <c r="N31" i="4"/>
  <c r="K47" i="4"/>
  <c r="J52" i="4"/>
  <c r="K52" i="4" s="1"/>
  <c r="CG12" i="4" l="1"/>
  <c r="N38" i="4"/>
  <c r="N47" i="4" s="1"/>
  <c r="N52" i="4" s="1"/>
  <c r="CZ18" i="8"/>
  <c r="AI26" i="8"/>
  <c r="AK25" i="8"/>
  <c r="AL25" i="8" s="1"/>
  <c r="AL26" i="8" s="1"/>
  <c r="AJ25" i="8"/>
  <c r="BP33" i="8"/>
  <c r="BP14" i="5" s="1"/>
  <c r="BB52" i="8"/>
  <c r="BB53" i="8" s="1"/>
  <c r="P27" i="4"/>
  <c r="O31" i="4"/>
  <c r="O38" i="4" s="1"/>
  <c r="CI12" i="4" l="1"/>
  <c r="CH12" i="4"/>
  <c r="AJ26" i="8"/>
  <c r="DA18" i="8"/>
  <c r="DB18" i="8" s="1"/>
  <c r="AK26" i="8"/>
  <c r="AY32" i="8"/>
  <c r="BQ33" i="8"/>
  <c r="BQ14" i="5" s="1"/>
  <c r="BC52" i="8"/>
  <c r="P31" i="4"/>
  <c r="P38" i="4" s="1"/>
  <c r="BI20" i="8"/>
  <c r="BJ20" i="8"/>
  <c r="BJ32" i="8" l="1"/>
  <c r="CJ12" i="4"/>
  <c r="AM25" i="8"/>
  <c r="BR33" i="8"/>
  <c r="O47" i="4"/>
  <c r="BK20" i="8"/>
  <c r="CK12" i="4" l="1"/>
  <c r="BS33" i="8"/>
  <c r="BR14" i="5"/>
  <c r="BS14" i="5" s="1"/>
  <c r="BK32" i="8"/>
  <c r="AN25" i="8"/>
  <c r="AP26" i="8" s="1"/>
  <c r="AP29" i="8" s="1"/>
  <c r="AM26" i="8"/>
  <c r="BT33" i="8"/>
  <c r="BT14" i="5" s="1"/>
  <c r="P47" i="4"/>
  <c r="O52" i="4"/>
  <c r="P52" i="4" s="1"/>
  <c r="BL20" i="8"/>
  <c r="BL32" i="8" l="1"/>
  <c r="CL12" i="4"/>
  <c r="AN26" i="8"/>
  <c r="AO25" i="8"/>
  <c r="BU33" i="8"/>
  <c r="BU14" i="5" s="1"/>
  <c r="BM20" i="8"/>
  <c r="BM32" i="8" l="1"/>
  <c r="CN12" i="4"/>
  <c r="CM12" i="4"/>
  <c r="AO26" i="8"/>
  <c r="AQ25" i="8"/>
  <c r="BD32" i="8"/>
  <c r="BV33" i="8"/>
  <c r="BV14" i="5" s="1"/>
  <c r="BN20" i="8"/>
  <c r="BO20" i="8"/>
  <c r="CO12" i="4" l="1"/>
  <c r="BO32" i="8"/>
  <c r="AR25" i="8"/>
  <c r="AQ26" i="8"/>
  <c r="AQ29" i="8" s="1"/>
  <c r="BW33" i="8"/>
  <c r="BW14" i="5" s="1"/>
  <c r="BX14" i="5" s="1"/>
  <c r="BP20" i="8"/>
  <c r="BP32" i="8" l="1"/>
  <c r="CP12" i="4"/>
  <c r="AS25" i="8"/>
  <c r="AR26" i="8"/>
  <c r="AR29" i="8" s="1"/>
  <c r="BY33" i="8"/>
  <c r="BY14" i="5" s="1"/>
  <c r="BX33" i="8"/>
  <c r="BQ20" i="8"/>
  <c r="BQ32" i="8" l="1"/>
  <c r="CQ12" i="4"/>
  <c r="AS26" i="8"/>
  <c r="AS29" i="8" s="1"/>
  <c r="AU25" i="8"/>
  <c r="AV25" i="8" s="1"/>
  <c r="AT25" i="8"/>
  <c r="BZ33" i="8"/>
  <c r="BZ14" i="5" s="1"/>
  <c r="BR20" i="8"/>
  <c r="BR32" i="8" l="1"/>
  <c r="CR12" i="4"/>
  <c r="CS12" i="4"/>
  <c r="AV26" i="8"/>
  <c r="AV29" i="8" s="1"/>
  <c r="AT26" i="8"/>
  <c r="AU26" i="8"/>
  <c r="AU29" i="8" s="1"/>
  <c r="BI32" i="8"/>
  <c r="CA33" i="8"/>
  <c r="CA14" i="5" s="1"/>
  <c r="BT20" i="8"/>
  <c r="BS20" i="8"/>
  <c r="BT32" i="8" l="1"/>
  <c r="CT12" i="4"/>
  <c r="AW25" i="8"/>
  <c r="AX25" i="8" s="1"/>
  <c r="CB33" i="8"/>
  <c r="BU20" i="8"/>
  <c r="BU32" i="8" l="1"/>
  <c r="CC33" i="8"/>
  <c r="CB14" i="5"/>
  <c r="CU12" i="4"/>
  <c r="CD33" i="8"/>
  <c r="CD14" i="5" s="1"/>
  <c r="BV20" i="8"/>
  <c r="BV32" i="8" l="1"/>
  <c r="CV12" i="4"/>
  <c r="AY25" i="8"/>
  <c r="BA26" i="8" s="1"/>
  <c r="BA29" i="8" s="1"/>
  <c r="CC14" i="5"/>
  <c r="CE33" i="8"/>
  <c r="CE14" i="5" s="1"/>
  <c r="BW20" i="8"/>
  <c r="BW32" i="8" l="1"/>
  <c r="CX12" i="4"/>
  <c r="CW12" i="4"/>
  <c r="BN32" i="8"/>
  <c r="CF33" i="8"/>
  <c r="CF14" i="5" s="1"/>
  <c r="BY20" i="8"/>
  <c r="BX20" i="8"/>
  <c r="BY32" i="8" l="1"/>
  <c r="CY12" i="4"/>
  <c r="CG33" i="8"/>
  <c r="CG14" i="5" s="1"/>
  <c r="BZ20" i="8"/>
  <c r="BZ32" i="8" l="1"/>
  <c r="CZ12" i="4"/>
  <c r="CH14" i="5"/>
  <c r="CI33" i="8"/>
  <c r="CI14" i="5" s="1"/>
  <c r="CH33" i="8"/>
  <c r="CA20" i="8"/>
  <c r="CA32" i="8" l="1"/>
  <c r="DA12" i="4"/>
  <c r="DB12" i="4" s="1"/>
  <c r="CJ33" i="8"/>
  <c r="CJ14" i="5" s="1"/>
  <c r="BD25" i="8"/>
  <c r="BS32" i="8"/>
  <c r="CB20" i="8"/>
  <c r="CB32" i="8" l="1"/>
  <c r="CK33" i="8"/>
  <c r="CK14" i="5" s="1"/>
  <c r="CC20" i="8"/>
  <c r="CD20" i="8"/>
  <c r="CD32" i="8" l="1"/>
  <c r="CL33" i="8"/>
  <c r="CL14" i="5" s="1"/>
  <c r="CE20" i="8"/>
  <c r="CE32" i="8" l="1"/>
  <c r="CM14" i="5"/>
  <c r="CN33" i="8"/>
  <c r="CN14" i="5" s="1"/>
  <c r="CM33" i="8"/>
  <c r="CF20" i="8"/>
  <c r="CF32" i="8" l="1"/>
  <c r="CO33" i="8"/>
  <c r="CO14" i="5" s="1"/>
  <c r="CI20" i="8"/>
  <c r="BI25" i="8"/>
  <c r="BJ25" i="8"/>
  <c r="BX32" i="8"/>
  <c r="CG20" i="8"/>
  <c r="CI32" i="8" l="1"/>
  <c r="CG32" i="8"/>
  <c r="CP33" i="8"/>
  <c r="CP14" i="5" s="1"/>
  <c r="CJ20" i="8"/>
  <c r="BK25" i="8"/>
  <c r="CH20" i="8"/>
  <c r="CJ32" i="8" l="1"/>
  <c r="CQ33" i="8"/>
  <c r="CQ14" i="5" s="1"/>
  <c r="CK20" i="8"/>
  <c r="BL25" i="8"/>
  <c r="CK32" i="8" l="1"/>
  <c r="CR14" i="5"/>
  <c r="CS33" i="8"/>
  <c r="CS14" i="5" s="1"/>
  <c r="CR33" i="8"/>
  <c r="CN20" i="8"/>
  <c r="CL20" i="8"/>
  <c r="BM25" i="8"/>
  <c r="CL32" i="8" l="1"/>
  <c r="CN32" i="8"/>
  <c r="CT33" i="8"/>
  <c r="CT14" i="5" s="1"/>
  <c r="CM20" i="8"/>
  <c r="CO20" i="8"/>
  <c r="BN25" i="8"/>
  <c r="BO25" i="8"/>
  <c r="CC32" i="8"/>
  <c r="CO32" i="8" l="1"/>
  <c r="CU33" i="8"/>
  <c r="CU14" i="5" s="1"/>
  <c r="CP20" i="8"/>
  <c r="BP25" i="8"/>
  <c r="CP32" i="8" l="1"/>
  <c r="CS20" i="8"/>
  <c r="CV33" i="8"/>
  <c r="CQ20" i="8"/>
  <c r="BQ25" i="8"/>
  <c r="CQ32" i="8" l="1"/>
  <c r="CW33" i="8"/>
  <c r="CV14" i="5"/>
  <c r="CW14" i="5" s="1"/>
  <c r="CS32" i="8"/>
  <c r="CX33" i="8"/>
  <c r="CX14" i="5" s="1"/>
  <c r="CT20" i="8"/>
  <c r="CR20" i="8"/>
  <c r="BR25" i="8"/>
  <c r="CT32" i="8" l="1"/>
  <c r="CY33" i="8"/>
  <c r="CY14" i="5" s="1"/>
  <c r="CU20" i="8"/>
  <c r="BS25" i="8"/>
  <c r="BT25" i="8"/>
  <c r="CH32" i="8"/>
  <c r="CU32" i="8" l="1"/>
  <c r="CZ33" i="8"/>
  <c r="CZ14" i="5" s="1"/>
  <c r="CV20" i="8"/>
  <c r="BU25" i="8"/>
  <c r="CW20" i="8" l="1"/>
  <c r="CV32" i="8"/>
  <c r="CX20" i="8"/>
  <c r="DA33" i="8"/>
  <c r="DA14" i="5" s="1"/>
  <c r="BV25" i="8"/>
  <c r="CX32" i="8" l="1"/>
  <c r="DB14" i="5"/>
  <c r="DB33" i="8"/>
  <c r="CY20" i="8"/>
  <c r="CM32" i="8"/>
  <c r="BW25" i="8"/>
  <c r="CY32" i="8" l="1"/>
  <c r="CZ20" i="8"/>
  <c r="BY25" i="8"/>
  <c r="BX25" i="8"/>
  <c r="CZ32" i="8" l="1"/>
  <c r="DA20" i="8"/>
  <c r="BZ25" i="8"/>
  <c r="DB20" i="8" l="1"/>
  <c r="DA32" i="8"/>
  <c r="CR32" i="8"/>
  <c r="CA25" i="8"/>
  <c r="CB25" i="8" l="1"/>
  <c r="CD25" i="8" l="1"/>
  <c r="CC25" i="8"/>
  <c r="CW32" i="8" l="1"/>
  <c r="CE25" i="8"/>
  <c r="CF25" i="8" l="1"/>
  <c r="CG25" i="8" l="1"/>
  <c r="CI25" i="8" s="1"/>
  <c r="CJ25" i="8" l="1"/>
  <c r="CH25" i="8"/>
  <c r="DB32" i="8" l="1"/>
  <c r="CK25" i="8"/>
  <c r="CL25" i="8" l="1"/>
  <c r="CN25" i="8" s="1"/>
  <c r="CO25" i="8" l="1"/>
  <c r="CM25" i="8"/>
  <c r="CP25" i="8" l="1"/>
  <c r="CQ25" i="8" l="1"/>
  <c r="CS25" i="8" s="1"/>
  <c r="CT25" i="8" s="1"/>
  <c r="CU25" i="8" s="1"/>
  <c r="CV25" i="8" s="1"/>
  <c r="CX25" i="8" l="1"/>
  <c r="CY25" i="8" s="1"/>
  <c r="CZ25" i="8" s="1"/>
  <c r="DA25" i="8" s="1"/>
  <c r="DB25" i="8" s="1"/>
  <c r="CW25" i="8"/>
  <c r="CR25" i="8"/>
  <c r="AH9" i="2" l="1"/>
  <c r="AH14" i="2" s="1"/>
  <c r="AL61" i="4"/>
  <c r="AL77" i="4" s="1"/>
  <c r="AK61" i="4"/>
  <c r="AI61" i="4"/>
  <c r="AI65" i="4" s="1"/>
  <c r="AH61" i="4"/>
  <c r="AH35" i="2" l="1"/>
  <c r="AH48" i="2"/>
  <c r="AH49" i="2" s="1"/>
  <c r="AH55" i="2"/>
  <c r="AL66" i="4"/>
  <c r="AL65" i="4"/>
  <c r="AK65" i="4"/>
  <c r="AK77" i="4"/>
  <c r="AH77" i="4"/>
  <c r="AH65" i="4"/>
  <c r="AI62" i="4"/>
  <c r="AI69" i="4" s="1"/>
  <c r="AH62" i="4"/>
  <c r="X11" i="7"/>
  <c r="AJ61" i="4"/>
  <c r="AH39" i="2" l="1"/>
  <c r="AH53" i="2"/>
  <c r="AH54" i="2" s="1"/>
  <c r="AH31" i="2"/>
  <c r="AH56" i="2" s="1"/>
  <c r="AH57" i="2" s="1"/>
  <c r="AH18" i="2"/>
  <c r="AH20" i="2" s="1"/>
  <c r="AJ69" i="4"/>
  <c r="AH73" i="4"/>
  <c r="AH69" i="4"/>
  <c r="AJ9" i="2"/>
  <c r="AI60" i="8"/>
  <c r="AJ62" i="4"/>
  <c r="AH60" i="8"/>
  <c r="AH66" i="4"/>
  <c r="AH78" i="4"/>
  <c r="X12" i="7"/>
  <c r="AJ79" i="2" l="1"/>
  <c r="AJ14" i="2"/>
  <c r="AJ48" i="2"/>
  <c r="AJ49" i="2" s="1"/>
  <c r="AJ75" i="2"/>
  <c r="AH21" i="2"/>
  <c r="AH42" i="2" s="1"/>
  <c r="AH41" i="2"/>
  <c r="AH59" i="2"/>
  <c r="AH58" i="2"/>
  <c r="AJ35" i="2"/>
  <c r="AH40" i="2"/>
  <c r="AH81" i="4"/>
  <c r="AJ65" i="4"/>
  <c r="AI70" i="4"/>
  <c r="AJ70" i="4" s="1"/>
  <c r="X44" i="7" s="1"/>
  <c r="AJ11" i="4"/>
  <c r="AH70" i="4"/>
  <c r="AH61" i="8"/>
  <c r="AI59" i="8" s="1"/>
  <c r="AI61" i="8" s="1"/>
  <c r="AJ61" i="8" s="1"/>
  <c r="AK59" i="8" s="1"/>
  <c r="AJ60" i="8"/>
  <c r="AH31" i="4"/>
  <c r="AH74" i="4"/>
  <c r="AH29" i="2" l="1"/>
  <c r="AH45" i="2" s="1"/>
  <c r="AH23" i="2"/>
  <c r="AH43" i="2" s="1"/>
  <c r="AH28" i="2"/>
  <c r="AJ18" i="2"/>
  <c r="AJ20" i="2" s="1"/>
  <c r="AJ55" i="2"/>
  <c r="AH60" i="2"/>
  <c r="AJ31" i="2"/>
  <c r="AJ40" i="2" s="1"/>
  <c r="AJ39" i="2"/>
  <c r="AJ53" i="2"/>
  <c r="AJ54" i="2" s="1"/>
  <c r="AI66" i="4"/>
  <c r="AJ66" i="4" s="1"/>
  <c r="X43" i="7" s="1"/>
  <c r="AJ10" i="4"/>
  <c r="AH82" i="4"/>
  <c r="AO59" i="8"/>
  <c r="AH61" i="2" l="1"/>
  <c r="AJ58" i="2"/>
  <c r="AJ59" i="2"/>
  <c r="AJ41" i="2"/>
  <c r="AJ56" i="2"/>
  <c r="AJ57" i="2" s="1"/>
  <c r="X30" i="7"/>
  <c r="AK66" i="4"/>
  <c r="AH22" i="5"/>
  <c r="AH68" i="5" l="1"/>
  <c r="AH85" i="4"/>
  <c r="AH84" i="4"/>
  <c r="AH61" i="5"/>
  <c r="AH55" i="5"/>
  <c r="AH38" i="5" l="1"/>
  <c r="AH40" i="5" l="1"/>
  <c r="AH42" i="5" s="1"/>
  <c r="AH45" i="5" l="1"/>
  <c r="AH46" i="5" s="1"/>
  <c r="AH51" i="5" s="1"/>
  <c r="AH43" i="5"/>
  <c r="AH57" i="5" l="1"/>
  <c r="AI44" i="5"/>
  <c r="AH36" i="4"/>
  <c r="AH87" i="4"/>
  <c r="AH93" i="4"/>
  <c r="AH88" i="4"/>
  <c r="AH13" i="4"/>
  <c r="AH21" i="4" s="1"/>
  <c r="AH89" i="4"/>
  <c r="AH91" i="4"/>
  <c r="AH38" i="4" l="1"/>
  <c r="AH47" i="4" s="1"/>
  <c r="AH52" i="4" s="1"/>
  <c r="AJ21" i="2" l="1"/>
  <c r="AJ42" i="2" l="1"/>
  <c r="AJ60" i="2"/>
  <c r="AJ23" i="2"/>
  <c r="AJ29" i="2"/>
  <c r="AJ45" i="2" s="1"/>
  <c r="AJ28" i="2"/>
  <c r="X37" i="7"/>
  <c r="AJ43" i="2" l="1"/>
  <c r="AJ61" i="2"/>
  <c r="AJ42" i="4"/>
  <c r="AJ43" i="4"/>
  <c r="AJ45" i="4" l="1"/>
  <c r="AI84" i="4"/>
  <c r="AI85" i="4"/>
  <c r="X49" i="7" l="1"/>
  <c r="X55" i="7" s="1"/>
  <c r="X56" i="7" s="1"/>
  <c r="AI45" i="8" l="1"/>
  <c r="AI46" i="8" s="1"/>
  <c r="AH46" i="8"/>
  <c r="AJ46" i="8" l="1"/>
  <c r="AJ48" i="8" s="1"/>
  <c r="AK45" i="8"/>
  <c r="AJ16" i="4"/>
  <c r="AI19" i="4"/>
  <c r="AJ19" i="4" s="1"/>
  <c r="AK46" i="8" l="1"/>
  <c r="AO45" i="8"/>
  <c r="AK19" i="4"/>
  <c r="AM45" i="8" l="1"/>
  <c r="AM46" i="8" s="1"/>
  <c r="AL19" i="4"/>
  <c r="AN45" i="8" l="1"/>
  <c r="AN46" i="8" s="1"/>
  <c r="AO46" i="8" s="1"/>
  <c r="AO48" i="8" s="1"/>
  <c r="AI93" i="4"/>
  <c r="AI36" i="4"/>
  <c r="AI87" i="4"/>
  <c r="AI13" i="4"/>
  <c r="AJ9" i="4"/>
  <c r="AI89" i="4"/>
  <c r="AI91" i="4"/>
  <c r="AI88" i="4"/>
  <c r="X26" i="7" l="1"/>
  <c r="AI21" i="4"/>
  <c r="AJ13" i="4"/>
  <c r="AJ36" i="4"/>
  <c r="X48" i="7"/>
  <c r="X29" i="7" l="1"/>
  <c r="X31" i="7" s="1"/>
  <c r="AJ21" i="4"/>
  <c r="X52" i="7"/>
  <c r="X50" i="7"/>
  <c r="X53" i="7"/>
  <c r="AT45" i="8"/>
  <c r="AO16" i="4" l="1"/>
  <c r="AQ45" i="8"/>
  <c r="AQ46" i="8" s="1"/>
  <c r="X13" i="7"/>
  <c r="X34" i="7"/>
  <c r="X38" i="7"/>
  <c r="AR45" i="8" l="1"/>
  <c r="AR46" i="8" s="1"/>
  <c r="AS45" i="8" l="1"/>
  <c r="AS46" i="8" s="1"/>
  <c r="AT46" i="8" s="1"/>
  <c r="AT48" i="8" s="1"/>
  <c r="AT16" i="4" l="1"/>
  <c r="AY45" i="8"/>
  <c r="AZ45" i="8" l="1"/>
  <c r="AZ46" i="8" s="1"/>
  <c r="AY16" i="4"/>
  <c r="BD45" i="8" l="1"/>
  <c r="AJ25" i="4" l="1"/>
  <c r="AI74" i="4"/>
  <c r="AJ74" i="4" s="1"/>
  <c r="X45" i="7" s="1"/>
  <c r="X46" i="7" s="1"/>
  <c r="AI73" i="4"/>
  <c r="AJ73" i="4" s="1"/>
  <c r="AI78" i="4"/>
  <c r="AJ78" i="4" s="1"/>
  <c r="AI81" i="4" l="1"/>
  <c r="AL78" i="4"/>
  <c r="AI77" i="4"/>
  <c r="AI82" i="4"/>
  <c r="AI22" i="5"/>
  <c r="AI31" i="4"/>
  <c r="AI38" i="4" s="1"/>
  <c r="AK78" i="4"/>
  <c r="AJ26" i="4"/>
  <c r="AI68" i="5" l="1"/>
  <c r="AI55" i="5"/>
  <c r="AJ68" i="5"/>
  <c r="AI61" i="5"/>
  <c r="AJ77" i="4"/>
  <c r="AI47" i="4"/>
  <c r="AJ47" i="4" s="1"/>
  <c r="AJ31" i="4"/>
  <c r="AJ38" i="4" s="1"/>
  <c r="AJ55" i="5" l="1"/>
  <c r="X19" i="7"/>
  <c r="X21" i="7" s="1"/>
  <c r="AJ61" i="5"/>
  <c r="AI38" i="5"/>
  <c r="AJ40" i="5" l="1"/>
  <c r="AJ42" i="5" s="1"/>
  <c r="AJ45" i="5" s="1"/>
  <c r="AJ46" i="5" s="1"/>
  <c r="AJ51" i="5" s="1"/>
  <c r="AI40" i="5"/>
  <c r="AI42" i="5" s="1"/>
  <c r="AI52" i="4"/>
  <c r="AJ52" i="4" s="1"/>
  <c r="X22" i="7"/>
  <c r="X23" i="7"/>
  <c r="X24" i="7" s="1"/>
  <c r="AJ57" i="5" l="1"/>
  <c r="AO44" i="5"/>
  <c r="AI45" i="5"/>
  <c r="AI46" i="5" s="1"/>
  <c r="AI51" i="5" s="1"/>
  <c r="AI43" i="5"/>
  <c r="AI57" i="5" l="1"/>
  <c r="AK44" i="5"/>
  <c r="X33" i="7" l="1"/>
  <c r="X35" i="7" l="1"/>
  <c r="AK9" i="2" l="1"/>
  <c r="AK48" i="2" l="1"/>
  <c r="AK49" i="2" s="1"/>
  <c r="AK14" i="2"/>
  <c r="AK35" i="2"/>
  <c r="AK62" i="4"/>
  <c r="AK18" i="2" l="1"/>
  <c r="AK20" i="2" s="1"/>
  <c r="AK55" i="2"/>
  <c r="AK39" i="2"/>
  <c r="AK53" i="2"/>
  <c r="AK54" i="2" s="1"/>
  <c r="AK31" i="2"/>
  <c r="AK73" i="4"/>
  <c r="AK69" i="4"/>
  <c r="AK58" i="2" l="1"/>
  <c r="AK41" i="2"/>
  <c r="AK59" i="2"/>
  <c r="AK40" i="2"/>
  <c r="AK56" i="2"/>
  <c r="AK57" i="2" s="1"/>
  <c r="AK81" i="4"/>
  <c r="AK70" i="4"/>
  <c r="AK74" i="4"/>
  <c r="AK31" i="4"/>
  <c r="AK82" i="4" l="1"/>
  <c r="AL62" i="4" l="1"/>
  <c r="AL73" i="4" s="1"/>
  <c r="AL69" i="4" l="1"/>
  <c r="AL70" i="4"/>
  <c r="AO29" i="4" l="1"/>
  <c r="AL81" i="4"/>
  <c r="AL74" i="4"/>
  <c r="AL31" i="4"/>
  <c r="AT29" i="4" l="1"/>
  <c r="AL82" i="4"/>
  <c r="AN60" i="8" l="1"/>
  <c r="AQ37" i="2" l="1"/>
  <c r="AR37" i="2" l="1"/>
  <c r="AS37" i="2"/>
  <c r="AT37" i="2" l="1"/>
  <c r="AP36" i="2" l="1"/>
  <c r="AQ36" i="2" l="1"/>
  <c r="AR36" i="2" l="1"/>
  <c r="AS36" i="2" l="1"/>
  <c r="AT36" i="2" l="1"/>
  <c r="AK21" i="2" l="1"/>
  <c r="AK60" i="8"/>
  <c r="AK42" i="2" l="1"/>
  <c r="AK60" i="2"/>
  <c r="AK23" i="2"/>
  <c r="AK28" i="2"/>
  <c r="AK29" i="2"/>
  <c r="AK45" i="2" s="1"/>
  <c r="AK61" i="8"/>
  <c r="AK43" i="2" l="1"/>
  <c r="AK61" i="2"/>
  <c r="AL59" i="8"/>
  <c r="AL61" i="8" s="1"/>
  <c r="AM59" i="8" s="1"/>
  <c r="AK22" i="5" l="1"/>
  <c r="AK68" i="5" l="1"/>
  <c r="AK61" i="5"/>
  <c r="AK84" i="4"/>
  <c r="AK36" i="4" l="1"/>
  <c r="AK87" i="4"/>
  <c r="AK93" i="4"/>
  <c r="AK89" i="4"/>
  <c r="AK88" i="4"/>
  <c r="AK8" i="8"/>
  <c r="AK13" i="4"/>
  <c r="AK21" i="4" s="1"/>
  <c r="AK38" i="4" l="1"/>
  <c r="AK47" i="4" s="1"/>
  <c r="AK52" i="4" s="1"/>
  <c r="AK10" i="8"/>
  <c r="AL21" i="2"/>
  <c r="AL42" i="2" l="1"/>
  <c r="AL60" i="2"/>
  <c r="AL23" i="2"/>
  <c r="AL28" i="2"/>
  <c r="AL29" i="2"/>
  <c r="AL45" i="2" s="1"/>
  <c r="AN11" i="8"/>
  <c r="AM11" i="8"/>
  <c r="AK11" i="8"/>
  <c r="AL11" i="8"/>
  <c r="AL43" i="2" l="1"/>
  <c r="AL61" i="2"/>
  <c r="AL22" i="5"/>
  <c r="AL68" i="5" l="1"/>
  <c r="AL61" i="5"/>
  <c r="AK55" i="5" l="1"/>
  <c r="AK38" i="5" l="1"/>
  <c r="AK40" i="5" l="1"/>
  <c r="AK42" i="5" s="1"/>
  <c r="AK45" i="5" l="1"/>
  <c r="AK46" i="5" s="1"/>
  <c r="AK51" i="5" s="1"/>
  <c r="AK57" i="5" l="1"/>
  <c r="AL44" i="5"/>
  <c r="AK85" i="4"/>
  <c r="AK91" i="4"/>
  <c r="AK55" i="4"/>
  <c r="AL84" i="4" l="1"/>
  <c r="AL93" i="4" l="1"/>
  <c r="AL36" i="4"/>
  <c r="AL87" i="4"/>
  <c r="AL13" i="4"/>
  <c r="AL21" i="4" s="1"/>
  <c r="AL89" i="4"/>
  <c r="AL88" i="4"/>
  <c r="AL38" i="4" l="1"/>
  <c r="AL47" i="4" s="1"/>
  <c r="AL52" i="4" s="1"/>
  <c r="AL91" i="4" l="1"/>
  <c r="AL85" i="4"/>
  <c r="AM54" i="4"/>
  <c r="AM55" i="4" s="1"/>
  <c r="AL55" i="4" l="1"/>
  <c r="AN54" i="4" l="1"/>
  <c r="AP91" i="4" l="1"/>
  <c r="AR54" i="4"/>
  <c r="AR55" i="4" l="1"/>
  <c r="AW54" i="4" l="1"/>
  <c r="AW55" i="4" s="1"/>
  <c r="AQ9" i="2" l="1"/>
  <c r="AQ14" i="2" s="1"/>
  <c r="AQ35" i="2" l="1"/>
  <c r="AQ48" i="2"/>
  <c r="AQ49" i="2" s="1"/>
  <c r="AQ55" i="2"/>
  <c r="AP9" i="2"/>
  <c r="AP14" i="2" s="1"/>
  <c r="AP35" i="2" l="1"/>
  <c r="AP48" i="2"/>
  <c r="AP49" i="2" s="1"/>
  <c r="AQ39" i="2"/>
  <c r="AQ53" i="2"/>
  <c r="AQ54" i="2" s="1"/>
  <c r="AP55" i="2"/>
  <c r="AQ31" i="2"/>
  <c r="AQ56" i="2" s="1"/>
  <c r="AQ57" i="2" s="1"/>
  <c r="AQ18" i="2"/>
  <c r="AQ20" i="2" s="1"/>
  <c r="AQ60" i="8"/>
  <c r="AQ63" i="8" s="1"/>
  <c r="AQ64" i="8" s="1"/>
  <c r="AQ41" i="2" l="1"/>
  <c r="AQ59" i="2"/>
  <c r="AQ58" i="2"/>
  <c r="AP39" i="2"/>
  <c r="AP53" i="2"/>
  <c r="AP54" i="2" s="1"/>
  <c r="AQ40" i="2"/>
  <c r="AP31" i="2"/>
  <c r="AP56" i="2" s="1"/>
  <c r="AP57" i="2" s="1"/>
  <c r="AP18" i="2"/>
  <c r="AP20" i="2" s="1"/>
  <c r="AP60" i="8"/>
  <c r="AL30" i="5"/>
  <c r="AL38" i="8"/>
  <c r="AP41" i="2" l="1"/>
  <c r="AP59" i="2"/>
  <c r="AP58" i="2"/>
  <c r="AP40" i="2"/>
  <c r="AL37" i="8"/>
  <c r="AL55" i="5"/>
  <c r="AL38" i="5" l="1"/>
  <c r="AL40" i="5" l="1"/>
  <c r="AL42" i="5" s="1"/>
  <c r="AN36" i="8"/>
  <c r="AN37" i="8" s="1"/>
  <c r="AM19" i="4"/>
  <c r="AL45" i="5" l="1"/>
  <c r="AL46" i="5" s="1"/>
  <c r="AL51" i="5" s="1"/>
  <c r="AL43" i="5"/>
  <c r="AP37" i="2"/>
  <c r="AL57" i="5" l="1"/>
  <c r="AM44" i="5"/>
  <c r="AP61" i="4" l="1"/>
  <c r="AQ61" i="4"/>
  <c r="AM61" i="4"/>
  <c r="AN61" i="4"/>
  <c r="AM77" i="4" l="1"/>
  <c r="AM65" i="4"/>
  <c r="AQ77" i="4"/>
  <c r="AQ65" i="4"/>
  <c r="AP66" i="4"/>
  <c r="AP78" i="4"/>
  <c r="AP77" i="4"/>
  <c r="AP65" i="4"/>
  <c r="AN65" i="4"/>
  <c r="AN77" i="4"/>
  <c r="AO77" i="4" s="1"/>
  <c r="Y11" i="7"/>
  <c r="AO61" i="4"/>
  <c r="AP62" i="4"/>
  <c r="AQ62" i="4"/>
  <c r="AM62" i="4"/>
  <c r="AN62" i="4"/>
  <c r="AM9" i="2"/>
  <c r="AM14" i="2" s="1"/>
  <c r="AM35" i="2" l="1"/>
  <c r="AM48" i="2"/>
  <c r="AM49" i="2" s="1"/>
  <c r="AM55" i="2"/>
  <c r="AO65" i="4"/>
  <c r="AQ73" i="4"/>
  <c r="AQ69" i="4"/>
  <c r="AP73" i="4"/>
  <c r="AP70" i="4"/>
  <c r="AP69" i="4"/>
  <c r="AP74" i="4"/>
  <c r="AN69" i="4"/>
  <c r="AO69" i="4" s="1"/>
  <c r="AN73" i="4"/>
  <c r="AO73" i="4" s="1"/>
  <c r="AM73" i="4"/>
  <c r="AM69" i="4"/>
  <c r="AO62" i="4"/>
  <c r="AM66" i="4"/>
  <c r="AQ66" i="4"/>
  <c r="AN78" i="4"/>
  <c r="AO78" i="4" s="1"/>
  <c r="AO26" i="4"/>
  <c r="AM78" i="4"/>
  <c r="AQ78" i="4"/>
  <c r="AN66" i="4"/>
  <c r="AO10" i="4"/>
  <c r="AO9" i="2"/>
  <c r="AO14" i="2" s="1"/>
  <c r="AO75" i="2" l="1"/>
  <c r="AO79" i="2"/>
  <c r="AM39" i="2"/>
  <c r="AM53" i="2"/>
  <c r="AM54" i="2" s="1"/>
  <c r="AO35" i="2"/>
  <c r="AO48" i="2"/>
  <c r="AO49" i="2" s="1"/>
  <c r="AM31" i="2"/>
  <c r="AM56" i="2" s="1"/>
  <c r="AM57" i="2" s="1"/>
  <c r="AM18" i="2"/>
  <c r="AM20" i="2" s="1"/>
  <c r="AO55" i="2"/>
  <c r="AQ81" i="4"/>
  <c r="AP81" i="4"/>
  <c r="AM81" i="4"/>
  <c r="AP82" i="4"/>
  <c r="AN81" i="4"/>
  <c r="AM60" i="8"/>
  <c r="AO60" i="8" s="1"/>
  <c r="AQ31" i="4"/>
  <c r="AQ74" i="4"/>
  <c r="AN31" i="4"/>
  <c r="AO31" i="4" s="1"/>
  <c r="AN74" i="4"/>
  <c r="AO74" i="4" s="1"/>
  <c r="Y45" i="7" s="1"/>
  <c r="AO25" i="4"/>
  <c r="AO66" i="4"/>
  <c r="Y43" i="7" s="1"/>
  <c r="AM70" i="4"/>
  <c r="AM74" i="4"/>
  <c r="AM31" i="4"/>
  <c r="AP31" i="4"/>
  <c r="AQ70" i="4"/>
  <c r="AN70" i="4"/>
  <c r="AO70" i="4" s="1"/>
  <c r="Y44" i="7" s="1"/>
  <c r="AO11" i="4"/>
  <c r="AO39" i="2" l="1"/>
  <c r="AO53" i="2"/>
  <c r="AO54" i="2" s="1"/>
  <c r="AM41" i="2"/>
  <c r="AM59" i="2"/>
  <c r="AM58" i="2"/>
  <c r="AM21" i="2"/>
  <c r="AM23" i="2" s="1"/>
  <c r="AM40" i="2"/>
  <c r="AO31" i="2"/>
  <c r="AO56" i="2" s="1"/>
  <c r="AO57" i="2" s="1"/>
  <c r="AO18" i="2"/>
  <c r="AO20" i="2" s="1"/>
  <c r="AM61" i="8"/>
  <c r="AN59" i="8" s="1"/>
  <c r="AN61" i="8" s="1"/>
  <c r="AO61" i="8" s="1"/>
  <c r="AP59" i="8" s="1"/>
  <c r="AP61" i="8" s="1"/>
  <c r="AQ59" i="8" s="1"/>
  <c r="AQ61" i="8" s="1"/>
  <c r="AR59" i="8" s="1"/>
  <c r="AQ82" i="4"/>
  <c r="AM82" i="4"/>
  <c r="AN82" i="4"/>
  <c r="AR61" i="4"/>
  <c r="Y46" i="7"/>
  <c r="AM28" i="2" l="1"/>
  <c r="AM29" i="2"/>
  <c r="AM45" i="2" s="1"/>
  <c r="AO41" i="2"/>
  <c r="AO59" i="2"/>
  <c r="AO58" i="2"/>
  <c r="AM43" i="2"/>
  <c r="AM61" i="2"/>
  <c r="AM42" i="2"/>
  <c r="AM60" i="2"/>
  <c r="AO40" i="2"/>
  <c r="AR77" i="4"/>
  <c r="AR65" i="4"/>
  <c r="AO42" i="4"/>
  <c r="AM22" i="5"/>
  <c r="AR62" i="4"/>
  <c r="AR9" i="2"/>
  <c r="AR48" i="2" l="1"/>
  <c r="AR49" i="2" s="1"/>
  <c r="AR14" i="2"/>
  <c r="AR35" i="2"/>
  <c r="AW35" i="2"/>
  <c r="AR69" i="4"/>
  <c r="AR73" i="4"/>
  <c r="AR66" i="4"/>
  <c r="AM84" i="4"/>
  <c r="AM85" i="4"/>
  <c r="AR78" i="4"/>
  <c r="AW49" i="2" l="1"/>
  <c r="AR53" i="2"/>
  <c r="AR54" i="2" s="1"/>
  <c r="AR55" i="2"/>
  <c r="AW55" i="2"/>
  <c r="AR39" i="2"/>
  <c r="AW39" i="2"/>
  <c r="AR31" i="2"/>
  <c r="AR56" i="2" s="1"/>
  <c r="AR18" i="2"/>
  <c r="AR20" i="2" s="1"/>
  <c r="AR81" i="4"/>
  <c r="AR60" i="8"/>
  <c r="AR63" i="8" s="1"/>
  <c r="AR74" i="4"/>
  <c r="AR31" i="4"/>
  <c r="AR70" i="4"/>
  <c r="AW54" i="2" l="1"/>
  <c r="AR57" i="2"/>
  <c r="AW57" i="2"/>
  <c r="AR59" i="2"/>
  <c r="AR58" i="2"/>
  <c r="AR40" i="2"/>
  <c r="AW40" i="2"/>
  <c r="AR41" i="2"/>
  <c r="AW41" i="2"/>
  <c r="AR61" i="8"/>
  <c r="AS59" i="8" s="1"/>
  <c r="AR82" i="4"/>
  <c r="AR64" i="8"/>
  <c r="AM91" i="4" l="1"/>
  <c r="AM88" i="4"/>
  <c r="AM13" i="4"/>
  <c r="AM21" i="4" s="1"/>
  <c r="AM89" i="4"/>
  <c r="AM87" i="4"/>
  <c r="AM93" i="4"/>
  <c r="AM36" i="4"/>
  <c r="AM38" i="4" l="1"/>
  <c r="AM47" i="4" s="1"/>
  <c r="AM52" i="4" s="1"/>
  <c r="AO21" i="2" l="1"/>
  <c r="AO42" i="2" l="1"/>
  <c r="AO60" i="2"/>
  <c r="AO23" i="2"/>
  <c r="AO28" i="2"/>
  <c r="AO29" i="2"/>
  <c r="AO45" i="2" s="1"/>
  <c r="Y37" i="7"/>
  <c r="AO43" i="2" l="1"/>
  <c r="AO61" i="2"/>
  <c r="AO43" i="4"/>
  <c r="AO45" i="4" s="1"/>
  <c r="AN84" i="4" l="1"/>
  <c r="Y49" i="7" l="1"/>
  <c r="AM30" i="5" l="1"/>
  <c r="AM61" i="5"/>
  <c r="AM38" i="8"/>
  <c r="AO38" i="8" s="1"/>
  <c r="AM68" i="5"/>
  <c r="AM55" i="5" l="1"/>
  <c r="AM37" i="8"/>
  <c r="AO37" i="8" s="1"/>
  <c r="Y20" i="7" l="1"/>
  <c r="AN30" i="5"/>
  <c r="AM38" i="5"/>
  <c r="AO40" i="8" l="1"/>
  <c r="AN22" i="5"/>
  <c r="AO15" i="4"/>
  <c r="AN19" i="4"/>
  <c r="AO19" i="4" s="1"/>
  <c r="AM40" i="5"/>
  <c r="AM42" i="5" s="1"/>
  <c r="AT36" i="8"/>
  <c r="AM45" i="5" l="1"/>
  <c r="AM46" i="5" s="1"/>
  <c r="AM51" i="5" s="1"/>
  <c r="AM43" i="5"/>
  <c r="AN68" i="5"/>
  <c r="AN61" i="5"/>
  <c r="Y30" i="7"/>
  <c r="AO68" i="5"/>
  <c r="AQ36" i="8"/>
  <c r="AQ37" i="8" s="1"/>
  <c r="AP19" i="4"/>
  <c r="AM57" i="5" l="1"/>
  <c r="AN44" i="5"/>
  <c r="Y19" i="7"/>
  <c r="Y21" i="7" s="1"/>
  <c r="AO61" i="5"/>
  <c r="AR36" i="8" l="1"/>
  <c r="AR37" i="8" s="1"/>
  <c r="AQ19" i="4"/>
  <c r="AO9" i="4" l="1"/>
  <c r="AN89" i="4"/>
  <c r="AN13" i="4"/>
  <c r="AN88" i="4"/>
  <c r="AO33" i="4"/>
  <c r="AN36" i="4"/>
  <c r="AN38" i="4" s="1"/>
  <c r="AN87" i="4"/>
  <c r="AN93" i="4"/>
  <c r="AS36" i="8"/>
  <c r="AS37" i="8" s="1"/>
  <c r="AT37" i="8" s="1"/>
  <c r="AR19" i="4"/>
  <c r="AO13" i="4" l="1"/>
  <c r="AN21" i="4"/>
  <c r="Y26" i="7"/>
  <c r="AO36" i="4"/>
  <c r="AO38" i="4" s="1"/>
  <c r="AN47" i="4"/>
  <c r="AO47" i="4" s="1"/>
  <c r="Y48" i="7"/>
  <c r="AP21" i="2"/>
  <c r="AP42" i="2" l="1"/>
  <c r="AP60" i="2"/>
  <c r="AP23" i="2"/>
  <c r="AP29" i="2"/>
  <c r="AP45" i="2" s="1"/>
  <c r="AP28" i="2"/>
  <c r="AO21" i="4"/>
  <c r="Y50" i="7"/>
  <c r="Y52" i="7"/>
  <c r="Y53" i="7"/>
  <c r="AP43" i="2" l="1"/>
  <c r="AP61" i="2"/>
  <c r="AT40" i="8"/>
  <c r="AN52" i="4"/>
  <c r="AO52" i="4" s="1"/>
  <c r="AY36" i="8"/>
  <c r="Y34" i="7"/>
  <c r="Y38" i="7"/>
  <c r="AT15" i="4"/>
  <c r="AS19" i="4"/>
  <c r="AT19" i="4" l="1"/>
  <c r="AU19" i="4"/>
  <c r="AP22" i="5" l="1"/>
  <c r="AP61" i="5" s="1"/>
  <c r="AP68" i="5" l="1"/>
  <c r="AP93" i="4"/>
  <c r="AP84" i="4"/>
  <c r="AP85" i="4"/>
  <c r="AP55" i="5"/>
  <c r="AV19" i="4" l="1"/>
  <c r="Y33" i="7" l="1"/>
  <c r="Y35" i="7" s="1"/>
  <c r="AS61" i="4" l="1"/>
  <c r="AS77" i="4" l="1"/>
  <c r="AT77" i="4" s="1"/>
  <c r="AS65" i="4"/>
  <c r="AS62" i="4"/>
  <c r="Z11" i="7"/>
  <c r="AT61" i="4"/>
  <c r="AS73" i="4" l="1"/>
  <c r="AT73" i="4" s="1"/>
  <c r="AS69" i="4"/>
  <c r="AT69" i="4" s="1"/>
  <c r="AT65" i="4"/>
  <c r="AT10" i="4"/>
  <c r="AS66" i="4"/>
  <c r="AT66" i="4" s="1"/>
  <c r="Z43" i="7" s="1"/>
  <c r="AT26" i="4"/>
  <c r="AS78" i="4"/>
  <c r="AT78" i="4" s="1"/>
  <c r="AT9" i="2"/>
  <c r="AT14" i="2" s="1"/>
  <c r="AT62" i="4"/>
  <c r="AT75" i="2" l="1"/>
  <c r="AT79" i="2"/>
  <c r="AT35" i="2"/>
  <c r="AT48" i="2"/>
  <c r="AT49" i="2" s="1"/>
  <c r="AT55" i="2"/>
  <c r="AS81" i="4"/>
  <c r="AS60" i="8"/>
  <c r="AS61" i="8" s="1"/>
  <c r="AS31" i="4"/>
  <c r="AT31" i="4" s="1"/>
  <c r="AT25" i="4"/>
  <c r="AS74" i="4"/>
  <c r="AT74" i="4" s="1"/>
  <c r="Z45" i="7" s="1"/>
  <c r="AS70" i="4"/>
  <c r="AT11" i="4"/>
  <c r="AT39" i="2" l="1"/>
  <c r="AT53" i="2"/>
  <c r="AT54" i="2" s="1"/>
  <c r="AT31" i="2"/>
  <c r="AT56" i="2" s="1"/>
  <c r="AT57" i="2" s="1"/>
  <c r="AT18" i="2"/>
  <c r="AT20" i="2" s="1"/>
  <c r="AS63" i="8"/>
  <c r="AT70" i="4"/>
  <c r="Z44" i="7" s="1"/>
  <c r="Z46" i="7" s="1"/>
  <c r="AS82" i="4"/>
  <c r="Z33" i="7" l="1"/>
  <c r="AT41" i="2"/>
  <c r="AT59" i="2"/>
  <c r="AT58" i="2"/>
  <c r="AT40" i="2"/>
  <c r="AS64" i="8"/>
  <c r="Z30" i="7"/>
  <c r="AO14" i="8" l="1"/>
  <c r="AP38" i="5" l="1"/>
  <c r="AP65" i="5" s="1"/>
  <c r="AP40" i="5" l="1"/>
  <c r="AP42" i="5" s="1"/>
  <c r="AP36" i="4"/>
  <c r="AP38" i="4" l="1"/>
  <c r="AP47" i="4" s="1"/>
  <c r="AP45" i="5"/>
  <c r="AP13" i="4" l="1"/>
  <c r="AP21" i="4" s="1"/>
  <c r="AP52" i="4" s="1"/>
  <c r="AQ21" i="2" l="1"/>
  <c r="AQ42" i="2" l="1"/>
  <c r="AQ60" i="2"/>
  <c r="AQ23" i="2"/>
  <c r="AQ29" i="2"/>
  <c r="AQ45" i="2" s="1"/>
  <c r="AQ28" i="2"/>
  <c r="AQ43" i="2" l="1"/>
  <c r="AQ61" i="2"/>
  <c r="AT42" i="4"/>
  <c r="AQ22" i="5"/>
  <c r="AQ85" i="4" l="1"/>
  <c r="AQ84" i="4"/>
  <c r="AQ93" i="4"/>
  <c r="AQ68" i="5"/>
  <c r="AQ61" i="5"/>
  <c r="AQ55" i="5"/>
  <c r="AQ38" i="5" l="1"/>
  <c r="AQ65" i="5" s="1"/>
  <c r="AQ40" i="5" l="1"/>
  <c r="AQ42" i="5" s="1"/>
  <c r="AQ45" i="5" l="1"/>
  <c r="AQ36" i="4"/>
  <c r="AQ38" i="4" l="1"/>
  <c r="AQ47" i="4" s="1"/>
  <c r="AQ13" i="4"/>
  <c r="AQ21" i="4" s="1"/>
  <c r="AQ52" i="4" l="1"/>
  <c r="AR21" i="2"/>
  <c r="AR42" i="2" l="1"/>
  <c r="AR60" i="2"/>
  <c r="AR23" i="2"/>
  <c r="AR29" i="2"/>
  <c r="AR45" i="2" s="1"/>
  <c r="AR28" i="2"/>
  <c r="AR43" i="2" l="1"/>
  <c r="AR61" i="2"/>
  <c r="AR22" i="5"/>
  <c r="AR84" i="4" l="1"/>
  <c r="AR93" i="4"/>
  <c r="AR85" i="4"/>
  <c r="AR68" i="5"/>
  <c r="AR61" i="5"/>
  <c r="AR55" i="5"/>
  <c r="AR38" i="5" l="1"/>
  <c r="AR65" i="5" s="1"/>
  <c r="AR40" i="5" l="1"/>
  <c r="AR42" i="5" s="1"/>
  <c r="AR45" i="5" l="1"/>
  <c r="AR36" i="4"/>
  <c r="AR38" i="4" l="1"/>
  <c r="AR47" i="4" s="1"/>
  <c r="AR13" i="4"/>
  <c r="AR21" i="4" s="1"/>
  <c r="AR52" i="4" l="1"/>
  <c r="AT21" i="2"/>
  <c r="AT42" i="2" l="1"/>
  <c r="AT60" i="2"/>
  <c r="AT23" i="2"/>
  <c r="AT28" i="2"/>
  <c r="AT29" i="2"/>
  <c r="AT45" i="2" s="1"/>
  <c r="Z37" i="7"/>
  <c r="AT43" i="2" l="1"/>
  <c r="AT61" i="2"/>
  <c r="AS22" i="5"/>
  <c r="AT43" i="4"/>
  <c r="AT45" i="4" s="1"/>
  <c r="AS65" i="5" l="1"/>
  <c r="AT65" i="5" s="1"/>
  <c r="AS93" i="4"/>
  <c r="AS84" i="4"/>
  <c r="AS68" i="5"/>
  <c r="AS61" i="5"/>
  <c r="Z49" i="7"/>
  <c r="AT68" i="5" l="1"/>
  <c r="AT61" i="5"/>
  <c r="Z19" i="7"/>
  <c r="Z21" i="7" s="1"/>
  <c r="AU61" i="4" l="1"/>
  <c r="AU65" i="4" s="1"/>
  <c r="AU9" i="2"/>
  <c r="AU14" i="2" s="1"/>
  <c r="AU48" i="2" l="1"/>
  <c r="AU49" i="2" s="1"/>
  <c r="AU75" i="2"/>
  <c r="AU55" i="2"/>
  <c r="AU35" i="2"/>
  <c r="AZ35" i="2"/>
  <c r="AU62" i="4"/>
  <c r="AU69" i="4" s="1"/>
  <c r="AU66" i="4"/>
  <c r="AZ49" i="2" l="1"/>
  <c r="AU53" i="2"/>
  <c r="AZ54" i="2" s="1"/>
  <c r="AZ55" i="2"/>
  <c r="AU31" i="2"/>
  <c r="AU56" i="2" s="1"/>
  <c r="AU57" i="2" s="1"/>
  <c r="AU18" i="2"/>
  <c r="AU20" i="2" s="1"/>
  <c r="AU39" i="2"/>
  <c r="AZ39" i="2"/>
  <c r="AU70" i="4"/>
  <c r="AU54" i="2" l="1"/>
  <c r="AZ40" i="2"/>
  <c r="AZ41" i="2"/>
  <c r="AU41" i="2"/>
  <c r="AU58" i="2"/>
  <c r="AU40" i="2"/>
  <c r="AU59" i="2"/>
  <c r="AZ57" i="2"/>
  <c r="AV61" i="4"/>
  <c r="AV65" i="4" s="1"/>
  <c r="AV9" i="2"/>
  <c r="AV48" i="2" l="1"/>
  <c r="AV49" i="2" s="1"/>
  <c r="AV14" i="2"/>
  <c r="AV55" i="2" s="1"/>
  <c r="AV35" i="2"/>
  <c r="AV62" i="4"/>
  <c r="AV69" i="4" s="1"/>
  <c r="AV66" i="4"/>
  <c r="AV39" i="2" l="1"/>
  <c r="AV53" i="2"/>
  <c r="AV54" i="2" s="1"/>
  <c r="AV18" i="2"/>
  <c r="AV20" i="2" s="1"/>
  <c r="AV31" i="2"/>
  <c r="AV70" i="4"/>
  <c r="AV40" i="2" l="1"/>
  <c r="AV56" i="2"/>
  <c r="AV57" i="2" s="1"/>
  <c r="AV41" i="2"/>
  <c r="AV59" i="2"/>
  <c r="AV58" i="2"/>
  <c r="BC72" i="2"/>
  <c r="AS36" i="4" l="1"/>
  <c r="AS38" i="4" s="1"/>
  <c r="AT33" i="4"/>
  <c r="AS13" i="4"/>
  <c r="AS21" i="4" s="1"/>
  <c r="AT9" i="4"/>
  <c r="AT13" i="4" l="1"/>
  <c r="Z48" i="7"/>
  <c r="Z26" i="7"/>
  <c r="AT36" i="4"/>
  <c r="AT38" i="4" s="1"/>
  <c r="AS47" i="4"/>
  <c r="AT47" i="4" s="1"/>
  <c r="Z53" i="7" l="1"/>
  <c r="Z52" i="7"/>
  <c r="Z50" i="7"/>
  <c r="AT21" i="4"/>
  <c r="AS52" i="4" l="1"/>
  <c r="AT52" i="4" s="1"/>
  <c r="Z34" i="7"/>
  <c r="Z38" i="7"/>
  <c r="Z35" i="7" l="1"/>
  <c r="AZ36" i="2" l="1"/>
  <c r="AV36" i="2" l="1"/>
  <c r="BA36" i="2"/>
  <c r="AV37" i="2" l="1"/>
  <c r="AU21" i="2" l="1"/>
  <c r="AU60" i="2" s="1"/>
  <c r="AU42" i="2" l="1"/>
  <c r="AZ42" i="2"/>
  <c r="AU23" i="2"/>
  <c r="AU61" i="2" s="1"/>
  <c r="AU28" i="2"/>
  <c r="AU29" i="2"/>
  <c r="AU43" i="2" l="1"/>
  <c r="AZ43" i="2"/>
  <c r="AU45" i="2"/>
  <c r="AZ45" i="2"/>
  <c r="AU85" i="4" l="1"/>
  <c r="AU84" i="4"/>
  <c r="AT14" i="8" l="1"/>
  <c r="AT22" i="8" s="1"/>
  <c r="AT28" i="8"/>
  <c r="AU36" i="4" l="1"/>
  <c r="AU13" i="4" l="1"/>
  <c r="AU21" i="4" s="1"/>
  <c r="AV21" i="2" l="1"/>
  <c r="AV42" i="2" l="1"/>
  <c r="AV60" i="2"/>
  <c r="AV23" i="2"/>
  <c r="AV29" i="2"/>
  <c r="AV45" i="2" s="1"/>
  <c r="AV28" i="2"/>
  <c r="AV43" i="2" l="1"/>
  <c r="AV61" i="2"/>
  <c r="AU74" i="4"/>
  <c r="AU82" i="4" s="1"/>
  <c r="AU73" i="4"/>
  <c r="AU81" i="4" s="1"/>
  <c r="AV85" i="4" l="1"/>
  <c r="AV84" i="4"/>
  <c r="AU89" i="4" l="1"/>
  <c r="AU87" i="4"/>
  <c r="AU91" i="4"/>
  <c r="AU24" i="8"/>
  <c r="AU14" i="8" s="1"/>
  <c r="AU93" i="4"/>
  <c r="AU31" i="4" l="1"/>
  <c r="AU38" i="4" s="1"/>
  <c r="AU77" i="4"/>
  <c r="AU78" i="4"/>
  <c r="AU47" i="4" l="1"/>
  <c r="AU52" i="4" s="1"/>
  <c r="AU22" i="5"/>
  <c r="AU61" i="5" l="1"/>
  <c r="AU68" i="5"/>
  <c r="AU55" i="5"/>
  <c r="AU38" i="5" l="1"/>
  <c r="AU65" i="5" s="1"/>
  <c r="AU40" i="5" l="1"/>
  <c r="AU42" i="5" s="1"/>
  <c r="AV36" i="4"/>
  <c r="AU45" i="5" l="1"/>
  <c r="AV13" i="4" l="1"/>
  <c r="AV21" i="4" s="1"/>
  <c r="AV73" i="4" l="1"/>
  <c r="AV74" i="4"/>
  <c r="AV82" i="4" s="1"/>
  <c r="AV81" i="4" l="1"/>
  <c r="AV38" i="5" l="1"/>
  <c r="AV31" i="4" l="1"/>
  <c r="AV38" i="4" s="1"/>
  <c r="AV89" i="4"/>
  <c r="AV87" i="4"/>
  <c r="AV93" i="4"/>
  <c r="AV24" i="8"/>
  <c r="AV14" i="8" s="1"/>
  <c r="AV91" i="4"/>
  <c r="AV47" i="4" l="1"/>
  <c r="AV52" i="4" s="1"/>
  <c r="AV77" i="4"/>
  <c r="AV78" i="4"/>
  <c r="AW26" i="8"/>
  <c r="AW29" i="8" s="1"/>
  <c r="AV30" i="5" l="1"/>
  <c r="AV38" i="8"/>
  <c r="AV37" i="8" l="1"/>
  <c r="AW30" i="5" l="1"/>
  <c r="AW19" i="4" l="1"/>
  <c r="AV22" i="5" l="1"/>
  <c r="AV65" i="5" s="1"/>
  <c r="AV46" i="8"/>
  <c r="AV61" i="5" l="1"/>
  <c r="AV68" i="5"/>
  <c r="AV40" i="5"/>
  <c r="AV42" i="5" s="1"/>
  <c r="AV55" i="5"/>
  <c r="AV45" i="5" l="1"/>
  <c r="BA9" i="2" l="1"/>
  <c r="BA14" i="2" s="1"/>
  <c r="AX61" i="4"/>
  <c r="AX65" i="4" s="1"/>
  <c r="AY65" i="4" s="1"/>
  <c r="AX37" i="2"/>
  <c r="BA35" i="2" l="1"/>
  <c r="BA48" i="2"/>
  <c r="BA49" i="2" s="1"/>
  <c r="BA55" i="2"/>
  <c r="BA61" i="4"/>
  <c r="AZ61" i="4"/>
  <c r="BC36" i="2"/>
  <c r="AX36" i="2"/>
  <c r="AW61" i="4"/>
  <c r="AW65" i="4" s="1"/>
  <c r="AZ62" i="4"/>
  <c r="AY61" i="4"/>
  <c r="BA39" i="2" l="1"/>
  <c r="BA53" i="2"/>
  <c r="BA54" i="2" s="1"/>
  <c r="BA31" i="2"/>
  <c r="BA18" i="2"/>
  <c r="BA65" i="4"/>
  <c r="BA77" i="4"/>
  <c r="AZ69" i="4"/>
  <c r="AZ74" i="4"/>
  <c r="AZ70" i="4"/>
  <c r="AZ73" i="4"/>
  <c r="AZ78" i="4"/>
  <c r="AZ77" i="4"/>
  <c r="AZ65" i="4"/>
  <c r="AZ66" i="4"/>
  <c r="AW62" i="4"/>
  <c r="AW69" i="4" s="1"/>
  <c r="AW36" i="2"/>
  <c r="BB36" i="2"/>
  <c r="AW37" i="2"/>
  <c r="AX62" i="4"/>
  <c r="AX69" i="4" s="1"/>
  <c r="AY69" i="4" s="1"/>
  <c r="AY10" i="4"/>
  <c r="AA11" i="7"/>
  <c r="BA62" i="4"/>
  <c r="BA21" i="2" l="1"/>
  <c r="BA42" i="2" s="1"/>
  <c r="BA20" i="2"/>
  <c r="BA41" i="2"/>
  <c r="BA59" i="2"/>
  <c r="BA58" i="2"/>
  <c r="BA40" i="2"/>
  <c r="BA56" i="2"/>
  <c r="BA57" i="2" s="1"/>
  <c r="BA28" i="2"/>
  <c r="BA73" i="4"/>
  <c r="BA69" i="4"/>
  <c r="AZ82" i="4"/>
  <c r="AZ81" i="4"/>
  <c r="AY36" i="2"/>
  <c r="BD36" i="2"/>
  <c r="AW66" i="4"/>
  <c r="AY37" i="2"/>
  <c r="AY9" i="2"/>
  <c r="AX66" i="4"/>
  <c r="AY62" i="4"/>
  <c r="AY79" i="2" l="1"/>
  <c r="AY14" i="2"/>
  <c r="AY55" i="2" s="1"/>
  <c r="BA29" i="2"/>
  <c r="BA45" i="2" s="1"/>
  <c r="AY48" i="2"/>
  <c r="AY49" i="2" s="1"/>
  <c r="AY75" i="2"/>
  <c r="BA23" i="2"/>
  <c r="BA43" i="2" s="1"/>
  <c r="BA60" i="2"/>
  <c r="AY35" i="2"/>
  <c r="AW70" i="4"/>
  <c r="AX70" i="4"/>
  <c r="AY70" i="4" s="1"/>
  <c r="AA44" i="7" s="1"/>
  <c r="AY11" i="4"/>
  <c r="BA70" i="4"/>
  <c r="AY66" i="4"/>
  <c r="AA43" i="7" s="1"/>
  <c r="AW21" i="2"/>
  <c r="BA61" i="2" l="1"/>
  <c r="AY39" i="2"/>
  <c r="AY53" i="2"/>
  <c r="AY54" i="2" s="1"/>
  <c r="AW42" i="2"/>
  <c r="AW60" i="2"/>
  <c r="AY31" i="2"/>
  <c r="AY18" i="2"/>
  <c r="AY20" i="2" s="1"/>
  <c r="AW23" i="2"/>
  <c r="AW29" i="2"/>
  <c r="AW45" i="2" s="1"/>
  <c r="AW28" i="2"/>
  <c r="BB70" i="4"/>
  <c r="BA66" i="4"/>
  <c r="AY41" i="2" l="1"/>
  <c r="AY59" i="2"/>
  <c r="AY58" i="2"/>
  <c r="AY40" i="2"/>
  <c r="AY56" i="2"/>
  <c r="AW43" i="2"/>
  <c r="AW61" i="2"/>
  <c r="AZ37" i="2"/>
  <c r="BA37" i="2"/>
  <c r="AY57" i="2" l="1"/>
  <c r="AA33" i="7"/>
  <c r="AW85" i="4" l="1"/>
  <c r="AW84" i="4"/>
  <c r="AW36" i="4" l="1"/>
  <c r="AW8" i="8" l="1"/>
  <c r="AW10" i="8" s="1"/>
  <c r="AW11" i="8" s="1"/>
  <c r="AW13" i="4"/>
  <c r="AW21" i="4" s="1"/>
  <c r="AY9" i="8" l="1"/>
  <c r="AY21" i="2" l="1"/>
  <c r="AY42" i="2" l="1"/>
  <c r="AY60" i="2"/>
  <c r="AY23" i="2"/>
  <c r="AY28" i="2"/>
  <c r="AY29" i="2"/>
  <c r="AY45" i="2" s="1"/>
  <c r="AA37" i="7"/>
  <c r="AY43" i="2" l="1"/>
  <c r="AY61" i="2"/>
  <c r="AY42" i="4"/>
  <c r="AY43" i="4"/>
  <c r="AY45" i="4" l="1"/>
  <c r="AA49" i="7" s="1"/>
  <c r="AX84" i="4"/>
  <c r="BD42" i="4"/>
  <c r="BI42" i="4" l="1"/>
  <c r="BC61" i="4" l="1"/>
  <c r="BB61" i="4"/>
  <c r="AB11" i="7"/>
  <c r="BD61" i="4" l="1"/>
  <c r="BC65" i="4"/>
  <c r="BC77" i="4"/>
  <c r="BB77" i="4"/>
  <c r="BB65" i="4"/>
  <c r="BB66" i="4"/>
  <c r="BB37" i="2"/>
  <c r="BD10" i="4"/>
  <c r="BD65" i="4" l="1"/>
  <c r="BC66" i="4"/>
  <c r="BD66" i="4" s="1"/>
  <c r="AB43" i="7" s="1"/>
  <c r="AW74" i="4"/>
  <c r="AW82" i="4" s="1"/>
  <c r="AW73" i="4"/>
  <c r="BE37" i="2" l="1"/>
  <c r="AW81" i="4"/>
  <c r="BI36" i="2" l="1"/>
  <c r="AW78" i="4" l="1"/>
  <c r="AW77" i="4"/>
  <c r="AW38" i="5" l="1"/>
  <c r="AY29" i="4" l="1"/>
  <c r="AW31" i="4"/>
  <c r="AW38" i="4" s="1"/>
  <c r="AW89" i="4"/>
  <c r="AW93" i="4"/>
  <c r="AW91" i="4"/>
  <c r="AW28" i="8"/>
  <c r="AW24" i="8"/>
  <c r="AX26" i="8" s="1"/>
  <c r="AX29" i="8" s="1"/>
  <c r="AW87" i="4"/>
  <c r="AW14" i="8" l="1"/>
  <c r="AW47" i="4"/>
  <c r="AW52" i="4" s="1"/>
  <c r="AY26" i="8"/>
  <c r="BJ29" i="4" l="1"/>
  <c r="BH21" i="5"/>
  <c r="BD29" i="4"/>
  <c r="BK29" i="4" l="1"/>
  <c r="BI29" i="4"/>
  <c r="BJ21" i="5" s="1"/>
  <c r="BL29" i="4" l="1"/>
  <c r="BK21" i="5"/>
  <c r="BM29" i="4" l="1"/>
  <c r="BL21" i="5"/>
  <c r="BM21" i="5" l="1"/>
  <c r="BO29" i="4"/>
  <c r="BN29" i="4"/>
  <c r="BO21" i="5" l="1"/>
  <c r="BP29" i="4"/>
  <c r="BP21" i="5" l="1"/>
  <c r="BQ29" i="4"/>
  <c r="BQ21" i="5" l="1"/>
  <c r="BR29" i="4"/>
  <c r="BR21" i="5" l="1"/>
  <c r="BS21" i="5" s="1"/>
  <c r="BS29" i="4"/>
  <c r="BT29" i="4"/>
  <c r="BT21" i="5" l="1"/>
  <c r="BU29" i="4"/>
  <c r="BU21" i="5" l="1"/>
  <c r="BV29" i="4"/>
  <c r="BV21" i="5" l="1"/>
  <c r="BW29" i="4"/>
  <c r="BW21" i="5" l="1"/>
  <c r="BY29" i="4"/>
  <c r="BX29" i="4"/>
  <c r="BY21" i="5" l="1"/>
  <c r="BZ29" i="4"/>
  <c r="BZ21" i="5" l="1"/>
  <c r="CA29" i="4"/>
  <c r="CA21" i="5" l="1"/>
  <c r="CB29" i="4"/>
  <c r="CB21" i="5" l="1"/>
  <c r="CC29" i="4"/>
  <c r="CD29" i="4"/>
  <c r="CD21" i="5" l="1"/>
  <c r="CE29" i="4"/>
  <c r="CE21" i="5" l="1"/>
  <c r="CF29" i="4"/>
  <c r="CF21" i="5" l="1"/>
  <c r="CG29" i="4"/>
  <c r="CG21" i="5" l="1"/>
  <c r="CI29" i="4"/>
  <c r="CH29" i="4"/>
  <c r="CI21" i="5" l="1"/>
  <c r="CJ29" i="4"/>
  <c r="CJ21" i="5" l="1"/>
  <c r="CK29" i="4"/>
  <c r="CK21" i="5" l="1"/>
  <c r="CL29" i="4"/>
  <c r="CL21" i="5" l="1"/>
  <c r="CM29" i="4"/>
  <c r="CN29" i="4"/>
  <c r="CN21" i="5" l="1"/>
  <c r="CO29" i="4"/>
  <c r="CO21" i="5" l="1"/>
  <c r="CP29" i="4"/>
  <c r="CP21" i="5" l="1"/>
  <c r="CQ29" i="4"/>
  <c r="AW22" i="5"/>
  <c r="AW65" i="5" s="1"/>
  <c r="AZ36" i="8"/>
  <c r="AZ37" i="8" s="1"/>
  <c r="CS29" i="4" l="1"/>
  <c r="CQ21" i="5"/>
  <c r="CR29" i="4"/>
  <c r="AW68" i="5"/>
  <c r="AW61" i="5"/>
  <c r="AW55" i="5"/>
  <c r="AW40" i="5"/>
  <c r="AW42" i="5" s="1"/>
  <c r="AY15" i="4"/>
  <c r="AY19" i="4"/>
  <c r="BD36" i="8"/>
  <c r="CT29" i="4" l="1"/>
  <c r="CS21" i="5"/>
  <c r="AW45" i="5"/>
  <c r="AZ19" i="4"/>
  <c r="CU29" i="4" l="1"/>
  <c r="CT21" i="5"/>
  <c r="CV29" i="4" l="1"/>
  <c r="CU21" i="5"/>
  <c r="BA19" i="4"/>
  <c r="BB36" i="8"/>
  <c r="CV21" i="5" l="1"/>
  <c r="CW29" i="4"/>
  <c r="CX29" i="4"/>
  <c r="AX8" i="8"/>
  <c r="AY9" i="4"/>
  <c r="AY33" i="4"/>
  <c r="CY29" i="4" l="1"/>
  <c r="CX21" i="5"/>
  <c r="AX10" i="8"/>
  <c r="AX11" i="8" s="1"/>
  <c r="AY13" i="4"/>
  <c r="AA26" i="7"/>
  <c r="AY36" i="4"/>
  <c r="CZ29" i="4" l="1"/>
  <c r="CY21" i="5"/>
  <c r="AY21" i="4"/>
  <c r="DA29" i="4" l="1"/>
  <c r="CZ21" i="5"/>
  <c r="AA38" i="7"/>
  <c r="AA34" i="7"/>
  <c r="DB29" i="4" l="1"/>
  <c r="DA21" i="5"/>
  <c r="AA35" i="7"/>
  <c r="AY25" i="4" l="1"/>
  <c r="AX74" i="4"/>
  <c r="AY74" i="4" s="1"/>
  <c r="AA45" i="7" s="1"/>
  <c r="AA46" i="7" s="1"/>
  <c r="AX73" i="4"/>
  <c r="AX81" i="4" s="1"/>
  <c r="AX82" i="4" l="1"/>
  <c r="AY73" i="4"/>
  <c r="BA81" i="4" l="1"/>
  <c r="BA74" i="4" l="1"/>
  <c r="BA82" i="4" s="1"/>
  <c r="BA54" i="4" l="1"/>
  <c r="BA55" i="4" s="1"/>
  <c r="BI54" i="4" l="1"/>
  <c r="AB27" i="7" l="1"/>
  <c r="AB12" i="7" s="1"/>
  <c r="AB28" i="7" l="1"/>
  <c r="AY24" i="8" l="1"/>
  <c r="AZ31" i="4" l="1"/>
  <c r="AX89" i="4"/>
  <c r="AX87" i="4"/>
  <c r="AX77" i="4" l="1"/>
  <c r="AY26" i="4"/>
  <c r="BC78" i="4" s="1"/>
  <c r="BA78" i="4"/>
  <c r="AX78" i="4"/>
  <c r="AY78" i="4" s="1"/>
  <c r="BA31" i="4"/>
  <c r="AY30" i="4"/>
  <c r="AY28" i="8"/>
  <c r="AX93" i="4"/>
  <c r="BB78" i="4" l="1"/>
  <c r="BC26" i="8"/>
  <c r="AA48" i="7"/>
  <c r="AY31" i="4"/>
  <c r="AY38" i="4" s="1"/>
  <c r="AY47" i="4"/>
  <c r="AY52" i="4" s="1"/>
  <c r="AY77" i="4"/>
  <c r="BD26" i="8" l="1"/>
  <c r="BC29" i="8"/>
  <c r="BD77" i="4"/>
  <c r="AA50" i="7"/>
  <c r="BI77" i="4" l="1"/>
  <c r="BD78" i="4"/>
  <c r="BD26" i="4"/>
  <c r="AX52" i="4"/>
  <c r="BR77" i="4" l="1"/>
  <c r="BN77" i="4"/>
  <c r="BS77" i="4" l="1"/>
  <c r="BW77" i="4"/>
  <c r="BX77" i="4" l="1"/>
  <c r="CB77" i="4"/>
  <c r="CG77" i="4" l="1"/>
  <c r="CC77" i="4"/>
  <c r="CH77" i="4" l="1"/>
  <c r="CL77" i="4"/>
  <c r="CM77" i="4" l="1"/>
  <c r="CQ77" i="4"/>
  <c r="CV77" i="4" s="1"/>
  <c r="DA77" i="4" l="1"/>
  <c r="CW77" i="4"/>
  <c r="CR77" i="4"/>
  <c r="DB77" i="4" l="1"/>
  <c r="AZ22" i="5" l="1"/>
  <c r="AZ68" i="5" l="1"/>
  <c r="AZ61" i="5"/>
  <c r="AZ84" i="4"/>
  <c r="AZ85" i="4"/>
  <c r="AZ93" i="4"/>
  <c r="AZ55" i="5"/>
  <c r="AX38" i="8"/>
  <c r="AY38" i="8" s="1"/>
  <c r="AA20" i="7"/>
  <c r="AX30" i="5" l="1"/>
  <c r="AA30" i="7" l="1"/>
  <c r="AA53" i="7" l="1"/>
  <c r="AA52" i="7"/>
  <c r="AX37" i="8" l="1"/>
  <c r="AY37" i="8" s="1"/>
  <c r="AY40" i="8" s="1"/>
  <c r="AX46" i="8" l="1"/>
  <c r="AY46" i="8" s="1"/>
  <c r="AY47" i="8"/>
  <c r="AX22" i="5"/>
  <c r="AX61" i="5" l="1"/>
  <c r="AY48" i="8"/>
  <c r="AX68" i="5"/>
  <c r="AY14" i="8"/>
  <c r="AY22" i="8" s="1"/>
  <c r="AY61" i="5" l="1"/>
  <c r="AY68" i="5"/>
  <c r="AA19" i="7"/>
  <c r="AA21" i="7" s="1"/>
  <c r="AZ38" i="5" l="1"/>
  <c r="AZ65" i="5" s="1"/>
  <c r="AZ40" i="5" l="1"/>
  <c r="AZ42" i="5" s="1"/>
  <c r="AZ45" i="5" s="1"/>
  <c r="AZ36" i="4" l="1"/>
  <c r="AZ38" i="4" l="1"/>
  <c r="AZ47" i="4" s="1"/>
  <c r="AZ8" i="8"/>
  <c r="AZ13" i="4"/>
  <c r="AZ21" i="4" s="1"/>
  <c r="AZ52" i="4" l="1"/>
  <c r="AZ10" i="8"/>
  <c r="BB11" i="8" l="1"/>
  <c r="BC11" i="8"/>
  <c r="AZ11" i="8"/>
  <c r="BA11" i="8"/>
  <c r="BA22" i="5" l="1"/>
  <c r="BA61" i="5" l="1"/>
  <c r="BA93" i="4" l="1"/>
  <c r="BA84" i="4"/>
  <c r="BA85" i="4"/>
  <c r="BA68" i="5"/>
  <c r="BA55" i="5"/>
  <c r="BA38" i="5" l="1"/>
  <c r="BA65" i="5" s="1"/>
  <c r="BA40" i="5" l="1"/>
  <c r="BA42" i="5" s="1"/>
  <c r="BA45" i="5" s="1"/>
  <c r="BA13" i="4" l="1"/>
  <c r="BA21" i="4" s="1"/>
  <c r="BA36" i="4" l="1"/>
  <c r="BA38" i="4" s="1"/>
  <c r="BA47" i="4" l="1"/>
  <c r="BA52" i="4" s="1"/>
  <c r="BB19" i="4" l="1"/>
  <c r="T15" i="2" l="1"/>
  <c r="T30" i="8" l="1"/>
  <c r="T16" i="8" s="1"/>
  <c r="T29" i="8" l="1"/>
  <c r="T15" i="8"/>
  <c r="U15" i="8" l="1"/>
  <c r="V15" i="8"/>
  <c r="W15" i="8" l="1"/>
  <c r="V16" i="8"/>
  <c r="V29" i="8" s="1"/>
  <c r="W16" i="8" l="1"/>
  <c r="W29" i="8" s="1"/>
  <c r="X15" i="8"/>
  <c r="X16" i="8" l="1"/>
  <c r="X29" i="8" s="1"/>
  <c r="Y15" i="8"/>
  <c r="Z15" i="8" l="1"/>
  <c r="Y16" i="8"/>
  <c r="Y29" i="8" s="1"/>
  <c r="AA15" i="8"/>
  <c r="AB15" i="8" l="1"/>
  <c r="AA16" i="8"/>
  <c r="AA29" i="8" s="1"/>
  <c r="Z16" i="8"/>
  <c r="Z29" i="8" s="1"/>
  <c r="AB16" i="8" l="1"/>
  <c r="AB29" i="8" s="1"/>
  <c r="AC15" i="8"/>
  <c r="AC16" i="8" l="1"/>
  <c r="AC29" i="8" s="1"/>
  <c r="AD15" i="8"/>
  <c r="AE15" i="8" l="1"/>
  <c r="AD16" i="8"/>
  <c r="AD29" i="8" s="1"/>
  <c r="AF15" i="8"/>
  <c r="AF16" i="8" l="1"/>
  <c r="AF29" i="8" s="1"/>
  <c r="AG15" i="8"/>
  <c r="AE16" i="8"/>
  <c r="AE29" i="8" s="1"/>
  <c r="AG16" i="8" l="1"/>
  <c r="AG29" i="8" s="1"/>
  <c r="AH15" i="8"/>
  <c r="AH16" i="8" l="1"/>
  <c r="AH29" i="8" s="1"/>
  <c r="AI15" i="8"/>
  <c r="AI16" i="8" l="1"/>
  <c r="AI29" i="8" s="1"/>
  <c r="AJ15" i="8"/>
  <c r="AJ16" i="8" l="1"/>
  <c r="AJ29" i="8" s="1"/>
  <c r="AK16" i="8"/>
  <c r="AK29" i="8" s="1"/>
  <c r="AL15" i="8"/>
  <c r="AL16" i="8" l="1"/>
  <c r="AL29" i="8" s="1"/>
  <c r="AM15" i="8"/>
  <c r="AM16" i="8" l="1"/>
  <c r="AM29" i="8" s="1"/>
  <c r="AN15" i="8"/>
  <c r="AN16" i="8" l="1"/>
  <c r="AN29" i="8" s="1"/>
  <c r="AO15" i="8"/>
  <c r="AP15" i="8"/>
  <c r="AP16" i="8" l="1"/>
  <c r="AQ15" i="8"/>
  <c r="AO16" i="8"/>
  <c r="AO29" i="8" s="1"/>
  <c r="AQ16" i="8" l="1"/>
  <c r="AR15" i="8"/>
  <c r="AR16" i="8" l="1"/>
  <c r="AS15" i="8"/>
  <c r="AS16" i="8" l="1"/>
  <c r="AT15" i="8"/>
  <c r="AU15" i="8"/>
  <c r="AT29" i="8" l="1"/>
  <c r="AT16" i="8"/>
  <c r="AU16" i="8"/>
  <c r="AV15" i="8"/>
  <c r="AV16" i="8" l="1"/>
  <c r="AW15" i="8"/>
  <c r="AW16" i="8" l="1"/>
  <c r="AX15" i="8"/>
  <c r="AY15" i="8" s="1"/>
  <c r="AX16" i="8" l="1"/>
  <c r="AZ15" i="8"/>
  <c r="AY16" i="8" l="1"/>
  <c r="AZ16" i="8"/>
  <c r="BA15" i="8"/>
  <c r="AY29" i="8"/>
  <c r="BA16" i="8" l="1"/>
  <c r="BB15" i="8"/>
  <c r="BC15" i="8" s="1"/>
  <c r="BE15" i="8" s="1"/>
  <c r="BG15" i="8" s="1"/>
  <c r="BC16" i="8" l="1"/>
  <c r="BB16" i="8"/>
  <c r="BD15" i="8" l="1"/>
  <c r="BF15" i="8" s="1"/>
  <c r="BH15" i="8" s="1"/>
  <c r="BI15" i="8" l="1"/>
  <c r="BJ15" i="8"/>
  <c r="BK15" i="8" l="1"/>
  <c r="BL15" i="8" l="1"/>
  <c r="BM15" i="8" l="1"/>
  <c r="BN15" i="8" l="1"/>
  <c r="BO15" i="8"/>
  <c r="BP15" i="8" l="1"/>
  <c r="BQ15" i="8" s="1"/>
  <c r="BR15" i="8" s="1"/>
  <c r="BS15" i="8" l="1"/>
  <c r="BT15" i="8"/>
  <c r="BU15" i="8" s="1"/>
  <c r="BV15" i="8" s="1"/>
  <c r="BW15" i="8" s="1"/>
  <c r="BX15" i="8" l="1"/>
  <c r="BY15" i="8"/>
  <c r="BZ15" i="8" s="1"/>
  <c r="CA15" i="8" s="1"/>
  <c r="CB15" i="8" s="1"/>
  <c r="CC15" i="8" l="1"/>
  <c r="CD15" i="8"/>
  <c r="CE15" i="8" s="1"/>
  <c r="CF15" i="8" s="1"/>
  <c r="CG15" i="8" s="1"/>
  <c r="CH15" i="8" l="1"/>
  <c r="CI15" i="8"/>
  <c r="CJ15" i="8" s="1"/>
  <c r="CK15" i="8" s="1"/>
  <c r="CL15" i="8" s="1"/>
  <c r="CN15" i="8" l="1"/>
  <c r="CO15" i="8" s="1"/>
  <c r="CP15" i="8" s="1"/>
  <c r="CQ15" i="8" s="1"/>
  <c r="CM15" i="8"/>
  <c r="CR15" i="8" l="1"/>
  <c r="CS15" i="8"/>
  <c r="CT15" i="8" s="1"/>
  <c r="CU15" i="8" s="1"/>
  <c r="CV15" i="8" s="1"/>
  <c r="CX15" i="8" l="1"/>
  <c r="CY15" i="8" s="1"/>
  <c r="CZ15" i="8" s="1"/>
  <c r="DA15" i="8" s="1"/>
  <c r="DB15" i="8" s="1"/>
  <c r="CW15" i="8"/>
  <c r="O16" i="2" l="1"/>
  <c r="O9" i="8" s="1"/>
  <c r="P9" i="8" l="1"/>
  <c r="O10" i="8"/>
  <c r="S11" i="8" s="1"/>
  <c r="T16" i="2"/>
  <c r="Q11" i="8" l="1"/>
  <c r="R11" i="8"/>
  <c r="O11" i="8"/>
  <c r="T9" i="8"/>
  <c r="T10" i="8" l="1"/>
  <c r="U9" i="8"/>
  <c r="T11" i="8" l="1"/>
  <c r="X11" i="8"/>
  <c r="V11" i="8"/>
  <c r="W11" i="8"/>
  <c r="O15" i="2"/>
  <c r="O30" i="8" l="1"/>
  <c r="O16" i="8" s="1"/>
  <c r="P16" i="8" s="1"/>
  <c r="O29" i="8" l="1"/>
  <c r="P29" i="8" s="1"/>
  <c r="O15" i="8"/>
  <c r="P15" i="8" s="1"/>
  <c r="Q15" i="8" l="1"/>
  <c r="U29" i="8"/>
  <c r="U16" i="8"/>
  <c r="T17" i="2"/>
  <c r="T18" i="2" s="1"/>
  <c r="T58" i="2" s="1"/>
  <c r="U21" i="2"/>
  <c r="U60" i="2" s="1"/>
  <c r="Y41" i="2" l="1"/>
  <c r="Z42" i="2"/>
  <c r="U29" i="2"/>
  <c r="U28" i="2"/>
  <c r="U23" i="2"/>
  <c r="U61" i="2" s="1"/>
  <c r="U37" i="7"/>
  <c r="O17" i="2"/>
  <c r="O18" i="2" s="1"/>
  <c r="P21" i="2"/>
  <c r="P42" i="2" l="1"/>
  <c r="P60" i="2"/>
  <c r="O41" i="2"/>
  <c r="O58" i="2"/>
  <c r="U42" i="2"/>
  <c r="Z45" i="2"/>
  <c r="Z43" i="2"/>
  <c r="T41" i="2"/>
  <c r="P29" i="2"/>
  <c r="P45" i="2" s="1"/>
  <c r="P28" i="2"/>
  <c r="P23" i="2"/>
  <c r="T37" i="7"/>
  <c r="O19" i="2"/>
  <c r="O59" i="2" l="1"/>
  <c r="O20" i="2"/>
  <c r="P43" i="2"/>
  <c r="P61" i="2"/>
  <c r="U43" i="2"/>
  <c r="U45" i="2"/>
  <c r="O21" i="2"/>
  <c r="O60" i="2" s="1"/>
  <c r="T39" i="7"/>
  <c r="T40" i="7" s="1"/>
  <c r="T15" i="7"/>
  <c r="T16" i="7" s="1"/>
  <c r="T17" i="7" s="1"/>
  <c r="O23" i="2" l="1"/>
  <c r="O42" i="2"/>
  <c r="T19" i="2"/>
  <c r="T20" i="2" s="1"/>
  <c r="T21" i="2" l="1"/>
  <c r="T29" i="2" s="1"/>
  <c r="T59" i="2"/>
  <c r="O43" i="2"/>
  <c r="O61" i="2"/>
  <c r="O29" i="2"/>
  <c r="O45" i="2" s="1"/>
  <c r="O28" i="2"/>
  <c r="U39" i="7"/>
  <c r="U40" i="7" s="1"/>
  <c r="U15" i="7"/>
  <c r="U16" i="7" s="1"/>
  <c r="U17" i="7" s="1"/>
  <c r="T23" i="2" l="1"/>
  <c r="T61" i="2" s="1"/>
  <c r="T28" i="2"/>
  <c r="T45" i="2"/>
  <c r="T42" i="2"/>
  <c r="T60" i="2"/>
  <c r="T43" i="2" l="1"/>
  <c r="Y19" i="2"/>
  <c r="Y20" i="2" s="1"/>
  <c r="Y21" i="2" l="1"/>
  <c r="Y60" i="2" s="1"/>
  <c r="Y59" i="2"/>
  <c r="V39" i="7"/>
  <c r="V40" i="7" s="1"/>
  <c r="V15" i="7"/>
  <c r="AD42" i="2" l="1"/>
  <c r="Y23" i="2"/>
  <c r="Y61" i="2" s="1"/>
  <c r="Y42" i="2"/>
  <c r="V27" i="7"/>
  <c r="V12" i="7" s="1"/>
  <c r="V16" i="7"/>
  <c r="V17" i="7" s="1"/>
  <c r="Y26" i="2"/>
  <c r="Y29" i="2" s="1"/>
  <c r="Y43" i="2" l="1"/>
  <c r="Y45" i="2"/>
  <c r="AD45" i="2"/>
  <c r="Y57" i="4"/>
  <c r="Y55" i="4" s="1"/>
  <c r="Z55" i="4" s="1"/>
  <c r="Z57" i="4" s="1"/>
  <c r="V55" i="7"/>
  <c r="V56" i="7" s="1"/>
  <c r="V28" i="7"/>
  <c r="AA54" i="4" l="1"/>
  <c r="AA55" i="4" s="1"/>
  <c r="AE55" i="4" s="1"/>
  <c r="Y91" i="4"/>
  <c r="Y85" i="4"/>
  <c r="V29" i="7"/>
  <c r="AE54" i="4" l="1"/>
  <c r="AE57" i="4" s="1"/>
  <c r="V31" i="7"/>
  <c r="V13" i="7"/>
  <c r="Y25" i="2"/>
  <c r="Y28" i="2" s="1"/>
  <c r="AD23" i="2" l="1"/>
  <c r="AD43" i="2" l="1"/>
  <c r="AD61" i="2"/>
  <c r="W15" i="7"/>
  <c r="W16" i="7" s="1"/>
  <c r="W17" i="7" s="1"/>
  <c r="W39" i="7"/>
  <c r="W40" i="7" s="1"/>
  <c r="AI19" i="2" l="1"/>
  <c r="AI20" i="2" s="1"/>
  <c r="AI21" i="2" l="1"/>
  <c r="AI23" i="2" s="1"/>
  <c r="AI59" i="2"/>
  <c r="X15" i="7"/>
  <c r="X16" i="7" s="1"/>
  <c r="X17" i="7" s="1"/>
  <c r="X39" i="7"/>
  <c r="X40" i="7" s="1"/>
  <c r="AI28" i="2" l="1"/>
  <c r="AI29" i="2"/>
  <c r="AI45" i="2" s="1"/>
  <c r="AI43" i="2"/>
  <c r="AI61" i="2"/>
  <c r="AI42" i="2"/>
  <c r="AI60" i="2"/>
  <c r="AX19" i="2"/>
  <c r="AX20" i="2" s="1"/>
  <c r="AX21" i="2" l="1"/>
  <c r="AX60" i="2" s="1"/>
  <c r="AX59" i="2"/>
  <c r="AA39" i="7"/>
  <c r="AA40" i="7" s="1"/>
  <c r="AA15" i="7"/>
  <c r="AX23" i="2" l="1"/>
  <c r="AX61" i="2" s="1"/>
  <c r="AS19" i="2"/>
  <c r="AS20" i="2" s="1"/>
  <c r="AS21" i="2" l="1"/>
  <c r="AS60" i="2" s="1"/>
  <c r="AS59" i="2"/>
  <c r="Z15" i="7"/>
  <c r="Z39" i="7"/>
  <c r="Z40" i="7" s="1"/>
  <c r="AS29" i="2" l="1"/>
  <c r="AS23" i="2"/>
  <c r="AS61" i="2" s="1"/>
  <c r="AX42" i="2"/>
  <c r="AX43" i="2" l="1"/>
  <c r="Z16" i="7"/>
  <c r="Z17" i="7" s="1"/>
  <c r="Z23" i="7"/>
  <c r="Z24" i="7" s="1"/>
  <c r="Z27" i="7"/>
  <c r="Z55" i="7" s="1"/>
  <c r="Z56" i="7" s="1"/>
  <c r="Z12" i="7" l="1"/>
  <c r="AS57" i="4"/>
  <c r="AS85" i="4" s="1"/>
  <c r="Z28" i="7"/>
  <c r="AS91" i="4" l="1"/>
  <c r="AU54" i="4"/>
  <c r="AS55" i="4"/>
  <c r="Z22" i="7"/>
  <c r="Z29" i="7"/>
  <c r="AY54" i="4" l="1"/>
  <c r="AU55" i="4"/>
  <c r="Z31" i="7"/>
  <c r="Z13" i="7"/>
  <c r="AA16" i="7"/>
  <c r="AA17" i="7" s="1"/>
  <c r="AA23" i="7"/>
  <c r="AX26" i="2"/>
  <c r="AX29" i="2" s="1"/>
  <c r="AX45" i="2" s="1"/>
  <c r="AA27" i="7"/>
  <c r="AA28" i="7" s="1"/>
  <c r="AX57" i="4" l="1"/>
  <c r="AX85" i="4" s="1"/>
  <c r="AA12" i="7"/>
  <c r="AA55" i="7"/>
  <c r="AA56" i="7" s="1"/>
  <c r="AA29" i="7"/>
  <c r="AA22" i="7"/>
  <c r="AX91" i="4" l="1"/>
  <c r="AZ54" i="4"/>
  <c r="BD54" i="4" s="1"/>
  <c r="AX55" i="4"/>
  <c r="AA13" i="7"/>
  <c r="AA31" i="7"/>
  <c r="AZ55" i="4" l="1"/>
  <c r="BD55" i="4" s="1"/>
  <c r="BD57" i="4" s="1"/>
  <c r="Y23" i="7"/>
  <c r="Y24" i="7" s="1"/>
  <c r="Y27" i="7"/>
  <c r="Y12" i="7" s="1"/>
  <c r="AN26" i="2"/>
  <c r="AN57" i="4" l="1"/>
  <c r="AP54" i="4" s="1"/>
  <c r="Y28" i="7"/>
  <c r="Y29" i="7" s="1"/>
  <c r="Y31" i="7" s="1"/>
  <c r="Y55" i="7"/>
  <c r="Y56" i="7" s="1"/>
  <c r="AX25" i="2"/>
  <c r="AX28" i="2" s="1"/>
  <c r="AN91" i="4" l="1"/>
  <c r="AN55" i="4"/>
  <c r="AO55" i="4" s="1"/>
  <c r="AO57" i="4" s="1"/>
  <c r="AN85" i="4"/>
  <c r="AT54" i="4"/>
  <c r="AP55" i="4"/>
  <c r="AT55" i="4" s="1"/>
  <c r="Y22" i="7"/>
  <c r="Y13" i="7"/>
  <c r="AX55" i="5"/>
  <c r="AT57" i="4" l="1"/>
  <c r="AV54" i="4" s="1"/>
  <c r="AV55" i="4" s="1"/>
  <c r="AY55" i="4" s="1"/>
  <c r="AY57" i="4" s="1"/>
  <c r="AX38" i="5"/>
  <c r="AN19" i="2"/>
  <c r="AN20" i="2" s="1"/>
  <c r="AN21" i="2" l="1"/>
  <c r="AN60" i="2" s="1"/>
  <c r="AN59" i="2"/>
  <c r="Y15" i="7"/>
  <c r="Y16" i="7" s="1"/>
  <c r="Y17" i="7" s="1"/>
  <c r="AX65" i="5"/>
  <c r="AY65" i="5" s="1"/>
  <c r="AX40" i="5"/>
  <c r="AX42" i="5" s="1"/>
  <c r="AY40" i="5"/>
  <c r="AY42" i="5" s="1"/>
  <c r="AY45" i="5" s="1"/>
  <c r="Y39" i="7"/>
  <c r="Y40" i="7" s="1"/>
  <c r="AS42" i="2" l="1"/>
  <c r="AN29" i="2"/>
  <c r="AN45" i="2" s="1"/>
  <c r="AN42" i="2"/>
  <c r="AN23" i="2"/>
  <c r="AN61" i="2" s="1"/>
  <c r="AX45" i="5"/>
  <c r="AS25" i="2"/>
  <c r="AS28" i="2" s="1"/>
  <c r="AS45" i="2" l="1"/>
  <c r="AN43" i="2"/>
  <c r="AS43" i="2"/>
  <c r="AS38" i="5"/>
  <c r="AS55" i="5"/>
  <c r="AT40" i="5" l="1"/>
  <c r="AT42" i="5" s="1"/>
  <c r="AT45" i="5" s="1"/>
  <c r="AS40" i="5"/>
  <c r="AS42" i="5" s="1"/>
  <c r="AN25" i="2"/>
  <c r="AN28" i="2" s="1"/>
  <c r="AN36" i="5" l="1"/>
  <c r="AN55" i="5" s="1"/>
  <c r="AS45" i="5"/>
  <c r="AN38" i="5" l="1"/>
  <c r="AN40" i="5" s="1"/>
  <c r="AN42" i="5" s="1"/>
  <c r="AO40" i="5"/>
  <c r="AO42" i="5" s="1"/>
  <c r="AO45" i="5" s="1"/>
  <c r="AO46" i="5" s="1"/>
  <c r="AO51" i="5" s="1"/>
  <c r="AO57" i="5" l="1"/>
  <c r="AT44" i="5"/>
  <c r="AT46" i="5" s="1"/>
  <c r="AT51" i="5" s="1"/>
  <c r="AN45" i="5"/>
  <c r="AN46" i="5" s="1"/>
  <c r="AN51" i="5" s="1"/>
  <c r="AN43" i="5"/>
  <c r="X22" i="5"/>
  <c r="X55" i="5" s="1"/>
  <c r="Y10" i="5"/>
  <c r="AN57" i="5" l="1"/>
  <c r="AP44" i="5"/>
  <c r="AP46" i="5" s="1"/>
  <c r="AP51" i="5" s="1"/>
  <c r="AT57" i="5"/>
  <c r="AY44" i="5"/>
  <c r="AY46" i="5" s="1"/>
  <c r="AY51" i="5" s="1"/>
  <c r="Y22" i="5"/>
  <c r="X68" i="5"/>
  <c r="X61" i="5"/>
  <c r="X40" i="5"/>
  <c r="X42" i="5" s="1"/>
  <c r="AP57" i="5" l="1"/>
  <c r="AQ44" i="5"/>
  <c r="AQ46" i="5" s="1"/>
  <c r="AQ51" i="5" s="1"/>
  <c r="AY57" i="5"/>
  <c r="BD44" i="5"/>
  <c r="X45" i="5"/>
  <c r="X46" i="5" s="1"/>
  <c r="X51" i="5" s="1"/>
  <c r="Y61" i="5"/>
  <c r="Y55" i="5"/>
  <c r="Y68" i="5"/>
  <c r="Y40" i="5"/>
  <c r="Y42" i="5" s="1"/>
  <c r="V19" i="7"/>
  <c r="V21" i="7" s="1"/>
  <c r="Z68" i="5"/>
  <c r="Z42" i="5"/>
  <c r="Z45" i="5" s="1"/>
  <c r="Z46" i="5" s="1"/>
  <c r="Z51" i="5" s="1"/>
  <c r="Z61" i="5"/>
  <c r="Z57" i="5" l="1"/>
  <c r="AQ57" i="5"/>
  <c r="AR44" i="5"/>
  <c r="AR46" i="5" s="1"/>
  <c r="AR51" i="5" s="1"/>
  <c r="X57" i="5"/>
  <c r="Y44" i="5"/>
  <c r="Y45" i="5"/>
  <c r="V22" i="7"/>
  <c r="V23" i="7"/>
  <c r="V24" i="7" s="1"/>
  <c r="Y46" i="5" l="1"/>
  <c r="Y51" i="5" s="1"/>
  <c r="AR57" i="5"/>
  <c r="AS44" i="5"/>
  <c r="AS46" i="5" s="1"/>
  <c r="AS51" i="5" s="1"/>
  <c r="Y57" i="5" l="1"/>
  <c r="AS57" i="5"/>
  <c r="AU44" i="5"/>
  <c r="AU46" i="5" s="1"/>
  <c r="AU51" i="5" s="1"/>
  <c r="AU57" i="5" l="1"/>
  <c r="AV44" i="5"/>
  <c r="AV46" i="5" s="1"/>
  <c r="AV51" i="5" s="1"/>
  <c r="AV57" i="5" l="1"/>
  <c r="AW44" i="5"/>
  <c r="AW46" i="5" s="1"/>
  <c r="AW51" i="5" s="1"/>
  <c r="AW57" i="5" l="1"/>
  <c r="AX44" i="5"/>
  <c r="AX46" i="5" s="1"/>
  <c r="AX51" i="5" s="1"/>
  <c r="AX57" i="5" l="1"/>
  <c r="AZ44" i="5"/>
  <c r="AZ46" i="5" s="1"/>
  <c r="AZ51" i="5" s="1"/>
  <c r="AZ57" i="5" l="1"/>
  <c r="BA44" i="5"/>
  <c r="BA46" i="5" s="1"/>
  <c r="BA51" i="5" s="1"/>
  <c r="BA57" i="5" l="1"/>
  <c r="BB44" i="5"/>
  <c r="BE61" i="4" l="1"/>
  <c r="BE65" i="4" l="1"/>
  <c r="BE77" i="4"/>
  <c r="BE60" i="8"/>
  <c r="BO77" i="4" l="1"/>
  <c r="BT77" i="4" s="1"/>
  <c r="BY77" i="4" s="1"/>
  <c r="CD77" i="4" s="1"/>
  <c r="CI77" i="4" s="1"/>
  <c r="CN77" i="4" s="1"/>
  <c r="CS77" i="4" s="1"/>
  <c r="CX77" i="4" s="1"/>
  <c r="BE78" i="4"/>
  <c r="BE66" i="4"/>
  <c r="BE63" i="8"/>
  <c r="BE64" i="8" l="1"/>
  <c r="BN21" i="5" l="1"/>
  <c r="BB9" i="2" l="1"/>
  <c r="BB48" i="2" l="1"/>
  <c r="BB49" i="2" s="1"/>
  <c r="BB14" i="2"/>
  <c r="BB55" i="2" s="1"/>
  <c r="BB35" i="2"/>
  <c r="BB74" i="4"/>
  <c r="BB73" i="4"/>
  <c r="BB69" i="4"/>
  <c r="BB31" i="4"/>
  <c r="BB39" i="2" l="1"/>
  <c r="BB53" i="2"/>
  <c r="BB54" i="2" s="1"/>
  <c r="BB18" i="2"/>
  <c r="BB20" i="2" s="1"/>
  <c r="BB31" i="2"/>
  <c r="BB81" i="4"/>
  <c r="BB82" i="4"/>
  <c r="BB40" i="2" l="1"/>
  <c r="BB56" i="2"/>
  <c r="BB57" i="2" s="1"/>
  <c r="BB41" i="2"/>
  <c r="BB58" i="2"/>
  <c r="BB59" i="2"/>
  <c r="BB21" i="2"/>
  <c r="BB28" i="2" s="1"/>
  <c r="BB42" i="2" l="1"/>
  <c r="BB60" i="2"/>
  <c r="BB23" i="2"/>
  <c r="BB61" i="2" s="1"/>
  <c r="BB29" i="2"/>
  <c r="BB45" i="2" s="1"/>
  <c r="BB22" i="5"/>
  <c r="BB61" i="5" s="1"/>
  <c r="BB43" i="2" l="1"/>
  <c r="BB84" i="4"/>
  <c r="BB85" i="4"/>
  <c r="BB68" i="5"/>
  <c r="BB55" i="5"/>
  <c r="BB38" i="5" l="1"/>
  <c r="BB65" i="5" s="1"/>
  <c r="BB40" i="5" l="1"/>
  <c r="BB42" i="5" s="1"/>
  <c r="BD29" i="8" l="1"/>
  <c r="BD16" i="8"/>
  <c r="BB45" i="5"/>
  <c r="BB46" i="5" s="1"/>
  <c r="BB51" i="5" l="1"/>
  <c r="BC44" i="5"/>
  <c r="BB57" i="5"/>
  <c r="BB87" i="4"/>
  <c r="BB93" i="4"/>
  <c r="BB36" i="4"/>
  <c r="BB38" i="4" l="1"/>
  <c r="BB47" i="4" s="1"/>
  <c r="BB89" i="4"/>
  <c r="BB88" i="4"/>
  <c r="BB91" i="4"/>
  <c r="BB13" i="4"/>
  <c r="BB21" i="4" s="1"/>
  <c r="BB52" i="4" l="1"/>
  <c r="BB37" i="8"/>
  <c r="BC36" i="8"/>
  <c r="BC36" i="4" l="1"/>
  <c r="BD33" i="4"/>
  <c r="BD36" i="4" l="1"/>
  <c r="BC88" i="4"/>
  <c r="BD9" i="4"/>
  <c r="AB26" i="7" l="1"/>
  <c r="BX21" i="5" l="1"/>
  <c r="CC21" i="5" l="1"/>
  <c r="CH21" i="5" l="1"/>
  <c r="CM21" i="5" l="1"/>
  <c r="CR21" i="5" l="1"/>
  <c r="CW21" i="5" l="1"/>
  <c r="DB21" i="5" l="1"/>
  <c r="BC8" i="2" l="1"/>
  <c r="BC9" i="2" l="1"/>
  <c r="BC474" i="3"/>
  <c r="BC471" i="3" s="1"/>
  <c r="BC62" i="4"/>
  <c r="BE62" i="4"/>
  <c r="BD9" i="2" l="1"/>
  <c r="BD79" i="2" s="1"/>
  <c r="BH35" i="2"/>
  <c r="BD48" i="2"/>
  <c r="BD49" i="2" s="1"/>
  <c r="BD75" i="2"/>
  <c r="BE73" i="4"/>
  <c r="BE69" i="4"/>
  <c r="BC35" i="2"/>
  <c r="BC48" i="2"/>
  <c r="BD35" i="2"/>
  <c r="BC70" i="4"/>
  <c r="BC74" i="4"/>
  <c r="BC475" i="3"/>
  <c r="BC69" i="4"/>
  <c r="BC73" i="4"/>
  <c r="BD62" i="4"/>
  <c r="BD14" i="2" l="1"/>
  <c r="BD55" i="2" s="1"/>
  <c r="BC49" i="2"/>
  <c r="BH49" i="2"/>
  <c r="BD31" i="2"/>
  <c r="BD39" i="2"/>
  <c r="BD53" i="2"/>
  <c r="BD54" i="2" s="1"/>
  <c r="BD18" i="2"/>
  <c r="BD20" i="2" s="1"/>
  <c r="BE81" i="4"/>
  <c r="BC472" i="3"/>
  <c r="BD73" i="4"/>
  <c r="BD69" i="4"/>
  <c r="BC81" i="4"/>
  <c r="BC13" i="4"/>
  <c r="BD11" i="4"/>
  <c r="BD74" i="4"/>
  <c r="AB45" i="7" s="1"/>
  <c r="BD25" i="4"/>
  <c r="BD40" i="2" l="1"/>
  <c r="BD56" i="2"/>
  <c r="BD57" i="2" s="1"/>
  <c r="BD41" i="2"/>
  <c r="BD59" i="2"/>
  <c r="BD58" i="2"/>
  <c r="BD13" i="4"/>
  <c r="BC82" i="4"/>
  <c r="BD70" i="4"/>
  <c r="AB44" i="7" s="1"/>
  <c r="AB46" i="7" s="1"/>
  <c r="BE74" i="4" l="1"/>
  <c r="BE70" i="4"/>
  <c r="BE82" i="4" l="1"/>
  <c r="BD37" i="2"/>
  <c r="BC11" i="2"/>
  <c r="BC13" i="2" l="1"/>
  <c r="BC14" i="2" s="1"/>
  <c r="BH37" i="2"/>
  <c r="BC38" i="2"/>
  <c r="BC77" i="2"/>
  <c r="BC51" i="2"/>
  <c r="BC37" i="2"/>
  <c r="AB33" i="7"/>
  <c r="BH55" i="2" l="1"/>
  <c r="BH39" i="2"/>
  <c r="BC52" i="2"/>
  <c r="BH38" i="2"/>
  <c r="BM37" i="2"/>
  <c r="BC31" i="2"/>
  <c r="BC40" i="2" s="1"/>
  <c r="BC55" i="2"/>
  <c r="BE59" i="8"/>
  <c r="BC39" i="2"/>
  <c r="BC53" i="2"/>
  <c r="BI11" i="2"/>
  <c r="BC54" i="2" l="1"/>
  <c r="BH54" i="2"/>
  <c r="BI13" i="2"/>
  <c r="BI73" i="2" s="1"/>
  <c r="BC56" i="2"/>
  <c r="BC57" i="2" s="1"/>
  <c r="BD60" i="8"/>
  <c r="BD64" i="8"/>
  <c r="BI37" i="2"/>
  <c r="BE61" i="8"/>
  <c r="BF59" i="8" s="1"/>
  <c r="BF61" i="8" s="1"/>
  <c r="BG59" i="8" s="1"/>
  <c r="BI59" i="8"/>
  <c r="BD63" i="8"/>
  <c r="BI38" i="2" l="1"/>
  <c r="BD21" i="2" l="1"/>
  <c r="BC17" i="2"/>
  <c r="BD42" i="2" l="1"/>
  <c r="BD60" i="2"/>
  <c r="BC18" i="2"/>
  <c r="BD23" i="2"/>
  <c r="AB15" i="7" s="1"/>
  <c r="BD28" i="2"/>
  <c r="BD29" i="2"/>
  <c r="BD45" i="2" s="1"/>
  <c r="AB37" i="7"/>
  <c r="BC20" i="2" l="1"/>
  <c r="BH41" i="2"/>
  <c r="BD43" i="2"/>
  <c r="BD61" i="2"/>
  <c r="BC58" i="2"/>
  <c r="BC59" i="2"/>
  <c r="BC21" i="2"/>
  <c r="BH42" i="2" s="1"/>
  <c r="BC41" i="2"/>
  <c r="BC42" i="2" l="1"/>
  <c r="BC60" i="2"/>
  <c r="BC29" i="2"/>
  <c r="BC23" i="2"/>
  <c r="BH43" i="2" s="1"/>
  <c r="BC28" i="2"/>
  <c r="BC45" i="2" l="1"/>
  <c r="BH45" i="2"/>
  <c r="BC43" i="2"/>
  <c r="BC61" i="2"/>
  <c r="AB16" i="7"/>
  <c r="AB17" i="7" s="1"/>
  <c r="AB39" i="7"/>
  <c r="BD15" i="4" l="1"/>
  <c r="BC40" i="8"/>
  <c r="BC48" i="8"/>
  <c r="BE45" i="8" s="1"/>
  <c r="BE46" i="8" s="1"/>
  <c r="BD16" i="4"/>
  <c r="BE36" i="8" l="1"/>
  <c r="BI45" i="8"/>
  <c r="BI36" i="8" l="1"/>
  <c r="BE37" i="8"/>
  <c r="BF45" i="8"/>
  <c r="BF46" i="8" s="1"/>
  <c r="BD17" i="4" l="1"/>
  <c r="BC19" i="4"/>
  <c r="BD19" i="4" s="1"/>
  <c r="BC55" i="8"/>
  <c r="BE52" i="8" s="1"/>
  <c r="BE53" i="8" s="1"/>
  <c r="BI52" i="8" l="1"/>
  <c r="BI55" i="8" s="1"/>
  <c r="BC53" i="8"/>
  <c r="BD53" i="8" s="1"/>
  <c r="BD55" i="8" s="1"/>
  <c r="BC21" i="4"/>
  <c r="BD21" i="4" s="1"/>
  <c r="BF52" i="8" l="1"/>
  <c r="BF53" i="8" s="1"/>
  <c r="AB34" i="7"/>
  <c r="AB35" i="7" l="1"/>
  <c r="BI17" i="4" l="1"/>
  <c r="BD30" i="4" l="1"/>
  <c r="AB48" i="7" s="1"/>
  <c r="AB29" i="7" s="1"/>
  <c r="AB13" i="7" s="1"/>
  <c r="BC31" i="4"/>
  <c r="BC91" i="4"/>
  <c r="BC87" i="4"/>
  <c r="BC89" i="4"/>
  <c r="BC28" i="8"/>
  <c r="BC24" i="8"/>
  <c r="BE26" i="8" s="1"/>
  <c r="BE29" i="8" s="1"/>
  <c r="BD31" i="4" l="1"/>
  <c r="BD38" i="4" s="1"/>
  <c r="BC38" i="4"/>
  <c r="BD28" i="8"/>
  <c r="BC14" i="8"/>
  <c r="BD14" i="8" s="1"/>
  <c r="BD24" i="8"/>
  <c r="BE31" i="4" l="1"/>
  <c r="BF29" i="8"/>
  <c r="BI15" i="2" l="1"/>
  <c r="BI30" i="8" s="1"/>
  <c r="BJ26" i="8"/>
  <c r="BJ29" i="8" s="1"/>
  <c r="BI24" i="8"/>
  <c r="BJ24" i="8" s="1"/>
  <c r="BI26" i="8"/>
  <c r="BK26" i="8" l="1"/>
  <c r="BK29" i="8" s="1"/>
  <c r="BJ30" i="4"/>
  <c r="BK24" i="8"/>
  <c r="BI30" i="4"/>
  <c r="BL26" i="8" l="1"/>
  <c r="BL29" i="8" s="1"/>
  <c r="BK30" i="4"/>
  <c r="BL24" i="8"/>
  <c r="BL30" i="4" l="1"/>
  <c r="BM26" i="8"/>
  <c r="BM24" i="8"/>
  <c r="BN24" i="8" s="1"/>
  <c r="BN26" i="8" l="1"/>
  <c r="BM29" i="8"/>
  <c r="BO26" i="8"/>
  <c r="BO29" i="8" s="1"/>
  <c r="BM30" i="4"/>
  <c r="BO24" i="8"/>
  <c r="BP26" i="8" l="1"/>
  <c r="BP29" i="8" s="1"/>
  <c r="BO30" i="4"/>
  <c r="BP24" i="8"/>
  <c r="BN30" i="4"/>
  <c r="BP30" i="4" l="1"/>
  <c r="BQ24" i="8"/>
  <c r="BQ26" i="8"/>
  <c r="BQ29" i="8" s="1"/>
  <c r="BR26" i="8" l="1"/>
  <c r="BR29" i="8" s="1"/>
  <c r="BQ30" i="4"/>
  <c r="BR24" i="8"/>
  <c r="BR30" i="4" l="1"/>
  <c r="BS24" i="8"/>
  <c r="BT24" i="8" s="1"/>
  <c r="BT26" i="8"/>
  <c r="BT29" i="8" s="1"/>
  <c r="BS26" i="8"/>
  <c r="BT30" i="4" l="1"/>
  <c r="BU24" i="8"/>
  <c r="BU26" i="8"/>
  <c r="BU29" i="8" s="1"/>
  <c r="BS30" i="4"/>
  <c r="BU30" i="4" l="1"/>
  <c r="BV26" i="8"/>
  <c r="BV29" i="8" s="1"/>
  <c r="BV24" i="8"/>
  <c r="BV30" i="4" l="1"/>
  <c r="BW24" i="8"/>
  <c r="BW26" i="8"/>
  <c r="BX26" i="8" l="1"/>
  <c r="BW29" i="8"/>
  <c r="BW30" i="4"/>
  <c r="BY26" i="8"/>
  <c r="BY29" i="8" s="1"/>
  <c r="BX24" i="8"/>
  <c r="BY24" i="8" s="1"/>
  <c r="BY30" i="4" l="1"/>
  <c r="BZ26" i="8"/>
  <c r="BZ29" i="8" s="1"/>
  <c r="BZ24" i="8"/>
  <c r="BX30" i="4"/>
  <c r="BZ30" i="4" l="1"/>
  <c r="CA26" i="8"/>
  <c r="CA29" i="8" s="1"/>
  <c r="CA24" i="8"/>
  <c r="CA30" i="4" l="1"/>
  <c r="CB26" i="8"/>
  <c r="CB29" i="8" s="1"/>
  <c r="CB24" i="8"/>
  <c r="CB30" i="4" l="1"/>
  <c r="CD26" i="8"/>
  <c r="CD29" i="8" s="1"/>
  <c r="CC24" i="8"/>
  <c r="CD24" i="8" s="1"/>
  <c r="CC26" i="8"/>
  <c r="CD30" i="4" l="1"/>
  <c r="CE24" i="8"/>
  <c r="CE26" i="8"/>
  <c r="CE29" i="8" s="1"/>
  <c r="CC30" i="4"/>
  <c r="CE30" i="4" l="1"/>
  <c r="CF26" i="8"/>
  <c r="CF29" i="8" s="1"/>
  <c r="CF24" i="8"/>
  <c r="CF30" i="4" l="1"/>
  <c r="CG24" i="8"/>
  <c r="CG26" i="8"/>
  <c r="CG29" i="8" s="1"/>
  <c r="CI26" i="8" l="1"/>
  <c r="CI29" i="8" s="1"/>
  <c r="CG30" i="4"/>
  <c r="CH24" i="8"/>
  <c r="CI24" i="8" s="1"/>
  <c r="CH26" i="8"/>
  <c r="CH30" i="4" l="1"/>
  <c r="CI30" i="4"/>
  <c r="CJ24" i="8"/>
  <c r="CJ26" i="8"/>
  <c r="CJ29" i="8" s="1"/>
  <c r="CJ30" i="4" l="1"/>
  <c r="CK26" i="8"/>
  <c r="CK29" i="8" s="1"/>
  <c r="CK24" i="8"/>
  <c r="CK30" i="4" l="1"/>
  <c r="CL26" i="8"/>
  <c r="CL29" i="8" s="1"/>
  <c r="CL24" i="8"/>
  <c r="CM26" i="8" l="1"/>
  <c r="CL30" i="4"/>
  <c r="CM24" i="8"/>
  <c r="CN24" i="8" s="1"/>
  <c r="CN26" i="8"/>
  <c r="CN29" i="8" s="1"/>
  <c r="CM30" i="4" l="1"/>
  <c r="CN30" i="4"/>
  <c r="CO26" i="8"/>
  <c r="CO29" i="8" s="1"/>
  <c r="CO24" i="8"/>
  <c r="CO30" i="4" l="1"/>
  <c r="CP26" i="8"/>
  <c r="CP29" i="8" s="1"/>
  <c r="CP24" i="8"/>
  <c r="CP30" i="4" l="1"/>
  <c r="CQ24" i="8"/>
  <c r="CQ26" i="8"/>
  <c r="CQ29" i="8" s="1"/>
  <c r="CQ30" i="4" l="1"/>
  <c r="CS26" i="8"/>
  <c r="CS29" i="8" s="1"/>
  <c r="CR24" i="8"/>
  <c r="CS24" i="8" s="1"/>
  <c r="CR26" i="8"/>
  <c r="CT26" i="8" l="1"/>
  <c r="CT29" i="8" s="1"/>
  <c r="CS30" i="4"/>
  <c r="CT24" i="8"/>
  <c r="CR30" i="4"/>
  <c r="CT30" i="4" l="1"/>
  <c r="CU24" i="8"/>
  <c r="CU26" i="8"/>
  <c r="CU29" i="8" s="1"/>
  <c r="CU30" i="4" l="1"/>
  <c r="CV24" i="8"/>
  <c r="CV26" i="8"/>
  <c r="CW26" i="8" l="1"/>
  <c r="CV29" i="8"/>
  <c r="CV30" i="4"/>
  <c r="CW24" i="8"/>
  <c r="CX24" i="8" s="1"/>
  <c r="CX26" i="8"/>
  <c r="CX29" i="8" s="1"/>
  <c r="CX30" i="4" l="1"/>
  <c r="CY26" i="8"/>
  <c r="CY29" i="8" s="1"/>
  <c r="CY24" i="8"/>
  <c r="CW30" i="4"/>
  <c r="CY30" i="4" l="1"/>
  <c r="CZ24" i="8"/>
  <c r="CZ26" i="8"/>
  <c r="CZ29" i="8" s="1"/>
  <c r="DA24" i="8" l="1"/>
  <c r="CZ30" i="4"/>
  <c r="DA26" i="8"/>
  <c r="DA29" i="8" s="1"/>
  <c r="DB26" i="8" l="1"/>
  <c r="DB24" i="8"/>
  <c r="DA30" i="4"/>
  <c r="DB30" i="4" l="1"/>
  <c r="BD43" i="4"/>
  <c r="BC45" i="4"/>
  <c r="BC85" i="4" s="1"/>
  <c r="BE45" i="4"/>
  <c r="BE93" i="4" s="1"/>
  <c r="BC84" i="4" l="1"/>
  <c r="BE84" i="4"/>
  <c r="BD45" i="4"/>
  <c r="BC47" i="4"/>
  <c r="BC93" i="4"/>
  <c r="AB49" i="7" l="1"/>
  <c r="AB38" i="7"/>
  <c r="AB40" i="7" s="1"/>
  <c r="BC52" i="4"/>
  <c r="BD52" i="4" s="1"/>
  <c r="BD47" i="4"/>
  <c r="AB55" i="7" l="1"/>
  <c r="AB56" i="7" s="1"/>
  <c r="AB50" i="7"/>
  <c r="AB20" i="7"/>
  <c r="BC38" i="8"/>
  <c r="BD38" i="8" s="1"/>
  <c r="BJ27" i="5" l="1"/>
  <c r="BJ30" i="5" s="1"/>
  <c r="BK27" i="5"/>
  <c r="BK30" i="5" s="1"/>
  <c r="BO27" i="5"/>
  <c r="BE19" i="4"/>
  <c r="BF36" i="8"/>
  <c r="BO30" i="5" l="1"/>
  <c r="BL27" i="5"/>
  <c r="BL30" i="5" s="1"/>
  <c r="BP27" i="5"/>
  <c r="BP30" i="5" s="1"/>
  <c r="BT27" i="5"/>
  <c r="BT30" i="5" s="1"/>
  <c r="BM27" i="5" l="1"/>
  <c r="BM30" i="5" s="1"/>
  <c r="BQ27" i="5"/>
  <c r="BQ30" i="5" s="1"/>
  <c r="BY27" i="5"/>
  <c r="BY30" i="5" s="1"/>
  <c r="BU27" i="5"/>
  <c r="BU30" i="5" s="1"/>
  <c r="BN27" i="5" l="1"/>
  <c r="BN30" i="5"/>
  <c r="BV27" i="5"/>
  <c r="BV30" i="5" s="1"/>
  <c r="CD27" i="5"/>
  <c r="CD30" i="5" s="1"/>
  <c r="BZ27" i="5"/>
  <c r="BZ30" i="5" s="1"/>
  <c r="BR27" i="5" l="1"/>
  <c r="AE20" i="7"/>
  <c r="CA27" i="5"/>
  <c r="CA30" i="5" s="1"/>
  <c r="CI27" i="5"/>
  <c r="CI30" i="5" s="1"/>
  <c r="CE27" i="5"/>
  <c r="CE30" i="5" s="1"/>
  <c r="BW27" i="5" l="1"/>
  <c r="BW30" i="5" s="1"/>
  <c r="BX30" i="5" s="1"/>
  <c r="BR30" i="5"/>
  <c r="BS30" i="5" s="1"/>
  <c r="BS27" i="5"/>
  <c r="CF27" i="5"/>
  <c r="CF30" i="5" s="1"/>
  <c r="CN27" i="5"/>
  <c r="CN30" i="5" s="1"/>
  <c r="CJ27" i="5"/>
  <c r="CJ30" i="5" s="1"/>
  <c r="AF20" i="7" l="1"/>
  <c r="BX27" i="5"/>
  <c r="CB27" i="5"/>
  <c r="CB30" i="5" s="1"/>
  <c r="CC30" i="5" s="1"/>
  <c r="CS27" i="5"/>
  <c r="CS30" i="5" s="1"/>
  <c r="CK27" i="5"/>
  <c r="CK30" i="5" s="1"/>
  <c r="CO27" i="5"/>
  <c r="CO30" i="5" s="1"/>
  <c r="BE36" i="4"/>
  <c r="BE87" i="4"/>
  <c r="CG27" i="5"/>
  <c r="CG30" i="5" s="1"/>
  <c r="CC27" i="5" l="1"/>
  <c r="BE38" i="4"/>
  <c r="BE47" i="4" s="1"/>
  <c r="CL27" i="5"/>
  <c r="CL30" i="5" s="1"/>
  <c r="CP27" i="5"/>
  <c r="CP30" i="5" s="1"/>
  <c r="CX27" i="5"/>
  <c r="CX30" i="5" s="1"/>
  <c r="CH30" i="5"/>
  <c r="CT27" i="5"/>
  <c r="CT30" i="5" s="1"/>
  <c r="CH27" i="5"/>
  <c r="CM27" i="5" l="1"/>
  <c r="CU27" i="5"/>
  <c r="CU30" i="5" s="1"/>
  <c r="CM30" i="5"/>
  <c r="CY27" i="5" l="1"/>
  <c r="CY30" i="5" s="1"/>
  <c r="CQ27" i="5"/>
  <c r="CQ30" i="5" s="1"/>
  <c r="CR30" i="5" s="1"/>
  <c r="CZ27" i="5"/>
  <c r="CZ30" i="5" s="1"/>
  <c r="CV27" i="5"/>
  <c r="CV30" i="5" s="1"/>
  <c r="CR27" i="5" l="1"/>
  <c r="DA27" i="5"/>
  <c r="DA30" i="5" s="1"/>
  <c r="CW30" i="5"/>
  <c r="CW27" i="5"/>
  <c r="DB27" i="5" l="1"/>
  <c r="DB30" i="5"/>
  <c r="BD47" i="8" l="1"/>
  <c r="BC46" i="8" l="1"/>
  <c r="BD46" i="8" l="1"/>
  <c r="BD48" i="8" s="1"/>
  <c r="AB30" i="7"/>
  <c r="BC61" i="5"/>
  <c r="BC68" i="5"/>
  <c r="BC55" i="5"/>
  <c r="BC37" i="8"/>
  <c r="BD37" i="8" s="1"/>
  <c r="BD22" i="5"/>
  <c r="BD61" i="5" l="1"/>
  <c r="BD40" i="8"/>
  <c r="BC38" i="5"/>
  <c r="AB53" i="7"/>
  <c r="AB52" i="7"/>
  <c r="AB31" i="7"/>
  <c r="AB19" i="7"/>
  <c r="AB21" i="7" s="1"/>
  <c r="BD68" i="5"/>
  <c r="AB23" i="7" l="1"/>
  <c r="AB22" i="7"/>
  <c r="BD40" i="5"/>
  <c r="BD42" i="5" s="1"/>
  <c r="BD45" i="5" s="1"/>
  <c r="BD46" i="5" s="1"/>
  <c r="BC40" i="5"/>
  <c r="BC42" i="5" s="1"/>
  <c r="BC45" i="5" s="1"/>
  <c r="BC46" i="5" s="1"/>
  <c r="BC65" i="5"/>
  <c r="BD65" i="5" s="1"/>
  <c r="BC51" i="5" l="1"/>
  <c r="BC57" i="5"/>
  <c r="BD51" i="5"/>
  <c r="BD57" i="5"/>
  <c r="BI44" i="5"/>
  <c r="BE44" i="5"/>
  <c r="BE13" i="4" l="1"/>
  <c r="BE21" i="4" l="1"/>
  <c r="BE52" i="4" s="1"/>
  <c r="BE88" i="4"/>
  <c r="BE89" i="4"/>
  <c r="AD89" i="3" l="1"/>
  <c r="AD95" i="3" s="1"/>
  <c r="AD67" i="3" s="1"/>
  <c r="AD163" i="3" s="1"/>
  <c r="AD93" i="3"/>
  <c r="AE67" i="3" l="1"/>
  <c r="AD174" i="3"/>
  <c r="AD69" i="3"/>
  <c r="AF69" i="3"/>
  <c r="AD68" i="3"/>
  <c r="AI68" i="3"/>
  <c r="AD96" i="3"/>
  <c r="AD103" i="3"/>
  <c r="AE89" i="3"/>
  <c r="AD90" i="3"/>
  <c r="AI90" i="3"/>
  <c r="AE92" i="3"/>
  <c r="AF97" i="3"/>
  <c r="AI93" i="3"/>
  <c r="AD97" i="3"/>
  <c r="AI96" i="3"/>
  <c r="AI175" i="3" l="1"/>
  <c r="AF176" i="3"/>
  <c r="AF162" i="3"/>
  <c r="AI161" i="3"/>
  <c r="AE160" i="3"/>
  <c r="AJ161" i="3" s="1"/>
  <c r="AD169" i="3"/>
  <c r="AD161" i="3"/>
  <c r="AD162" i="3"/>
  <c r="AD176" i="3"/>
  <c r="AD175" i="3"/>
  <c r="AE68" i="3"/>
  <c r="AJ68" i="3"/>
  <c r="AD105" i="3"/>
  <c r="AD104" i="3"/>
  <c r="AF105" i="3"/>
  <c r="AI104" i="3"/>
  <c r="AE103" i="3"/>
  <c r="AE91" i="3"/>
  <c r="AE90" i="3"/>
  <c r="AJ90" i="3"/>
  <c r="AE93" i="3"/>
  <c r="AE94" i="3"/>
  <c r="AE95" i="3"/>
  <c r="AJ93" i="3"/>
  <c r="AD171" i="3" l="1"/>
  <c r="AF171" i="3"/>
  <c r="AE163" i="3"/>
  <c r="AE174" i="3"/>
  <c r="AE161" i="3"/>
  <c r="AI170" i="3"/>
  <c r="AD170" i="3"/>
  <c r="AE169" i="3"/>
  <c r="AE104" i="3"/>
  <c r="AE99" i="3"/>
  <c r="AJ104" i="3"/>
  <c r="AJ96" i="3"/>
  <c r="AE96" i="3"/>
  <c r="AE175" i="3" l="1"/>
  <c r="AJ175" i="3"/>
  <c r="AE165" i="3"/>
  <c r="AE166" i="3" s="1"/>
  <c r="AE170" i="3"/>
  <c r="AJ170" i="3"/>
  <c r="AE100" i="3"/>
  <c r="AJ100" i="3"/>
  <c r="AF157" i="3"/>
  <c r="AD157" i="3"/>
  <c r="AD156" i="3"/>
  <c r="AI156" i="3"/>
  <c r="AD75" i="3"/>
  <c r="AE155" i="3"/>
  <c r="AJ156" i="3" s="1"/>
  <c r="AD77" i="3" l="1"/>
  <c r="AF77" i="3"/>
  <c r="AJ166" i="3"/>
  <c r="AD57" i="3"/>
  <c r="AD182" i="3"/>
  <c r="AD71" i="3"/>
  <c r="AE75" i="3"/>
  <c r="AE57" i="3" s="1"/>
  <c r="AI76" i="3"/>
  <c r="AE151" i="3"/>
  <c r="AD76" i="3"/>
  <c r="AE156" i="3"/>
  <c r="AI72" i="3" l="1"/>
  <c r="AD73" i="3"/>
  <c r="AF73" i="3"/>
  <c r="AE58" i="3"/>
  <c r="AF59" i="3"/>
  <c r="AJ58" i="3"/>
  <c r="AD58" i="3"/>
  <c r="AD59" i="3"/>
  <c r="AI58" i="3"/>
  <c r="AE182" i="3"/>
  <c r="AD184" i="3"/>
  <c r="AD183" i="3"/>
  <c r="AF184" i="3"/>
  <c r="AI183" i="3"/>
  <c r="AD178" i="3"/>
  <c r="AD72" i="3"/>
  <c r="AE76" i="3"/>
  <c r="AE71" i="3"/>
  <c r="AJ76" i="3"/>
  <c r="AJ152" i="3"/>
  <c r="AE152" i="3"/>
  <c r="AF180" i="3" l="1"/>
  <c r="AI179" i="3"/>
  <c r="AD179" i="3"/>
  <c r="AD180" i="3"/>
  <c r="AE183" i="3"/>
  <c r="AJ183" i="3"/>
  <c r="AE178" i="3"/>
  <c r="AE72" i="3"/>
  <c r="AJ72" i="3"/>
  <c r="AT231" i="3"/>
  <c r="AE179" i="3" l="1"/>
  <c r="AJ179" i="3"/>
  <c r="AT232" i="3"/>
  <c r="AY232" i="3"/>
  <c r="BH176" i="3" l="1"/>
  <c r="G179" i="3" l="1"/>
  <c r="G183" i="3"/>
  <c r="G180" i="3"/>
  <c r="E184" i="3"/>
  <c r="G184" i="3"/>
  <c r="I179" i="3"/>
  <c r="E57" i="3"/>
  <c r="G59" i="3" s="1"/>
  <c r="D57" i="3"/>
  <c r="I183" i="3"/>
  <c r="G62" i="3"/>
  <c r="J62" i="3" l="1"/>
  <c r="E63" i="3"/>
  <c r="G63" i="3"/>
  <c r="I62" i="3"/>
  <c r="I58" i="3"/>
  <c r="E59" i="3"/>
  <c r="J58" i="3"/>
  <c r="E180" i="3"/>
  <c r="B57" i="3"/>
  <c r="G58" i="3" s="1"/>
  <c r="BF54" i="4" l="1"/>
  <c r="BF55" i="4" s="1"/>
  <c r="BE55" i="4"/>
  <c r="BE85" i="4"/>
  <c r="BE22" i="5" l="1"/>
  <c r="BE61" i="5" l="1"/>
  <c r="BI16" i="4" l="1"/>
  <c r="BE30" i="5" l="1"/>
  <c r="BE55" i="5" s="1"/>
  <c r="BE38" i="5" s="1"/>
  <c r="BE68" i="5"/>
  <c r="BF37" i="8"/>
  <c r="BE40" i="5" l="1"/>
  <c r="BE42" i="5" s="1"/>
  <c r="BE45" i="5" s="1"/>
  <c r="BE46" i="5" s="1"/>
  <c r="BF30" i="5" l="1"/>
  <c r="BG30" i="5" s="1"/>
  <c r="BE51" i="5" l="1"/>
  <c r="BE57" i="5"/>
  <c r="BF44" i="5"/>
  <c r="BF19" i="4"/>
  <c r="BG31" i="2" l="1"/>
  <c r="BE197" i="3" l="1"/>
  <c r="BI208" i="3"/>
  <c r="BN209" i="3" s="1"/>
  <c r="BE209" i="3"/>
  <c r="BJ209" i="3"/>
  <c r="BF210" i="3"/>
  <c r="BJ206" i="3" l="1"/>
  <c r="BE206" i="3"/>
  <c r="BJ196" i="3"/>
  <c r="BI209" i="3"/>
  <c r="BE196" i="3"/>
  <c r="BE193" i="3"/>
  <c r="BI205" i="3"/>
  <c r="BI206" i="3" s="1"/>
  <c r="BF197" i="3"/>
  <c r="BI192" i="3" l="1"/>
  <c r="BI193" i="3" s="1"/>
  <c r="BI196" i="3"/>
  <c r="BN196" i="3"/>
  <c r="BJ193" i="3"/>
  <c r="BN206" i="3"/>
  <c r="BN193" i="3" l="1"/>
  <c r="BE9" i="3"/>
  <c r="BE27" i="3"/>
  <c r="BE32" i="3"/>
  <c r="BE28" i="3" l="1"/>
  <c r="BE17" i="3"/>
  <c r="BE10" i="3"/>
  <c r="BE198" i="3" l="1"/>
  <c r="BE523" i="3"/>
  <c r="BE522" i="3"/>
  <c r="BE521" i="3"/>
  <c r="BE524" i="3"/>
  <c r="BE479" i="3"/>
  <c r="BE484" i="3" s="1"/>
  <c r="BE20" i="3"/>
  <c r="BE18" i="3"/>
  <c r="BE482" i="3" l="1"/>
  <c r="BE490" i="3"/>
  <c r="BE491" i="3" s="1"/>
  <c r="BE480" i="3"/>
  <c r="BE481" i="3" s="1"/>
  <c r="BE488" i="3"/>
  <c r="BE494" i="3"/>
  <c r="BE485" i="3"/>
  <c r="BE10" i="8"/>
  <c r="BE11" i="8" s="1"/>
  <c r="BE495" i="3" l="1"/>
  <c r="BE486" i="3"/>
  <c r="BE487" i="3"/>
  <c r="BK10" i="8" l="1"/>
  <c r="BL10" i="8" l="1"/>
  <c r="BM10" i="8" l="1"/>
  <c r="BO10" i="8" l="1"/>
  <c r="BP10" i="8" l="1"/>
  <c r="BQ11" i="8"/>
  <c r="BR11" i="8" l="1"/>
  <c r="BQ10" i="8"/>
  <c r="BR10" i="8" l="1"/>
  <c r="BT11" i="8"/>
  <c r="BT10" i="8" l="1"/>
  <c r="BU11" i="8"/>
  <c r="BU10" i="8" l="1"/>
  <c r="BV11" i="8"/>
  <c r="BV10" i="8" l="1"/>
  <c r="BW11" i="8"/>
  <c r="BW10" i="8" l="1"/>
  <c r="BY11" i="8"/>
  <c r="BY10" i="8" l="1"/>
  <c r="BZ11" i="8"/>
  <c r="BZ10" i="8" l="1"/>
  <c r="CA11" i="8"/>
  <c r="CA10" i="8" l="1"/>
  <c r="CB11" i="8"/>
  <c r="CB10" i="8" l="1"/>
  <c r="CD11" i="8"/>
  <c r="CD10" i="8" l="1"/>
  <c r="CE11" i="8"/>
  <c r="CE10" i="8" l="1"/>
  <c r="CF11" i="8"/>
  <c r="CF10" i="8" l="1"/>
  <c r="CG11" i="8"/>
  <c r="CI11" i="8" l="1"/>
  <c r="CG10" i="8"/>
  <c r="CI10" i="8" l="1"/>
  <c r="CJ11" i="8"/>
  <c r="CJ10" i="8" l="1"/>
  <c r="CK11" i="8"/>
  <c r="CK10" i="8" l="1"/>
  <c r="CL11" i="8"/>
  <c r="CN11" i="8" l="1"/>
  <c r="CL10" i="8"/>
  <c r="CO11" i="8" l="1"/>
  <c r="CN10" i="8"/>
  <c r="CO10" i="8" l="1"/>
  <c r="CP11" i="8"/>
  <c r="CP10" i="8" l="1"/>
  <c r="CQ11" i="8"/>
  <c r="CQ10" i="8" l="1"/>
  <c r="CS11" i="8"/>
  <c r="CS10" i="8" l="1"/>
  <c r="CT11" i="8"/>
  <c r="CT10" i="8" l="1"/>
  <c r="CU11" i="8"/>
  <c r="CV11" i="8" l="1"/>
  <c r="CU10" i="8"/>
  <c r="CX11" i="8" l="1"/>
  <c r="CV10" i="8"/>
  <c r="CY11" i="8" l="1"/>
  <c r="CX10" i="8"/>
  <c r="CZ11" i="8" l="1"/>
  <c r="CY10" i="8"/>
  <c r="DA11" i="8" l="1"/>
  <c r="DA10" i="8" s="1"/>
  <c r="CZ10" i="8"/>
  <c r="BE16" i="8" l="1"/>
  <c r="BF87" i="4" l="1"/>
  <c r="BF36" i="4" l="1"/>
  <c r="BI29" i="8" l="1"/>
  <c r="BG87" i="4" l="1"/>
  <c r="BJ15" i="2" l="1"/>
  <c r="BJ30" i="8" l="1"/>
  <c r="BI33" i="4"/>
  <c r="AC48" i="7" s="1"/>
  <c r="BH87" i="4"/>
  <c r="BI36" i="4" l="1"/>
  <c r="BJ22" i="8" l="1"/>
  <c r="BJ28" i="8" s="1"/>
  <c r="BK16" i="8"/>
  <c r="BK22" i="8" l="1"/>
  <c r="BK28" i="8" s="1"/>
  <c r="BK33" i="5" s="1"/>
  <c r="BL16" i="8"/>
  <c r="BL15" i="2" s="1"/>
  <c r="BL30" i="8" s="1"/>
  <c r="BJ33" i="4"/>
  <c r="BJ36" i="4" s="1"/>
  <c r="BK15" i="2"/>
  <c r="BK30" i="8" l="1"/>
  <c r="BK33" i="4"/>
  <c r="BK36" i="4" s="1"/>
  <c r="BM16" i="8" l="1"/>
  <c r="BL22" i="8"/>
  <c r="BL28" i="8" s="1"/>
  <c r="BL33" i="5" s="1"/>
  <c r="BL33" i="4" l="1"/>
  <c r="BL36" i="4" s="1"/>
  <c r="BN29" i="8" l="1"/>
  <c r="BM15" i="2"/>
  <c r="BM30" i="8" l="1"/>
  <c r="BN15" i="2"/>
  <c r="BN30" i="8" s="1"/>
  <c r="BN14" i="8" l="1"/>
  <c r="BM22" i="8" l="1"/>
  <c r="BM28" i="8" s="1"/>
  <c r="BM33" i="5" s="1"/>
  <c r="BO16" i="8"/>
  <c r="BO15" i="2" l="1"/>
  <c r="BN22" i="8"/>
  <c r="BN28" i="8"/>
  <c r="BM33" i="4"/>
  <c r="BM36" i="4" l="1"/>
  <c r="BN33" i="4"/>
  <c r="AE48" i="7" s="1"/>
  <c r="BO30" i="8" l="1"/>
  <c r="BN36" i="4"/>
  <c r="BO22" i="8" l="1"/>
  <c r="BO28" i="8" s="1"/>
  <c r="BO33" i="5" s="1"/>
  <c r="BP16" i="8" l="1"/>
  <c r="BP15" i="2" l="1"/>
  <c r="BO33" i="4"/>
  <c r="BO36" i="4" s="1"/>
  <c r="BP30" i="8" l="1"/>
  <c r="BP22" i="8" l="1"/>
  <c r="BQ16" i="8"/>
  <c r="BQ15" i="2" l="1"/>
  <c r="BP28" i="8"/>
  <c r="BP33" i="5" s="1"/>
  <c r="BP33" i="4"/>
  <c r="BP36" i="4" s="1"/>
  <c r="BQ30" i="8" l="1"/>
  <c r="BR16" i="8" l="1"/>
  <c r="BQ22" i="8"/>
  <c r="BQ28" i="8" l="1"/>
  <c r="BQ33" i="5" s="1"/>
  <c r="BQ33" i="4"/>
  <c r="BQ36" i="4" s="1"/>
  <c r="BR15" i="2"/>
  <c r="BS16" i="8"/>
  <c r="BS29" i="8" l="1"/>
  <c r="BR30" i="8" l="1"/>
  <c r="BS15" i="2"/>
  <c r="BS30" i="8" l="1"/>
  <c r="BS14" i="8" l="1"/>
  <c r="BR22" i="8"/>
  <c r="BT16" i="8"/>
  <c r="BR28" i="8" l="1"/>
  <c r="BS22" i="8"/>
  <c r="BR33" i="4"/>
  <c r="BT15" i="2"/>
  <c r="BS28" i="8" l="1"/>
  <c r="BR33" i="5"/>
  <c r="BS33" i="4"/>
  <c r="AF48" i="7" s="1"/>
  <c r="BR36" i="4"/>
  <c r="BS33" i="5" l="1"/>
  <c r="BS36" i="4"/>
  <c r="BT30" i="8"/>
  <c r="BU16" i="8" l="1"/>
  <c r="BT22" i="8"/>
  <c r="BT33" i="4" l="1"/>
  <c r="BT36" i="4" s="1"/>
  <c r="BT28" i="8"/>
  <c r="BT33" i="5" s="1"/>
  <c r="BU15" i="2"/>
  <c r="BU30" i="8" l="1"/>
  <c r="BU22" i="8" l="1"/>
  <c r="BV16" i="8"/>
  <c r="BV15" i="2" l="1"/>
  <c r="BU28" i="8"/>
  <c r="BU33" i="5" s="1"/>
  <c r="BU33" i="4"/>
  <c r="BU36" i="4" s="1"/>
  <c r="BV30" i="8" l="1"/>
  <c r="BW16" i="8" l="1"/>
  <c r="BV22" i="8"/>
  <c r="BV33" i="4" l="1"/>
  <c r="BV36" i="4" s="1"/>
  <c r="BV28" i="8"/>
  <c r="BV33" i="5" s="1"/>
  <c r="BW15" i="2"/>
  <c r="BX16" i="8"/>
  <c r="BX29" i="8" l="1"/>
  <c r="BW30" i="8" l="1"/>
  <c r="BX15" i="2"/>
  <c r="BX30" i="8" l="1"/>
  <c r="BW22" i="8" l="1"/>
  <c r="BY16" i="8"/>
  <c r="BX14" i="8"/>
  <c r="BY15" i="2" l="1"/>
  <c r="BW33" i="4"/>
  <c r="BW28" i="8"/>
  <c r="BX22" i="8"/>
  <c r="BX28" i="8" l="1"/>
  <c r="BW33" i="5"/>
  <c r="BW36" i="4"/>
  <c r="BX33" i="4"/>
  <c r="BX33" i="5" l="1"/>
  <c r="BY30" i="8"/>
  <c r="BX36" i="4"/>
  <c r="BY22" i="8" l="1"/>
  <c r="BZ16" i="8"/>
  <c r="BZ15" i="2" l="1"/>
  <c r="BY28" i="8"/>
  <c r="BY33" i="5" s="1"/>
  <c r="BY33" i="4"/>
  <c r="BY36" i="4" s="1"/>
  <c r="BZ30" i="8" l="1"/>
  <c r="BZ22" i="8" l="1"/>
  <c r="CA16" i="8"/>
  <c r="CA15" i="2" l="1"/>
  <c r="BZ33" i="4"/>
  <c r="BZ36" i="4" s="1"/>
  <c r="BZ28" i="8"/>
  <c r="BZ33" i="5" s="1"/>
  <c r="CA30" i="8" l="1"/>
  <c r="CA22" i="8" l="1"/>
  <c r="CB16" i="8"/>
  <c r="CB15" i="2" l="1"/>
  <c r="CC16" i="8"/>
  <c r="CA33" i="4"/>
  <c r="CA36" i="4" s="1"/>
  <c r="CA28" i="8"/>
  <c r="CA33" i="5" s="1"/>
  <c r="CC29" i="8" l="1"/>
  <c r="CB30" i="8" l="1"/>
  <c r="CC15" i="2"/>
  <c r="CC30" i="8" l="1"/>
  <c r="CB22" i="8" l="1"/>
  <c r="CD16" i="8"/>
  <c r="CC14" i="8"/>
  <c r="CD15" i="2" l="1"/>
  <c r="CB28" i="8"/>
  <c r="CC22" i="8"/>
  <c r="CB33" i="4"/>
  <c r="CC28" i="8" l="1"/>
  <c r="CB33" i="5"/>
  <c r="CC33" i="4"/>
  <c r="CB36" i="4"/>
  <c r="CC33" i="5" l="1"/>
  <c r="CC36" i="4"/>
  <c r="CD30" i="8"/>
  <c r="CD22" i="8" l="1"/>
  <c r="CE16" i="8"/>
  <c r="CE15" i="2" l="1"/>
  <c r="CD28" i="8"/>
  <c r="CD33" i="5" s="1"/>
  <c r="CD33" i="4"/>
  <c r="CD36" i="4" s="1"/>
  <c r="CE30" i="8" l="1"/>
  <c r="CE22" i="8" l="1"/>
  <c r="CF16" i="8"/>
  <c r="CF15" i="2" l="1"/>
  <c r="CE33" i="4"/>
  <c r="CE36" i="4" s="1"/>
  <c r="CE28" i="8"/>
  <c r="CE33" i="5" s="1"/>
  <c r="CF30" i="8" l="1"/>
  <c r="CF22" i="8" l="1"/>
  <c r="CG16" i="8"/>
  <c r="CG15" i="2" l="1"/>
  <c r="CH16" i="8"/>
  <c r="CF33" i="4"/>
  <c r="CF36" i="4" s="1"/>
  <c r="CF28" i="8"/>
  <c r="CF33" i="5" s="1"/>
  <c r="CH29" i="8" l="1"/>
  <c r="CG30" i="8" l="1"/>
  <c r="CH15" i="2"/>
  <c r="CH30" i="8" l="1"/>
  <c r="CG22" i="8" l="1"/>
  <c r="CH14" i="8"/>
  <c r="CI16" i="8"/>
  <c r="CG33" i="4" l="1"/>
  <c r="CH22" i="8"/>
  <c r="CG28" i="8"/>
  <c r="CI15" i="2"/>
  <c r="CH28" i="8" l="1"/>
  <c r="CG33" i="5"/>
  <c r="CG36" i="4"/>
  <c r="CH33" i="4"/>
  <c r="CH33" i="5" l="1"/>
  <c r="CI30" i="8"/>
  <c r="CH36" i="4"/>
  <c r="CI22" i="8" l="1"/>
  <c r="CJ16" i="8"/>
  <c r="CJ15" i="2" l="1"/>
  <c r="CI28" i="8"/>
  <c r="CI33" i="5" s="1"/>
  <c r="CI33" i="4"/>
  <c r="CI36" i="4" s="1"/>
  <c r="CJ30" i="8" l="1"/>
  <c r="CJ22" i="8" l="1"/>
  <c r="CK16" i="8"/>
  <c r="CK15" i="2" l="1"/>
  <c r="CJ33" i="4"/>
  <c r="CJ36" i="4" s="1"/>
  <c r="CJ28" i="8"/>
  <c r="CJ33" i="5" s="1"/>
  <c r="CK30" i="8" l="1"/>
  <c r="CK22" i="8" l="1"/>
  <c r="CL16" i="8"/>
  <c r="CL15" i="2" l="1"/>
  <c r="CM16" i="8"/>
  <c r="CK33" i="4"/>
  <c r="CK36" i="4" s="1"/>
  <c r="CK28" i="8"/>
  <c r="CK33" i="5" s="1"/>
  <c r="CM29" i="8" l="1"/>
  <c r="CL30" i="8" l="1"/>
  <c r="CM15" i="2"/>
  <c r="CM30" i="8" l="1"/>
  <c r="CL22" i="8" l="1"/>
  <c r="CN16" i="8"/>
  <c r="CM14" i="8"/>
  <c r="CN15" i="2" l="1"/>
  <c r="CL28" i="8"/>
  <c r="CM22" i="8"/>
  <c r="CL33" i="4"/>
  <c r="CM28" i="8" l="1"/>
  <c r="CL33" i="5"/>
  <c r="CM33" i="4"/>
  <c r="CL36" i="4"/>
  <c r="CM33" i="5" l="1"/>
  <c r="CM36" i="4"/>
  <c r="CN30" i="8"/>
  <c r="CN22" i="8" l="1"/>
  <c r="CO16" i="8"/>
  <c r="CO15" i="2" l="1"/>
  <c r="CN33" i="4"/>
  <c r="CN36" i="4" s="1"/>
  <c r="CN28" i="8"/>
  <c r="CN33" i="5" s="1"/>
  <c r="CO30" i="8" l="1"/>
  <c r="CP16" i="8" l="1"/>
  <c r="CO22" i="8"/>
  <c r="CO33" i="4" l="1"/>
  <c r="CO36" i="4" s="1"/>
  <c r="CO28" i="8"/>
  <c r="CO33" i="5" s="1"/>
  <c r="CP15" i="2"/>
  <c r="CP30" i="8" l="1"/>
  <c r="CP22" i="8" l="1"/>
  <c r="CQ16" i="8"/>
  <c r="CQ15" i="2" l="1"/>
  <c r="CR16" i="8"/>
  <c r="CP28" i="8"/>
  <c r="CP33" i="5" s="1"/>
  <c r="CP33" i="4"/>
  <c r="CP36" i="4" s="1"/>
  <c r="CR29" i="8" l="1"/>
  <c r="CQ30" i="8" l="1"/>
  <c r="CR15" i="2"/>
  <c r="CR30" i="8" l="1"/>
  <c r="CQ22" i="8" l="1"/>
  <c r="CS16" i="8"/>
  <c r="CR14" i="8"/>
  <c r="CQ33" i="4" l="1"/>
  <c r="CQ28" i="8"/>
  <c r="CR22" i="8"/>
  <c r="CS15" i="2"/>
  <c r="CR28" i="8" l="1"/>
  <c r="CQ33" i="5"/>
  <c r="CQ36" i="4"/>
  <c r="CR33" i="4"/>
  <c r="CR33" i="5" l="1"/>
  <c r="CR36" i="4"/>
  <c r="CS30" i="8"/>
  <c r="CS22" i="8" l="1"/>
  <c r="CT16" i="8"/>
  <c r="CT15" i="2" l="1"/>
  <c r="CS33" i="4"/>
  <c r="CS36" i="4" s="1"/>
  <c r="CS28" i="8"/>
  <c r="CS33" i="5" s="1"/>
  <c r="CT30" i="8" l="1"/>
  <c r="CT22" i="8" l="1"/>
  <c r="CU16" i="8"/>
  <c r="CU15" i="2" l="1"/>
  <c r="CT28" i="8"/>
  <c r="CT33" i="5" s="1"/>
  <c r="CT33" i="4"/>
  <c r="CT36" i="4" s="1"/>
  <c r="CU30" i="8" l="1"/>
  <c r="CV16" i="8" l="1"/>
  <c r="CU22" i="8"/>
  <c r="CU28" i="8" l="1"/>
  <c r="CU33" i="5" s="1"/>
  <c r="CU33" i="4"/>
  <c r="CU36" i="4" s="1"/>
  <c r="CV15" i="2"/>
  <c r="CW16" i="8"/>
  <c r="CW29" i="8" l="1"/>
  <c r="CV30" i="8" l="1"/>
  <c r="CW15" i="2"/>
  <c r="CW30" i="8" l="1"/>
  <c r="CX16" i="8" l="1"/>
  <c r="CV22" i="8"/>
  <c r="CV28" i="8" l="1"/>
  <c r="CW22" i="8"/>
  <c r="CV33" i="4"/>
  <c r="CX15" i="2"/>
  <c r="CW28" i="8" l="1"/>
  <c r="CV33" i="5"/>
  <c r="CW33" i="4"/>
  <c r="CV36" i="4"/>
  <c r="CW33" i="5" l="1"/>
  <c r="CX30" i="8"/>
  <c r="CW36" i="4"/>
  <c r="CX22" i="8" l="1"/>
  <c r="CY16" i="8"/>
  <c r="CY15" i="2" l="1"/>
  <c r="CX33" i="4"/>
  <c r="CX36" i="4" s="1"/>
  <c r="CX28" i="8"/>
  <c r="CX33" i="5" s="1"/>
  <c r="CY30" i="8" l="1"/>
  <c r="CY22" i="8" l="1"/>
  <c r="CZ16" i="8"/>
  <c r="CZ15" i="2" l="1"/>
  <c r="CY28" i="8"/>
  <c r="CY33" i="5" s="1"/>
  <c r="CY33" i="4"/>
  <c r="CY36" i="4" s="1"/>
  <c r="CZ30" i="8" l="1"/>
  <c r="CZ22" i="8" l="1"/>
  <c r="DA16" i="8"/>
  <c r="DA15" i="2" l="1"/>
  <c r="DB16" i="8"/>
  <c r="CZ33" i="4"/>
  <c r="CZ36" i="4" s="1"/>
  <c r="CZ28" i="8"/>
  <c r="CZ33" i="5" s="1"/>
  <c r="DB29" i="8" l="1"/>
  <c r="DA30" i="8" l="1"/>
  <c r="DB15" i="2"/>
  <c r="DB30" i="8" l="1"/>
  <c r="DB14" i="8" l="1"/>
  <c r="DA22" i="8"/>
  <c r="DA28" i="8" l="1"/>
  <c r="DB22" i="8"/>
  <c r="DA33" i="4"/>
  <c r="DB28" i="8" l="1"/>
  <c r="DA33" i="5"/>
  <c r="DB33" i="4"/>
  <c r="DA36" i="4"/>
  <c r="DB33" i="5" l="1"/>
  <c r="DB36" i="4"/>
  <c r="BC9" i="3" l="1"/>
  <c r="BC27" i="3"/>
  <c r="BC32" i="3"/>
  <c r="BD9" i="3" l="1"/>
  <c r="BD17" i="3" s="1"/>
  <c r="BD524" i="3" s="1"/>
  <c r="BE11" i="3"/>
  <c r="BD27" i="3"/>
  <c r="BD28" i="3" s="1"/>
  <c r="BC29" i="3"/>
  <c r="BE29" i="3"/>
  <c r="BC184" i="3"/>
  <c r="BC28" i="3"/>
  <c r="BD32" i="3"/>
  <c r="BC57" i="3"/>
  <c r="BC63" i="3"/>
  <c r="BC17" i="3"/>
  <c r="BC11" i="3"/>
  <c r="BC10" i="3"/>
  <c r="BC20" i="3" l="1"/>
  <c r="BD10" i="3"/>
  <c r="BD522" i="3"/>
  <c r="BD521" i="3"/>
  <c r="BD523" i="3"/>
  <c r="BD20" i="3"/>
  <c r="BC64" i="3"/>
  <c r="BC479" i="3"/>
  <c r="BC484" i="3" s="1"/>
  <c r="BC485" i="3" s="1"/>
  <c r="BD315" i="3"/>
  <c r="BD479" i="3"/>
  <c r="BC315" i="3"/>
  <c r="BC183" i="3"/>
  <c r="BC178" i="3"/>
  <c r="BD182" i="3"/>
  <c r="BD178" i="3" s="1"/>
  <c r="BD198" i="3"/>
  <c r="BC198" i="3"/>
  <c r="BC58" i="3"/>
  <c r="BC59" i="3"/>
  <c r="BC19" i="3"/>
  <c r="BE19" i="3"/>
  <c r="BC18" i="3"/>
  <c r="BD18" i="3"/>
  <c r="BC480" i="3" l="1"/>
  <c r="BC481" i="3" s="1"/>
  <c r="BC490" i="3"/>
  <c r="BC482" i="3"/>
  <c r="BD490" i="3"/>
  <c r="BD491" i="3" s="1"/>
  <c r="BD482" i="3"/>
  <c r="BD484" i="3"/>
  <c r="BD480" i="3"/>
  <c r="BD481" i="3" s="1"/>
  <c r="BD183" i="3"/>
  <c r="BC180" i="3"/>
  <c r="BC179" i="3"/>
  <c r="BD179" i="3"/>
  <c r="BE339" i="3"/>
  <c r="BE364" i="3"/>
  <c r="BE367" i="3" s="1"/>
  <c r="BE338" i="3"/>
  <c r="BD494" i="3" l="1"/>
  <c r="BD495" i="3" s="1"/>
  <c r="BD488" i="3"/>
  <c r="BD485" i="3"/>
  <c r="BC492" i="3"/>
  <c r="BC491" i="3"/>
  <c r="BE492" i="3"/>
  <c r="BC488" i="3"/>
  <c r="BC494" i="3"/>
  <c r="BE365" i="3"/>
  <c r="BE366" i="3"/>
  <c r="BE319" i="3"/>
  <c r="BE320" i="3"/>
  <c r="BF366" i="3" l="1"/>
  <c r="BF365" i="3"/>
  <c r="BC486" i="3"/>
  <c r="BC487" i="3"/>
  <c r="BD487" i="3"/>
  <c r="BD486" i="3"/>
  <c r="BC496" i="3"/>
  <c r="BC495" i="3"/>
  <c r="BE496" i="3"/>
  <c r="BE304" i="3"/>
  <c r="BE463" i="3"/>
  <c r="BE312" i="3" s="1"/>
  <c r="BE456" i="3"/>
  <c r="BE457" i="3"/>
  <c r="BE61" i="3" l="1"/>
  <c r="BE36" i="3" s="1"/>
  <c r="BE46" i="3"/>
  <c r="BE314" i="3"/>
  <c r="BE315" i="3"/>
  <c r="BF318" i="3"/>
  <c r="BE308" i="3"/>
  <c r="BE310" i="3" s="1"/>
  <c r="BE465" i="3"/>
  <c r="BE464" i="3"/>
  <c r="BE64" i="3" l="1"/>
  <c r="BE182" i="3"/>
  <c r="BE178" i="3" s="1"/>
  <c r="BJ179" i="3" s="1"/>
  <c r="BE48" i="3"/>
  <c r="BE49" i="3"/>
  <c r="BE47" i="3"/>
  <c r="BE39" i="3"/>
  <c r="BE38" i="3"/>
  <c r="BE37" i="3"/>
  <c r="BJ37" i="3"/>
  <c r="BE57" i="3"/>
  <c r="BF455" i="3"/>
  <c r="BF458" i="3" s="1"/>
  <c r="BF338" i="3"/>
  <c r="BF339" i="3"/>
  <c r="BE180" i="3" l="1"/>
  <c r="BE179" i="3"/>
  <c r="BF319" i="3"/>
  <c r="BF320" i="3"/>
  <c r="BE343" i="3"/>
  <c r="BE344" i="3"/>
  <c r="BF304" i="3" l="1"/>
  <c r="BF305" i="3"/>
  <c r="BF456" i="3"/>
  <c r="BF463" i="3"/>
  <c r="BF457" i="3"/>
  <c r="BE348" i="3"/>
  <c r="BG343" i="3"/>
  <c r="BG344" i="3"/>
  <c r="BF344" i="3"/>
  <c r="BF343" i="3"/>
  <c r="BE347" i="3"/>
  <c r="BE326" i="3"/>
  <c r="BG304" i="3" l="1"/>
  <c r="BG305" i="3"/>
  <c r="BF464" i="3"/>
  <c r="BF465" i="3"/>
  <c r="BE323" i="3"/>
  <c r="BE313" i="3"/>
  <c r="BH343" i="3"/>
  <c r="BH344" i="3"/>
  <c r="BF348" i="3"/>
  <c r="BF347" i="3"/>
  <c r="BF325" i="3"/>
  <c r="BF322" i="3" s="1"/>
  <c r="BG190" i="3" l="1"/>
  <c r="BG55" i="3"/>
  <c r="BG306" i="3"/>
  <c r="BG24" i="3"/>
  <c r="BJ343" i="3"/>
  <c r="BJ344" i="3"/>
  <c r="BF312" i="3"/>
  <c r="BF46" i="3" s="1"/>
  <c r="BF327" i="3"/>
  <c r="BF326" i="3"/>
  <c r="BF323" i="3"/>
  <c r="BE309" i="3"/>
  <c r="BF47" i="3" l="1"/>
  <c r="BF49" i="3"/>
  <c r="BF48" i="3"/>
  <c r="BG469" i="3"/>
  <c r="BH305" i="3"/>
  <c r="BH304" i="3"/>
  <c r="BF314" i="3"/>
  <c r="BF313" i="3"/>
  <c r="BF308" i="3"/>
  <c r="BK343" i="3"/>
  <c r="BK344" i="3"/>
  <c r="BH306" i="3" l="1"/>
  <c r="BG44" i="3"/>
  <c r="BH190" i="3"/>
  <c r="BH24" i="3"/>
  <c r="BH468" i="3"/>
  <c r="BH471" i="3" s="1"/>
  <c r="BH25" i="3"/>
  <c r="BG32" i="3"/>
  <c r="BG27" i="3"/>
  <c r="BL343" i="3"/>
  <c r="BL344" i="3"/>
  <c r="BF310" i="3"/>
  <c r="BF309" i="3"/>
  <c r="BH472" i="3" l="1"/>
  <c r="BM471" i="3"/>
  <c r="BR471" i="3" s="1"/>
  <c r="BW471" i="3" s="1"/>
  <c r="CB471" i="3" s="1"/>
  <c r="CG471" i="3" s="1"/>
  <c r="CL471" i="3" s="1"/>
  <c r="CQ471" i="3" s="1"/>
  <c r="CV471" i="3" s="1"/>
  <c r="DA471" i="3" s="1"/>
  <c r="BH469" i="3"/>
  <c r="BG17" i="3"/>
  <c r="BG11" i="3"/>
  <c r="BG10" i="3"/>
  <c r="BG28" i="3"/>
  <c r="BF11" i="3"/>
  <c r="BF10" i="3"/>
  <c r="BM344" i="3"/>
  <c r="BM343" i="3"/>
  <c r="BG523" i="3" l="1"/>
  <c r="BG522" i="3"/>
  <c r="BG521" i="3"/>
  <c r="BG514" i="3"/>
  <c r="BG524" i="3"/>
  <c r="BF523" i="3"/>
  <c r="BF524" i="3"/>
  <c r="BF522" i="3"/>
  <c r="BF521" i="3"/>
  <c r="BF514" i="3"/>
  <c r="BF20" i="3"/>
  <c r="BF198" i="3"/>
  <c r="BF315" i="3"/>
  <c r="BG198" i="3"/>
  <c r="BH475" i="3"/>
  <c r="BF18" i="3"/>
  <c r="BF19" i="3"/>
  <c r="BG19" i="3"/>
  <c r="BG18" i="3"/>
  <c r="BO344" i="3"/>
  <c r="BO343" i="3"/>
  <c r="BG20" i="3" l="1"/>
  <c r="BG52" i="2"/>
  <c r="BG61" i="4"/>
  <c r="BG34" i="2"/>
  <c r="BG50" i="2"/>
  <c r="BG51" i="2"/>
  <c r="BF50" i="2"/>
  <c r="BF51" i="2"/>
  <c r="BF61" i="4"/>
  <c r="BF34" i="2"/>
  <c r="BP343" i="3"/>
  <c r="BP344" i="3"/>
  <c r="BG65" i="4" l="1"/>
  <c r="BG77" i="4"/>
  <c r="BF65" i="4"/>
  <c r="BF77" i="4"/>
  <c r="BF66" i="4"/>
  <c r="BF62" i="4"/>
  <c r="BF48" i="2"/>
  <c r="BF49" i="2" s="1"/>
  <c r="BF55" i="2"/>
  <c r="BF35" i="2"/>
  <c r="BF78" i="4"/>
  <c r="BQ343" i="3"/>
  <c r="BQ344" i="3"/>
  <c r="BP77" i="4" l="1"/>
  <c r="BU77" i="4" s="1"/>
  <c r="BZ77" i="4" s="1"/>
  <c r="CE77" i="4" s="1"/>
  <c r="CJ77" i="4" s="1"/>
  <c r="CO77" i="4" s="1"/>
  <c r="CT77" i="4" s="1"/>
  <c r="CY77" i="4" s="1"/>
  <c r="BQ77" i="4"/>
  <c r="BV77" i="4" s="1"/>
  <c r="CA77" i="4" s="1"/>
  <c r="CF77" i="4" s="1"/>
  <c r="CK77" i="4" s="1"/>
  <c r="CP77" i="4" s="1"/>
  <c r="CU77" i="4" s="1"/>
  <c r="CZ77" i="4" s="1"/>
  <c r="BF73" i="4"/>
  <c r="BF69" i="4"/>
  <c r="BG78" i="4"/>
  <c r="BF39" i="2"/>
  <c r="BF53" i="2"/>
  <c r="BF54" i="2" s="1"/>
  <c r="BF18" i="2"/>
  <c r="BF20" i="2" s="1"/>
  <c r="BF31" i="2"/>
  <c r="BF74" i="4"/>
  <c r="BF31" i="4"/>
  <c r="BF38" i="4" s="1"/>
  <c r="BR344" i="3"/>
  <c r="BR343" i="3"/>
  <c r="BF81" i="4" l="1"/>
  <c r="BF70" i="4"/>
  <c r="BF82" i="4" s="1"/>
  <c r="BF40" i="2"/>
  <c r="BF56" i="2"/>
  <c r="BF57" i="2" s="1"/>
  <c r="BF41" i="2"/>
  <c r="BF58" i="2"/>
  <c r="BF63" i="8"/>
  <c r="BF64" i="8" s="1"/>
  <c r="BT344" i="3"/>
  <c r="BT343" i="3"/>
  <c r="BG66" i="4" l="1"/>
  <c r="BI65" i="4"/>
  <c r="BF21" i="2"/>
  <c r="BF59" i="2"/>
  <c r="BU344" i="3"/>
  <c r="BU343" i="3"/>
  <c r="BK65" i="4" l="1"/>
  <c r="BF23" i="2"/>
  <c r="BF43" i="2" s="1"/>
  <c r="BF28" i="2"/>
  <c r="BF29" i="2"/>
  <c r="BF45" i="2" s="1"/>
  <c r="BF42" i="2"/>
  <c r="BF60" i="2"/>
  <c r="BF45" i="4"/>
  <c r="BF22" i="5"/>
  <c r="BV343" i="3"/>
  <c r="BV344" i="3"/>
  <c r="BF61" i="2" l="1"/>
  <c r="BL65" i="4"/>
  <c r="BF55" i="5"/>
  <c r="BF68" i="5"/>
  <c r="BF40" i="5"/>
  <c r="BF42" i="5" s="1"/>
  <c r="BF45" i="5" s="1"/>
  <c r="BF46" i="5" s="1"/>
  <c r="BF61" i="5"/>
  <c r="BF84" i="4"/>
  <c r="BF85" i="4"/>
  <c r="BF93" i="4"/>
  <c r="BF47" i="4"/>
  <c r="BW343" i="3"/>
  <c r="BW344" i="3"/>
  <c r="BF51" i="5" l="1"/>
  <c r="BF57" i="5"/>
  <c r="BG44" i="5"/>
  <c r="BM65" i="4"/>
  <c r="BY343" i="3"/>
  <c r="BY344" i="3"/>
  <c r="BO65" i="4" l="1"/>
  <c r="BN65" i="4"/>
  <c r="BF89" i="4"/>
  <c r="BF13" i="4"/>
  <c r="BF21" i="4" s="1"/>
  <c r="BF52" i="4" s="1"/>
  <c r="BF91" i="4"/>
  <c r="BF10" i="8"/>
  <c r="BF88" i="4"/>
  <c r="BZ344" i="3"/>
  <c r="BZ343" i="3"/>
  <c r="BG11" i="8" l="1"/>
  <c r="BH11" i="8"/>
  <c r="BF11" i="8"/>
  <c r="BP65" i="4"/>
  <c r="CA343" i="3"/>
  <c r="CA344" i="3"/>
  <c r="BQ65" i="4" l="1"/>
  <c r="CB343" i="3"/>
  <c r="CB344" i="3"/>
  <c r="BR65" i="4" l="1"/>
  <c r="CD343" i="3"/>
  <c r="CD344" i="3"/>
  <c r="BT65" i="4" l="1"/>
  <c r="BS65" i="4"/>
  <c r="CE343" i="3"/>
  <c r="CE344" i="3"/>
  <c r="BU65" i="4" l="1"/>
  <c r="CF343" i="3"/>
  <c r="CF344" i="3"/>
  <c r="BV65" i="4" l="1"/>
  <c r="CG344" i="3"/>
  <c r="CG343" i="3"/>
  <c r="BW65" i="4" l="1"/>
  <c r="CI343" i="3"/>
  <c r="CI344" i="3"/>
  <c r="BX65" i="4" l="1"/>
  <c r="BY65" i="4"/>
  <c r="CJ344" i="3"/>
  <c r="CJ343" i="3"/>
  <c r="BZ65" i="4" l="1"/>
  <c r="CK343" i="3"/>
  <c r="CK344" i="3"/>
  <c r="CA65" i="4" l="1"/>
  <c r="CL343" i="3"/>
  <c r="CL344" i="3"/>
  <c r="CB65" i="4" l="1"/>
  <c r="CN344" i="3"/>
  <c r="CN343" i="3"/>
  <c r="CD65" i="4" l="1"/>
  <c r="CC65" i="4"/>
  <c r="CO343" i="3"/>
  <c r="CO344" i="3"/>
  <c r="CE65" i="4" l="1"/>
  <c r="CP344" i="3"/>
  <c r="CP343" i="3"/>
  <c r="CF65" i="4" l="1"/>
  <c r="CQ343" i="3"/>
  <c r="CQ344" i="3"/>
  <c r="CG65" i="4" l="1"/>
  <c r="CS343" i="3"/>
  <c r="CS344" i="3"/>
  <c r="CI65" i="4" l="1"/>
  <c r="CH65" i="4"/>
  <c r="CT344" i="3"/>
  <c r="CT343" i="3"/>
  <c r="CJ65" i="4" l="1"/>
  <c r="CU343" i="3"/>
  <c r="CU344" i="3"/>
  <c r="CK65" i="4" l="1"/>
  <c r="CV344" i="3"/>
  <c r="CV343" i="3"/>
  <c r="CL65" i="4" l="1"/>
  <c r="CX343" i="3"/>
  <c r="CX344" i="3"/>
  <c r="CN65" i="4" l="1"/>
  <c r="CM65" i="4"/>
  <c r="CY344" i="3"/>
  <c r="CY343" i="3"/>
  <c r="CO65" i="4" l="1"/>
  <c r="CZ344" i="3"/>
  <c r="CZ343" i="3"/>
  <c r="CP65" i="4" l="1"/>
  <c r="DA343" i="3"/>
  <c r="DA344" i="3"/>
  <c r="CQ65" i="4" l="1"/>
  <c r="CS65" i="4" l="1"/>
  <c r="CR65" i="4"/>
  <c r="CT65" i="4" l="1"/>
  <c r="CU65" i="4" l="1"/>
  <c r="CV65" i="4" l="1"/>
  <c r="CX65" i="4" l="1"/>
  <c r="CW65" i="4"/>
  <c r="CY65" i="4" l="1"/>
  <c r="CZ65" i="4" l="1"/>
  <c r="DA65" i="4" l="1"/>
  <c r="DB65" i="4" l="1"/>
  <c r="C57" i="3" l="1"/>
  <c r="C59" i="3" s="1"/>
  <c r="C63" i="3"/>
  <c r="D63" i="3"/>
  <c r="C182" i="3"/>
  <c r="F182" i="3" s="1"/>
  <c r="F61" i="3" s="1"/>
  <c r="H62" i="3"/>
  <c r="F178" i="3" l="1"/>
  <c r="D184" i="3"/>
  <c r="C184" i="3"/>
  <c r="H183" i="3"/>
  <c r="H58" i="3"/>
  <c r="D59" i="3"/>
  <c r="C178" i="3"/>
  <c r="D180" i="3" l="1"/>
  <c r="C180" i="3"/>
  <c r="H179" i="3"/>
  <c r="K62" i="3"/>
  <c r="F57" i="3"/>
  <c r="K57" i="3"/>
  <c r="K169" i="3"/>
  <c r="K170" i="3" s="1"/>
  <c r="J171" i="3"/>
  <c r="J170" i="3"/>
  <c r="O170" i="3"/>
  <c r="J165" i="3"/>
  <c r="J167" i="3" s="1"/>
  <c r="J182" i="3"/>
  <c r="O183" i="3" s="1"/>
  <c r="K182" i="3" l="1"/>
  <c r="K183" i="3" s="1"/>
  <c r="K58" i="3"/>
  <c r="J178" i="3"/>
  <c r="J179" i="3" s="1"/>
  <c r="J166" i="3"/>
  <c r="P170" i="3"/>
  <c r="J183" i="3"/>
  <c r="K165" i="3"/>
  <c r="J184" i="3"/>
  <c r="O166" i="3"/>
  <c r="K178" i="3" l="1"/>
  <c r="K179" i="3" s="1"/>
  <c r="O179" i="3"/>
  <c r="J180" i="3"/>
  <c r="K166" i="3"/>
  <c r="P166" i="3"/>
  <c r="P57" i="3"/>
  <c r="U58" i="3" s="1"/>
  <c r="L170" i="3"/>
  <c r="Q170" i="3"/>
  <c r="L171" i="3"/>
  <c r="M171" i="3"/>
  <c r="L165" i="3"/>
  <c r="M167" i="3" s="1"/>
  <c r="L182" i="3"/>
  <c r="L178" i="3" s="1"/>
  <c r="P58" i="3" l="1"/>
  <c r="L184" i="3"/>
  <c r="M180" i="3"/>
  <c r="L179" i="3"/>
  <c r="L180" i="3"/>
  <c r="Q179" i="3"/>
  <c r="L183" i="3"/>
  <c r="M184" i="3"/>
  <c r="P182" i="3"/>
  <c r="L166" i="3"/>
  <c r="Q166" i="3"/>
  <c r="L167" i="3"/>
  <c r="Q183" i="3"/>
  <c r="U183" i="3" l="1"/>
  <c r="P183" i="3"/>
  <c r="P178" i="3"/>
  <c r="P179" i="3" l="1"/>
  <c r="U179" i="3"/>
  <c r="BE59" i="3"/>
  <c r="BJ58" i="3"/>
  <c r="BJ62" i="3"/>
  <c r="BE62" i="3"/>
  <c r="BE63" i="3"/>
  <c r="BJ183" i="3"/>
  <c r="BE184" i="3" l="1"/>
  <c r="BE183" i="3"/>
  <c r="BE58" i="3"/>
  <c r="AS383" i="3" l="1"/>
  <c r="AS331" i="3" s="1"/>
  <c r="AT331" i="3" l="1"/>
  <c r="AS330" i="3"/>
  <c r="AS384" i="3"/>
  <c r="AX384" i="3"/>
  <c r="AT383" i="3"/>
  <c r="AU385" i="3"/>
  <c r="AS385" i="3"/>
  <c r="AY384" i="3" l="1"/>
  <c r="AT386" i="3"/>
  <c r="AT384" i="3"/>
  <c r="AT330" i="3"/>
  <c r="AS364" i="3"/>
  <c r="AS366" i="3" l="1"/>
  <c r="AS365" i="3"/>
  <c r="AS367" i="3"/>
  <c r="AX365" i="3"/>
  <c r="AT364" i="3"/>
  <c r="AT337" i="3"/>
  <c r="AY338" i="3" l="1"/>
  <c r="AT338" i="3"/>
  <c r="AT342" i="3"/>
  <c r="AT318" i="3"/>
  <c r="AT365" i="3"/>
  <c r="AY365" i="3"/>
  <c r="AU366" i="3"/>
  <c r="AT367" i="3"/>
  <c r="AY343" i="3" l="1"/>
  <c r="AT343" i="3"/>
  <c r="AT322" i="3"/>
  <c r="AT458" i="3"/>
  <c r="AY319" i="3"/>
  <c r="AT319" i="3"/>
  <c r="AY323" i="3" l="1"/>
  <c r="AT323" i="3"/>
  <c r="BD62" i="3" l="1"/>
  <c r="BD58" i="3"/>
  <c r="BD64" i="3"/>
  <c r="BI23" i="3" l="1"/>
  <c r="BI190" i="3" s="1"/>
  <c r="BF24" i="3"/>
  <c r="BF25" i="3"/>
  <c r="BG25" i="3"/>
  <c r="BF190" i="3"/>
  <c r="BF306" i="3"/>
  <c r="BF468" i="3"/>
  <c r="BF469" i="3" s="1"/>
  <c r="BF475" i="3"/>
  <c r="BF479" i="3"/>
  <c r="BF53" i="3" l="1"/>
  <c r="BF174" i="3"/>
  <c r="BI174" i="3" s="1"/>
  <c r="BI175" i="3" s="1"/>
  <c r="BF55" i="3"/>
  <c r="BF490" i="3"/>
  <c r="BF491" i="3" s="1"/>
  <c r="BF54" i="3"/>
  <c r="BG54" i="3"/>
  <c r="BI468" i="3"/>
  <c r="BI469" i="3" s="1"/>
  <c r="BI24" i="3"/>
  <c r="BF482" i="3"/>
  <c r="BF471" i="3"/>
  <c r="BF480" i="3"/>
  <c r="BF481" i="3" s="1"/>
  <c r="BF484" i="3"/>
  <c r="BI52" i="3"/>
  <c r="BF492" i="3" l="1"/>
  <c r="BG176" i="3"/>
  <c r="BF175" i="3"/>
  <c r="BF176" i="3"/>
  <c r="BK174" i="3"/>
  <c r="BK182" i="3" s="1"/>
  <c r="BF472" i="3"/>
  <c r="BK471" i="3"/>
  <c r="BP471" i="3" s="1"/>
  <c r="BU471" i="3" s="1"/>
  <c r="BZ471" i="3" s="1"/>
  <c r="CE471" i="3" s="1"/>
  <c r="CJ471" i="3" s="1"/>
  <c r="CO471" i="3" s="1"/>
  <c r="CT471" i="3" s="1"/>
  <c r="CY471" i="3" s="1"/>
  <c r="BI53" i="3"/>
  <c r="BI55" i="3"/>
  <c r="BF485" i="3"/>
  <c r="BF494" i="3"/>
  <c r="BF488" i="3"/>
  <c r="BK52" i="3" l="1"/>
  <c r="BK53" i="3" s="1"/>
  <c r="BK176" i="3"/>
  <c r="BP174" i="3"/>
  <c r="BP182" i="3" s="1"/>
  <c r="BL176" i="3"/>
  <c r="BN174" i="3"/>
  <c r="BN175" i="3" s="1"/>
  <c r="BF495" i="3"/>
  <c r="BF496" i="3"/>
  <c r="BK61" i="3"/>
  <c r="BK36" i="3" s="1"/>
  <c r="BN182" i="3"/>
  <c r="BK184" i="3"/>
  <c r="BL184" i="3"/>
  <c r="BF487" i="3"/>
  <c r="BF486" i="3"/>
  <c r="BP52" i="3" l="1"/>
  <c r="BS52" i="3" s="1"/>
  <c r="BU174" i="3"/>
  <c r="BU176" i="3" s="1"/>
  <c r="BS174" i="3"/>
  <c r="BS175" i="3" s="1"/>
  <c r="BK38" i="3"/>
  <c r="BN36" i="3"/>
  <c r="BL38" i="3"/>
  <c r="BN52" i="3"/>
  <c r="BL54" i="3"/>
  <c r="BK54" i="3"/>
  <c r="BQ176" i="3"/>
  <c r="BP176" i="3"/>
  <c r="BQ184" i="3"/>
  <c r="BP183" i="3"/>
  <c r="BP61" i="3"/>
  <c r="BP36" i="3" s="1"/>
  <c r="BS182" i="3"/>
  <c r="BP184" i="3"/>
  <c r="BV176" i="3"/>
  <c r="BU52" i="3"/>
  <c r="BX174" i="3"/>
  <c r="BZ174" i="3"/>
  <c r="BU182" i="3"/>
  <c r="BN178" i="3"/>
  <c r="BN61" i="3"/>
  <c r="BK57" i="3"/>
  <c r="BK63" i="3"/>
  <c r="BL63" i="3"/>
  <c r="BQ54" i="3" l="1"/>
  <c r="BP53" i="3"/>
  <c r="BP54" i="3"/>
  <c r="BX175" i="3"/>
  <c r="BN53" i="3"/>
  <c r="BP37" i="3"/>
  <c r="BP38" i="3"/>
  <c r="BS36" i="3"/>
  <c r="BQ38" i="3"/>
  <c r="BS183" i="3"/>
  <c r="BS178" i="3"/>
  <c r="BS179" i="3" s="1"/>
  <c r="BZ176" i="3"/>
  <c r="CA176" i="3"/>
  <c r="BZ52" i="3"/>
  <c r="CC174" i="3"/>
  <c r="CC175" i="3" s="1"/>
  <c r="CE174" i="3"/>
  <c r="BZ182" i="3"/>
  <c r="BK59" i="3"/>
  <c r="BL59" i="3"/>
  <c r="BQ63" i="3"/>
  <c r="BP62" i="3"/>
  <c r="BS61" i="3"/>
  <c r="BP57" i="3"/>
  <c r="BP63" i="3"/>
  <c r="BS53" i="3"/>
  <c r="BN57" i="3"/>
  <c r="BU184" i="3"/>
  <c r="BV184" i="3"/>
  <c r="BU183" i="3"/>
  <c r="BU61" i="3"/>
  <c r="BU36" i="3" s="1"/>
  <c r="BX182" i="3"/>
  <c r="BX52" i="3"/>
  <c r="BU54" i="3"/>
  <c r="BV54" i="3"/>
  <c r="BU53" i="3"/>
  <c r="BU38" i="3" l="1"/>
  <c r="BU37" i="3"/>
  <c r="BX36" i="3"/>
  <c r="BV38" i="3"/>
  <c r="BS37" i="3"/>
  <c r="BT38" i="3"/>
  <c r="BX53" i="3"/>
  <c r="CE182" i="3"/>
  <c r="CE176" i="3"/>
  <c r="CF176" i="3"/>
  <c r="CE52" i="3"/>
  <c r="CH174" i="3"/>
  <c r="CH175" i="3" s="1"/>
  <c r="CJ174" i="3"/>
  <c r="BO59" i="3"/>
  <c r="CC182" i="3"/>
  <c r="BZ184" i="3"/>
  <c r="CA184" i="3"/>
  <c r="BZ183" i="3"/>
  <c r="BZ61" i="3"/>
  <c r="BP59" i="3"/>
  <c r="BQ59" i="3"/>
  <c r="BP58" i="3"/>
  <c r="BZ53" i="3"/>
  <c r="CC52" i="3"/>
  <c r="BZ54" i="3"/>
  <c r="CA54" i="3"/>
  <c r="BX178" i="3"/>
  <c r="BX179" i="3" s="1"/>
  <c r="BX183" i="3"/>
  <c r="BS62" i="3"/>
  <c r="BS57" i="3"/>
  <c r="BU57" i="3"/>
  <c r="BU63" i="3"/>
  <c r="BV63" i="3"/>
  <c r="BU62" i="3"/>
  <c r="BX61" i="3"/>
  <c r="BX37" i="3" l="1"/>
  <c r="CC178" i="3"/>
  <c r="CC179" i="3" s="1"/>
  <c r="CC183" i="3"/>
  <c r="CM174" i="3"/>
  <c r="CM175" i="3" s="1"/>
  <c r="CO174" i="3"/>
  <c r="CJ182" i="3"/>
  <c r="CJ176" i="3"/>
  <c r="CK176" i="3"/>
  <c r="CJ52" i="3"/>
  <c r="CC53" i="3"/>
  <c r="BU59" i="3"/>
  <c r="BU58" i="3"/>
  <c r="BV59" i="3"/>
  <c r="CE53" i="3"/>
  <c r="CH52" i="3"/>
  <c r="CH53" i="3" s="1"/>
  <c r="CE54" i="3"/>
  <c r="CF54" i="3"/>
  <c r="BX57" i="3"/>
  <c r="BX62" i="3"/>
  <c r="CC61" i="3"/>
  <c r="BZ57" i="3"/>
  <c r="BZ63" i="3"/>
  <c r="CA63" i="3"/>
  <c r="BZ62" i="3"/>
  <c r="CE61" i="3"/>
  <c r="CH182" i="3"/>
  <c r="CE184" i="3"/>
  <c r="CF184" i="3"/>
  <c r="CE183" i="3"/>
  <c r="BT59" i="3"/>
  <c r="BS58" i="3"/>
  <c r="BX58" i="3" l="1"/>
  <c r="BY59" i="3"/>
  <c r="CH178" i="3"/>
  <c r="CH179" i="3" s="1"/>
  <c r="CH183" i="3"/>
  <c r="CH61" i="3"/>
  <c r="CE57" i="3"/>
  <c r="CE63" i="3"/>
  <c r="CF63" i="3"/>
  <c r="CE62" i="3"/>
  <c r="CJ54" i="3"/>
  <c r="CK54" i="3"/>
  <c r="CJ53" i="3"/>
  <c r="CM52" i="3"/>
  <c r="CM53" i="3" s="1"/>
  <c r="CJ61" i="3"/>
  <c r="CM182" i="3"/>
  <c r="CJ184" i="3"/>
  <c r="CK184" i="3"/>
  <c r="CJ183" i="3"/>
  <c r="CR174" i="3"/>
  <c r="CR175" i="3" s="1"/>
  <c r="CT174" i="3"/>
  <c r="CO182" i="3"/>
  <c r="CO176" i="3"/>
  <c r="CP176" i="3"/>
  <c r="CO52" i="3"/>
  <c r="BZ58" i="3"/>
  <c r="BZ59" i="3"/>
  <c r="CA59" i="3"/>
  <c r="CC57" i="3"/>
  <c r="CC62" i="3"/>
  <c r="CE58" i="3" l="1"/>
  <c r="CE59" i="3"/>
  <c r="CF59" i="3"/>
  <c r="CH57" i="3"/>
  <c r="CH62" i="3"/>
  <c r="CO54" i="3"/>
  <c r="CP54" i="3"/>
  <c r="CO53" i="3"/>
  <c r="CR52" i="3"/>
  <c r="CR53" i="3" s="1"/>
  <c r="CT52" i="3"/>
  <c r="CW174" i="3"/>
  <c r="CW175" i="3" s="1"/>
  <c r="CY174" i="3"/>
  <c r="CT182" i="3"/>
  <c r="CT176" i="3"/>
  <c r="CU176" i="3"/>
  <c r="CD59" i="3"/>
  <c r="CC58" i="3"/>
  <c r="CM183" i="3"/>
  <c r="CM178" i="3"/>
  <c r="CM179" i="3" s="1"/>
  <c r="CO183" i="3"/>
  <c r="CO61" i="3"/>
  <c r="CR182" i="3"/>
  <c r="CO184" i="3"/>
  <c r="CP184" i="3"/>
  <c r="CM61" i="3"/>
  <c r="CJ57" i="3"/>
  <c r="CJ63" i="3"/>
  <c r="CK63" i="3"/>
  <c r="CJ62" i="3"/>
  <c r="CR183" i="3" l="1"/>
  <c r="CR178" i="3"/>
  <c r="CR179" i="3" s="1"/>
  <c r="CO62" i="3"/>
  <c r="CR61" i="3"/>
  <c r="CO57" i="3"/>
  <c r="CO63" i="3"/>
  <c r="CP63" i="3"/>
  <c r="CU184" i="3"/>
  <c r="CT183" i="3"/>
  <c r="CT61" i="3"/>
  <c r="CW182" i="3"/>
  <c r="CT184" i="3"/>
  <c r="CY176" i="3"/>
  <c r="CZ176" i="3"/>
  <c r="CY52" i="3"/>
  <c r="DB174" i="3"/>
  <c r="DB175" i="3" s="1"/>
  <c r="CY182" i="3"/>
  <c r="CH58" i="3"/>
  <c r="CI59" i="3"/>
  <c r="CW52" i="3"/>
  <c r="CW53" i="3" s="1"/>
  <c r="CT54" i="3"/>
  <c r="CU54" i="3"/>
  <c r="CT53" i="3"/>
  <c r="CJ58" i="3"/>
  <c r="CJ59" i="3"/>
  <c r="CK59" i="3"/>
  <c r="CM62" i="3"/>
  <c r="CM57" i="3"/>
  <c r="CW183" i="3" l="1"/>
  <c r="CW178" i="3"/>
  <c r="CW179" i="3" s="1"/>
  <c r="CY184" i="3"/>
  <c r="CZ184" i="3"/>
  <c r="CY183" i="3"/>
  <c r="CY61" i="3"/>
  <c r="DB182" i="3"/>
  <c r="CU63" i="3"/>
  <c r="CT62" i="3"/>
  <c r="CW61" i="3"/>
  <c r="CT57" i="3"/>
  <c r="CT63" i="3"/>
  <c r="CO58" i="3"/>
  <c r="CO59" i="3"/>
  <c r="CP59" i="3"/>
  <c r="CR62" i="3"/>
  <c r="CR57" i="3"/>
  <c r="DB52" i="3"/>
  <c r="DB53" i="3" s="1"/>
  <c r="CY54" i="3"/>
  <c r="CZ54" i="3"/>
  <c r="CY53" i="3"/>
  <c r="CM58" i="3"/>
  <c r="CN59" i="3"/>
  <c r="DB178" i="3" l="1"/>
  <c r="DB179" i="3" s="1"/>
  <c r="DB183" i="3"/>
  <c r="CY57" i="3"/>
  <c r="CY63" i="3"/>
  <c r="CZ63" i="3"/>
  <c r="CY62" i="3"/>
  <c r="DB61" i="3"/>
  <c r="CR58" i="3"/>
  <c r="CS59" i="3"/>
  <c r="CT58" i="3"/>
  <c r="CT59" i="3"/>
  <c r="CU59" i="3"/>
  <c r="CW62" i="3"/>
  <c r="CW57" i="3"/>
  <c r="CX59" i="3" l="1"/>
  <c r="CW58" i="3"/>
  <c r="CY59" i="3"/>
  <c r="CZ59" i="3"/>
  <c r="CY58" i="3"/>
  <c r="DB57" i="3"/>
  <c r="DB58" i="3" s="1"/>
  <c r="DB62" i="3"/>
  <c r="BQ11" i="2" l="1"/>
  <c r="BV11" i="2" s="1"/>
  <c r="CA11" i="2" s="1"/>
  <c r="CF11" i="2" s="1"/>
  <c r="CK11" i="2" s="1"/>
  <c r="BJ13" i="2" l="1"/>
  <c r="BM13" i="2"/>
  <c r="BL13" i="2"/>
  <c r="BK13" i="2"/>
  <c r="BP11" i="2"/>
  <c r="BR11" i="2"/>
  <c r="CP11" i="2"/>
  <c r="BN11" i="2"/>
  <c r="BO11" i="2"/>
  <c r="BN10" i="2"/>
  <c r="BO10" i="2"/>
  <c r="BR10" i="2"/>
  <c r="BQ10" i="2"/>
  <c r="BQ13" i="2" s="1"/>
  <c r="BP10" i="2"/>
  <c r="BO13" i="2" l="1"/>
  <c r="BQ38" i="2"/>
  <c r="BK38" i="2"/>
  <c r="BM38" i="2"/>
  <c r="BN13" i="2"/>
  <c r="BL38" i="2"/>
  <c r="BJ38" i="2"/>
  <c r="BR13" i="2"/>
  <c r="BP13" i="2"/>
  <c r="BN36" i="2"/>
  <c r="BU11" i="2"/>
  <c r="BN37" i="2"/>
  <c r="BW10" i="2"/>
  <c r="CU11" i="2"/>
  <c r="BT10" i="2"/>
  <c r="BS10" i="2"/>
  <c r="BS11" i="2"/>
  <c r="BT11" i="2"/>
  <c r="BU10" i="2"/>
  <c r="BV10" i="2"/>
  <c r="BV13" i="2" s="1"/>
  <c r="BW11" i="2"/>
  <c r="BO38" i="2" l="1"/>
  <c r="BU13" i="2"/>
  <c r="BN38" i="2"/>
  <c r="BV38" i="2"/>
  <c r="BP38" i="2"/>
  <c r="BR38" i="2"/>
  <c r="BW13" i="2"/>
  <c r="BS13" i="2"/>
  <c r="BT13" i="2"/>
  <c r="BZ11" i="2"/>
  <c r="BX11" i="2"/>
  <c r="BY11" i="2"/>
  <c r="CZ11" i="2"/>
  <c r="CB11" i="2"/>
  <c r="CB10" i="2"/>
  <c r="BZ10" i="2"/>
  <c r="BX10" i="2"/>
  <c r="BY10" i="2"/>
  <c r="CA10" i="2"/>
  <c r="CA13" i="2" s="1"/>
  <c r="BU38" i="2" l="1"/>
  <c r="BZ13" i="2"/>
  <c r="BX13" i="2"/>
  <c r="BT38" i="2"/>
  <c r="BS38" i="2"/>
  <c r="CB13" i="2"/>
  <c r="BW38" i="2"/>
  <c r="CA38" i="2"/>
  <c r="BY13" i="2"/>
  <c r="CE11" i="2"/>
  <c r="CE10" i="2"/>
  <c r="CG11" i="2"/>
  <c r="CC10" i="2"/>
  <c r="CD10" i="2"/>
  <c r="CC11" i="2"/>
  <c r="CD11" i="2"/>
  <c r="CG10" i="2"/>
  <c r="CF10" i="2"/>
  <c r="CF13" i="2" s="1"/>
  <c r="BZ38" i="2" l="1"/>
  <c r="BX38" i="2"/>
  <c r="CE13" i="2"/>
  <c r="CB38" i="2"/>
  <c r="CF38" i="2"/>
  <c r="BY38" i="2"/>
  <c r="CG13" i="2"/>
  <c r="CD13" i="2"/>
  <c r="CC13" i="2"/>
  <c r="CJ11" i="2"/>
  <c r="CL11" i="2"/>
  <c r="CK10" i="2"/>
  <c r="CK13" i="2" s="1"/>
  <c r="CL10" i="2"/>
  <c r="CI11" i="2"/>
  <c r="CH11" i="2"/>
  <c r="CJ10" i="2"/>
  <c r="CH10" i="2"/>
  <c r="CI10" i="2"/>
  <c r="CJ13" i="2" l="1"/>
  <c r="CE38" i="2"/>
  <c r="CI13" i="2"/>
  <c r="CL13" i="2"/>
  <c r="CH13" i="2"/>
  <c r="CK38" i="2"/>
  <c r="CC38" i="2"/>
  <c r="CD38" i="2"/>
  <c r="CG38" i="2"/>
  <c r="CO11" i="2"/>
  <c r="CQ11" i="2"/>
  <c r="CO10" i="2"/>
  <c r="CQ10" i="2"/>
  <c r="CM11" i="2"/>
  <c r="CN11" i="2"/>
  <c r="CP10" i="2"/>
  <c r="CP13" i="2" s="1"/>
  <c r="CM10" i="2"/>
  <c r="CN10" i="2"/>
  <c r="CJ38" i="2" l="1"/>
  <c r="CL38" i="2"/>
  <c r="CI38" i="2"/>
  <c r="CH38" i="2"/>
  <c r="CQ13" i="2"/>
  <c r="CP38" i="2"/>
  <c r="CO13" i="2"/>
  <c r="CN13" i="2"/>
  <c r="CM13" i="2"/>
  <c r="CT11" i="2"/>
  <c r="CS10" i="2"/>
  <c r="CR10" i="2"/>
  <c r="CT10" i="2"/>
  <c r="CU10" i="2"/>
  <c r="CU13" i="2" s="1"/>
  <c r="CR11" i="2"/>
  <c r="CS11" i="2"/>
  <c r="CV10" i="2"/>
  <c r="CV11" i="2"/>
  <c r="CT13" i="2" l="1"/>
  <c r="CV13" i="2"/>
  <c r="CM38" i="2"/>
  <c r="CN38" i="2"/>
  <c r="CU38" i="2"/>
  <c r="CO38" i="2"/>
  <c r="CQ38" i="2"/>
  <c r="CR13" i="2"/>
  <c r="CS13" i="2"/>
  <c r="CY11" i="2"/>
  <c r="CX10" i="2"/>
  <c r="CW10" i="2"/>
  <c r="CY10" i="2"/>
  <c r="DA11" i="2"/>
  <c r="CW11" i="2"/>
  <c r="CX11" i="2"/>
  <c r="DA10" i="2"/>
  <c r="CZ10" i="2"/>
  <c r="CZ13" i="2" s="1"/>
  <c r="CT38" i="2" l="1"/>
  <c r="DA13" i="2"/>
  <c r="CV38" i="2"/>
  <c r="CX13" i="2"/>
  <c r="CS38" i="2"/>
  <c r="CR38" i="2"/>
  <c r="CZ38" i="2"/>
  <c r="CW13" i="2"/>
  <c r="CY13" i="2"/>
  <c r="DB11" i="2"/>
  <c r="DB10" i="2"/>
  <c r="DA38" i="2" l="1"/>
  <c r="CX38" i="2"/>
  <c r="DB13" i="2"/>
  <c r="CY38" i="2"/>
  <c r="CW38" i="2"/>
  <c r="DB38" i="2" l="1"/>
  <c r="BF27" i="3" l="1"/>
  <c r="BF32" i="3"/>
  <c r="BF33" i="3"/>
  <c r="BG33" i="3"/>
  <c r="BF61" i="3"/>
  <c r="BF36" i="3" s="1"/>
  <c r="BF39" i="3" l="1"/>
  <c r="BF38" i="3"/>
  <c r="BF37" i="3"/>
  <c r="BK37" i="3"/>
  <c r="BF57" i="3"/>
  <c r="BF58" i="3" s="1"/>
  <c r="BF182" i="3"/>
  <c r="BF62" i="3"/>
  <c r="BF28" i="3"/>
  <c r="BF64" i="3"/>
  <c r="BG29" i="3"/>
  <c r="BF29" i="3"/>
  <c r="BF63" i="3"/>
  <c r="BK62" i="3"/>
  <c r="BF59" i="3" l="1"/>
  <c r="BK58" i="3"/>
  <c r="BF178" i="3"/>
  <c r="BK183" i="3"/>
  <c r="BF184" i="3"/>
  <c r="BF183" i="3"/>
  <c r="BF180" i="3" l="1"/>
  <c r="BF179" i="3"/>
  <c r="BK179" i="3"/>
  <c r="BF16" i="8" l="1"/>
  <c r="BG340" i="3" l="1"/>
  <c r="BG338" i="3"/>
  <c r="BG339" i="3"/>
  <c r="BG346" i="3"/>
  <c r="BG325" i="3" s="1"/>
  <c r="BG330" i="3"/>
  <c r="BG318" i="3"/>
  <c r="BG364" i="3" l="1"/>
  <c r="BG455" i="3"/>
  <c r="BG458" i="3" s="1"/>
  <c r="BG322" i="3"/>
  <c r="BG327" i="3"/>
  <c r="BG326" i="3"/>
  <c r="BG320" i="3"/>
  <c r="BG348" i="3"/>
  <c r="BG347" i="3"/>
  <c r="BG319" i="3"/>
  <c r="BG367" i="3" l="1"/>
  <c r="BG366" i="3"/>
  <c r="BG365" i="3"/>
  <c r="BG457" i="3"/>
  <c r="BG456" i="3"/>
  <c r="BG463" i="3"/>
  <c r="BG323" i="3"/>
  <c r="BG464" i="3" l="1"/>
  <c r="BG465" i="3"/>
  <c r="BG312" i="3"/>
  <c r="BG61" i="3" l="1"/>
  <c r="BG46" i="3"/>
  <c r="BG315" i="3"/>
  <c r="BG314" i="3"/>
  <c r="BG308" i="3"/>
  <c r="BG313" i="3"/>
  <c r="BG36" i="3" l="1"/>
  <c r="BG57" i="3"/>
  <c r="BL62" i="3"/>
  <c r="BG182" i="3"/>
  <c r="BG63" i="3"/>
  <c r="BG62" i="3"/>
  <c r="BG64" i="3"/>
  <c r="BG48" i="3"/>
  <c r="BG47" i="3"/>
  <c r="BG49" i="3"/>
  <c r="BG309" i="3"/>
  <c r="BG310" i="3"/>
  <c r="BG184" i="3" l="1"/>
  <c r="BL183" i="3"/>
  <c r="BG183" i="3"/>
  <c r="BG178" i="3"/>
  <c r="BG59" i="3"/>
  <c r="BG58" i="3"/>
  <c r="BL58" i="3"/>
  <c r="BL37" i="3"/>
  <c r="BG37" i="3"/>
  <c r="BG38" i="3"/>
  <c r="BG39" i="3"/>
  <c r="BG180" i="3" l="1"/>
  <c r="BG179" i="3"/>
  <c r="BL179" i="3"/>
  <c r="BG62" i="4" l="1"/>
  <c r="BG474" i="3"/>
  <c r="BG471" i="3" s="1"/>
  <c r="BG69" i="4" l="1"/>
  <c r="BG73" i="4"/>
  <c r="BG479" i="3"/>
  <c r="BG490" i="3" s="1"/>
  <c r="BG472" i="3"/>
  <c r="BL471" i="3"/>
  <c r="BG35" i="2"/>
  <c r="BG48" i="2"/>
  <c r="BG49" i="2" s="1"/>
  <c r="BG475" i="3"/>
  <c r="BI474" i="3"/>
  <c r="BG74" i="4"/>
  <c r="BG70" i="4"/>
  <c r="BG480" i="3" l="1"/>
  <c r="BG481" i="3" s="1"/>
  <c r="BG482" i="3"/>
  <c r="BG484" i="3"/>
  <c r="BG494" i="3" s="1"/>
  <c r="BG81" i="4"/>
  <c r="BG82" i="4"/>
  <c r="BI471" i="3"/>
  <c r="BI472" i="3" s="1"/>
  <c r="BI475" i="3"/>
  <c r="BG53" i="2"/>
  <c r="BG54" i="2" s="1"/>
  <c r="BG39" i="2"/>
  <c r="BG55" i="2"/>
  <c r="BG60" i="8"/>
  <c r="BG492" i="3"/>
  <c r="BG491" i="3"/>
  <c r="BQ471" i="3"/>
  <c r="BG488" i="3" l="1"/>
  <c r="BG485" i="3"/>
  <c r="BG486" i="3" s="1"/>
  <c r="BG496" i="3"/>
  <c r="BG495" i="3"/>
  <c r="BG56" i="2"/>
  <c r="BG57" i="2" s="1"/>
  <c r="BG40" i="2"/>
  <c r="BG61" i="8"/>
  <c r="BH59" i="8" s="1"/>
  <c r="BG63" i="8"/>
  <c r="BG41" i="2"/>
  <c r="BG58" i="2"/>
  <c r="BV471" i="3"/>
  <c r="BG487" i="3" l="1"/>
  <c r="BK69" i="4"/>
  <c r="BJ81" i="4"/>
  <c r="CA471" i="3"/>
  <c r="BG60" i="2"/>
  <c r="BG42" i="2"/>
  <c r="BG45" i="2"/>
  <c r="BG64" i="8"/>
  <c r="BG59" i="2"/>
  <c r="BL69" i="4" l="1"/>
  <c r="BK81" i="4"/>
  <c r="BO73" i="4"/>
  <c r="BP73" i="4" s="1"/>
  <c r="BQ73" i="4" s="1"/>
  <c r="BR73" i="4" s="1"/>
  <c r="BN73" i="4"/>
  <c r="BG61" i="2"/>
  <c r="BG43" i="2"/>
  <c r="BI21" i="5"/>
  <c r="CF471" i="3"/>
  <c r="BS73" i="4" l="1"/>
  <c r="BT73" i="4"/>
  <c r="BU73" i="4" s="1"/>
  <c r="BV73" i="4" s="1"/>
  <c r="BW73" i="4" s="1"/>
  <c r="BM69" i="4"/>
  <c r="BL81" i="4"/>
  <c r="BG61" i="5"/>
  <c r="CK471" i="3"/>
  <c r="BN69" i="4" l="1"/>
  <c r="BO69" i="4"/>
  <c r="BM81" i="4"/>
  <c r="BY73" i="4"/>
  <c r="BZ73" i="4" s="1"/>
  <c r="CA73" i="4" s="1"/>
  <c r="CB73" i="4" s="1"/>
  <c r="BX73" i="4"/>
  <c r="CP471" i="3"/>
  <c r="BG84" i="4"/>
  <c r="BG93" i="4"/>
  <c r="BG68" i="5"/>
  <c r="CD73" i="4" l="1"/>
  <c r="CE73" i="4" s="1"/>
  <c r="CF73" i="4" s="1"/>
  <c r="CG73" i="4" s="1"/>
  <c r="CC73" i="4"/>
  <c r="BP69" i="4"/>
  <c r="BO81" i="4"/>
  <c r="CU471" i="3"/>
  <c r="BQ69" i="4" l="1"/>
  <c r="BP81" i="4"/>
  <c r="CI73" i="4"/>
  <c r="CJ73" i="4" s="1"/>
  <c r="CK73" i="4" s="1"/>
  <c r="CL73" i="4" s="1"/>
  <c r="CH73" i="4"/>
  <c r="BG52" i="4"/>
  <c r="BG88" i="4"/>
  <c r="BG89" i="4"/>
  <c r="CZ471" i="3"/>
  <c r="CM73" i="4" l="1"/>
  <c r="CN73" i="4"/>
  <c r="CO73" i="4" s="1"/>
  <c r="CP73" i="4" s="1"/>
  <c r="CQ73" i="4" s="1"/>
  <c r="BR69" i="4"/>
  <c r="BQ81" i="4"/>
  <c r="BI9" i="8"/>
  <c r="BT69" i="4" l="1"/>
  <c r="BS69" i="4"/>
  <c r="BR81" i="4"/>
  <c r="CS73" i="4"/>
  <c r="CT73" i="4" s="1"/>
  <c r="CU73" i="4" s="1"/>
  <c r="CV73" i="4" s="1"/>
  <c r="CR73" i="4"/>
  <c r="BI16" i="2"/>
  <c r="CW73" i="4" l="1"/>
  <c r="CX73" i="4"/>
  <c r="CY73" i="4" s="1"/>
  <c r="CZ73" i="4" s="1"/>
  <c r="DA73" i="4" s="1"/>
  <c r="DB73" i="4" s="1"/>
  <c r="BU69" i="4"/>
  <c r="BT81" i="4"/>
  <c r="BV69" i="4" l="1"/>
  <c r="BU81" i="4"/>
  <c r="BW69" i="4" l="1"/>
  <c r="BV81" i="4"/>
  <c r="BX69" i="4" l="1"/>
  <c r="BY69" i="4"/>
  <c r="BW81" i="4"/>
  <c r="BZ69" i="4" l="1"/>
  <c r="BY81" i="4"/>
  <c r="CA69" i="4" l="1"/>
  <c r="BZ81" i="4"/>
  <c r="BG85" i="4"/>
  <c r="BG91" i="4"/>
  <c r="CB69" i="4" l="1"/>
  <c r="CA81" i="4"/>
  <c r="CD69" i="4" l="1"/>
  <c r="CC69" i="4"/>
  <c r="CB81" i="4"/>
  <c r="CE69" i="4" l="1"/>
  <c r="CD81" i="4"/>
  <c r="BH36" i="5"/>
  <c r="CF69" i="4" l="1"/>
  <c r="CE81" i="4"/>
  <c r="BI36" i="5"/>
  <c r="AC27" i="7"/>
  <c r="CG69" i="4" l="1"/>
  <c r="CF81" i="4"/>
  <c r="AC28" i="7"/>
  <c r="CH69" i="4" l="1"/>
  <c r="CI69" i="4"/>
  <c r="CG81" i="4"/>
  <c r="CJ69" i="4" l="1"/>
  <c r="CI81" i="4"/>
  <c r="CK69" i="4" l="1"/>
  <c r="CJ81" i="4"/>
  <c r="CL69" i="4" l="1"/>
  <c r="CK81" i="4"/>
  <c r="CN69" i="4" l="1"/>
  <c r="CM69" i="4"/>
  <c r="CL81" i="4"/>
  <c r="CO69" i="4" l="1"/>
  <c r="CN81" i="4"/>
  <c r="CP69" i="4" l="1"/>
  <c r="CO81" i="4"/>
  <c r="CQ69" i="4" l="1"/>
  <c r="CP81" i="4"/>
  <c r="CR69" i="4" l="1"/>
  <c r="CS69" i="4"/>
  <c r="CQ81" i="4"/>
  <c r="CT69" i="4" l="1"/>
  <c r="CS81" i="4"/>
  <c r="CU69" i="4" l="1"/>
  <c r="CT81" i="4"/>
  <c r="CV69" i="4" l="1"/>
  <c r="CU81" i="4"/>
  <c r="CW69" i="4" l="1"/>
  <c r="CX69" i="4"/>
  <c r="CV81" i="4"/>
  <c r="CY69" i="4" l="1"/>
  <c r="CX81" i="4"/>
  <c r="CZ69" i="4" l="1"/>
  <c r="CY81" i="4"/>
  <c r="DA69" i="4" l="1"/>
  <c r="CZ81" i="4"/>
  <c r="DB69" i="4" l="1"/>
  <c r="DA81" i="4"/>
  <c r="BI34" i="5" l="1"/>
  <c r="BG55" i="5"/>
  <c r="BG38" i="5"/>
  <c r="BG16" i="8"/>
  <c r="BG40" i="5" l="1"/>
  <c r="BG42" i="5" s="1"/>
  <c r="BG45" i="5" s="1"/>
  <c r="BG46" i="5" s="1"/>
  <c r="BG51" i="5" l="1"/>
  <c r="BG57" i="5"/>
  <c r="BH44" i="5"/>
  <c r="U67" i="2" l="1"/>
  <c r="Z67" i="2"/>
  <c r="AE67" i="2" l="1"/>
  <c r="AY67" i="2" l="1"/>
  <c r="BD67" i="2" l="1"/>
  <c r="AT67" i="2"/>
  <c r="AO67" i="2"/>
  <c r="AJ67" i="2"/>
  <c r="BI67" i="2" l="1"/>
  <c r="BN67" i="2" l="1"/>
  <c r="BS67" i="2" l="1"/>
  <c r="BX67" i="2" l="1"/>
  <c r="CC67" i="2" l="1"/>
  <c r="BI19" i="4" l="1"/>
  <c r="BI31" i="3" l="1"/>
  <c r="BI27" i="3" s="1"/>
  <c r="BI28" i="3" s="1"/>
  <c r="BH27" i="3"/>
  <c r="BH9" i="3"/>
  <c r="BH11" i="3" s="1"/>
  <c r="BH32" i="3"/>
  <c r="BH33" i="3"/>
  <c r="BH44" i="3"/>
  <c r="BI44" i="3" l="1"/>
  <c r="BH10" i="3"/>
  <c r="BI32" i="3"/>
  <c r="BH17" i="3"/>
  <c r="BH29" i="3"/>
  <c r="BI9" i="3"/>
  <c r="BH28" i="3"/>
  <c r="BH20" i="3" l="1"/>
  <c r="BH18" i="3"/>
  <c r="BH198" i="3"/>
  <c r="BH479" i="3"/>
  <c r="BH19" i="3"/>
  <c r="BI17" i="3"/>
  <c r="BI10" i="3"/>
  <c r="BF21" i="3" l="1"/>
  <c r="BE21" i="3"/>
  <c r="BG21" i="3"/>
  <c r="BH21" i="3"/>
  <c r="BH480" i="3"/>
  <c r="BH484" i="3"/>
  <c r="BH482" i="3"/>
  <c r="BH490" i="3"/>
  <c r="BI198" i="3"/>
  <c r="BI18" i="3"/>
  <c r="BI479" i="3"/>
  <c r="BI7" i="2"/>
  <c r="BI20" i="3" s="1"/>
  <c r="BH491" i="3" l="1"/>
  <c r="BH492" i="3"/>
  <c r="BI480" i="3"/>
  <c r="BI490" i="3"/>
  <c r="BI482" i="3"/>
  <c r="BI484" i="3"/>
  <c r="BI61" i="4"/>
  <c r="AC11" i="7"/>
  <c r="BI34" i="2"/>
  <c r="BI52" i="2"/>
  <c r="BI51" i="2"/>
  <c r="BI50" i="2"/>
  <c r="BI66" i="2" s="1"/>
  <c r="BH488" i="3"/>
  <c r="BH485" i="3"/>
  <c r="BH494" i="3"/>
  <c r="BH481" i="3"/>
  <c r="BI10" i="4" l="1"/>
  <c r="BH17" i="5"/>
  <c r="BI17" i="5" s="1"/>
  <c r="BH66" i="4"/>
  <c r="BH20" i="5"/>
  <c r="BI20" i="5" s="1"/>
  <c r="BI26" i="4"/>
  <c r="BH78" i="4"/>
  <c r="BI78" i="4" s="1"/>
  <c r="BI491" i="3"/>
  <c r="AC12" i="7"/>
  <c r="BH60" i="8"/>
  <c r="BI35" i="2"/>
  <c r="BI75" i="2"/>
  <c r="BI14" i="2"/>
  <c r="BI48" i="2"/>
  <c r="BI481" i="3"/>
  <c r="BI494" i="3"/>
  <c r="BI488" i="3"/>
  <c r="BI485" i="3"/>
  <c r="BH496" i="3"/>
  <c r="BH495" i="3"/>
  <c r="BH487" i="3"/>
  <c r="BH486" i="3"/>
  <c r="BI8" i="2"/>
  <c r="BH62" i="4"/>
  <c r="BH69" i="4" l="1"/>
  <c r="BH73" i="4"/>
  <c r="BI73" i="4" s="1"/>
  <c r="BI62" i="4"/>
  <c r="BI49" i="2"/>
  <c r="BI495" i="3"/>
  <c r="BI55" i="2"/>
  <c r="BI18" i="2"/>
  <c r="BI53" i="2"/>
  <c r="BI39" i="2"/>
  <c r="BH61" i="8"/>
  <c r="BI61" i="8" s="1"/>
  <c r="BJ59" i="8" s="1"/>
  <c r="BH63" i="8"/>
  <c r="BI60" i="8"/>
  <c r="BI486" i="3"/>
  <c r="BI487" i="3"/>
  <c r="BI66" i="4"/>
  <c r="AC43" i="7" s="1"/>
  <c r="BI69" i="4" l="1"/>
  <c r="BH81" i="4"/>
  <c r="BN59" i="8"/>
  <c r="AC37" i="7"/>
  <c r="BI41" i="2"/>
  <c r="BI58" i="2"/>
  <c r="BI11" i="4"/>
  <c r="BH18" i="5"/>
  <c r="BI18" i="5" s="1"/>
  <c r="BH70" i="4"/>
  <c r="BI25" i="4"/>
  <c r="BH74" i="4"/>
  <c r="BI74" i="4" s="1"/>
  <c r="AC45" i="7" s="1"/>
  <c r="BH19" i="5"/>
  <c r="BI19" i="5" s="1"/>
  <c r="BI63" i="8"/>
  <c r="BH64" i="8"/>
  <c r="BI64" i="8" s="1"/>
  <c r="BI54" i="2"/>
  <c r="BI19" i="2"/>
  <c r="BI21" i="2" s="1"/>
  <c r="BI29" i="2" l="1"/>
  <c r="BI45" i="2" s="1"/>
  <c r="BI42" i="2"/>
  <c r="BI23" i="2"/>
  <c r="BI28" i="2"/>
  <c r="BI60" i="2"/>
  <c r="BH8" i="5"/>
  <c r="BI31" i="4"/>
  <c r="BI38" i="4" s="1"/>
  <c r="BI70" i="4"/>
  <c r="AC44" i="7" s="1"/>
  <c r="AC46" i="7" s="1"/>
  <c r="BH82" i="4"/>
  <c r="BI20" i="2"/>
  <c r="BI59" i="2"/>
  <c r="BI8" i="5" l="1"/>
  <c r="AC15" i="7"/>
  <c r="AC16" i="7" s="1"/>
  <c r="AC17" i="7" s="1"/>
  <c r="BI61" i="2"/>
  <c r="AC39" i="7"/>
  <c r="BI43" i="2"/>
  <c r="BI43" i="4"/>
  <c r="BI47" i="4"/>
  <c r="BH93" i="4" l="1"/>
  <c r="BI45" i="4"/>
  <c r="AC49" i="7" s="1"/>
  <c r="BH84" i="4"/>
  <c r="AC50" i="7" l="1"/>
  <c r="AC55" i="7"/>
  <c r="AC56" i="7" s="1"/>
  <c r="BI9" i="4" l="1"/>
  <c r="BJ9" i="8"/>
  <c r="BH88" i="4"/>
  <c r="BH89" i="4"/>
  <c r="AC26" i="7" l="1"/>
  <c r="BJ16" i="2"/>
  <c r="BI13" i="4"/>
  <c r="AC29" i="7" l="1"/>
  <c r="BH52" i="4"/>
  <c r="BI52" i="4" s="1"/>
  <c r="BI21" i="4"/>
  <c r="AC38" i="7" l="1"/>
  <c r="AC34" i="7"/>
  <c r="AC13" i="7"/>
  <c r="BH346" i="3" l="1"/>
  <c r="BI346" i="3" s="1"/>
  <c r="BI325" i="3" s="1"/>
  <c r="BH318" i="3"/>
  <c r="BH339" i="3"/>
  <c r="BH340" i="3"/>
  <c r="BH338" i="3"/>
  <c r="BH330" i="3"/>
  <c r="BH319" i="3" l="1"/>
  <c r="BH455" i="3"/>
  <c r="BH458" i="3" s="1"/>
  <c r="BI330" i="3"/>
  <c r="BI337" i="3" s="1"/>
  <c r="BI342" i="3" s="1"/>
  <c r="BH364" i="3"/>
  <c r="BH348" i="3"/>
  <c r="BH325" i="3"/>
  <c r="BH326" i="3" s="1"/>
  <c r="BI326" i="3"/>
  <c r="BH320" i="3"/>
  <c r="BI347" i="3"/>
  <c r="BH347" i="3"/>
  <c r="BH367" i="3" l="1"/>
  <c r="BH365" i="3"/>
  <c r="BI364" i="3"/>
  <c r="BH366" i="3"/>
  <c r="BH322" i="3"/>
  <c r="BH327" i="3"/>
  <c r="BH457" i="3"/>
  <c r="BH456" i="3"/>
  <c r="BH463" i="3"/>
  <c r="BI455" i="3"/>
  <c r="BI343" i="3"/>
  <c r="BI318" i="3"/>
  <c r="BI338" i="3"/>
  <c r="BI365" i="3" l="1"/>
  <c r="BI367" i="3"/>
  <c r="BJ364" i="3"/>
  <c r="BH323" i="3"/>
  <c r="BI319" i="3"/>
  <c r="BI303" i="3"/>
  <c r="BI322" i="3"/>
  <c r="BI456" i="3"/>
  <c r="BI458" i="3"/>
  <c r="BH465" i="3"/>
  <c r="BH464" i="3"/>
  <c r="BI463" i="3"/>
  <c r="BH312" i="3"/>
  <c r="BJ330" i="3" l="1"/>
  <c r="BJ365" i="3"/>
  <c r="BJ366" i="3"/>
  <c r="BK364" i="3"/>
  <c r="BI460" i="3"/>
  <c r="BI464" i="3"/>
  <c r="BI312" i="3"/>
  <c r="BI306" i="3"/>
  <c r="BI304" i="3"/>
  <c r="BH315" i="3"/>
  <c r="BH314" i="3"/>
  <c r="BH313" i="3"/>
  <c r="BH308" i="3"/>
  <c r="BH61" i="3"/>
  <c r="BH46" i="3"/>
  <c r="BI323" i="3"/>
  <c r="BK330" i="3" l="1"/>
  <c r="BK337" i="3" s="1"/>
  <c r="BK366" i="3"/>
  <c r="BK365" i="3"/>
  <c r="BL364" i="3"/>
  <c r="BJ337" i="3"/>
  <c r="BJ340" i="3" s="1"/>
  <c r="BI315" i="3"/>
  <c r="BI308" i="3"/>
  <c r="BI313" i="3"/>
  <c r="BH310" i="3"/>
  <c r="BH309" i="3"/>
  <c r="BI46" i="3"/>
  <c r="BH49" i="3"/>
  <c r="BH48" i="3"/>
  <c r="BH47" i="3"/>
  <c r="BH182" i="3"/>
  <c r="BH57" i="3"/>
  <c r="BI61" i="3"/>
  <c r="BM62" i="3"/>
  <c r="BH62" i="3"/>
  <c r="BH63" i="3"/>
  <c r="BH64" i="3"/>
  <c r="BJ63" i="3"/>
  <c r="BH36" i="3"/>
  <c r="BJ38" i="3" s="1"/>
  <c r="BI461" i="3"/>
  <c r="BJ318" i="3" l="1"/>
  <c r="BJ338" i="3"/>
  <c r="BJ346" i="3"/>
  <c r="BJ339" i="3"/>
  <c r="BL366" i="3"/>
  <c r="BL330" i="3"/>
  <c r="BL365" i="3"/>
  <c r="BO367" i="3"/>
  <c r="BM364" i="3"/>
  <c r="BK318" i="3"/>
  <c r="BK338" i="3"/>
  <c r="BK339" i="3"/>
  <c r="BK340" i="3"/>
  <c r="BK346" i="3"/>
  <c r="BH184" i="3"/>
  <c r="BI182" i="3"/>
  <c r="BH178" i="3"/>
  <c r="BJ184" i="3"/>
  <c r="BM183" i="3"/>
  <c r="BH183" i="3"/>
  <c r="BH59" i="3"/>
  <c r="BH58" i="3"/>
  <c r="BM58" i="3"/>
  <c r="BI64" i="3"/>
  <c r="BI62" i="3"/>
  <c r="BN62" i="3"/>
  <c r="BI57" i="3"/>
  <c r="BI47" i="3"/>
  <c r="BI49" i="3"/>
  <c r="BI309" i="3"/>
  <c r="BI36" i="3"/>
  <c r="BH38" i="3"/>
  <c r="BH39" i="3"/>
  <c r="BM37" i="3"/>
  <c r="BH37" i="3"/>
  <c r="BL337" i="3" l="1"/>
  <c r="BM366" i="3"/>
  <c r="BM365" i="3"/>
  <c r="BM330" i="3"/>
  <c r="BM337" i="3" s="1"/>
  <c r="BK320" i="3"/>
  <c r="BK455" i="3"/>
  <c r="BK319" i="3"/>
  <c r="BJ325" i="3"/>
  <c r="BJ347" i="3"/>
  <c r="BJ348" i="3"/>
  <c r="BP367" i="3"/>
  <c r="BO364" i="3"/>
  <c r="BJ455" i="3"/>
  <c r="BJ303" i="3" s="1"/>
  <c r="BJ319" i="3"/>
  <c r="BJ320" i="3"/>
  <c r="BK348" i="3"/>
  <c r="BK347" i="3"/>
  <c r="BK325" i="3"/>
  <c r="BN364" i="3"/>
  <c r="BI58" i="3"/>
  <c r="BJ59" i="3"/>
  <c r="BN58" i="3"/>
  <c r="BJ180" i="3"/>
  <c r="BH180" i="3"/>
  <c r="BM179" i="3"/>
  <c r="BH179" i="3"/>
  <c r="BI37" i="3"/>
  <c r="BN37" i="3"/>
  <c r="BI39" i="3"/>
  <c r="BI183" i="3"/>
  <c r="BN183" i="3"/>
  <c r="BI178" i="3"/>
  <c r="BJ326" i="3" l="1"/>
  <c r="BJ322" i="3"/>
  <c r="BJ323" i="3" s="1"/>
  <c r="BJ327" i="3"/>
  <c r="BO330" i="3"/>
  <c r="BO365" i="3"/>
  <c r="BO366" i="3"/>
  <c r="BJ23" i="3"/>
  <c r="BJ306" i="3" s="1"/>
  <c r="BJ305" i="3"/>
  <c r="BJ304" i="3"/>
  <c r="BQ367" i="3"/>
  <c r="BP364" i="3"/>
  <c r="BK303" i="3"/>
  <c r="BK457" i="3"/>
  <c r="BK463" i="3"/>
  <c r="BK312" i="3" s="1"/>
  <c r="BK456" i="3"/>
  <c r="BM339" i="3"/>
  <c r="BM340" i="3"/>
  <c r="BM318" i="3"/>
  <c r="BM346" i="3"/>
  <c r="BM338" i="3"/>
  <c r="BJ463" i="3"/>
  <c r="BJ456" i="3"/>
  <c r="BN367" i="3"/>
  <c r="BN365" i="3"/>
  <c r="BN330" i="3"/>
  <c r="BK322" i="3"/>
  <c r="BK323" i="3" s="1"/>
  <c r="BK327" i="3"/>
  <c r="BK326" i="3"/>
  <c r="BL340" i="3"/>
  <c r="BL318" i="3"/>
  <c r="BL339" i="3"/>
  <c r="BL346" i="3"/>
  <c r="BL338" i="3"/>
  <c r="BI179" i="3"/>
  <c r="BN179" i="3"/>
  <c r="BN337" i="3" l="1"/>
  <c r="BP366" i="3"/>
  <c r="BP330" i="3"/>
  <c r="BP337" i="3" s="1"/>
  <c r="BP365" i="3"/>
  <c r="BR367" i="3"/>
  <c r="BQ364" i="3"/>
  <c r="BJ55" i="3"/>
  <c r="BJ25" i="3"/>
  <c r="BJ190" i="3"/>
  <c r="BJ468" i="3"/>
  <c r="BJ24" i="3"/>
  <c r="BM320" i="3"/>
  <c r="BM455" i="3"/>
  <c r="BM319" i="3"/>
  <c r="BJ464" i="3"/>
  <c r="BL348" i="3"/>
  <c r="BL325" i="3"/>
  <c r="BL347" i="3"/>
  <c r="BL320" i="3"/>
  <c r="BL455" i="3"/>
  <c r="BL319" i="3"/>
  <c r="BK304" i="3"/>
  <c r="BK305" i="3"/>
  <c r="BK23" i="3"/>
  <c r="BK306" i="3" s="1"/>
  <c r="BO337" i="3"/>
  <c r="BJ312" i="3"/>
  <c r="BN346" i="3"/>
  <c r="BM348" i="3"/>
  <c r="BM325" i="3"/>
  <c r="BM347" i="3"/>
  <c r="BK46" i="3"/>
  <c r="BK313" i="3"/>
  <c r="BK308" i="3"/>
  <c r="BK31" i="3"/>
  <c r="BK464" i="3"/>
  <c r="BK465" i="3"/>
  <c r="BK314" i="3" l="1"/>
  <c r="BJ31" i="3"/>
  <c r="BJ474" i="3"/>
  <c r="BJ469" i="3"/>
  <c r="BL457" i="3"/>
  <c r="BL463" i="3"/>
  <c r="BL312" i="3" s="1"/>
  <c r="BL456" i="3"/>
  <c r="BN455" i="3"/>
  <c r="BM322" i="3"/>
  <c r="BM323" i="3" s="1"/>
  <c r="BM327" i="3"/>
  <c r="BM326" i="3"/>
  <c r="BK9" i="3"/>
  <c r="BK44" i="3"/>
  <c r="BK27" i="3"/>
  <c r="BK39" i="3"/>
  <c r="BK32" i="3"/>
  <c r="BL303" i="3"/>
  <c r="BQ365" i="3"/>
  <c r="BQ330" i="3"/>
  <c r="BQ366" i="3"/>
  <c r="BM463" i="3"/>
  <c r="BM312" i="3" s="1"/>
  <c r="BM457" i="3"/>
  <c r="BM456" i="3"/>
  <c r="BL327" i="3"/>
  <c r="BL322" i="3"/>
  <c r="BL323" i="3" s="1"/>
  <c r="BL326" i="3"/>
  <c r="BT367" i="3"/>
  <c r="BR364" i="3"/>
  <c r="BS364" i="3" s="1"/>
  <c r="BK47" i="3"/>
  <c r="BK48" i="3"/>
  <c r="BK49" i="3"/>
  <c r="BN342" i="3"/>
  <c r="BN343" i="3" s="1"/>
  <c r="BN325" i="3"/>
  <c r="BN347" i="3"/>
  <c r="BJ46" i="3"/>
  <c r="BK33" i="3"/>
  <c r="BJ313" i="3"/>
  <c r="BJ308" i="3"/>
  <c r="BJ314" i="3"/>
  <c r="BO340" i="3"/>
  <c r="BO318" i="3"/>
  <c r="BO339" i="3"/>
  <c r="BO338" i="3"/>
  <c r="BO346" i="3"/>
  <c r="BP339" i="3"/>
  <c r="BP318" i="3"/>
  <c r="BP338" i="3"/>
  <c r="BP340" i="3"/>
  <c r="BP346" i="3"/>
  <c r="BM303" i="3"/>
  <c r="BK309" i="3"/>
  <c r="BN318" i="3"/>
  <c r="BN319" i="3" s="1"/>
  <c r="BN338" i="3"/>
  <c r="BK55" i="3"/>
  <c r="BK190" i="3"/>
  <c r="BK25" i="3"/>
  <c r="BK468" i="3"/>
  <c r="BK24" i="3"/>
  <c r="BS365" i="3" l="1"/>
  <c r="BS367" i="3"/>
  <c r="BK10" i="3"/>
  <c r="BK17" i="3"/>
  <c r="BK469" i="3"/>
  <c r="BK474" i="3"/>
  <c r="BK475" i="3" s="1"/>
  <c r="BU367" i="3"/>
  <c r="BT364" i="3"/>
  <c r="BL46" i="3"/>
  <c r="BL31" i="3"/>
  <c r="BL314" i="3"/>
  <c r="BL308" i="3"/>
  <c r="BL313" i="3"/>
  <c r="BM46" i="3"/>
  <c r="BM31" i="3"/>
  <c r="BM308" i="3"/>
  <c r="BM314" i="3"/>
  <c r="BM313" i="3"/>
  <c r="BJ309" i="3"/>
  <c r="BJ310" i="3"/>
  <c r="BK28" i="3"/>
  <c r="BN303" i="3"/>
  <c r="BN458" i="3"/>
  <c r="BN456" i="3"/>
  <c r="BP348" i="3"/>
  <c r="BP325" i="3"/>
  <c r="BP347" i="3"/>
  <c r="BJ32" i="3"/>
  <c r="BJ9" i="3"/>
  <c r="BK11" i="3" s="1"/>
  <c r="BJ44" i="3"/>
  <c r="BJ39" i="3"/>
  <c r="BJ27" i="3"/>
  <c r="BK29" i="3" s="1"/>
  <c r="BJ33" i="3"/>
  <c r="BM465" i="3"/>
  <c r="BM464" i="3"/>
  <c r="BO325" i="3"/>
  <c r="BO347" i="3"/>
  <c r="BO348" i="3"/>
  <c r="BM23" i="3"/>
  <c r="BM306" i="3" s="1"/>
  <c r="BM305" i="3"/>
  <c r="BM304" i="3"/>
  <c r="BJ47" i="3"/>
  <c r="BJ49" i="3"/>
  <c r="BJ48" i="3"/>
  <c r="BL465" i="3"/>
  <c r="BL464" i="3"/>
  <c r="BN463" i="3"/>
  <c r="BN312" i="3" s="1"/>
  <c r="BQ337" i="3"/>
  <c r="BN322" i="3"/>
  <c r="BN323" i="3" s="1"/>
  <c r="BN326" i="3"/>
  <c r="BR330" i="3"/>
  <c r="BR337" i="3" s="1"/>
  <c r="BR366" i="3"/>
  <c r="BR365" i="3"/>
  <c r="BO320" i="3"/>
  <c r="BO319" i="3"/>
  <c r="BO455" i="3"/>
  <c r="BO303" i="3" s="1"/>
  <c r="BK310" i="3"/>
  <c r="BL304" i="3"/>
  <c r="BL23" i="3"/>
  <c r="BL305" i="3"/>
  <c r="BP319" i="3"/>
  <c r="BP455" i="3"/>
  <c r="BP303" i="3" s="1"/>
  <c r="BP320" i="3"/>
  <c r="BJ475" i="3"/>
  <c r="BO23" i="3" l="1"/>
  <c r="BO306" i="3" s="1"/>
  <c r="BO304" i="3"/>
  <c r="BO305" i="3"/>
  <c r="BM48" i="3"/>
  <c r="BM49" i="3"/>
  <c r="BM47" i="3"/>
  <c r="BL310" i="3"/>
  <c r="BL309" i="3"/>
  <c r="BR339" i="3"/>
  <c r="BR340" i="3"/>
  <c r="BR338" i="3"/>
  <c r="BR318" i="3"/>
  <c r="BR346" i="3"/>
  <c r="BN308" i="3"/>
  <c r="BN309" i="3" s="1"/>
  <c r="BN313" i="3"/>
  <c r="BL44" i="3"/>
  <c r="BL32" i="3"/>
  <c r="BL39" i="3"/>
  <c r="BL9" i="3"/>
  <c r="BL27" i="3"/>
  <c r="BL33" i="3"/>
  <c r="BP327" i="3"/>
  <c r="BP326" i="3"/>
  <c r="BP322" i="3"/>
  <c r="BP323" i="3" s="1"/>
  <c r="BS330" i="3"/>
  <c r="BN304" i="3"/>
  <c r="BL48" i="3"/>
  <c r="BL49" i="3"/>
  <c r="BL47" i="3"/>
  <c r="BQ318" i="3"/>
  <c r="BQ339" i="3"/>
  <c r="BQ338" i="3"/>
  <c r="BQ340" i="3"/>
  <c r="BQ346" i="3"/>
  <c r="BO327" i="3"/>
  <c r="BO326" i="3"/>
  <c r="BO322" i="3"/>
  <c r="BO323" i="3" s="1"/>
  <c r="BT330" i="3"/>
  <c r="BT366" i="3"/>
  <c r="BT365" i="3"/>
  <c r="BV367" i="3"/>
  <c r="BU364" i="3"/>
  <c r="BN460" i="3"/>
  <c r="BN461" i="3" s="1"/>
  <c r="BN464" i="3"/>
  <c r="BP305" i="3"/>
  <c r="BP304" i="3"/>
  <c r="BP23" i="3"/>
  <c r="BP306" i="3" s="1"/>
  <c r="BP456" i="3"/>
  <c r="BP463" i="3"/>
  <c r="BP312" i="3" s="1"/>
  <c r="BP457" i="3"/>
  <c r="BN31" i="3"/>
  <c r="BK64" i="3"/>
  <c r="BK18" i="3"/>
  <c r="BK7" i="2"/>
  <c r="BK479" i="3"/>
  <c r="BK198" i="3"/>
  <c r="BK315" i="3"/>
  <c r="BM468" i="3"/>
  <c r="BM190" i="3"/>
  <c r="BM25" i="3"/>
  <c r="BM55" i="3"/>
  <c r="BM24" i="3"/>
  <c r="BJ28" i="3"/>
  <c r="BJ29" i="3"/>
  <c r="BO456" i="3"/>
  <c r="BO463" i="3"/>
  <c r="BO312" i="3" s="1"/>
  <c r="BN46" i="3"/>
  <c r="BM310" i="3"/>
  <c r="BM309" i="3"/>
  <c r="BL306" i="3"/>
  <c r="BL190" i="3"/>
  <c r="BL468" i="3"/>
  <c r="BL55" i="3"/>
  <c r="BL24" i="3"/>
  <c r="BL25" i="3"/>
  <c r="BN23" i="3"/>
  <c r="BN306" i="3" s="1"/>
  <c r="BJ17" i="3"/>
  <c r="BJ19" i="3" s="1"/>
  <c r="BJ10" i="3"/>
  <c r="BJ11" i="3"/>
  <c r="BM44" i="3"/>
  <c r="BM27" i="3"/>
  <c r="BM39" i="3"/>
  <c r="BM9" i="3"/>
  <c r="BM33" i="3"/>
  <c r="BM32" i="3"/>
  <c r="BK19" i="3" l="1"/>
  <c r="BN17" i="3"/>
  <c r="BO46" i="3"/>
  <c r="BO48" i="3" s="1"/>
  <c r="BO313" i="3"/>
  <c r="BO308" i="3"/>
  <c r="BO31" i="3"/>
  <c r="BO314" i="3"/>
  <c r="BP46" i="3"/>
  <c r="BP313" i="3"/>
  <c r="BP308" i="3"/>
  <c r="BP314" i="3"/>
  <c r="BP31" i="3"/>
  <c r="BR347" i="3"/>
  <c r="BR348" i="3"/>
  <c r="BR325" i="3"/>
  <c r="BS337" i="3"/>
  <c r="BR455" i="3"/>
  <c r="BR303" i="3" s="1"/>
  <c r="BR320" i="3"/>
  <c r="BR319" i="3"/>
  <c r="BK34" i="2"/>
  <c r="BK51" i="2"/>
  <c r="BK50" i="2"/>
  <c r="BK52" i="2"/>
  <c r="BM29" i="3"/>
  <c r="BM28" i="3"/>
  <c r="BN49" i="3"/>
  <c r="BN47" i="3"/>
  <c r="BK480" i="3"/>
  <c r="BK481" i="3" s="1"/>
  <c r="BK484" i="3"/>
  <c r="BK490" i="3"/>
  <c r="BK9" i="2"/>
  <c r="BK482" i="3"/>
  <c r="BW367" i="3"/>
  <c r="BV364" i="3"/>
  <c r="BQ348" i="3"/>
  <c r="BQ325" i="3"/>
  <c r="BQ347" i="3"/>
  <c r="BS346" i="3"/>
  <c r="BL28" i="3"/>
  <c r="BL29" i="3"/>
  <c r="BP55" i="3"/>
  <c r="BP25" i="3"/>
  <c r="BP24" i="3"/>
  <c r="BP468" i="3"/>
  <c r="BP190" i="3"/>
  <c r="BL10" i="3"/>
  <c r="BL17" i="3"/>
  <c r="BL11" i="3"/>
  <c r="BO464" i="3"/>
  <c r="BP465" i="3"/>
  <c r="BP464" i="3"/>
  <c r="BM17" i="3"/>
  <c r="BM11" i="3"/>
  <c r="BM10" i="3"/>
  <c r="BN24" i="3"/>
  <c r="BN190" i="3"/>
  <c r="BN468" i="3"/>
  <c r="BN469" i="3" s="1"/>
  <c r="BN55" i="3"/>
  <c r="BM469" i="3"/>
  <c r="BM474" i="3"/>
  <c r="BM475" i="3" s="1"/>
  <c r="BN44" i="3"/>
  <c r="BN27" i="3"/>
  <c r="BN39" i="3"/>
  <c r="BN32" i="3"/>
  <c r="BL469" i="3"/>
  <c r="BL474" i="3"/>
  <c r="BQ320" i="3"/>
  <c r="BQ455" i="3"/>
  <c r="BQ303" i="3" s="1"/>
  <c r="BQ319" i="3"/>
  <c r="BJ64" i="3"/>
  <c r="BJ198" i="3"/>
  <c r="BJ18" i="3"/>
  <c r="BJ7" i="2"/>
  <c r="BJ479" i="3"/>
  <c r="BJ315" i="3"/>
  <c r="BK20" i="3"/>
  <c r="BT337" i="3"/>
  <c r="BU365" i="3"/>
  <c r="BU330" i="3"/>
  <c r="BU337" i="3" s="1"/>
  <c r="BU366" i="3"/>
  <c r="BO24" i="3"/>
  <c r="BO468" i="3"/>
  <c r="BO25" i="3"/>
  <c r="BO190" i="3"/>
  <c r="BO55" i="3"/>
  <c r="BK61" i="4" l="1"/>
  <c r="BN10" i="3"/>
  <c r="BN28" i="3"/>
  <c r="BP39" i="3"/>
  <c r="BP9" i="3"/>
  <c r="BP27" i="3"/>
  <c r="BP33" i="3"/>
  <c r="BP44" i="3"/>
  <c r="BP32" i="3"/>
  <c r="BS342" i="3"/>
  <c r="BS343" i="3" s="1"/>
  <c r="BS325" i="3"/>
  <c r="BS347" i="3"/>
  <c r="BK10" i="4"/>
  <c r="BK26" i="4"/>
  <c r="BP309" i="3"/>
  <c r="BP310" i="3"/>
  <c r="BP48" i="3"/>
  <c r="BP47" i="3"/>
  <c r="BP49" i="3"/>
  <c r="BM64" i="3"/>
  <c r="BM19" i="3"/>
  <c r="BM198" i="3"/>
  <c r="BM7" i="2"/>
  <c r="BM479" i="3"/>
  <c r="BM18" i="3"/>
  <c r="BM315" i="3"/>
  <c r="BV330" i="3"/>
  <c r="BV337" i="3" s="1"/>
  <c r="BV365" i="3"/>
  <c r="BV366" i="3"/>
  <c r="BQ304" i="3"/>
  <c r="BQ305" i="3"/>
  <c r="BQ23" i="3"/>
  <c r="BY367" i="3"/>
  <c r="BW364" i="3"/>
  <c r="BX364" i="3" s="1"/>
  <c r="BR304" i="3"/>
  <c r="BR305" i="3"/>
  <c r="BR23" i="3"/>
  <c r="BN198" i="3"/>
  <c r="BN64" i="3"/>
  <c r="BN18" i="3"/>
  <c r="BN315" i="3"/>
  <c r="BO469" i="3"/>
  <c r="BO474" i="3"/>
  <c r="BQ463" i="3"/>
  <c r="BQ456" i="3"/>
  <c r="BQ457" i="3"/>
  <c r="BS455" i="3"/>
  <c r="BQ326" i="3"/>
  <c r="BQ322" i="3"/>
  <c r="BQ323" i="3" s="1"/>
  <c r="BQ327" i="3"/>
  <c r="BL475" i="3"/>
  <c r="BN474" i="3"/>
  <c r="BN479" i="3" s="1"/>
  <c r="BT339" i="3"/>
  <c r="BT340" i="3"/>
  <c r="BT338" i="3"/>
  <c r="BT318" i="3"/>
  <c r="BT346" i="3"/>
  <c r="BL64" i="3"/>
  <c r="BL7" i="2"/>
  <c r="BL18" i="3"/>
  <c r="BL198" i="3"/>
  <c r="BL19" i="3"/>
  <c r="BL479" i="3"/>
  <c r="BL315" i="3"/>
  <c r="BK8" i="2"/>
  <c r="BK35" i="2"/>
  <c r="BK48" i="2"/>
  <c r="BK49" i="2" s="1"/>
  <c r="BK14" i="2"/>
  <c r="BU338" i="3"/>
  <c r="BU339" i="3"/>
  <c r="BU318" i="3"/>
  <c r="BU340" i="3"/>
  <c r="BU346" i="3"/>
  <c r="BK491" i="3"/>
  <c r="BR457" i="3"/>
  <c r="BR463" i="3"/>
  <c r="BR456" i="3"/>
  <c r="BO49" i="3"/>
  <c r="BO33" i="3"/>
  <c r="BO32" i="3"/>
  <c r="BO44" i="3"/>
  <c r="BO9" i="3"/>
  <c r="BO39" i="3"/>
  <c r="BO27" i="3"/>
  <c r="BK488" i="3"/>
  <c r="BK494" i="3"/>
  <c r="BK485" i="3"/>
  <c r="BO310" i="3"/>
  <c r="BO309" i="3"/>
  <c r="BJ480" i="3"/>
  <c r="BJ481" i="3" s="1"/>
  <c r="BJ9" i="2"/>
  <c r="BJ484" i="3"/>
  <c r="BJ482" i="3"/>
  <c r="BJ490" i="3"/>
  <c r="BK492" i="3" s="1"/>
  <c r="BP469" i="3"/>
  <c r="BP474" i="3"/>
  <c r="BP475" i="3" s="1"/>
  <c r="BS318" i="3"/>
  <c r="BS338" i="3"/>
  <c r="BJ20" i="3"/>
  <c r="BJ34" i="2"/>
  <c r="BJ51" i="2"/>
  <c r="BJ50" i="2"/>
  <c r="BJ52" i="2"/>
  <c r="BJ61" i="4"/>
  <c r="BR322" i="3"/>
  <c r="BR323" i="3" s="1"/>
  <c r="BR327" i="3"/>
  <c r="BR326" i="3"/>
  <c r="BO47" i="3"/>
  <c r="BR464" i="3" l="1"/>
  <c r="BR465" i="3"/>
  <c r="BZ367" i="3"/>
  <c r="BY364" i="3"/>
  <c r="BL20" i="3"/>
  <c r="BL34" i="2"/>
  <c r="BL51" i="2"/>
  <c r="BL50" i="2"/>
  <c r="BL52" i="2"/>
  <c r="BL61" i="4"/>
  <c r="BQ464" i="3"/>
  <c r="BQ465" i="3"/>
  <c r="BS463" i="3"/>
  <c r="BS312" i="3" s="1"/>
  <c r="BQ306" i="3"/>
  <c r="BQ24" i="3"/>
  <c r="BQ468" i="3"/>
  <c r="BQ190" i="3"/>
  <c r="BQ55" i="3"/>
  <c r="BQ25" i="3"/>
  <c r="BS23" i="3"/>
  <c r="BO475" i="3"/>
  <c r="BK487" i="3"/>
  <c r="BK486" i="3"/>
  <c r="BU325" i="3"/>
  <c r="BU347" i="3"/>
  <c r="BU348" i="3"/>
  <c r="BT348" i="3"/>
  <c r="BT347" i="3"/>
  <c r="BT325" i="3"/>
  <c r="BK495" i="3"/>
  <c r="BT320" i="3"/>
  <c r="BT455" i="3"/>
  <c r="BT303" i="3" s="1"/>
  <c r="BT319" i="3"/>
  <c r="BX367" i="3"/>
  <c r="BX365" i="3"/>
  <c r="BU319" i="3"/>
  <c r="BU455" i="3"/>
  <c r="BU303" i="3" s="1"/>
  <c r="BU320" i="3"/>
  <c r="BN9" i="2"/>
  <c r="BN490" i="3"/>
  <c r="BN491" i="3" s="1"/>
  <c r="BN480" i="3"/>
  <c r="BN481" i="3" s="1"/>
  <c r="BN484" i="3"/>
  <c r="BN482" i="3"/>
  <c r="BN7" i="2"/>
  <c r="BO29" i="3"/>
  <c r="BO28" i="3"/>
  <c r="BV338" i="3"/>
  <c r="BV340" i="3"/>
  <c r="BV318" i="3"/>
  <c r="BV339" i="3"/>
  <c r="BV346" i="3"/>
  <c r="BS326" i="3"/>
  <c r="BS322" i="3"/>
  <c r="BS323" i="3" s="1"/>
  <c r="BJ48" i="2"/>
  <c r="BJ49" i="2" s="1"/>
  <c r="BJ35" i="2"/>
  <c r="BJ14" i="2"/>
  <c r="BK55" i="2"/>
  <c r="BK39" i="2"/>
  <c r="BK60" i="8"/>
  <c r="BK63" i="8" s="1"/>
  <c r="BK64" i="8" s="1"/>
  <c r="BK53" i="2"/>
  <c r="BK54" i="2" s="1"/>
  <c r="BN471" i="3"/>
  <c r="BN472" i="3" s="1"/>
  <c r="BN475" i="3"/>
  <c r="BJ10" i="4"/>
  <c r="BK66" i="4" s="1"/>
  <c r="BJ26" i="4"/>
  <c r="BK78" i="4" s="1"/>
  <c r="BJ8" i="2"/>
  <c r="BM484" i="3"/>
  <c r="BM480" i="3"/>
  <c r="BM481" i="3" s="1"/>
  <c r="BM490" i="3"/>
  <c r="BM9" i="2"/>
  <c r="BM8" i="2" s="1"/>
  <c r="BM482" i="3"/>
  <c r="BQ312" i="3"/>
  <c r="BR306" i="3"/>
  <c r="BR25" i="3"/>
  <c r="BR24" i="3"/>
  <c r="BR468" i="3"/>
  <c r="BR190" i="3"/>
  <c r="BR55" i="3"/>
  <c r="BM20" i="3"/>
  <c r="BM61" i="4"/>
  <c r="BM50" i="2"/>
  <c r="BM51" i="2"/>
  <c r="BM52" i="2"/>
  <c r="BM34" i="2"/>
  <c r="BJ491" i="3"/>
  <c r="BJ492" i="3"/>
  <c r="BP29" i="3"/>
  <c r="BP28" i="3"/>
  <c r="BS319" i="3"/>
  <c r="BS303" i="3"/>
  <c r="BO11" i="3"/>
  <c r="BO10" i="3"/>
  <c r="BO17" i="3"/>
  <c r="BL480" i="3"/>
  <c r="BL481" i="3" s="1"/>
  <c r="BL490" i="3"/>
  <c r="BL484" i="3"/>
  <c r="BL482" i="3"/>
  <c r="BL9" i="2"/>
  <c r="BL8" i="2" s="1"/>
  <c r="BP11" i="3"/>
  <c r="BP17" i="3"/>
  <c r="BP10" i="3"/>
  <c r="BR312" i="3"/>
  <c r="BJ488" i="3"/>
  <c r="BJ485" i="3"/>
  <c r="BJ494" i="3"/>
  <c r="BS456" i="3"/>
  <c r="BS458" i="3"/>
  <c r="BW330" i="3"/>
  <c r="BW366" i="3"/>
  <c r="BW365" i="3"/>
  <c r="BL62" i="4" l="1"/>
  <c r="BL25" i="4" s="1"/>
  <c r="BM62" i="4"/>
  <c r="BM11" i="4" s="1"/>
  <c r="BK20" i="5"/>
  <c r="BU305" i="3"/>
  <c r="BU304" i="3"/>
  <c r="BU23" i="3"/>
  <c r="BU306" i="3" s="1"/>
  <c r="BS308" i="3"/>
  <c r="BS309" i="3" s="1"/>
  <c r="BS313" i="3"/>
  <c r="BT327" i="3"/>
  <c r="BT322" i="3"/>
  <c r="BT323" i="3" s="1"/>
  <c r="BT326" i="3"/>
  <c r="BS460" i="3"/>
  <c r="BS461" i="3" s="1"/>
  <c r="BS464" i="3"/>
  <c r="BN61" i="4"/>
  <c r="BM26" i="4"/>
  <c r="BM10" i="4"/>
  <c r="BN8" i="2"/>
  <c r="BJ62" i="4"/>
  <c r="BJ20" i="5"/>
  <c r="BJ78" i="4"/>
  <c r="BV347" i="3"/>
  <c r="BV325" i="3"/>
  <c r="BV348" i="3"/>
  <c r="BJ66" i="4"/>
  <c r="BK17" i="5"/>
  <c r="BJ17" i="5"/>
  <c r="BU463" i="3"/>
  <c r="BU456" i="3"/>
  <c r="BU457" i="3"/>
  <c r="BV319" i="3"/>
  <c r="BV320" i="3"/>
  <c r="BV455" i="3"/>
  <c r="BV303" i="3" s="1"/>
  <c r="BU322" i="3"/>
  <c r="BU323" i="3" s="1"/>
  <c r="BU326" i="3"/>
  <c r="BU327" i="3"/>
  <c r="BL10" i="4"/>
  <c r="BL26" i="4"/>
  <c r="BL485" i="3"/>
  <c r="BL488" i="3"/>
  <c r="BL494" i="3"/>
  <c r="BL492" i="3"/>
  <c r="BL491" i="3"/>
  <c r="BW337" i="3"/>
  <c r="BX330" i="3"/>
  <c r="BM494" i="3"/>
  <c r="BM485" i="3"/>
  <c r="BM488" i="3"/>
  <c r="BR469" i="3"/>
  <c r="BR474" i="3"/>
  <c r="BR475" i="3" s="1"/>
  <c r="BJ487" i="3"/>
  <c r="BJ486" i="3"/>
  <c r="BO64" i="3"/>
  <c r="BO479" i="3"/>
  <c r="BO18" i="3"/>
  <c r="BO19" i="3"/>
  <c r="BO7" i="2"/>
  <c r="BO198" i="3"/>
  <c r="BO315" i="3"/>
  <c r="BR46" i="3"/>
  <c r="BR31" i="3"/>
  <c r="BR313" i="3"/>
  <c r="BR314" i="3"/>
  <c r="BR308" i="3"/>
  <c r="AE11" i="7"/>
  <c r="BN50" i="2"/>
  <c r="BN51" i="2"/>
  <c r="BN52" i="2"/>
  <c r="BN34" i="2"/>
  <c r="BN20" i="3"/>
  <c r="BT304" i="3"/>
  <c r="BT23" i="3"/>
  <c r="BT306" i="3" s="1"/>
  <c r="BT305" i="3"/>
  <c r="BS55" i="3"/>
  <c r="BS468" i="3"/>
  <c r="BS469" i="3" s="1"/>
  <c r="BS24" i="3"/>
  <c r="BS190" i="3"/>
  <c r="BQ46" i="3"/>
  <c r="BQ313" i="3"/>
  <c r="BQ308" i="3"/>
  <c r="BQ314" i="3"/>
  <c r="BQ31" i="3"/>
  <c r="BK62" i="4"/>
  <c r="BN485" i="3"/>
  <c r="BN494" i="3"/>
  <c r="BN495" i="3" s="1"/>
  <c r="BN488" i="3"/>
  <c r="BT463" i="3"/>
  <c r="BT464" i="3" s="1"/>
  <c r="BT456" i="3"/>
  <c r="BY330" i="3"/>
  <c r="BY366" i="3"/>
  <c r="BY365" i="3"/>
  <c r="BJ495" i="3"/>
  <c r="BJ496" i="3"/>
  <c r="BS304" i="3"/>
  <c r="BS306" i="3"/>
  <c r="BP7" i="2"/>
  <c r="BP198" i="3"/>
  <c r="BP479" i="3"/>
  <c r="BP18" i="3"/>
  <c r="BP19" i="3"/>
  <c r="BP64" i="3"/>
  <c r="BP315" i="3"/>
  <c r="BJ55" i="2"/>
  <c r="BJ60" i="8"/>
  <c r="BJ39" i="2"/>
  <c r="BJ53" i="2"/>
  <c r="BJ54" i="2" s="1"/>
  <c r="BJ18" i="2"/>
  <c r="CA367" i="3"/>
  <c r="BZ364" i="3"/>
  <c r="BQ469" i="3"/>
  <c r="BQ474" i="3"/>
  <c r="BL14" i="2"/>
  <c r="BL48" i="2"/>
  <c r="BL49" i="2" s="1"/>
  <c r="BL35" i="2"/>
  <c r="BM48" i="2"/>
  <c r="BM49" i="2" s="1"/>
  <c r="BM14" i="2"/>
  <c r="BM35" i="2"/>
  <c r="BM492" i="3"/>
  <c r="BM491" i="3"/>
  <c r="BN75" i="2"/>
  <c r="BN48" i="2"/>
  <c r="BN49" i="2" s="1"/>
  <c r="BN14" i="2"/>
  <c r="BN35" i="2"/>
  <c r="BK496" i="3"/>
  <c r="BL11" i="4" l="1"/>
  <c r="BM25" i="4"/>
  <c r="BM19" i="5" s="1"/>
  <c r="BN62" i="4"/>
  <c r="BT312" i="3"/>
  <c r="BT31" i="3" s="1"/>
  <c r="BN66" i="2"/>
  <c r="BP480" i="3"/>
  <c r="BP481" i="3" s="1"/>
  <c r="BP9" i="2"/>
  <c r="BP8" i="2" s="1"/>
  <c r="BP490" i="3"/>
  <c r="BP484" i="3"/>
  <c r="BP482" i="3"/>
  <c r="BK11" i="4"/>
  <c r="BK25" i="4"/>
  <c r="BL19" i="5" s="1"/>
  <c r="BL496" i="3"/>
  <c r="BL495" i="3"/>
  <c r="BO9" i="2"/>
  <c r="BO8" i="2" s="1"/>
  <c r="BO490" i="3"/>
  <c r="BO482" i="3"/>
  <c r="BO480" i="3"/>
  <c r="BO481" i="3" s="1"/>
  <c r="BO484" i="3"/>
  <c r="BU465" i="3"/>
  <c r="BU464" i="3"/>
  <c r="BP20" i="3"/>
  <c r="BP34" i="2"/>
  <c r="BP61" i="4"/>
  <c r="BP50" i="2"/>
  <c r="BP51" i="2"/>
  <c r="BP52" i="2"/>
  <c r="BL487" i="3"/>
  <c r="BL486" i="3"/>
  <c r="BT46" i="3"/>
  <c r="BT313" i="3"/>
  <c r="BT308" i="3"/>
  <c r="BL53" i="2"/>
  <c r="BL54" i="2" s="1"/>
  <c r="BL60" i="8"/>
  <c r="BL63" i="8" s="1"/>
  <c r="BL64" i="8" s="1"/>
  <c r="BL39" i="2"/>
  <c r="BL55" i="2"/>
  <c r="BQ475" i="3"/>
  <c r="BS474" i="3"/>
  <c r="BL31" i="4"/>
  <c r="BL38" i="4" s="1"/>
  <c r="BM18" i="5"/>
  <c r="CB367" i="3"/>
  <c r="CA364" i="3"/>
  <c r="BL20" i="5"/>
  <c r="BL78" i="4"/>
  <c r="BV326" i="3"/>
  <c r="BV322" i="3"/>
  <c r="BV323" i="3" s="1"/>
  <c r="BV327" i="3"/>
  <c r="BN53" i="2"/>
  <c r="BN54" i="2" s="1"/>
  <c r="BN55" i="2"/>
  <c r="BN39" i="2"/>
  <c r="BR309" i="3"/>
  <c r="BR310" i="3"/>
  <c r="BZ365" i="3"/>
  <c r="BZ330" i="3"/>
  <c r="BZ337" i="3" s="1"/>
  <c r="BZ366" i="3"/>
  <c r="BQ309" i="3"/>
  <c r="BQ310" i="3"/>
  <c r="BY337" i="3"/>
  <c r="BJ63" i="8"/>
  <c r="BJ61" i="8"/>
  <c r="BK59" i="8" s="1"/>
  <c r="BK61" i="8" s="1"/>
  <c r="BL59" i="8" s="1"/>
  <c r="BR49" i="3"/>
  <c r="BR32" i="3"/>
  <c r="BR27" i="3"/>
  <c r="BR33" i="3"/>
  <c r="BR44" i="3"/>
  <c r="BR39" i="3"/>
  <c r="BR9" i="3"/>
  <c r="BM487" i="3"/>
  <c r="BM486" i="3"/>
  <c r="BU312" i="3"/>
  <c r="BJ11" i="4"/>
  <c r="BJ25" i="4"/>
  <c r="BU55" i="3"/>
  <c r="BU468" i="3"/>
  <c r="BU25" i="3"/>
  <c r="BU24" i="3"/>
  <c r="BU190" i="3"/>
  <c r="BM17" i="5"/>
  <c r="BL66" i="4"/>
  <c r="BL17" i="5"/>
  <c r="BR47" i="3"/>
  <c r="BR48" i="3"/>
  <c r="BM496" i="3"/>
  <c r="BM495" i="3"/>
  <c r="BV304" i="3"/>
  <c r="BV305" i="3"/>
  <c r="BV23" i="3"/>
  <c r="BV306" i="3" s="1"/>
  <c r="BQ48" i="3"/>
  <c r="BQ47" i="3"/>
  <c r="BQ49" i="3"/>
  <c r="BS46" i="3"/>
  <c r="BX337" i="3"/>
  <c r="BV463" i="3"/>
  <c r="BV312" i="3" s="1"/>
  <c r="BV457" i="3"/>
  <c r="BV456" i="3"/>
  <c r="BN10" i="4"/>
  <c r="BM66" i="4"/>
  <c r="BM53" i="2"/>
  <c r="BM54" i="2" s="1"/>
  <c r="BM60" i="8"/>
  <c r="BM63" i="8" s="1"/>
  <c r="BM64" i="8" s="1"/>
  <c r="BM55" i="2"/>
  <c r="BM39" i="2"/>
  <c r="BT468" i="3"/>
  <c r="BT24" i="3"/>
  <c r="BT190" i="3"/>
  <c r="BT55" i="3"/>
  <c r="BT25" i="3"/>
  <c r="BW339" i="3"/>
  <c r="BW340" i="3"/>
  <c r="BW318" i="3"/>
  <c r="BW338" i="3"/>
  <c r="BW346" i="3"/>
  <c r="BN26" i="4"/>
  <c r="BM20" i="5"/>
  <c r="BM78" i="4"/>
  <c r="BN78" i="4" s="1"/>
  <c r="BQ27" i="3"/>
  <c r="BQ9" i="3"/>
  <c r="BQ44" i="3"/>
  <c r="BQ39" i="3"/>
  <c r="BQ32" i="3"/>
  <c r="BQ33" i="3"/>
  <c r="BS31" i="3"/>
  <c r="BO20" i="3"/>
  <c r="BO34" i="2"/>
  <c r="BO61" i="4"/>
  <c r="BO51" i="2"/>
  <c r="BO50" i="2"/>
  <c r="BO52" i="2"/>
  <c r="BJ41" i="2"/>
  <c r="BJ19" i="2"/>
  <c r="BJ21" i="2" s="1"/>
  <c r="BJ58" i="2"/>
  <c r="BN487" i="3"/>
  <c r="BN486" i="3"/>
  <c r="BN11" i="4"/>
  <c r="BT314" i="3" l="1"/>
  <c r="BM31" i="4"/>
  <c r="BN31" i="4" s="1"/>
  <c r="BN38" i="4" s="1"/>
  <c r="BN25" i="4"/>
  <c r="BL70" i="4"/>
  <c r="BL74" i="4"/>
  <c r="BL61" i="8"/>
  <c r="BM59" i="8" s="1"/>
  <c r="BM61" i="8" s="1"/>
  <c r="BN61" i="8" s="1"/>
  <c r="BO59" i="8" s="1"/>
  <c r="BS59" i="8" s="1"/>
  <c r="BN20" i="5"/>
  <c r="BN17" i="5"/>
  <c r="BM70" i="4"/>
  <c r="BN70" i="4" s="1"/>
  <c r="AE44" i="7" s="1"/>
  <c r="BJ60" i="2"/>
  <c r="BJ23" i="2"/>
  <c r="BJ42" i="2"/>
  <c r="BO62" i="4"/>
  <c r="BV465" i="3"/>
  <c r="BV464" i="3"/>
  <c r="BR29" i="3"/>
  <c r="BR28" i="3"/>
  <c r="CA330" i="3"/>
  <c r="CA366" i="3"/>
  <c r="CA365" i="3"/>
  <c r="BJ59" i="2"/>
  <c r="CD367" i="3"/>
  <c r="CB364" i="3"/>
  <c r="BT33" i="3"/>
  <c r="BT9" i="3"/>
  <c r="BT44" i="3"/>
  <c r="BT39" i="3"/>
  <c r="BT27" i="3"/>
  <c r="BT32" i="3"/>
  <c r="BT310" i="3"/>
  <c r="BT309" i="3"/>
  <c r="BO488" i="3"/>
  <c r="BO494" i="3"/>
  <c r="BO485" i="3"/>
  <c r="BM74" i="4"/>
  <c r="BN74" i="4" s="1"/>
  <c r="AE45" i="7" s="1"/>
  <c r="BN60" i="8"/>
  <c r="BT47" i="3"/>
  <c r="BT48" i="3"/>
  <c r="BT49" i="3"/>
  <c r="BT474" i="3"/>
  <c r="BT469" i="3"/>
  <c r="BU474" i="3"/>
  <c r="BU475" i="3" s="1"/>
  <c r="BU469" i="3"/>
  <c r="BJ64" i="8"/>
  <c r="BN64" i="8" s="1"/>
  <c r="BN63" i="8"/>
  <c r="BO492" i="3"/>
  <c r="BO491" i="3"/>
  <c r="BO35" i="2"/>
  <c r="BO48" i="2"/>
  <c r="BO49" i="2" s="1"/>
  <c r="BO14" i="2"/>
  <c r="BQ10" i="3"/>
  <c r="BQ17" i="3"/>
  <c r="BQ11" i="3"/>
  <c r="BS9" i="3"/>
  <c r="BJ31" i="4"/>
  <c r="BJ38" i="4" s="1"/>
  <c r="BJ19" i="5"/>
  <c r="BJ74" i="4"/>
  <c r="BS475" i="3"/>
  <c r="BS471" i="3"/>
  <c r="BS472" i="3" s="1"/>
  <c r="BV190" i="3"/>
  <c r="BV55" i="3"/>
  <c r="BV468" i="3"/>
  <c r="BV24" i="3"/>
  <c r="BV25" i="3"/>
  <c r="BK18" i="5"/>
  <c r="BJ70" i="4"/>
  <c r="BJ18" i="5"/>
  <c r="BY318" i="3"/>
  <c r="BY340" i="3"/>
  <c r="BY339" i="3"/>
  <c r="BY338" i="3"/>
  <c r="BY346" i="3"/>
  <c r="BX318" i="3"/>
  <c r="BX338" i="3"/>
  <c r="BO10" i="4"/>
  <c r="BO26" i="4"/>
  <c r="BO78" i="4" s="1"/>
  <c r="BU46" i="3"/>
  <c r="BU313" i="3"/>
  <c r="BU314" i="3"/>
  <c r="BU308" i="3"/>
  <c r="BU31" i="3"/>
  <c r="BK31" i="4"/>
  <c r="BK38" i="4" s="1"/>
  <c r="BK74" i="4"/>
  <c r="BK19" i="5"/>
  <c r="BL18" i="5"/>
  <c r="BK70" i="4"/>
  <c r="BV46" i="3"/>
  <c r="BV31" i="3"/>
  <c r="BV313" i="3"/>
  <c r="BV308" i="3"/>
  <c r="BV314" i="3"/>
  <c r="BX346" i="3"/>
  <c r="BW348" i="3"/>
  <c r="BW347" i="3"/>
  <c r="BW325" i="3"/>
  <c r="BN66" i="4"/>
  <c r="AE43" i="7" s="1"/>
  <c r="BR10" i="3"/>
  <c r="BR11" i="3"/>
  <c r="BR17" i="3"/>
  <c r="BZ340" i="3"/>
  <c r="BZ318" i="3"/>
  <c r="BZ339" i="3"/>
  <c r="BZ338" i="3"/>
  <c r="BZ346" i="3"/>
  <c r="BP62" i="4"/>
  <c r="BP485" i="3"/>
  <c r="BP494" i="3"/>
  <c r="BP488" i="3"/>
  <c r="BS39" i="3"/>
  <c r="BS27" i="3"/>
  <c r="BS28" i="3" s="1"/>
  <c r="BS32" i="3"/>
  <c r="BS44" i="3"/>
  <c r="BW319" i="3"/>
  <c r="BW455" i="3"/>
  <c r="BW320" i="3"/>
  <c r="BP26" i="4"/>
  <c r="BP10" i="4"/>
  <c r="BP492" i="3"/>
  <c r="BP491" i="3"/>
  <c r="BQ28" i="3"/>
  <c r="BQ29" i="3"/>
  <c r="BS47" i="3"/>
  <c r="BS49" i="3"/>
  <c r="BP48" i="2"/>
  <c r="BP49" i="2" s="1"/>
  <c r="BP35" i="2"/>
  <c r="BP14" i="2"/>
  <c r="BM38" i="4" l="1"/>
  <c r="BL82" i="4"/>
  <c r="BK82" i="4"/>
  <c r="BO20" i="5"/>
  <c r="BM82" i="4"/>
  <c r="AE46" i="7"/>
  <c r="BZ348" i="3"/>
  <c r="BZ325" i="3"/>
  <c r="BZ347" i="3"/>
  <c r="BP39" i="2"/>
  <c r="BP53" i="2"/>
  <c r="BP54" i="2" s="1"/>
  <c r="BP60" i="8"/>
  <c r="BP63" i="8" s="1"/>
  <c r="BP64" i="8" s="1"/>
  <c r="BP55" i="2"/>
  <c r="BW303" i="3"/>
  <c r="BW456" i="3"/>
  <c r="BW457" i="3"/>
  <c r="BW463" i="3"/>
  <c r="BX455" i="3"/>
  <c r="BR64" i="3"/>
  <c r="BR19" i="3"/>
  <c r="BR18" i="3"/>
  <c r="BR198" i="3"/>
  <c r="BR479" i="3"/>
  <c r="BR7" i="2"/>
  <c r="BR315" i="3"/>
  <c r="BP17" i="5"/>
  <c r="BO66" i="4"/>
  <c r="BV48" i="3"/>
  <c r="BV47" i="3"/>
  <c r="BV49" i="3"/>
  <c r="BO495" i="3"/>
  <c r="BO496" i="3"/>
  <c r="CA337" i="3"/>
  <c r="BN19" i="5"/>
  <c r="BW327" i="3"/>
  <c r="BW326" i="3"/>
  <c r="BW322" i="3"/>
  <c r="BW323" i="3" s="1"/>
  <c r="BS10" i="3"/>
  <c r="BS17" i="3"/>
  <c r="BY320" i="3"/>
  <c r="BY319" i="3"/>
  <c r="BY455" i="3"/>
  <c r="BY303" i="3" s="1"/>
  <c r="BT475" i="3"/>
  <c r="BT29" i="3"/>
  <c r="BT28" i="3"/>
  <c r="BY348" i="3"/>
  <c r="BY325" i="3"/>
  <c r="BY347" i="3"/>
  <c r="BP496" i="3"/>
  <c r="BP495" i="3"/>
  <c r="BU9" i="3"/>
  <c r="BU44" i="3"/>
  <c r="BU33" i="3"/>
  <c r="BU39" i="3"/>
  <c r="BU32" i="3"/>
  <c r="BU27" i="3"/>
  <c r="BN18" i="5"/>
  <c r="BQ64" i="3"/>
  <c r="BQ7" i="2"/>
  <c r="BQ18" i="3"/>
  <c r="BQ198" i="3"/>
  <c r="BQ19" i="3"/>
  <c r="BQ479" i="3"/>
  <c r="BQ315" i="3"/>
  <c r="BU309" i="3"/>
  <c r="BU310" i="3"/>
  <c r="BJ82" i="4"/>
  <c r="BO25" i="4"/>
  <c r="BO11" i="4"/>
  <c r="BP25" i="4"/>
  <c r="BP11" i="4"/>
  <c r="CC364" i="3"/>
  <c r="CB330" i="3"/>
  <c r="CB337" i="3" s="1"/>
  <c r="CB365" i="3"/>
  <c r="CB366" i="3"/>
  <c r="BX347" i="3"/>
  <c r="BX325" i="3"/>
  <c r="BX342" i="3"/>
  <c r="BX343" i="3" s="1"/>
  <c r="BO55" i="2"/>
  <c r="BO39" i="2"/>
  <c r="BO60" i="8"/>
  <c r="BO53" i="2"/>
  <c r="BO54" i="2" s="1"/>
  <c r="CE367" i="3"/>
  <c r="CD364" i="3"/>
  <c r="BJ8" i="5"/>
  <c r="BJ61" i="2"/>
  <c r="BJ43" i="2"/>
  <c r="BT11" i="3"/>
  <c r="BT17" i="3"/>
  <c r="BT10" i="3"/>
  <c r="BP20" i="5"/>
  <c r="BP78" i="4"/>
  <c r="BU47" i="3"/>
  <c r="BU48" i="3"/>
  <c r="BU49" i="3"/>
  <c r="BO17" i="5"/>
  <c r="BZ320" i="3"/>
  <c r="BZ455" i="3"/>
  <c r="BZ303" i="3" s="1"/>
  <c r="BZ319" i="3"/>
  <c r="BV309" i="3"/>
  <c r="BV310" i="3"/>
  <c r="BX319" i="3"/>
  <c r="BV469" i="3"/>
  <c r="BV474" i="3"/>
  <c r="BV475" i="3" s="1"/>
  <c r="BP487" i="3"/>
  <c r="BP486" i="3"/>
  <c r="BP66" i="4"/>
  <c r="BV27" i="3"/>
  <c r="BV32" i="3"/>
  <c r="BV9" i="3"/>
  <c r="BV44" i="3"/>
  <c r="BV39" i="3"/>
  <c r="BV33" i="3"/>
  <c r="BO486" i="3"/>
  <c r="BO487" i="3"/>
  <c r="BX458" i="3" l="1"/>
  <c r="BX456" i="3"/>
  <c r="BQ20" i="3"/>
  <c r="BQ34" i="2"/>
  <c r="BQ61" i="4"/>
  <c r="BQ51" i="2"/>
  <c r="BQ52" i="2"/>
  <c r="BQ50" i="2"/>
  <c r="BS7" i="2"/>
  <c r="BX463" i="3"/>
  <c r="BX312" i="3" s="1"/>
  <c r="BW464" i="3"/>
  <c r="BW465" i="3"/>
  <c r="CB318" i="3"/>
  <c r="CB339" i="3"/>
  <c r="CB338" i="3"/>
  <c r="CB340" i="3"/>
  <c r="CB346" i="3"/>
  <c r="BY23" i="3"/>
  <c r="BY305" i="3"/>
  <c r="BY304" i="3"/>
  <c r="CC365" i="3"/>
  <c r="CC367" i="3"/>
  <c r="BU28" i="3"/>
  <c r="BU29" i="3"/>
  <c r="BY456" i="3"/>
  <c r="BY463" i="3"/>
  <c r="BY312" i="3" s="1"/>
  <c r="BW23" i="3"/>
  <c r="BW306" i="3" s="1"/>
  <c r="BW304" i="3"/>
  <c r="BW305" i="3"/>
  <c r="BV17" i="3"/>
  <c r="BV10" i="3"/>
  <c r="BV11" i="3"/>
  <c r="BZ463" i="3"/>
  <c r="BZ312" i="3" s="1"/>
  <c r="BZ457" i="3"/>
  <c r="BZ456" i="3"/>
  <c r="CD366" i="3"/>
  <c r="CD365" i="3"/>
  <c r="CD330" i="3"/>
  <c r="BP70" i="4"/>
  <c r="CF367" i="3"/>
  <c r="CE364" i="3"/>
  <c r="BP31" i="4"/>
  <c r="BP38" i="4" s="1"/>
  <c r="BP19" i="5"/>
  <c r="BP74" i="4"/>
  <c r="BP18" i="5"/>
  <c r="BO70" i="4"/>
  <c r="BO18" i="5"/>
  <c r="BZ305" i="3"/>
  <c r="BZ304" i="3"/>
  <c r="BZ23" i="3"/>
  <c r="BZ306" i="3" s="1"/>
  <c r="BO31" i="4"/>
  <c r="BO38" i="4" s="1"/>
  <c r="BO74" i="4"/>
  <c r="BO19" i="5"/>
  <c r="BO63" i="8"/>
  <c r="BO61" i="8"/>
  <c r="BP59" i="8" s="1"/>
  <c r="BP61" i="8" s="1"/>
  <c r="BQ59" i="8" s="1"/>
  <c r="BW312" i="3"/>
  <c r="BR20" i="3"/>
  <c r="BR34" i="2"/>
  <c r="BR61" i="4"/>
  <c r="BR50" i="2"/>
  <c r="BR51" i="2"/>
  <c r="BR52" i="2"/>
  <c r="BR490" i="3"/>
  <c r="BR9" i="2"/>
  <c r="BR8" i="2" s="1"/>
  <c r="BR482" i="3"/>
  <c r="BR480" i="3"/>
  <c r="BR481" i="3" s="1"/>
  <c r="BR484" i="3"/>
  <c r="BZ322" i="3"/>
  <c r="BZ323" i="3" s="1"/>
  <c r="BZ327" i="3"/>
  <c r="BZ326" i="3"/>
  <c r="BS198" i="3"/>
  <c r="BS18" i="3"/>
  <c r="BS64" i="3"/>
  <c r="BS479" i="3"/>
  <c r="BS315" i="3"/>
  <c r="BQ484" i="3"/>
  <c r="BQ9" i="2"/>
  <c r="BQ8" i="2" s="1"/>
  <c r="BQ490" i="3"/>
  <c r="BQ480" i="3"/>
  <c r="BQ481" i="3" s="1"/>
  <c r="BQ482" i="3"/>
  <c r="BY327" i="3"/>
  <c r="BY326" i="3"/>
  <c r="BY322" i="3"/>
  <c r="BY323" i="3" s="1"/>
  <c r="BU10" i="3"/>
  <c r="BU11" i="3"/>
  <c r="BU17" i="3"/>
  <c r="BX322" i="3"/>
  <c r="BX323" i="3" s="1"/>
  <c r="BX326" i="3"/>
  <c r="CC330" i="3"/>
  <c r="BV28" i="3"/>
  <c r="BV29" i="3"/>
  <c r="BX303" i="3"/>
  <c r="BT64" i="3"/>
  <c r="BT479" i="3"/>
  <c r="BT7" i="2"/>
  <c r="BT198" i="3"/>
  <c r="BT18" i="3"/>
  <c r="BT19" i="3"/>
  <c r="BT315" i="3"/>
  <c r="CA340" i="3"/>
  <c r="CA318" i="3"/>
  <c r="CA339" i="3"/>
  <c r="CA338" i="3"/>
  <c r="CA346" i="3"/>
  <c r="BS20" i="3" l="1"/>
  <c r="BP82" i="4"/>
  <c r="BO82" i="4"/>
  <c r="BQ62" i="4"/>
  <c r="BS8" i="2"/>
  <c r="BR62" i="4"/>
  <c r="BU19" i="3"/>
  <c r="BU64" i="3"/>
  <c r="BU7" i="2"/>
  <c r="BU20" i="3" s="1"/>
  <c r="BU198" i="3"/>
  <c r="BU479" i="3"/>
  <c r="BU18" i="3"/>
  <c r="BU315" i="3"/>
  <c r="CB455" i="3"/>
  <c r="CB303" i="3" s="1"/>
  <c r="CB319" i="3"/>
  <c r="CB320" i="3"/>
  <c r="BR26" i="4"/>
  <c r="BS61" i="4"/>
  <c r="BR10" i="4"/>
  <c r="CD337" i="3"/>
  <c r="BX464" i="3"/>
  <c r="BX460" i="3"/>
  <c r="BX461" i="3" s="1"/>
  <c r="BS34" i="2"/>
  <c r="AF11" i="7"/>
  <c r="BS50" i="2"/>
  <c r="BS51" i="2"/>
  <c r="BS52" i="2"/>
  <c r="BZ314" i="3"/>
  <c r="BZ313" i="3"/>
  <c r="BZ308" i="3"/>
  <c r="BZ31" i="3"/>
  <c r="BW46" i="3"/>
  <c r="BW31" i="3"/>
  <c r="BW308" i="3"/>
  <c r="BW313" i="3"/>
  <c r="BW314" i="3"/>
  <c r="BY308" i="3"/>
  <c r="BY313" i="3"/>
  <c r="BY31" i="3"/>
  <c r="BY314" i="3"/>
  <c r="BZ465" i="3"/>
  <c r="BZ464" i="3"/>
  <c r="BO64" i="8"/>
  <c r="BX304" i="3"/>
  <c r="BR488" i="3"/>
  <c r="BR494" i="3"/>
  <c r="BR485" i="3"/>
  <c r="BQ492" i="3"/>
  <c r="BQ491" i="3"/>
  <c r="BQ14" i="2"/>
  <c r="BQ48" i="2"/>
  <c r="BQ49" i="2" s="1"/>
  <c r="BQ35" i="2"/>
  <c r="BV64" i="3"/>
  <c r="BV18" i="3"/>
  <c r="BV198" i="3"/>
  <c r="BV7" i="2"/>
  <c r="BV19" i="3"/>
  <c r="BV479" i="3"/>
  <c r="BV315" i="3"/>
  <c r="BQ26" i="4"/>
  <c r="BQ10" i="4"/>
  <c r="BT9" i="2"/>
  <c r="BT8" i="2" s="1"/>
  <c r="BT480" i="3"/>
  <c r="BT481" i="3" s="1"/>
  <c r="BT490" i="3"/>
  <c r="BT482" i="3"/>
  <c r="BT484" i="3"/>
  <c r="BR35" i="2"/>
  <c r="BR48" i="2"/>
  <c r="BR49" i="2" s="1"/>
  <c r="BR14" i="2"/>
  <c r="CA347" i="3"/>
  <c r="CA325" i="3"/>
  <c r="CA348" i="3"/>
  <c r="CC337" i="3"/>
  <c r="BR491" i="3"/>
  <c r="BR492" i="3"/>
  <c r="BY306" i="3"/>
  <c r="BY468" i="3"/>
  <c r="BY25" i="3"/>
  <c r="BY24" i="3"/>
  <c r="BY190" i="3"/>
  <c r="BY55" i="3"/>
  <c r="BT20" i="3"/>
  <c r="BT34" i="2"/>
  <c r="BT61" i="4"/>
  <c r="BT51" i="2"/>
  <c r="BT50" i="2"/>
  <c r="BT52" i="2"/>
  <c r="BS9" i="2"/>
  <c r="BS484" i="3"/>
  <c r="BS482" i="3"/>
  <c r="BS480" i="3"/>
  <c r="BS481" i="3" s="1"/>
  <c r="BS490" i="3"/>
  <c r="BS491" i="3" s="1"/>
  <c r="CE330" i="3"/>
  <c r="CE337" i="3" s="1"/>
  <c r="CE366" i="3"/>
  <c r="CE365" i="3"/>
  <c r="CC346" i="3"/>
  <c r="CB347" i="3"/>
  <c r="CB325" i="3"/>
  <c r="CB348" i="3"/>
  <c r="CG367" i="3"/>
  <c r="CF364" i="3"/>
  <c r="BW55" i="3"/>
  <c r="BW24" i="3"/>
  <c r="BW468" i="3"/>
  <c r="BW190" i="3"/>
  <c r="BW25" i="3"/>
  <c r="BX23" i="3"/>
  <c r="BX306" i="3" s="1"/>
  <c r="BQ485" i="3"/>
  <c r="BQ494" i="3"/>
  <c r="BQ488" i="3"/>
  <c r="CA455" i="3"/>
  <c r="CA303" i="3" s="1"/>
  <c r="CA319" i="3"/>
  <c r="CA320" i="3"/>
  <c r="BX313" i="3"/>
  <c r="BX308" i="3"/>
  <c r="BX309" i="3" s="1"/>
  <c r="BZ55" i="3"/>
  <c r="BZ24" i="3"/>
  <c r="BZ25" i="3"/>
  <c r="BZ190" i="3"/>
  <c r="BZ468" i="3"/>
  <c r="BY464" i="3"/>
  <c r="BS66" i="2" l="1"/>
  <c r="CB304" i="3"/>
  <c r="CB23" i="3"/>
  <c r="CB306" i="3" s="1"/>
  <c r="CB305" i="3"/>
  <c r="BZ9" i="3"/>
  <c r="BZ27" i="3"/>
  <c r="BZ32" i="3"/>
  <c r="BZ33" i="3"/>
  <c r="BR78" i="4"/>
  <c r="BS78" i="4" s="1"/>
  <c r="BS26" i="4"/>
  <c r="BR20" i="5"/>
  <c r="BZ310" i="3"/>
  <c r="BZ309" i="3"/>
  <c r="BQ496" i="3"/>
  <c r="BQ495" i="3"/>
  <c r="CE340" i="3"/>
  <c r="CE339" i="3"/>
  <c r="CE318" i="3"/>
  <c r="CE338" i="3"/>
  <c r="CE346" i="3"/>
  <c r="BT494" i="3"/>
  <c r="BT485" i="3"/>
  <c r="BT488" i="3"/>
  <c r="BQ53" i="2"/>
  <c r="BQ54" i="2" s="1"/>
  <c r="BQ60" i="8"/>
  <c r="BQ55" i="2"/>
  <c r="BQ39" i="2"/>
  <c r="CB463" i="3"/>
  <c r="CB312" i="3" s="1"/>
  <c r="CB456" i="3"/>
  <c r="CB457" i="3"/>
  <c r="BZ469" i="3"/>
  <c r="BZ474" i="3"/>
  <c r="BZ475" i="3" s="1"/>
  <c r="BS488" i="3"/>
  <c r="BS485" i="3"/>
  <c r="BS494" i="3"/>
  <c r="BS495" i="3" s="1"/>
  <c r="BY469" i="3"/>
  <c r="BY474" i="3"/>
  <c r="BT35" i="2"/>
  <c r="BT48" i="2"/>
  <c r="BT49" i="2" s="1"/>
  <c r="BT14" i="2"/>
  <c r="BR487" i="3"/>
  <c r="BR486" i="3"/>
  <c r="BY33" i="3"/>
  <c r="BY32" i="3"/>
  <c r="BY9" i="3"/>
  <c r="BY27" i="3"/>
  <c r="BR17" i="5"/>
  <c r="BQ66" i="4"/>
  <c r="BQ17" i="5"/>
  <c r="BR495" i="3"/>
  <c r="BR496" i="3"/>
  <c r="BW474" i="3"/>
  <c r="BW469" i="3"/>
  <c r="BQ20" i="5"/>
  <c r="BQ78" i="4"/>
  <c r="BY310" i="3"/>
  <c r="BY309" i="3"/>
  <c r="BU484" i="3"/>
  <c r="BU9" i="2"/>
  <c r="BU480" i="3"/>
  <c r="BU481" i="3" s="1"/>
  <c r="BU482" i="3"/>
  <c r="BU490" i="3"/>
  <c r="CI367" i="3"/>
  <c r="CG364" i="3"/>
  <c r="CH364" i="3" s="1"/>
  <c r="CA456" i="3"/>
  <c r="CA463" i="3"/>
  <c r="CA457" i="3"/>
  <c r="CC455" i="3"/>
  <c r="BQ486" i="3"/>
  <c r="BQ487" i="3"/>
  <c r="BS48" i="2"/>
  <c r="BS49" i="2" s="1"/>
  <c r="BS75" i="2"/>
  <c r="BS14" i="2"/>
  <c r="BS35" i="2"/>
  <c r="BX55" i="3"/>
  <c r="BX468" i="3"/>
  <c r="BX469" i="3" s="1"/>
  <c r="BX190" i="3"/>
  <c r="BX24" i="3"/>
  <c r="BT492" i="3"/>
  <c r="BT491" i="3"/>
  <c r="CF365" i="3"/>
  <c r="CF366" i="3"/>
  <c r="CF330" i="3"/>
  <c r="CF337" i="3" s="1"/>
  <c r="BV482" i="3"/>
  <c r="BV490" i="3"/>
  <c r="BV480" i="3"/>
  <c r="BV481" i="3" s="1"/>
  <c r="BV484" i="3"/>
  <c r="BV9" i="2"/>
  <c r="BU61" i="4"/>
  <c r="BU34" i="2"/>
  <c r="BU50" i="2"/>
  <c r="BU51" i="2"/>
  <c r="BU52" i="2"/>
  <c r="CC338" i="3"/>
  <c r="CC318" i="3"/>
  <c r="CC319" i="3" s="1"/>
  <c r="BV20" i="3"/>
  <c r="BV34" i="2"/>
  <c r="BV61" i="4"/>
  <c r="BV51" i="2"/>
  <c r="BV52" i="2"/>
  <c r="BV50" i="2"/>
  <c r="BW309" i="3"/>
  <c r="BW310" i="3"/>
  <c r="BW33" i="3"/>
  <c r="BW44" i="3"/>
  <c r="BW39" i="3"/>
  <c r="BW9" i="3"/>
  <c r="BW27" i="3"/>
  <c r="BW32" i="3"/>
  <c r="BX31" i="3"/>
  <c r="CD339" i="3"/>
  <c r="CD318" i="3"/>
  <c r="CD338" i="3"/>
  <c r="CD340" i="3"/>
  <c r="CD346" i="3"/>
  <c r="BS62" i="4"/>
  <c r="BR25" i="4"/>
  <c r="BR11" i="4"/>
  <c r="CB327" i="3"/>
  <c r="CB322" i="3"/>
  <c r="CB323" i="3" s="1"/>
  <c r="CB326" i="3"/>
  <c r="CA312" i="3"/>
  <c r="CA327" i="3"/>
  <c r="CA322" i="3"/>
  <c r="CA323" i="3" s="1"/>
  <c r="CA326" i="3"/>
  <c r="BT62" i="4"/>
  <c r="BW48" i="3"/>
  <c r="BW47" i="3"/>
  <c r="BW49" i="3"/>
  <c r="BX46" i="3"/>
  <c r="BS10" i="4"/>
  <c r="BR66" i="4"/>
  <c r="CA23" i="3"/>
  <c r="CA304" i="3"/>
  <c r="CA305" i="3"/>
  <c r="BT10" i="4"/>
  <c r="BT66" i="4" s="1"/>
  <c r="BT26" i="4"/>
  <c r="BT78" i="4" s="1"/>
  <c r="CC342" i="3"/>
  <c r="CC343" i="3" s="1"/>
  <c r="CC347" i="3"/>
  <c r="CC325" i="3"/>
  <c r="BR53" i="2"/>
  <c r="BR54" i="2" s="1"/>
  <c r="BR39" i="2"/>
  <c r="BR60" i="8"/>
  <c r="BR63" i="8" s="1"/>
  <c r="BR64" i="8" s="1"/>
  <c r="BR55" i="2"/>
  <c r="BQ25" i="4"/>
  <c r="BQ11" i="4"/>
  <c r="BS17" i="5" l="1"/>
  <c r="BS20" i="5"/>
  <c r="BT17" i="5"/>
  <c r="BS66" i="4"/>
  <c r="AF43" i="7" s="1"/>
  <c r="BR70" i="4"/>
  <c r="BS70" i="4" s="1"/>
  <c r="AF44" i="7" s="1"/>
  <c r="BS11" i="4"/>
  <c r="BU8" i="2"/>
  <c r="BU35" i="2"/>
  <c r="BU48" i="2"/>
  <c r="BU49" i="2" s="1"/>
  <c r="BU14" i="2"/>
  <c r="BY29" i="3"/>
  <c r="BY28" i="3"/>
  <c r="BR74" i="4"/>
  <c r="BS74" i="4" s="1"/>
  <c r="AF45" i="7" s="1"/>
  <c r="BS25" i="4"/>
  <c r="BR31" i="4"/>
  <c r="BR19" i="5"/>
  <c r="BU10" i="4"/>
  <c r="BU26" i="4"/>
  <c r="BU485" i="3"/>
  <c r="BU488" i="3"/>
  <c r="BU494" i="3"/>
  <c r="BY11" i="3"/>
  <c r="BY10" i="3"/>
  <c r="BY17" i="3"/>
  <c r="BS39" i="2"/>
  <c r="BS53" i="2"/>
  <c r="BS54" i="2" s="1"/>
  <c r="BS55" i="2"/>
  <c r="CB464" i="3"/>
  <c r="CB465" i="3"/>
  <c r="BV48" i="2"/>
  <c r="BV49" i="2" s="1"/>
  <c r="BV35" i="2"/>
  <c r="BV14" i="2"/>
  <c r="BV488" i="3"/>
  <c r="BV494" i="3"/>
  <c r="BV485" i="3"/>
  <c r="BV491" i="3"/>
  <c r="BV492" i="3"/>
  <c r="CD320" i="3"/>
  <c r="CD319" i="3"/>
  <c r="CD455" i="3"/>
  <c r="CD303" i="3" s="1"/>
  <c r="BT39" i="2"/>
  <c r="BT55" i="2"/>
  <c r="BT60" i="8"/>
  <c r="BT53" i="2"/>
  <c r="BT54" i="2" s="1"/>
  <c r="BT20" i="5"/>
  <c r="CD348" i="3"/>
  <c r="CD347" i="3"/>
  <c r="CD325" i="3"/>
  <c r="BV26" i="4"/>
  <c r="BV10" i="4"/>
  <c r="CH367" i="3"/>
  <c r="CH365" i="3"/>
  <c r="CC303" i="3"/>
  <c r="CC458" i="3"/>
  <c r="CC456" i="3"/>
  <c r="BQ63" i="8"/>
  <c r="BS60" i="8"/>
  <c r="BQ61" i="8"/>
  <c r="BR59" i="8" s="1"/>
  <c r="BR61" i="8" s="1"/>
  <c r="BS61" i="8" s="1"/>
  <c r="BT59" i="8" s="1"/>
  <c r="CF318" i="3"/>
  <c r="CF340" i="3"/>
  <c r="CF339" i="3"/>
  <c r="CF338" i="3"/>
  <c r="CF346" i="3"/>
  <c r="CA465" i="3"/>
  <c r="CA464" i="3"/>
  <c r="CC463" i="3"/>
  <c r="BW475" i="3"/>
  <c r="BX474" i="3"/>
  <c r="BY475" i="3"/>
  <c r="CC322" i="3"/>
  <c r="CC323" i="3" s="1"/>
  <c r="CC326" i="3"/>
  <c r="BX39" i="3"/>
  <c r="BX44" i="3"/>
  <c r="BX27" i="3"/>
  <c r="BX28" i="3" s="1"/>
  <c r="BX32" i="3"/>
  <c r="BW29" i="3"/>
  <c r="BW28" i="3"/>
  <c r="BT486" i="3"/>
  <c r="BT487" i="3"/>
  <c r="BZ28" i="3"/>
  <c r="BZ29" i="3"/>
  <c r="CA31" i="3"/>
  <c r="CA313" i="3"/>
  <c r="CA314" i="3"/>
  <c r="CA308" i="3"/>
  <c r="BW17" i="3"/>
  <c r="BW10" i="3"/>
  <c r="BW11" i="3"/>
  <c r="BX9" i="3"/>
  <c r="CG365" i="3"/>
  <c r="CG330" i="3"/>
  <c r="CG337" i="3" s="1"/>
  <c r="CG366" i="3"/>
  <c r="BT495" i="3"/>
  <c r="BT496" i="3"/>
  <c r="BZ10" i="3"/>
  <c r="BZ17" i="3"/>
  <c r="BZ11" i="3"/>
  <c r="CJ367" i="3"/>
  <c r="CI364" i="3"/>
  <c r="BS487" i="3"/>
  <c r="BS486" i="3"/>
  <c r="CE325" i="3"/>
  <c r="CE347" i="3"/>
  <c r="CE348" i="3"/>
  <c r="BV8" i="2"/>
  <c r="BU492" i="3"/>
  <c r="BU491" i="3"/>
  <c r="BT25" i="4"/>
  <c r="BT11" i="4"/>
  <c r="CB31" i="3"/>
  <c r="CB313" i="3"/>
  <c r="CB314" i="3"/>
  <c r="CB308" i="3"/>
  <c r="BR18" i="5"/>
  <c r="BQ70" i="4"/>
  <c r="BQ18" i="5"/>
  <c r="CE455" i="3"/>
  <c r="CE303" i="3" s="1"/>
  <c r="CE319" i="3"/>
  <c r="CE320" i="3"/>
  <c r="CB25" i="3"/>
  <c r="CB190" i="3"/>
  <c r="CB55" i="3"/>
  <c r="CB468" i="3"/>
  <c r="CB24" i="3"/>
  <c r="BX47" i="3"/>
  <c r="BX49" i="3"/>
  <c r="BQ31" i="4"/>
  <c r="BQ38" i="4" s="1"/>
  <c r="BQ19" i="5"/>
  <c r="BQ74" i="4"/>
  <c r="CA306" i="3"/>
  <c r="CA190" i="3"/>
  <c r="CA55" i="3"/>
  <c r="CA24" i="3"/>
  <c r="CA468" i="3"/>
  <c r="CA25" i="3"/>
  <c r="CC23" i="3"/>
  <c r="BS19" i="5" l="1"/>
  <c r="BV62" i="4"/>
  <c r="BV25" i="4" s="1"/>
  <c r="BQ82" i="4"/>
  <c r="CH330" i="3"/>
  <c r="CD304" i="3"/>
  <c r="CD23" i="3"/>
  <c r="CD306" i="3" s="1"/>
  <c r="CD305" i="3"/>
  <c r="CF348" i="3"/>
  <c r="CF325" i="3"/>
  <c r="CF347" i="3"/>
  <c r="CD327" i="3"/>
  <c r="CD322" i="3"/>
  <c r="CD323" i="3" s="1"/>
  <c r="CD326" i="3"/>
  <c r="BV496" i="3"/>
  <c r="BV495" i="3"/>
  <c r="BY64" i="3"/>
  <c r="BY7" i="2"/>
  <c r="BY479" i="3"/>
  <c r="BY19" i="3"/>
  <c r="BY198" i="3"/>
  <c r="BY18" i="3"/>
  <c r="BY315" i="3"/>
  <c r="BT31" i="4"/>
  <c r="BT38" i="4" s="1"/>
  <c r="BT74" i="4"/>
  <c r="BV486" i="3"/>
  <c r="BV487" i="3"/>
  <c r="CH337" i="3"/>
  <c r="CC55" i="3"/>
  <c r="CC24" i="3"/>
  <c r="CC190" i="3"/>
  <c r="CC468" i="3"/>
  <c r="CC469" i="3" s="1"/>
  <c r="CG340" i="3"/>
  <c r="CG338" i="3"/>
  <c r="CG318" i="3"/>
  <c r="CG339" i="3"/>
  <c r="CG346" i="3"/>
  <c r="BU53" i="2"/>
  <c r="BU54" i="2" s="1"/>
  <c r="BU55" i="2"/>
  <c r="BU60" i="8"/>
  <c r="BU63" i="8" s="1"/>
  <c r="BU64" i="8" s="1"/>
  <c r="BU39" i="2"/>
  <c r="CA469" i="3"/>
  <c r="CA474" i="3"/>
  <c r="BX10" i="3"/>
  <c r="BX17" i="3"/>
  <c r="CF455" i="3"/>
  <c r="CF319" i="3"/>
  <c r="CF320" i="3"/>
  <c r="BU496" i="3"/>
  <c r="BU495" i="3"/>
  <c r="CE305" i="3"/>
  <c r="CE304" i="3"/>
  <c r="CE23" i="3"/>
  <c r="CE306" i="3" s="1"/>
  <c r="BX59" i="8"/>
  <c r="BT61" i="8"/>
  <c r="BU59" i="8" s="1"/>
  <c r="BV53" i="2"/>
  <c r="BV54" i="2" s="1"/>
  <c r="BV39" i="2"/>
  <c r="BV60" i="8"/>
  <c r="BV63" i="8" s="1"/>
  <c r="BV64" i="8" s="1"/>
  <c r="BV55" i="2"/>
  <c r="BU487" i="3"/>
  <c r="BU486" i="3"/>
  <c r="BU62" i="4"/>
  <c r="BQ64" i="8"/>
  <c r="BS64" i="8" s="1"/>
  <c r="BS63" i="8"/>
  <c r="BT63" i="8"/>
  <c r="BU78" i="4"/>
  <c r="BU20" i="5"/>
  <c r="BT18" i="5"/>
  <c r="BU17" i="5"/>
  <c r="BV17" i="5"/>
  <c r="BU66" i="4"/>
  <c r="AF46" i="7"/>
  <c r="BS18" i="5"/>
  <c r="CA309" i="3"/>
  <c r="CA310" i="3"/>
  <c r="BR82" i="4"/>
  <c r="CI330" i="3"/>
  <c r="CI366" i="3"/>
  <c r="CI365" i="3"/>
  <c r="CC304" i="3"/>
  <c r="CC306" i="3"/>
  <c r="BR38" i="4"/>
  <c r="BS31" i="4"/>
  <c r="BS38" i="4" s="1"/>
  <c r="CB309" i="3"/>
  <c r="CB310" i="3"/>
  <c r="CK367" i="3"/>
  <c r="CJ364" i="3"/>
  <c r="BX471" i="3"/>
  <c r="BX472" i="3" s="1"/>
  <c r="BX475" i="3"/>
  <c r="CD456" i="3"/>
  <c r="CD463" i="3"/>
  <c r="CD312" i="3" s="1"/>
  <c r="BT19" i="5"/>
  <c r="BZ7" i="2"/>
  <c r="BZ64" i="3"/>
  <c r="BZ18" i="3"/>
  <c r="BZ198" i="3"/>
  <c r="BZ479" i="3"/>
  <c r="BZ19" i="3"/>
  <c r="BZ315" i="3"/>
  <c r="CC312" i="3"/>
  <c r="CC460" i="3"/>
  <c r="CC461" i="3" s="1"/>
  <c r="CC464" i="3"/>
  <c r="BV66" i="4"/>
  <c r="CE457" i="3"/>
  <c r="CE456" i="3"/>
  <c r="CE463" i="3"/>
  <c r="CE312" i="3" s="1"/>
  <c r="CE322" i="3"/>
  <c r="CE323" i="3" s="1"/>
  <c r="CE326" i="3"/>
  <c r="CE327" i="3"/>
  <c r="BW64" i="3"/>
  <c r="BW18" i="3"/>
  <c r="BW479" i="3"/>
  <c r="BW19" i="3"/>
  <c r="BW198" i="3"/>
  <c r="BW7" i="2"/>
  <c r="BW315" i="3"/>
  <c r="CA32" i="3"/>
  <c r="CA27" i="3"/>
  <c r="CA9" i="3"/>
  <c r="CA33" i="3"/>
  <c r="CC31" i="3"/>
  <c r="CB27" i="3"/>
  <c r="CB32" i="3"/>
  <c r="CB33" i="3"/>
  <c r="CB9" i="3"/>
  <c r="BV78" i="4"/>
  <c r="BV20" i="5"/>
  <c r="CB474" i="3"/>
  <c r="CB475" i="3" s="1"/>
  <c r="CB469" i="3"/>
  <c r="BT70" i="4"/>
  <c r="CH346" i="3"/>
  <c r="BV11" i="4" l="1"/>
  <c r="BT82" i="4"/>
  <c r="CD31" i="3"/>
  <c r="CD314" i="3"/>
  <c r="CD308" i="3"/>
  <c r="CD313" i="3"/>
  <c r="BY484" i="3"/>
  <c r="BY9" i="2"/>
  <c r="BY480" i="3"/>
  <c r="BY481" i="3" s="1"/>
  <c r="BY490" i="3"/>
  <c r="BY482" i="3"/>
  <c r="CE308" i="3"/>
  <c r="CE314" i="3"/>
  <c r="CE313" i="3"/>
  <c r="CE31" i="3"/>
  <c r="BY20" i="3"/>
  <c r="BY34" i="2"/>
  <c r="BY61" i="4"/>
  <c r="BY50" i="2"/>
  <c r="BY51" i="2"/>
  <c r="BY52" i="2"/>
  <c r="CA475" i="3"/>
  <c r="CC474" i="3"/>
  <c r="BU61" i="8"/>
  <c r="BV59" i="8" s="1"/>
  <c r="BV61" i="8" s="1"/>
  <c r="BW59" i="8" s="1"/>
  <c r="BT64" i="8"/>
  <c r="CH338" i="3"/>
  <c r="CH318" i="3"/>
  <c r="BX64" i="3"/>
  <c r="BX18" i="3"/>
  <c r="BX198" i="3"/>
  <c r="BX479" i="3"/>
  <c r="BX315" i="3"/>
  <c r="BZ20" i="3"/>
  <c r="BZ61" i="4"/>
  <c r="BZ34" i="2"/>
  <c r="BZ50" i="2"/>
  <c r="BZ51" i="2"/>
  <c r="BZ52" i="2"/>
  <c r="BU25" i="4"/>
  <c r="BV19" i="5" s="1"/>
  <c r="BU11" i="4"/>
  <c r="CE190" i="3"/>
  <c r="CE468" i="3"/>
  <c r="CE25" i="3"/>
  <c r="CE24" i="3"/>
  <c r="CC32" i="3"/>
  <c r="CC27" i="3"/>
  <c r="CC28" i="3" s="1"/>
  <c r="CA28" i="3"/>
  <c r="CA29" i="3"/>
  <c r="CB10" i="3"/>
  <c r="CB11" i="3"/>
  <c r="CB17" i="3"/>
  <c r="CB29" i="3"/>
  <c r="CB28" i="3"/>
  <c r="CE465" i="3"/>
  <c r="CE464" i="3"/>
  <c r="CA17" i="3"/>
  <c r="CA10" i="3"/>
  <c r="CA11" i="3"/>
  <c r="CC9" i="3"/>
  <c r="CD464" i="3"/>
  <c r="BW20" i="3"/>
  <c r="BW34" i="2"/>
  <c r="BW61" i="4"/>
  <c r="BW51" i="2"/>
  <c r="BW50" i="2"/>
  <c r="BW52" i="2"/>
  <c r="BX7" i="2"/>
  <c r="CF327" i="3"/>
  <c r="CF322" i="3"/>
  <c r="CF323" i="3" s="1"/>
  <c r="CF326" i="3"/>
  <c r="CG325" i="3"/>
  <c r="CG347" i="3"/>
  <c r="CG348" i="3"/>
  <c r="BV31" i="4"/>
  <c r="BV38" i="4" s="1"/>
  <c r="CC313" i="3"/>
  <c r="CC308" i="3"/>
  <c r="CC309" i="3" s="1"/>
  <c r="CJ366" i="3"/>
  <c r="CJ330" i="3"/>
  <c r="CJ337" i="3" s="1"/>
  <c r="CJ365" i="3"/>
  <c r="CI337" i="3"/>
  <c r="CH325" i="3"/>
  <c r="CH342" i="3"/>
  <c r="CH343" i="3" s="1"/>
  <c r="CH347" i="3"/>
  <c r="BW490" i="3"/>
  <c r="BW484" i="3"/>
  <c r="BW9" i="2"/>
  <c r="BW8" i="2" s="1"/>
  <c r="BW482" i="3"/>
  <c r="BW480" i="3"/>
  <c r="BW481" i="3" s="1"/>
  <c r="CL367" i="3"/>
  <c r="CK364" i="3"/>
  <c r="CG319" i="3"/>
  <c r="CG455" i="3"/>
  <c r="CG320" i="3"/>
  <c r="BZ9" i="2"/>
  <c r="BZ8" i="2" s="1"/>
  <c r="BZ480" i="3"/>
  <c r="BZ481" i="3" s="1"/>
  <c r="BZ484" i="3"/>
  <c r="BZ482" i="3"/>
  <c r="BZ490" i="3"/>
  <c r="CD190" i="3"/>
  <c r="CD24" i="3"/>
  <c r="CD468" i="3"/>
  <c r="CD25" i="3"/>
  <c r="CF303" i="3"/>
  <c r="CF456" i="3"/>
  <c r="CF463" i="3"/>
  <c r="CF312" i="3" s="1"/>
  <c r="CF457" i="3"/>
  <c r="CF308" i="3" l="1"/>
  <c r="CF314" i="3"/>
  <c r="CF313" i="3"/>
  <c r="CF31" i="3"/>
  <c r="BX20" i="3"/>
  <c r="BX34" i="2"/>
  <c r="BX50" i="2"/>
  <c r="BX51" i="2"/>
  <c r="BX52" i="2"/>
  <c r="BW485" i="3"/>
  <c r="BW494" i="3"/>
  <c r="BW488" i="3"/>
  <c r="CH463" i="3"/>
  <c r="CE27" i="3"/>
  <c r="CE9" i="3"/>
  <c r="CE32" i="3"/>
  <c r="CE33" i="3"/>
  <c r="CH455" i="3"/>
  <c r="CG463" i="3"/>
  <c r="CG312" i="3" s="1"/>
  <c r="CG457" i="3"/>
  <c r="CG456" i="3"/>
  <c r="CK330" i="3"/>
  <c r="CK337" i="3" s="1"/>
  <c r="CK365" i="3"/>
  <c r="BZ491" i="3"/>
  <c r="BZ492" i="3"/>
  <c r="BZ485" i="3"/>
  <c r="BZ488" i="3"/>
  <c r="BZ494" i="3"/>
  <c r="CH326" i="3"/>
  <c r="CH322" i="3"/>
  <c r="CH323" i="3" s="1"/>
  <c r="BZ10" i="4"/>
  <c r="BZ26" i="4"/>
  <c r="CJ318" i="3"/>
  <c r="CJ338" i="3"/>
  <c r="CJ339" i="3"/>
  <c r="CJ340" i="3"/>
  <c r="CJ346" i="3"/>
  <c r="CG322" i="3"/>
  <c r="CG323" i="3" s="1"/>
  <c r="CG326" i="3"/>
  <c r="CG327" i="3"/>
  <c r="CE469" i="3"/>
  <c r="CE474" i="3"/>
  <c r="CE475" i="3" s="1"/>
  <c r="CE309" i="3"/>
  <c r="CE310" i="3"/>
  <c r="CC17" i="3"/>
  <c r="CC10" i="3"/>
  <c r="BZ48" i="2"/>
  <c r="BZ49" i="2" s="1"/>
  <c r="BZ35" i="2"/>
  <c r="BZ14" i="2"/>
  <c r="CI338" i="3"/>
  <c r="CI318" i="3"/>
  <c r="CI340" i="3"/>
  <c r="CI339" i="3"/>
  <c r="CI346" i="3"/>
  <c r="CC475" i="3"/>
  <c r="CC471" i="3"/>
  <c r="CC472" i="3" s="1"/>
  <c r="CG303" i="3"/>
  <c r="BX490" i="3"/>
  <c r="BX491" i="3" s="1"/>
  <c r="BX480" i="3"/>
  <c r="BX481" i="3" s="1"/>
  <c r="BX482" i="3"/>
  <c r="BX484" i="3"/>
  <c r="BX9" i="2"/>
  <c r="CA64" i="3"/>
  <c r="CA7" i="2"/>
  <c r="CA198" i="3"/>
  <c r="CA18" i="3"/>
  <c r="CA19" i="3"/>
  <c r="CA479" i="3"/>
  <c r="CA315" i="3"/>
  <c r="BU70" i="4"/>
  <c r="BV18" i="5"/>
  <c r="BU18" i="5"/>
  <c r="BY491" i="3"/>
  <c r="BY492" i="3"/>
  <c r="BY35" i="2"/>
  <c r="BY48" i="2"/>
  <c r="BY49" i="2" s="1"/>
  <c r="BY14" i="2"/>
  <c r="BY485" i="3"/>
  <c r="BY488" i="3"/>
  <c r="BY494" i="3"/>
  <c r="CF305" i="3"/>
  <c r="CF304" i="3"/>
  <c r="CF23" i="3"/>
  <c r="CF306" i="3" s="1"/>
  <c r="CK366" i="3"/>
  <c r="CB64" i="3"/>
  <c r="CB18" i="3"/>
  <c r="CB19" i="3"/>
  <c r="CB7" i="2"/>
  <c r="CB479" i="3"/>
  <c r="CB198" i="3"/>
  <c r="CB315" i="3"/>
  <c r="BY26" i="4"/>
  <c r="BY10" i="4"/>
  <c r="BU31" i="4"/>
  <c r="BU38" i="4" s="1"/>
  <c r="BU74" i="4"/>
  <c r="BU19" i="5"/>
  <c r="CH319" i="3"/>
  <c r="CH303" i="3"/>
  <c r="CN367" i="3"/>
  <c r="CL364" i="3"/>
  <c r="CM364" i="3" s="1"/>
  <c r="CD474" i="3"/>
  <c r="CD469" i="3"/>
  <c r="BY8" i="2"/>
  <c r="BX61" i="4"/>
  <c r="BW26" i="4"/>
  <c r="BW10" i="4"/>
  <c r="CD310" i="3"/>
  <c r="CD309" i="3"/>
  <c r="BW62" i="4"/>
  <c r="BX8" i="2"/>
  <c r="BV70" i="4"/>
  <c r="CF464" i="3"/>
  <c r="CF465" i="3"/>
  <c r="BW35" i="2"/>
  <c r="BW48" i="2"/>
  <c r="BW49" i="2" s="1"/>
  <c r="BW14" i="2"/>
  <c r="BW491" i="3"/>
  <c r="BW492" i="3"/>
  <c r="BV74" i="4"/>
  <c r="CD33" i="3"/>
  <c r="CD9" i="3"/>
  <c r="CD27" i="3"/>
  <c r="CD32" i="3"/>
  <c r="BU82" i="4" l="1"/>
  <c r="BY66" i="4"/>
  <c r="BY78" i="4"/>
  <c r="BV82" i="4"/>
  <c r="CM365" i="3"/>
  <c r="CM367" i="3"/>
  <c r="BZ496" i="3"/>
  <c r="BZ495" i="3"/>
  <c r="CH460" i="3"/>
  <c r="CH461" i="3" s="1"/>
  <c r="CH464" i="3"/>
  <c r="CI348" i="3"/>
  <c r="CI347" i="3"/>
  <c r="CI325" i="3"/>
  <c r="BZ486" i="3"/>
  <c r="BZ487" i="3"/>
  <c r="BW495" i="3"/>
  <c r="BW496" i="3"/>
  <c r="CG31" i="3"/>
  <c r="CG308" i="3"/>
  <c r="CG313" i="3"/>
  <c r="CG314" i="3"/>
  <c r="BW487" i="3"/>
  <c r="BW486" i="3"/>
  <c r="CA490" i="3"/>
  <c r="CA9" i="2"/>
  <c r="CA480" i="3"/>
  <c r="CA481" i="3" s="1"/>
  <c r="CA482" i="3"/>
  <c r="CA484" i="3"/>
  <c r="CF190" i="3"/>
  <c r="CF24" i="3"/>
  <c r="CF468" i="3"/>
  <c r="CF25" i="3"/>
  <c r="CI320" i="3"/>
  <c r="CI319" i="3"/>
  <c r="CI455" i="3"/>
  <c r="CJ347" i="3"/>
  <c r="CJ325" i="3"/>
  <c r="CJ348" i="3"/>
  <c r="CK339" i="3"/>
  <c r="CK338" i="3"/>
  <c r="CK318" i="3"/>
  <c r="CK340" i="3"/>
  <c r="CK346" i="3"/>
  <c r="BX66" i="2"/>
  <c r="BX26" i="4"/>
  <c r="BY20" i="5" s="1"/>
  <c r="BW78" i="4"/>
  <c r="BX78" i="4" s="1"/>
  <c r="BW20" i="5"/>
  <c r="BX20" i="5" s="1"/>
  <c r="CB482" i="3"/>
  <c r="CB484" i="3"/>
  <c r="CB480" i="3"/>
  <c r="CB481" i="3" s="1"/>
  <c r="CB490" i="3"/>
  <c r="CB9" i="2"/>
  <c r="BY496" i="3"/>
  <c r="BY495" i="3"/>
  <c r="CA20" i="3"/>
  <c r="CA34" i="2"/>
  <c r="CA61" i="4"/>
  <c r="CA51" i="2"/>
  <c r="CA52" i="2"/>
  <c r="CA50" i="2"/>
  <c r="CC7" i="2"/>
  <c r="CB20" i="3"/>
  <c r="CB34" i="2"/>
  <c r="CB61" i="4"/>
  <c r="CB51" i="2"/>
  <c r="CB50" i="2"/>
  <c r="CB52" i="2"/>
  <c r="CJ320" i="3"/>
  <c r="CJ319" i="3"/>
  <c r="CJ455" i="3"/>
  <c r="BY62" i="4"/>
  <c r="BY486" i="3"/>
  <c r="BY487" i="3"/>
  <c r="BX75" i="2"/>
  <c r="BX48" i="2"/>
  <c r="BX49" i="2" s="1"/>
  <c r="BX35" i="2"/>
  <c r="BX14" i="2"/>
  <c r="CG464" i="3"/>
  <c r="CG465" i="3"/>
  <c r="BZ62" i="4"/>
  <c r="CD29" i="3"/>
  <c r="CD28" i="3"/>
  <c r="BY60" i="8"/>
  <c r="BY39" i="2"/>
  <c r="BY53" i="2"/>
  <c r="BY54" i="2" s="1"/>
  <c r="BY55" i="2"/>
  <c r="BX494" i="3"/>
  <c r="BX495" i="3" s="1"/>
  <c r="BX488" i="3"/>
  <c r="BX485" i="3"/>
  <c r="CC18" i="3"/>
  <c r="CC198" i="3"/>
  <c r="CC64" i="3"/>
  <c r="CC479" i="3"/>
  <c r="CC315" i="3"/>
  <c r="BZ78" i="4"/>
  <c r="BZ20" i="5"/>
  <c r="CH458" i="3"/>
  <c r="CH456" i="3"/>
  <c r="BX62" i="4"/>
  <c r="BW25" i="4"/>
  <c r="BW11" i="4"/>
  <c r="BW66" i="4"/>
  <c r="BX10" i="4"/>
  <c r="BY17" i="5" s="1"/>
  <c r="BW17" i="5"/>
  <c r="BX17" i="5" s="1"/>
  <c r="BZ53" i="2"/>
  <c r="BZ54" i="2" s="1"/>
  <c r="BZ55" i="2"/>
  <c r="BZ39" i="2"/>
  <c r="BZ60" i="8"/>
  <c r="BZ63" i="8" s="1"/>
  <c r="BZ64" i="8" s="1"/>
  <c r="CD11" i="3"/>
  <c r="CD10" i="3"/>
  <c r="CD17" i="3"/>
  <c r="CD475" i="3"/>
  <c r="BZ17" i="5"/>
  <c r="BZ66" i="4"/>
  <c r="CF32" i="3"/>
  <c r="CF9" i="3"/>
  <c r="CF27" i="3"/>
  <c r="CF33" i="3"/>
  <c r="CL330" i="3"/>
  <c r="CL337" i="3" s="1"/>
  <c r="CL366" i="3"/>
  <c r="CL365" i="3"/>
  <c r="CH312" i="3"/>
  <c r="BW60" i="8"/>
  <c r="BW53" i="2"/>
  <c r="BW54" i="2" s="1"/>
  <c r="BW39" i="2"/>
  <c r="BW55" i="2"/>
  <c r="CO367" i="3"/>
  <c r="CN364" i="3"/>
  <c r="CE11" i="3"/>
  <c r="CE17" i="3"/>
  <c r="CE10" i="3"/>
  <c r="CH304" i="3"/>
  <c r="CG305" i="3"/>
  <c r="CG304" i="3"/>
  <c r="CG23" i="3"/>
  <c r="CG306" i="3" s="1"/>
  <c r="CE28" i="3"/>
  <c r="CE29" i="3"/>
  <c r="CF309" i="3"/>
  <c r="CF310" i="3"/>
  <c r="CJ457" i="3" l="1"/>
  <c r="CJ463" i="3"/>
  <c r="CJ456" i="3"/>
  <c r="CA488" i="3"/>
  <c r="CA485" i="3"/>
  <c r="CA494" i="3"/>
  <c r="BY63" i="8"/>
  <c r="CA10" i="4"/>
  <c r="CA26" i="4"/>
  <c r="CK320" i="3"/>
  <c r="CK455" i="3"/>
  <c r="CK319" i="3"/>
  <c r="CI327" i="3"/>
  <c r="CI326" i="3"/>
  <c r="CI322" i="3"/>
  <c r="CI323" i="3" s="1"/>
  <c r="CA35" i="2"/>
  <c r="CA48" i="2"/>
  <c r="CA49" i="2" s="1"/>
  <c r="CA14" i="2"/>
  <c r="BW63" i="8"/>
  <c r="BX60" i="8"/>
  <c r="BW61" i="8"/>
  <c r="BX61" i="8" s="1"/>
  <c r="BY59" i="8" s="1"/>
  <c r="BZ25" i="4"/>
  <c r="BZ11" i="4"/>
  <c r="CA491" i="3"/>
  <c r="CA492" i="3"/>
  <c r="CC490" i="3"/>
  <c r="CC491" i="3" s="1"/>
  <c r="CC484" i="3"/>
  <c r="CC9" i="2"/>
  <c r="CC480" i="3"/>
  <c r="CC481" i="3" s="1"/>
  <c r="CC482" i="3"/>
  <c r="CJ322" i="3"/>
  <c r="CJ323" i="3" s="1"/>
  <c r="CJ326" i="3"/>
  <c r="CJ327" i="3"/>
  <c r="CL318" i="3"/>
  <c r="CL339" i="3"/>
  <c r="CL340" i="3"/>
  <c r="CL338" i="3"/>
  <c r="CL346" i="3"/>
  <c r="CB35" i="2"/>
  <c r="CB48" i="2"/>
  <c r="CB49" i="2" s="1"/>
  <c r="CB14" i="2"/>
  <c r="CH308" i="3"/>
  <c r="CH309" i="3" s="1"/>
  <c r="CH313" i="3"/>
  <c r="BX39" i="2"/>
  <c r="BX55" i="2"/>
  <c r="BX53" i="2"/>
  <c r="BX54" i="2" s="1"/>
  <c r="CB10" i="4"/>
  <c r="CC61" i="4"/>
  <c r="CB26" i="4"/>
  <c r="CB491" i="3"/>
  <c r="CB492" i="3"/>
  <c r="CI303" i="3"/>
  <c r="CI463" i="3"/>
  <c r="CI312" i="3" s="1"/>
  <c r="CI456" i="3"/>
  <c r="CB8" i="2"/>
  <c r="CG190" i="3"/>
  <c r="CG468" i="3"/>
  <c r="CG24" i="3"/>
  <c r="CG25" i="3"/>
  <c r="CE64" i="3"/>
  <c r="CE19" i="3"/>
  <c r="CE7" i="2"/>
  <c r="CE198" i="3"/>
  <c r="CE18" i="3"/>
  <c r="CE479" i="3"/>
  <c r="CE315" i="3"/>
  <c r="CF28" i="3"/>
  <c r="CF29" i="3"/>
  <c r="BX486" i="3"/>
  <c r="BX487" i="3"/>
  <c r="CB485" i="3"/>
  <c r="CB488" i="3"/>
  <c r="CB494" i="3"/>
  <c r="CF10" i="3"/>
  <c r="CF17" i="3"/>
  <c r="CF11" i="3"/>
  <c r="CN330" i="3"/>
  <c r="CN366" i="3"/>
  <c r="CN365" i="3"/>
  <c r="CH23" i="3"/>
  <c r="CG309" i="3"/>
  <c r="CG310" i="3"/>
  <c r="CP367" i="3"/>
  <c r="CO364" i="3"/>
  <c r="CC20" i="3"/>
  <c r="CC34" i="2"/>
  <c r="CC50" i="2"/>
  <c r="CC51" i="2"/>
  <c r="CC52" i="2"/>
  <c r="CG33" i="3"/>
  <c r="CG27" i="3"/>
  <c r="CG9" i="3"/>
  <c r="CG32" i="3"/>
  <c r="CH31" i="3"/>
  <c r="CD64" i="3"/>
  <c r="CD18" i="3"/>
  <c r="CD19" i="3"/>
  <c r="CD7" i="2"/>
  <c r="CD198" i="3"/>
  <c r="CD479" i="3"/>
  <c r="CD315" i="3"/>
  <c r="CF469" i="3"/>
  <c r="CF474" i="3"/>
  <c r="BX11" i="4"/>
  <c r="BW70" i="4"/>
  <c r="BX70" i="4" s="1"/>
  <c r="BW18" i="5"/>
  <c r="BX18" i="5" s="1"/>
  <c r="CA8" i="2"/>
  <c r="BX66" i="4"/>
  <c r="BX25" i="4"/>
  <c r="BW31" i="4"/>
  <c r="BW74" i="4"/>
  <c r="BX74" i="4" s="1"/>
  <c r="BW19" i="5"/>
  <c r="BX19" i="5" s="1"/>
  <c r="BY25" i="4"/>
  <c r="BY11" i="4"/>
  <c r="CJ303" i="3"/>
  <c r="CK325" i="3"/>
  <c r="CK347" i="3"/>
  <c r="CK348" i="3"/>
  <c r="CM330" i="3"/>
  <c r="CM337" i="3" s="1"/>
  <c r="CB62" i="4" l="1"/>
  <c r="CB25" i="4" s="1"/>
  <c r="CI314" i="3"/>
  <c r="CI313" i="3"/>
  <c r="CI308" i="3"/>
  <c r="CI31" i="3"/>
  <c r="CC48" i="2"/>
  <c r="CC49" i="2" s="1"/>
  <c r="CC35" i="2"/>
  <c r="CC75" i="2"/>
  <c r="CC14" i="2"/>
  <c r="CC66" i="2"/>
  <c r="CQ367" i="3"/>
  <c r="CP364" i="3"/>
  <c r="CB487" i="3"/>
  <c r="CB486" i="3"/>
  <c r="BW82" i="4"/>
  <c r="CC485" i="3"/>
  <c r="CC494" i="3"/>
  <c r="CC495" i="3" s="1"/>
  <c r="CC488" i="3"/>
  <c r="CK327" i="3"/>
  <c r="CK322" i="3"/>
  <c r="CK323" i="3" s="1"/>
  <c r="CK326" i="3"/>
  <c r="BW38" i="4"/>
  <c r="BX31" i="4"/>
  <c r="BX38" i="4" s="1"/>
  <c r="CI464" i="3"/>
  <c r="CB39" i="2"/>
  <c r="CB55" i="2"/>
  <c r="CB53" i="2"/>
  <c r="CB54" i="2" s="1"/>
  <c r="CB60" i="8"/>
  <c r="CB63" i="8" s="1"/>
  <c r="CB64" i="8" s="1"/>
  <c r="CH32" i="3"/>
  <c r="CH27" i="3"/>
  <c r="CH28" i="3" s="1"/>
  <c r="CH190" i="3"/>
  <c r="CH24" i="3"/>
  <c r="CH468" i="3"/>
  <c r="CH469" i="3" s="1"/>
  <c r="CH306" i="3"/>
  <c r="CM318" i="3"/>
  <c r="CM338" i="3"/>
  <c r="CA62" i="4"/>
  <c r="CC8" i="2"/>
  <c r="CI305" i="3"/>
  <c r="CI304" i="3"/>
  <c r="CI23" i="3"/>
  <c r="CK303" i="3"/>
  <c r="CK305" i="3" s="1"/>
  <c r="CK457" i="3"/>
  <c r="CK456" i="3"/>
  <c r="CK463" i="3"/>
  <c r="CK312" i="3" s="1"/>
  <c r="CF64" i="3"/>
  <c r="CF7" i="2"/>
  <c r="CF198" i="3"/>
  <c r="CF18" i="3"/>
  <c r="CF19" i="3"/>
  <c r="CF479" i="3"/>
  <c r="CF315" i="3"/>
  <c r="CJ304" i="3"/>
  <c r="CJ305" i="3"/>
  <c r="CJ23" i="3"/>
  <c r="CG11" i="3"/>
  <c r="CG17" i="3"/>
  <c r="CG10" i="3"/>
  <c r="CH9" i="3"/>
  <c r="CG29" i="3"/>
  <c r="CG28" i="3"/>
  <c r="CN337" i="3"/>
  <c r="CE490" i="3"/>
  <c r="CE9" i="2"/>
  <c r="CE480" i="3"/>
  <c r="CE481" i="3" s="1"/>
  <c r="CE484" i="3"/>
  <c r="CE482" i="3"/>
  <c r="CM346" i="3"/>
  <c r="CL347" i="3"/>
  <c r="CL348" i="3"/>
  <c r="CL325" i="3"/>
  <c r="CA20" i="5"/>
  <c r="CA78" i="4"/>
  <c r="CB78" i="4"/>
  <c r="CC78" i="4" s="1"/>
  <c r="CB20" i="5"/>
  <c r="CC26" i="4"/>
  <c r="BZ70" i="4"/>
  <c r="CB17" i="5"/>
  <c r="CA66" i="4"/>
  <c r="CA17" i="5"/>
  <c r="BZ74" i="4"/>
  <c r="BZ31" i="4"/>
  <c r="BZ38" i="4" s="1"/>
  <c r="BZ19" i="5"/>
  <c r="BY70" i="4"/>
  <c r="BZ18" i="5"/>
  <c r="BY18" i="5"/>
  <c r="CE20" i="3"/>
  <c r="CE61" i="4"/>
  <c r="CE34" i="2"/>
  <c r="CE50" i="2"/>
  <c r="CE51" i="2"/>
  <c r="CE52" i="2"/>
  <c r="CC10" i="4"/>
  <c r="CB66" i="4"/>
  <c r="BY61" i="8"/>
  <c r="BZ59" i="8" s="1"/>
  <c r="BZ61" i="8" s="1"/>
  <c r="CA59" i="8" s="1"/>
  <c r="CC59" i="8"/>
  <c r="BY64" i="8"/>
  <c r="CF475" i="3"/>
  <c r="CL319" i="3"/>
  <c r="CL320" i="3"/>
  <c r="CL455" i="3"/>
  <c r="CL303" i="3" s="1"/>
  <c r="CA495" i="3"/>
  <c r="CA496" i="3"/>
  <c r="BW64" i="8"/>
  <c r="BX64" i="8" s="1"/>
  <c r="BX63" i="8"/>
  <c r="CA486" i="3"/>
  <c r="CA487" i="3"/>
  <c r="BY31" i="4"/>
  <c r="BY38" i="4" s="1"/>
  <c r="BY74" i="4"/>
  <c r="CA55" i="2"/>
  <c r="CA39" i="2"/>
  <c r="CA60" i="8"/>
  <c r="CA53" i="2"/>
  <c r="CA54" i="2" s="1"/>
  <c r="BY19" i="5"/>
  <c r="CB495" i="3"/>
  <c r="CB496" i="3"/>
  <c r="CG474" i="3"/>
  <c r="CG475" i="3" s="1"/>
  <c r="CG469" i="3"/>
  <c r="CJ312" i="3"/>
  <c r="CJ465" i="3"/>
  <c r="CJ464" i="3"/>
  <c r="CD9" i="2"/>
  <c r="CD8" i="2" s="1"/>
  <c r="CD490" i="3"/>
  <c r="CD484" i="3"/>
  <c r="CD482" i="3"/>
  <c r="CD480" i="3"/>
  <c r="CD481" i="3" s="1"/>
  <c r="CD20" i="3"/>
  <c r="CD34" i="2"/>
  <c r="CD61" i="4"/>
  <c r="CD51" i="2"/>
  <c r="CD50" i="2"/>
  <c r="CD52" i="2"/>
  <c r="CO366" i="3"/>
  <c r="CO330" i="3"/>
  <c r="CO337" i="3" s="1"/>
  <c r="CO365" i="3"/>
  <c r="CB11" i="4" l="1"/>
  <c r="CC11" i="4" s="1"/>
  <c r="CC62" i="4"/>
  <c r="CC20" i="5"/>
  <c r="BY82" i="4"/>
  <c r="CA61" i="8"/>
  <c r="CB59" i="8" s="1"/>
  <c r="CB61" i="8" s="1"/>
  <c r="CC61" i="8" s="1"/>
  <c r="CD59" i="8" s="1"/>
  <c r="CH59" i="8" s="1"/>
  <c r="CK314" i="3"/>
  <c r="CK31" i="3"/>
  <c r="CK308" i="3"/>
  <c r="CK313" i="3"/>
  <c r="CI190" i="3"/>
  <c r="CI468" i="3"/>
  <c r="CI24" i="3"/>
  <c r="CI25" i="3"/>
  <c r="CM325" i="3"/>
  <c r="CM347" i="3"/>
  <c r="CM342" i="3"/>
  <c r="CM343" i="3" s="1"/>
  <c r="CP365" i="3"/>
  <c r="CP366" i="3"/>
  <c r="CP330" i="3"/>
  <c r="CP337" i="3" s="1"/>
  <c r="CJ308" i="3"/>
  <c r="CJ313" i="3"/>
  <c r="CJ314" i="3"/>
  <c r="CJ31" i="3"/>
  <c r="CS367" i="3"/>
  <c r="CQ364" i="3"/>
  <c r="CJ468" i="3"/>
  <c r="CJ25" i="3"/>
  <c r="CJ190" i="3"/>
  <c r="CJ24" i="3"/>
  <c r="CE494" i="3"/>
  <c r="CE485" i="3"/>
  <c r="CE488" i="3"/>
  <c r="CC66" i="4"/>
  <c r="CC17" i="5"/>
  <c r="CA25" i="4"/>
  <c r="CB74" i="4" s="1"/>
  <c r="CC74" i="4" s="1"/>
  <c r="CA11" i="4"/>
  <c r="CC53" i="2"/>
  <c r="CC54" i="2" s="1"/>
  <c r="CC55" i="2"/>
  <c r="CC39" i="2"/>
  <c r="CE35" i="2"/>
  <c r="CE48" i="2"/>
  <c r="CE49" i="2" s="1"/>
  <c r="CE14" i="2"/>
  <c r="CF484" i="3"/>
  <c r="CF490" i="3"/>
  <c r="CF9" i="2"/>
  <c r="CF8" i="2" s="1"/>
  <c r="CF480" i="3"/>
  <c r="CF481" i="3" s="1"/>
  <c r="CF482" i="3"/>
  <c r="CD62" i="4"/>
  <c r="CE492" i="3"/>
  <c r="CE491" i="3"/>
  <c r="CM319" i="3"/>
  <c r="CL305" i="3"/>
  <c r="CL304" i="3"/>
  <c r="CL23" i="3"/>
  <c r="CL306" i="3" s="1"/>
  <c r="BZ82" i="4"/>
  <c r="CN339" i="3"/>
  <c r="CN318" i="3"/>
  <c r="CN340" i="3"/>
  <c r="CN338" i="3"/>
  <c r="CN346" i="3"/>
  <c r="CF20" i="3"/>
  <c r="CF34" i="2"/>
  <c r="CF61" i="4"/>
  <c r="CF51" i="2"/>
  <c r="CF50" i="2"/>
  <c r="CF52" i="2"/>
  <c r="CL456" i="3"/>
  <c r="CL463" i="3"/>
  <c r="CL312" i="3" s="1"/>
  <c r="CL457" i="3"/>
  <c r="CM455" i="3"/>
  <c r="CM303" i="3" s="1"/>
  <c r="CD485" i="3"/>
  <c r="CD488" i="3"/>
  <c r="CD494" i="3"/>
  <c r="CA63" i="8"/>
  <c r="CC60" i="8"/>
  <c r="CE8" i="2"/>
  <c r="CE62" i="4" s="1"/>
  <c r="CB31" i="4"/>
  <c r="CC25" i="4"/>
  <c r="CH17" i="3"/>
  <c r="CH10" i="3"/>
  <c r="CK464" i="3"/>
  <c r="CK465" i="3"/>
  <c r="CD35" i="2"/>
  <c r="CD48" i="2"/>
  <c r="CD49" i="2" s="1"/>
  <c r="CD14" i="2"/>
  <c r="CE10" i="4"/>
  <c r="CE26" i="4"/>
  <c r="CI33" i="3"/>
  <c r="CI32" i="3"/>
  <c r="CI9" i="3"/>
  <c r="CI27" i="3"/>
  <c r="CO340" i="3"/>
  <c r="CO338" i="3"/>
  <c r="CO318" i="3"/>
  <c r="CO339" i="3"/>
  <c r="CO346" i="3"/>
  <c r="CG64" i="3"/>
  <c r="CG19" i="3"/>
  <c r="CG18" i="3"/>
  <c r="CG7" i="2"/>
  <c r="CG479" i="3"/>
  <c r="CG198" i="3"/>
  <c r="CG315" i="3"/>
  <c r="CC487" i="3"/>
  <c r="CC486" i="3"/>
  <c r="CI309" i="3"/>
  <c r="CI310" i="3"/>
  <c r="CD26" i="4"/>
  <c r="CD78" i="4" s="1"/>
  <c r="CD10" i="4"/>
  <c r="CD66" i="4" s="1"/>
  <c r="CL326" i="3"/>
  <c r="CL322" i="3"/>
  <c r="CL323" i="3" s="1"/>
  <c r="CL327" i="3"/>
  <c r="CK304" i="3"/>
  <c r="CK23" i="3"/>
  <c r="CK306" i="3" s="1"/>
  <c r="CD492" i="3"/>
  <c r="CD491" i="3"/>
  <c r="CH474" i="3"/>
  <c r="CJ306" i="3"/>
  <c r="CI306" i="3"/>
  <c r="CB19" i="5" l="1"/>
  <c r="CB70" i="4"/>
  <c r="CC70" i="4" s="1"/>
  <c r="CF62" i="4"/>
  <c r="CF25" i="4" s="1"/>
  <c r="CD17" i="5"/>
  <c r="CM304" i="3"/>
  <c r="CF485" i="3"/>
  <c r="CF488" i="3"/>
  <c r="CF494" i="3"/>
  <c r="CP338" i="3"/>
  <c r="CP318" i="3"/>
  <c r="CP339" i="3"/>
  <c r="CP340" i="3"/>
  <c r="CP346" i="3"/>
  <c r="CN320" i="3"/>
  <c r="CN455" i="3"/>
  <c r="CN319" i="3"/>
  <c r="CH475" i="3"/>
  <c r="CH471" i="3"/>
  <c r="CH472" i="3" s="1"/>
  <c r="CH64" i="3"/>
  <c r="CH198" i="3"/>
  <c r="CH18" i="3"/>
  <c r="CH479" i="3"/>
  <c r="CH315" i="3"/>
  <c r="CC31" i="4"/>
  <c r="CC38" i="4" s="1"/>
  <c r="CB38" i="4"/>
  <c r="CL24" i="3"/>
  <c r="CL468" i="3"/>
  <c r="CL25" i="3"/>
  <c r="CL190" i="3"/>
  <c r="CE53" i="2"/>
  <c r="CE54" i="2" s="1"/>
  <c r="CE55" i="2"/>
  <c r="CE60" i="8"/>
  <c r="CE63" i="8" s="1"/>
  <c r="CE64" i="8" s="1"/>
  <c r="CE39" i="2"/>
  <c r="CE486" i="3"/>
  <c r="CE487" i="3"/>
  <c r="CI29" i="3"/>
  <c r="CI28" i="3"/>
  <c r="CE495" i="3"/>
  <c r="CE496" i="3"/>
  <c r="CM326" i="3"/>
  <c r="CM322" i="3"/>
  <c r="CM323" i="3" s="1"/>
  <c r="CF26" i="4"/>
  <c r="CF10" i="4"/>
  <c r="CF17" i="5" s="1"/>
  <c r="CK190" i="3"/>
  <c r="CK24" i="3"/>
  <c r="CK468" i="3"/>
  <c r="CK25" i="3"/>
  <c r="CA64" i="8"/>
  <c r="CC64" i="8" s="1"/>
  <c r="CC63" i="8"/>
  <c r="CE78" i="4"/>
  <c r="CE20" i="5"/>
  <c r="CD496" i="3"/>
  <c r="CD495" i="3"/>
  <c r="CM23" i="3"/>
  <c r="CE25" i="4"/>
  <c r="CE11" i="4"/>
  <c r="CG490" i="3"/>
  <c r="CG484" i="3"/>
  <c r="CG9" i="2"/>
  <c r="CG8" i="2" s="1"/>
  <c r="CG482" i="3"/>
  <c r="CG480" i="3"/>
  <c r="CG481" i="3" s="1"/>
  <c r="CE17" i="5"/>
  <c r="CE66" i="4"/>
  <c r="CD20" i="5"/>
  <c r="CJ469" i="3"/>
  <c r="CJ474" i="3"/>
  <c r="CJ475" i="3" s="1"/>
  <c r="CM458" i="3"/>
  <c r="CM456" i="3"/>
  <c r="CR364" i="3"/>
  <c r="CQ365" i="3"/>
  <c r="CQ330" i="3"/>
  <c r="CQ366" i="3"/>
  <c r="CI469" i="3"/>
  <c r="CI474" i="3"/>
  <c r="CO319" i="3"/>
  <c r="CO320" i="3"/>
  <c r="CO455" i="3"/>
  <c r="CO303" i="3" s="1"/>
  <c r="CI11" i="3"/>
  <c r="CI10" i="3"/>
  <c r="CI17" i="3"/>
  <c r="CG20" i="3"/>
  <c r="CG34" i="2"/>
  <c r="CG61" i="4"/>
  <c r="CG51" i="2"/>
  <c r="CG50" i="2"/>
  <c r="CG52" i="2"/>
  <c r="CH7" i="2"/>
  <c r="CD55" i="2"/>
  <c r="CD39" i="2"/>
  <c r="CD60" i="8"/>
  <c r="CD53" i="2"/>
  <c r="CD54" i="2" s="1"/>
  <c r="CD486" i="3"/>
  <c r="CD487" i="3"/>
  <c r="CL314" i="3"/>
  <c r="CL313" i="3"/>
  <c r="CL31" i="3"/>
  <c r="CL308" i="3"/>
  <c r="CN325" i="3"/>
  <c r="CN347" i="3"/>
  <c r="CN348" i="3"/>
  <c r="CT367" i="3"/>
  <c r="CS364" i="3"/>
  <c r="CO325" i="3"/>
  <c r="CO347" i="3"/>
  <c r="CO348" i="3"/>
  <c r="CL464" i="3"/>
  <c r="CL465" i="3"/>
  <c r="CM463" i="3"/>
  <c r="CD25" i="4"/>
  <c r="CD19" i="5" s="1"/>
  <c r="CD11" i="4"/>
  <c r="CD18" i="5" s="1"/>
  <c r="CA70" i="4"/>
  <c r="CB18" i="5"/>
  <c r="CA18" i="5"/>
  <c r="CA74" i="4"/>
  <c r="CA19" i="5"/>
  <c r="CC19" i="5" s="1"/>
  <c r="CA31" i="4"/>
  <c r="CA38" i="4" s="1"/>
  <c r="CJ27" i="3"/>
  <c r="CJ33" i="3"/>
  <c r="CJ9" i="3"/>
  <c r="CJ32" i="3"/>
  <c r="CK310" i="3"/>
  <c r="CK309" i="3"/>
  <c r="CF14" i="2"/>
  <c r="CF48" i="2"/>
  <c r="CF49" i="2" s="1"/>
  <c r="CF35" i="2"/>
  <c r="CB82" i="4"/>
  <c r="CK27" i="3"/>
  <c r="CK9" i="3"/>
  <c r="CK32" i="3"/>
  <c r="CK33" i="3"/>
  <c r="CF492" i="3"/>
  <c r="CF491" i="3"/>
  <c r="CJ310" i="3"/>
  <c r="CJ309" i="3"/>
  <c r="CH20" i="3" l="1"/>
  <c r="CF11" i="4"/>
  <c r="CF18" i="5" s="1"/>
  <c r="CG62" i="4"/>
  <c r="CG25" i="4" s="1"/>
  <c r="CH8" i="2"/>
  <c r="CC18" i="5"/>
  <c r="CA82" i="4"/>
  <c r="CO304" i="3"/>
  <c r="CO23" i="3"/>
  <c r="CO306" i="3" s="1"/>
  <c r="CE74" i="4"/>
  <c r="CE19" i="5"/>
  <c r="CE31" i="4"/>
  <c r="CE38" i="4" s="1"/>
  <c r="CN456" i="3"/>
  <c r="CN463" i="3"/>
  <c r="CN312" i="3" s="1"/>
  <c r="CJ29" i="3"/>
  <c r="CJ28" i="3"/>
  <c r="CD74" i="4"/>
  <c r="CD31" i="4"/>
  <c r="CD38" i="4" s="1"/>
  <c r="CM460" i="3"/>
  <c r="CM461" i="3" s="1"/>
  <c r="CM464" i="3"/>
  <c r="CF55" i="2"/>
  <c r="CF39" i="2"/>
  <c r="CF53" i="2"/>
  <c r="CF54" i="2" s="1"/>
  <c r="CF60" i="8"/>
  <c r="CF63" i="8" s="1"/>
  <c r="CF64" i="8" s="1"/>
  <c r="CM190" i="3"/>
  <c r="CM468" i="3"/>
  <c r="CM469" i="3" s="1"/>
  <c r="CM24" i="3"/>
  <c r="CM312" i="3"/>
  <c r="CL474" i="3"/>
  <c r="CL475" i="3" s="1"/>
  <c r="CL469" i="3"/>
  <c r="CP347" i="3"/>
  <c r="CP348" i="3"/>
  <c r="CP325" i="3"/>
  <c r="CJ11" i="3"/>
  <c r="CJ10" i="3"/>
  <c r="CJ17" i="3"/>
  <c r="CO326" i="3"/>
  <c r="CO327" i="3"/>
  <c r="CO322" i="3"/>
  <c r="CO323" i="3" s="1"/>
  <c r="CS366" i="3"/>
  <c r="CS330" i="3"/>
  <c r="CS365" i="3"/>
  <c r="CD63" i="8"/>
  <c r="CD61" i="8"/>
  <c r="CE59" i="8" s="1"/>
  <c r="CE61" i="8" s="1"/>
  <c r="CF59" i="8" s="1"/>
  <c r="CU367" i="3"/>
  <c r="CT364" i="3"/>
  <c r="CO463" i="3"/>
  <c r="CO312" i="3" s="1"/>
  <c r="CO457" i="3"/>
  <c r="CO456" i="3"/>
  <c r="CH9" i="2"/>
  <c r="CH480" i="3"/>
  <c r="CH481" i="3" s="1"/>
  <c r="CH482" i="3"/>
  <c r="CH490" i="3"/>
  <c r="CH491" i="3" s="1"/>
  <c r="CH484" i="3"/>
  <c r="CP320" i="3"/>
  <c r="CP455" i="3"/>
  <c r="CP319" i="3"/>
  <c r="CF495" i="3"/>
  <c r="CF496" i="3"/>
  <c r="CI475" i="3"/>
  <c r="CI64" i="3"/>
  <c r="CI479" i="3"/>
  <c r="CI7" i="2"/>
  <c r="CI19" i="3"/>
  <c r="CI198" i="3"/>
  <c r="CI18" i="3"/>
  <c r="CI315" i="3"/>
  <c r="CH34" i="2"/>
  <c r="CH50" i="2"/>
  <c r="CH51" i="2"/>
  <c r="CH52" i="2"/>
  <c r="CN327" i="3"/>
  <c r="CN322" i="3"/>
  <c r="CN323" i="3" s="1"/>
  <c r="CN326" i="3"/>
  <c r="CK469" i="3"/>
  <c r="CK474" i="3"/>
  <c r="CK475" i="3" s="1"/>
  <c r="CF487" i="3"/>
  <c r="CF486" i="3"/>
  <c r="CG35" i="2"/>
  <c r="CG48" i="2"/>
  <c r="CG49" i="2" s="1"/>
  <c r="CG14" i="2"/>
  <c r="CL310" i="3"/>
  <c r="CL309" i="3"/>
  <c r="CF74" i="4"/>
  <c r="CF31" i="4"/>
  <c r="CF38" i="4" s="1"/>
  <c r="CF19" i="5"/>
  <c r="CK10" i="3"/>
  <c r="CK17" i="3"/>
  <c r="CK11" i="3"/>
  <c r="CK28" i="3"/>
  <c r="CK29" i="3"/>
  <c r="CQ337" i="3"/>
  <c r="CR330" i="3"/>
  <c r="CR337" i="3" s="1"/>
  <c r="CG485" i="3"/>
  <c r="CG494" i="3"/>
  <c r="CG488" i="3"/>
  <c r="CD70" i="4"/>
  <c r="CE18" i="5"/>
  <c r="CL9" i="3"/>
  <c r="CL27" i="3"/>
  <c r="CL33" i="3"/>
  <c r="CL32" i="3"/>
  <c r="CM31" i="3"/>
  <c r="CG10" i="4"/>
  <c r="CG17" i="5" s="1"/>
  <c r="CH17" i="5" s="1"/>
  <c r="CH61" i="4"/>
  <c r="CG26" i="4"/>
  <c r="CG491" i="3"/>
  <c r="CG492" i="3"/>
  <c r="CF66" i="4"/>
  <c r="CN303" i="3"/>
  <c r="CO305" i="3" s="1"/>
  <c r="CM306" i="3"/>
  <c r="CR365" i="3"/>
  <c r="CR367" i="3"/>
  <c r="CE70" i="4"/>
  <c r="CF20" i="5"/>
  <c r="CF78" i="4"/>
  <c r="CG11" i="4" l="1"/>
  <c r="CH62" i="4"/>
  <c r="CF70" i="4"/>
  <c r="CF82" i="4" s="1"/>
  <c r="CE82" i="4"/>
  <c r="CF61" i="8"/>
  <c r="CG59" i="8" s="1"/>
  <c r="CH66" i="2"/>
  <c r="CD82" i="4"/>
  <c r="CQ318" i="3"/>
  <c r="CQ340" i="3"/>
  <c r="CQ339" i="3"/>
  <c r="CQ338" i="3"/>
  <c r="CQ346" i="3"/>
  <c r="CO308" i="3"/>
  <c r="CO314" i="3"/>
  <c r="CO313" i="3"/>
  <c r="CO31" i="3"/>
  <c r="CH35" i="2"/>
  <c r="CH48" i="2"/>
  <c r="CH49" i="2" s="1"/>
  <c r="CH14" i="2"/>
  <c r="CH75" i="2"/>
  <c r="CI20" i="3"/>
  <c r="CI34" i="2"/>
  <c r="CI61" i="4"/>
  <c r="CI50" i="2"/>
  <c r="CI51" i="2"/>
  <c r="CI52" i="2"/>
  <c r="CG66" i="4"/>
  <c r="CH10" i="4"/>
  <c r="CK64" i="3"/>
  <c r="CK198" i="3"/>
  <c r="CK7" i="2"/>
  <c r="CK18" i="3"/>
  <c r="CK19" i="3"/>
  <c r="CK479" i="3"/>
  <c r="CK315" i="3"/>
  <c r="CI480" i="3"/>
  <c r="CI481" i="3" s="1"/>
  <c r="CI9" i="2"/>
  <c r="CI482" i="3"/>
  <c r="CI490" i="3"/>
  <c r="CI484" i="3"/>
  <c r="CJ64" i="3"/>
  <c r="CJ19" i="3"/>
  <c r="CJ7" i="2"/>
  <c r="CJ198" i="3"/>
  <c r="CJ18" i="3"/>
  <c r="CJ479" i="3"/>
  <c r="CJ315" i="3"/>
  <c r="CM32" i="3"/>
  <c r="CM27" i="3"/>
  <c r="CM28" i="3" s="1"/>
  <c r="CO464" i="3"/>
  <c r="CO465" i="3"/>
  <c r="CM313" i="3"/>
  <c r="CM308" i="3"/>
  <c r="CM309" i="3" s="1"/>
  <c r="CH26" i="4"/>
  <c r="CG20" i="5"/>
  <c r="CH20" i="5" s="1"/>
  <c r="CG78" i="4"/>
  <c r="CH78" i="4" s="1"/>
  <c r="CM474" i="3"/>
  <c r="CT330" i="3"/>
  <c r="CT337" i="3" s="1"/>
  <c r="CT365" i="3"/>
  <c r="CT366" i="3"/>
  <c r="CN464" i="3"/>
  <c r="CN31" i="3"/>
  <c r="CN308" i="3"/>
  <c r="CN314" i="3"/>
  <c r="CN313" i="3"/>
  <c r="CV367" i="3"/>
  <c r="CU364" i="3"/>
  <c r="CP322" i="3"/>
  <c r="CP323" i="3" s="1"/>
  <c r="CP327" i="3"/>
  <c r="CP326" i="3"/>
  <c r="CL29" i="3"/>
  <c r="CL28" i="3"/>
  <c r="CG70" i="4"/>
  <c r="CH70" i="4" s="1"/>
  <c r="CH11" i="4"/>
  <c r="CL10" i="3"/>
  <c r="CL17" i="3"/>
  <c r="CL11" i="3"/>
  <c r="CG18" i="5"/>
  <c r="CH18" i="5" s="1"/>
  <c r="CD64" i="8"/>
  <c r="CP303" i="3"/>
  <c r="CP463" i="3"/>
  <c r="CP312" i="3" s="1"/>
  <c r="CP457" i="3"/>
  <c r="CP456" i="3"/>
  <c r="CG495" i="3"/>
  <c r="CG496" i="3"/>
  <c r="CG55" i="2"/>
  <c r="CG53" i="2"/>
  <c r="CG54" i="2" s="1"/>
  <c r="CG39" i="2"/>
  <c r="CG60" i="8"/>
  <c r="CO24" i="3"/>
  <c r="CO190" i="3"/>
  <c r="CO468" i="3"/>
  <c r="CG486" i="3"/>
  <c r="CG487" i="3"/>
  <c r="CH494" i="3"/>
  <c r="CH495" i="3" s="1"/>
  <c r="CH488" i="3"/>
  <c r="CH485" i="3"/>
  <c r="CS337" i="3"/>
  <c r="CG74" i="4"/>
  <c r="CH74" i="4" s="1"/>
  <c r="CG31" i="4"/>
  <c r="CH25" i="4"/>
  <c r="CG19" i="5"/>
  <c r="CH19" i="5" s="1"/>
  <c r="CN23" i="3"/>
  <c r="CN305" i="3"/>
  <c r="CN304" i="3"/>
  <c r="CR338" i="3"/>
  <c r="CR318" i="3"/>
  <c r="CM9" i="3"/>
  <c r="CN310" i="3" l="1"/>
  <c r="CN309" i="3"/>
  <c r="CH55" i="2"/>
  <c r="CH39" i="2"/>
  <c r="CH53" i="2"/>
  <c r="CH54" i="2" s="1"/>
  <c r="CN190" i="3"/>
  <c r="CN25" i="3"/>
  <c r="CN24" i="3"/>
  <c r="CN468" i="3"/>
  <c r="CU330" i="3"/>
  <c r="CU365" i="3"/>
  <c r="CU366" i="3"/>
  <c r="CS340" i="3"/>
  <c r="CS339" i="3"/>
  <c r="CS318" i="3"/>
  <c r="CS338" i="3"/>
  <c r="CS346" i="3"/>
  <c r="CL64" i="3"/>
  <c r="CL19" i="3"/>
  <c r="CL198" i="3"/>
  <c r="CL18" i="3"/>
  <c r="CL479" i="3"/>
  <c r="CL7" i="2"/>
  <c r="CM7" i="2" s="1"/>
  <c r="CL315" i="3"/>
  <c r="CN33" i="3"/>
  <c r="CN9" i="3"/>
  <c r="CN32" i="3"/>
  <c r="CN27" i="3"/>
  <c r="CH486" i="3"/>
  <c r="CH487" i="3"/>
  <c r="CK20" i="3"/>
  <c r="CK34" i="2"/>
  <c r="CK61" i="4"/>
  <c r="CK51" i="2"/>
  <c r="CK50" i="2"/>
  <c r="CK52" i="2"/>
  <c r="CJ490" i="3"/>
  <c r="CJ482" i="3"/>
  <c r="CJ480" i="3"/>
  <c r="CJ481" i="3" s="1"/>
  <c r="CJ484" i="3"/>
  <c r="CJ9" i="2"/>
  <c r="CJ8" i="2" s="1"/>
  <c r="CR319" i="3"/>
  <c r="CO27" i="3"/>
  <c r="CO9" i="3"/>
  <c r="CO33" i="3"/>
  <c r="CO32" i="3"/>
  <c r="CM10" i="3"/>
  <c r="CM17" i="3"/>
  <c r="CN306" i="3"/>
  <c r="CP465" i="3"/>
  <c r="CP464" i="3"/>
  <c r="CT340" i="3"/>
  <c r="CT338" i="3"/>
  <c r="CT339" i="3"/>
  <c r="CT318" i="3"/>
  <c r="CT346" i="3"/>
  <c r="CJ20" i="3"/>
  <c r="CJ61" i="4"/>
  <c r="CJ34" i="2"/>
  <c r="CJ50" i="2"/>
  <c r="CJ51" i="2"/>
  <c r="CJ52" i="2"/>
  <c r="CH66" i="4"/>
  <c r="CG82" i="4"/>
  <c r="CO25" i="3"/>
  <c r="CO469" i="3"/>
  <c r="CO474" i="3"/>
  <c r="CO475" i="3" s="1"/>
  <c r="CP305" i="3"/>
  <c r="CP304" i="3"/>
  <c r="CP23" i="3"/>
  <c r="CP306" i="3" s="1"/>
  <c r="CP31" i="3"/>
  <c r="CP313" i="3"/>
  <c r="CP308" i="3"/>
  <c r="CP314" i="3"/>
  <c r="CM471" i="3"/>
  <c r="CM472" i="3" s="1"/>
  <c r="CM475" i="3"/>
  <c r="CO309" i="3"/>
  <c r="CO310" i="3"/>
  <c r="CI485" i="3"/>
  <c r="CI488" i="3"/>
  <c r="CI494" i="3"/>
  <c r="CR346" i="3"/>
  <c r="CQ348" i="3"/>
  <c r="CQ325" i="3"/>
  <c r="CQ347" i="3"/>
  <c r="CI492" i="3"/>
  <c r="CI491" i="3"/>
  <c r="CI48" i="2"/>
  <c r="CI49" i="2" s="1"/>
  <c r="CI35" i="2"/>
  <c r="CI14" i="2"/>
  <c r="CI10" i="4"/>
  <c r="CI66" i="4" s="1"/>
  <c r="CI26" i="4"/>
  <c r="CI78" i="4" s="1"/>
  <c r="CG63" i="8"/>
  <c r="CH60" i="8"/>
  <c r="CI8" i="2"/>
  <c r="CQ319" i="3"/>
  <c r="CQ320" i="3"/>
  <c r="CQ455" i="3"/>
  <c r="CQ303" i="3" s="1"/>
  <c r="CX367" i="3"/>
  <c r="CV364" i="3"/>
  <c r="CH31" i="4"/>
  <c r="CH38" i="4" s="1"/>
  <c r="CG38" i="4"/>
  <c r="CG61" i="8"/>
  <c r="CH61" i="8" s="1"/>
  <c r="CI59" i="8" s="1"/>
  <c r="CK480" i="3"/>
  <c r="CK481" i="3" s="1"/>
  <c r="CK482" i="3"/>
  <c r="CK484" i="3"/>
  <c r="CK490" i="3"/>
  <c r="CK9" i="2"/>
  <c r="CK8" i="2" s="1"/>
  <c r="CJ62" i="4" l="1"/>
  <c r="CJ11" i="4" s="1"/>
  <c r="CG64" i="8"/>
  <c r="CH64" i="8" s="1"/>
  <c r="CH63" i="8"/>
  <c r="CM59" i="8"/>
  <c r="CI487" i="3"/>
  <c r="CI486" i="3"/>
  <c r="CN11" i="3"/>
  <c r="CN17" i="3"/>
  <c r="CN10" i="3"/>
  <c r="CU337" i="3"/>
  <c r="CJ491" i="3"/>
  <c r="CJ492" i="3"/>
  <c r="CN474" i="3"/>
  <c r="CN469" i="3"/>
  <c r="CM198" i="3"/>
  <c r="CM64" i="3"/>
  <c r="CM18" i="3"/>
  <c r="CM20" i="3"/>
  <c r="CM479" i="3"/>
  <c r="CM315" i="3"/>
  <c r="CL20" i="3"/>
  <c r="CL34" i="2"/>
  <c r="CL61" i="4"/>
  <c r="CL50" i="2"/>
  <c r="CL51" i="2"/>
  <c r="CL52" i="2"/>
  <c r="CK62" i="4"/>
  <c r="CL9" i="2"/>
  <c r="CL8" i="2" s="1"/>
  <c r="CL484" i="3"/>
  <c r="CL482" i="3"/>
  <c r="CL490" i="3"/>
  <c r="CL480" i="3"/>
  <c r="CL481" i="3" s="1"/>
  <c r="CI39" i="2"/>
  <c r="CI53" i="2"/>
  <c r="CI54" i="2" s="1"/>
  <c r="CI60" i="8"/>
  <c r="CI55" i="2"/>
  <c r="CX364" i="3"/>
  <c r="CY367" i="3"/>
  <c r="CK10" i="4"/>
  <c r="CK26" i="4"/>
  <c r="CS347" i="3"/>
  <c r="CS325" i="3"/>
  <c r="CS348" i="3"/>
  <c r="CM34" i="2"/>
  <c r="CM50" i="2"/>
  <c r="CM51" i="2"/>
  <c r="CM52" i="2"/>
  <c r="CO11" i="3"/>
  <c r="CO10" i="3"/>
  <c r="CO17" i="3"/>
  <c r="CO29" i="3"/>
  <c r="CO28" i="3"/>
  <c r="CI17" i="5"/>
  <c r="CQ326" i="3"/>
  <c r="CQ322" i="3"/>
  <c r="CQ323" i="3" s="1"/>
  <c r="CQ327" i="3"/>
  <c r="CS320" i="3"/>
  <c r="CS455" i="3"/>
  <c r="CS319" i="3"/>
  <c r="CV365" i="3"/>
  <c r="CV366" i="3"/>
  <c r="CV330" i="3"/>
  <c r="CV337" i="3" s="1"/>
  <c r="CW364" i="3"/>
  <c r="CP309" i="3"/>
  <c r="CP310" i="3"/>
  <c r="CQ305" i="3"/>
  <c r="CQ304" i="3"/>
  <c r="CQ23" i="3"/>
  <c r="CQ306" i="3" s="1"/>
  <c r="CP32" i="3"/>
  <c r="CP27" i="3"/>
  <c r="CP9" i="3"/>
  <c r="CP33" i="3"/>
  <c r="CJ26" i="4"/>
  <c r="CJ10" i="4"/>
  <c r="CQ463" i="3"/>
  <c r="CQ456" i="3"/>
  <c r="CQ457" i="3"/>
  <c r="CR455" i="3"/>
  <c r="CK48" i="2"/>
  <c r="CK49" i="2" s="1"/>
  <c r="CK35" i="2"/>
  <c r="CK14" i="2"/>
  <c r="CP190" i="3"/>
  <c r="CP24" i="3"/>
  <c r="CP468" i="3"/>
  <c r="CP25" i="3"/>
  <c r="CT325" i="3"/>
  <c r="CT347" i="3"/>
  <c r="CT348" i="3"/>
  <c r="CK491" i="3"/>
  <c r="CK492" i="3"/>
  <c r="CT455" i="3"/>
  <c r="CT320" i="3"/>
  <c r="CT319" i="3"/>
  <c r="CI20" i="5"/>
  <c r="CK494" i="3"/>
  <c r="CK488" i="3"/>
  <c r="CK485" i="3"/>
  <c r="CI62" i="4"/>
  <c r="CR347" i="3"/>
  <c r="CR342" i="3"/>
  <c r="CR343" i="3" s="1"/>
  <c r="CR325" i="3"/>
  <c r="CJ35" i="2"/>
  <c r="CJ48" i="2"/>
  <c r="CJ49" i="2" s="1"/>
  <c r="CJ14" i="2"/>
  <c r="CI495" i="3"/>
  <c r="CI496" i="3"/>
  <c r="CJ485" i="3"/>
  <c r="CJ488" i="3"/>
  <c r="CJ494" i="3"/>
  <c r="CN29" i="3"/>
  <c r="CN28" i="3"/>
  <c r="CJ25" i="4" l="1"/>
  <c r="CM66" i="2"/>
  <c r="CL62" i="4"/>
  <c r="CM62" i="4" s="1"/>
  <c r="CM8" i="2"/>
  <c r="CW330" i="3"/>
  <c r="CW337" i="3" s="1"/>
  <c r="CW338" i="3" s="1"/>
  <c r="CN475" i="3"/>
  <c r="CJ53" i="2"/>
  <c r="CJ54" i="2" s="1"/>
  <c r="CJ55" i="2"/>
  <c r="CJ60" i="8"/>
  <c r="CJ63" i="8" s="1"/>
  <c r="CJ64" i="8" s="1"/>
  <c r="CJ39" i="2"/>
  <c r="CQ465" i="3"/>
  <c r="CQ464" i="3"/>
  <c r="CR463" i="3"/>
  <c r="CR312" i="3" s="1"/>
  <c r="CS456" i="3"/>
  <c r="CS463" i="3"/>
  <c r="CS312" i="3" s="1"/>
  <c r="CU340" i="3"/>
  <c r="CU338" i="3"/>
  <c r="CU339" i="3"/>
  <c r="CU318" i="3"/>
  <c r="CU346" i="3"/>
  <c r="CT327" i="3"/>
  <c r="CT322" i="3"/>
  <c r="CT323" i="3" s="1"/>
  <c r="CT326" i="3"/>
  <c r="CL10" i="4"/>
  <c r="CL17" i="5" s="1"/>
  <c r="CM61" i="4"/>
  <c r="CL26" i="4"/>
  <c r="CP10" i="3"/>
  <c r="CP17" i="3"/>
  <c r="CP11" i="3"/>
  <c r="CP28" i="3"/>
  <c r="CP29" i="3"/>
  <c r="CJ31" i="4"/>
  <c r="CJ38" i="4" s="1"/>
  <c r="CP469" i="3"/>
  <c r="CP474" i="3"/>
  <c r="CP475" i="3" s="1"/>
  <c r="CQ312" i="3"/>
  <c r="CS327" i="3"/>
  <c r="CS326" i="3"/>
  <c r="CS322" i="3"/>
  <c r="CS323" i="3" s="1"/>
  <c r="CN64" i="3"/>
  <c r="CN7" i="2"/>
  <c r="CN479" i="3"/>
  <c r="CN18" i="3"/>
  <c r="CN19" i="3"/>
  <c r="CN198" i="3"/>
  <c r="CN315" i="3"/>
  <c r="CR326" i="3"/>
  <c r="CR322" i="3"/>
  <c r="CR323" i="3" s="1"/>
  <c r="CQ190" i="3"/>
  <c r="CQ25" i="3"/>
  <c r="CQ24" i="3"/>
  <c r="CQ468" i="3"/>
  <c r="CR23" i="3"/>
  <c r="CL491" i="3"/>
  <c r="CL492" i="3"/>
  <c r="CK20" i="5"/>
  <c r="CK78" i="4"/>
  <c r="CK487" i="3"/>
  <c r="CK486" i="3"/>
  <c r="CK53" i="2"/>
  <c r="CK54" i="2" s="1"/>
  <c r="CK39" i="2"/>
  <c r="CK60" i="8"/>
  <c r="CK63" i="8" s="1"/>
  <c r="CK64" i="8" s="1"/>
  <c r="CK55" i="2"/>
  <c r="CK66" i="4"/>
  <c r="CL485" i="3"/>
  <c r="CL488" i="3"/>
  <c r="CL494" i="3"/>
  <c r="CM480" i="3"/>
  <c r="CM481" i="3" s="1"/>
  <c r="CM9" i="2"/>
  <c r="CM490" i="3"/>
  <c r="CM491" i="3" s="1"/>
  <c r="CM482" i="3"/>
  <c r="CM484" i="3"/>
  <c r="CT303" i="3"/>
  <c r="CT457" i="3"/>
  <c r="CT463" i="3"/>
  <c r="CT456" i="3"/>
  <c r="CS303" i="3"/>
  <c r="CY364" i="3"/>
  <c r="CZ367" i="3"/>
  <c r="CL35" i="2"/>
  <c r="CL48" i="2"/>
  <c r="CL49" i="2" s="1"/>
  <c r="CL14" i="2"/>
  <c r="CI63" i="8"/>
  <c r="CJ78" i="4"/>
  <c r="CJ20" i="5"/>
  <c r="CK495" i="3"/>
  <c r="CK496" i="3"/>
  <c r="CX365" i="3"/>
  <c r="CX366" i="3"/>
  <c r="CX330" i="3"/>
  <c r="CK25" i="4"/>
  <c r="CK11" i="4"/>
  <c r="CK18" i="5" s="1"/>
  <c r="CI61" i="8"/>
  <c r="CJ59" i="8" s="1"/>
  <c r="CI25" i="4"/>
  <c r="CJ19" i="5" s="1"/>
  <c r="CI11" i="4"/>
  <c r="CJ70" i="4" s="1"/>
  <c r="CJ496" i="3"/>
  <c r="CJ495" i="3"/>
  <c r="CJ17" i="5"/>
  <c r="CJ66" i="4"/>
  <c r="CK17" i="5"/>
  <c r="CR456" i="3"/>
  <c r="CR458" i="3"/>
  <c r="CR303" i="3"/>
  <c r="CW365" i="3"/>
  <c r="CW367" i="3"/>
  <c r="CJ486" i="3"/>
  <c r="CJ487" i="3"/>
  <c r="CV339" i="3"/>
  <c r="CV340" i="3"/>
  <c r="CV318" i="3"/>
  <c r="CV338" i="3"/>
  <c r="CV346" i="3"/>
  <c r="CO7" i="2"/>
  <c r="CO19" i="3"/>
  <c r="CO479" i="3"/>
  <c r="CO64" i="3"/>
  <c r="CO198" i="3"/>
  <c r="CO18" i="3"/>
  <c r="CO315" i="3"/>
  <c r="CW318" i="3" l="1"/>
  <c r="CL11" i="4"/>
  <c r="CL25" i="4"/>
  <c r="CJ61" i="8"/>
  <c r="CK59" i="8" s="1"/>
  <c r="CK61" i="8" s="1"/>
  <c r="CL59" i="8" s="1"/>
  <c r="CJ74" i="4"/>
  <c r="CJ82" i="4" s="1"/>
  <c r="CM17" i="5"/>
  <c r="DA367" i="3"/>
  <c r="DA364" i="3" s="1"/>
  <c r="CZ364" i="3"/>
  <c r="CR464" i="3"/>
  <c r="CR460" i="3"/>
  <c r="CR461" i="3" s="1"/>
  <c r="CQ308" i="3"/>
  <c r="CQ31" i="3"/>
  <c r="CQ313" i="3"/>
  <c r="CQ314" i="3"/>
  <c r="CM10" i="4"/>
  <c r="CL66" i="4"/>
  <c r="CK74" i="4"/>
  <c r="CK31" i="4"/>
  <c r="CK38" i="4" s="1"/>
  <c r="CK19" i="5"/>
  <c r="CS305" i="3"/>
  <c r="CS304" i="3"/>
  <c r="CS23" i="3"/>
  <c r="CW319" i="3"/>
  <c r="CX337" i="3"/>
  <c r="CT464" i="3"/>
  <c r="CT465" i="3"/>
  <c r="CT312" i="3"/>
  <c r="CR313" i="3"/>
  <c r="CR308" i="3"/>
  <c r="CR309" i="3" s="1"/>
  <c r="CY366" i="3"/>
  <c r="CY330" i="3"/>
  <c r="CY337" i="3" s="1"/>
  <c r="CY365" i="3"/>
  <c r="CU347" i="3"/>
  <c r="CU348" i="3"/>
  <c r="CU325" i="3"/>
  <c r="CM48" i="2"/>
  <c r="CM49" i="2" s="1"/>
  <c r="CM75" i="2"/>
  <c r="CM35" i="2"/>
  <c r="CM14" i="2"/>
  <c r="CN9" i="2"/>
  <c r="CN8" i="2" s="1"/>
  <c r="CN490" i="3"/>
  <c r="CN484" i="3"/>
  <c r="CN482" i="3"/>
  <c r="CN480" i="3"/>
  <c r="CN481" i="3" s="1"/>
  <c r="CP64" i="3"/>
  <c r="CP198" i="3"/>
  <c r="CP18" i="3"/>
  <c r="CP7" i="2"/>
  <c r="CP19" i="3"/>
  <c r="CP479" i="3"/>
  <c r="CP315" i="3"/>
  <c r="CK70" i="4"/>
  <c r="CL18" i="5"/>
  <c r="CR304" i="3"/>
  <c r="CR306" i="3"/>
  <c r="CO20" i="3"/>
  <c r="CO61" i="4"/>
  <c r="CO34" i="2"/>
  <c r="CO51" i="2"/>
  <c r="CO50" i="2"/>
  <c r="CO52" i="2"/>
  <c r="CN20" i="3"/>
  <c r="CN34" i="2"/>
  <c r="CN61" i="4"/>
  <c r="CN51" i="2"/>
  <c r="CN50" i="2"/>
  <c r="CN52" i="2"/>
  <c r="CM485" i="3"/>
  <c r="CM494" i="3"/>
  <c r="CM495" i="3" s="1"/>
  <c r="CM488" i="3"/>
  <c r="CO480" i="3"/>
  <c r="CO481" i="3" s="1"/>
  <c r="CO484" i="3"/>
  <c r="CO490" i="3"/>
  <c r="CO9" i="2"/>
  <c r="CO482" i="3"/>
  <c r="CM11" i="4"/>
  <c r="CL70" i="4"/>
  <c r="CM70" i="4" s="1"/>
  <c r="CT304" i="3"/>
  <c r="CT305" i="3"/>
  <c r="CT23" i="3"/>
  <c r="CT306" i="3" s="1"/>
  <c r="CL60" i="8"/>
  <c r="CL63" i="8" s="1"/>
  <c r="CL64" i="8" s="1"/>
  <c r="CL39" i="2"/>
  <c r="CL55" i="2"/>
  <c r="CL53" i="2"/>
  <c r="CL54" i="2" s="1"/>
  <c r="CL74" i="4"/>
  <c r="CM74" i="4" s="1"/>
  <c r="CL19" i="5"/>
  <c r="CL31" i="4"/>
  <c r="CM25" i="4"/>
  <c r="CU455" i="3"/>
  <c r="CU303" i="3" s="1"/>
  <c r="CU319" i="3"/>
  <c r="CU320" i="3"/>
  <c r="CW346" i="3"/>
  <c r="CV347" i="3"/>
  <c r="CV348" i="3"/>
  <c r="CV325" i="3"/>
  <c r="CL487" i="3"/>
  <c r="CL486" i="3"/>
  <c r="CR190" i="3"/>
  <c r="CR24" i="3"/>
  <c r="CR468" i="3"/>
  <c r="CR469" i="3" s="1"/>
  <c r="CS464" i="3"/>
  <c r="CI64" i="8"/>
  <c r="CL495" i="3"/>
  <c r="CL496" i="3"/>
  <c r="CV320" i="3"/>
  <c r="CV455" i="3"/>
  <c r="CV319" i="3"/>
  <c r="CI70" i="4"/>
  <c r="CJ18" i="5"/>
  <c r="CI18" i="5"/>
  <c r="CI31" i="4"/>
  <c r="CI38" i="4" s="1"/>
  <c r="CI74" i="4"/>
  <c r="CI19" i="5"/>
  <c r="CQ469" i="3"/>
  <c r="CQ474" i="3"/>
  <c r="CQ475" i="3" s="1"/>
  <c r="CS314" i="3"/>
  <c r="CS308" i="3"/>
  <c r="CS31" i="3"/>
  <c r="CS313" i="3"/>
  <c r="CM26" i="4"/>
  <c r="CL78" i="4"/>
  <c r="CM78" i="4" s="1"/>
  <c r="CL20" i="5"/>
  <c r="CM20" i="5" s="1"/>
  <c r="CM64" i="8" l="1"/>
  <c r="CR474" i="3"/>
  <c r="CM19" i="5"/>
  <c r="CM18" i="5"/>
  <c r="CK82" i="4"/>
  <c r="CM63" i="8"/>
  <c r="CU23" i="3"/>
  <c r="CU306" i="3" s="1"/>
  <c r="CU305" i="3"/>
  <c r="CU304" i="3"/>
  <c r="CV463" i="3"/>
  <c r="CV312" i="3" s="1"/>
  <c r="CV457" i="3"/>
  <c r="CV456" i="3"/>
  <c r="CW347" i="3"/>
  <c r="CW342" i="3"/>
  <c r="CW343" i="3" s="1"/>
  <c r="CW325" i="3"/>
  <c r="CM39" i="2"/>
  <c r="CM55" i="2"/>
  <c r="CM53" i="2"/>
  <c r="CM54" i="2" s="1"/>
  <c r="CT25" i="3"/>
  <c r="CT190" i="3"/>
  <c r="CT24" i="3"/>
  <c r="CT468" i="3"/>
  <c r="CS33" i="3"/>
  <c r="CS27" i="3"/>
  <c r="CS32" i="3"/>
  <c r="CS9" i="3"/>
  <c r="CM66" i="4"/>
  <c r="CL82" i="4"/>
  <c r="CN10" i="4"/>
  <c r="CN66" i="4" s="1"/>
  <c r="CN26" i="4"/>
  <c r="CN78" i="4" s="1"/>
  <c r="CU327" i="3"/>
  <c r="CU322" i="3"/>
  <c r="CU323" i="3" s="1"/>
  <c r="CU326" i="3"/>
  <c r="CN62" i="4"/>
  <c r="CP482" i="3"/>
  <c r="CP9" i="2"/>
  <c r="CP8" i="2" s="1"/>
  <c r="CP490" i="3"/>
  <c r="CP480" i="3"/>
  <c r="CP481" i="3" s="1"/>
  <c r="CP484" i="3"/>
  <c r="CT313" i="3"/>
  <c r="CT314" i="3"/>
  <c r="CT308" i="3"/>
  <c r="CT31" i="3"/>
  <c r="CO8" i="2"/>
  <c r="CO62" i="4" s="1"/>
  <c r="CO48" i="2"/>
  <c r="CO49" i="2" s="1"/>
  <c r="CO35" i="2"/>
  <c r="CO14" i="2"/>
  <c r="CP20" i="3"/>
  <c r="CP34" i="2"/>
  <c r="CP61" i="4"/>
  <c r="CP51" i="2"/>
  <c r="CP50" i="2"/>
  <c r="CP52" i="2"/>
  <c r="CQ32" i="3"/>
  <c r="CQ9" i="3"/>
  <c r="CQ27" i="3"/>
  <c r="CQ33" i="3"/>
  <c r="CR31" i="3"/>
  <c r="CO491" i="3"/>
  <c r="CO492" i="3"/>
  <c r="CM60" i="8"/>
  <c r="CY340" i="3"/>
  <c r="CY318" i="3"/>
  <c r="CY339" i="3"/>
  <c r="CY338" i="3"/>
  <c r="CY346" i="3"/>
  <c r="CQ309" i="3"/>
  <c r="CQ310" i="3"/>
  <c r="CM31" i="4"/>
  <c r="CM38" i="4" s="1"/>
  <c r="CL38" i="4"/>
  <c r="CO488" i="3"/>
  <c r="CO494" i="3"/>
  <c r="CO485" i="3"/>
  <c r="CX318" i="3"/>
  <c r="CX338" i="3"/>
  <c r="CX340" i="3"/>
  <c r="CX339" i="3"/>
  <c r="CX346" i="3"/>
  <c r="CZ366" i="3"/>
  <c r="CZ365" i="3"/>
  <c r="CZ330" i="3"/>
  <c r="CZ337" i="3" s="1"/>
  <c r="CS310" i="3"/>
  <c r="CS309" i="3"/>
  <c r="CI82" i="4"/>
  <c r="CV327" i="3"/>
  <c r="CV322" i="3"/>
  <c r="CV323" i="3" s="1"/>
  <c r="CV326" i="3"/>
  <c r="CS306" i="3"/>
  <c r="CS24" i="3"/>
  <c r="CS190" i="3"/>
  <c r="CS25" i="3"/>
  <c r="CS468" i="3"/>
  <c r="DA365" i="3"/>
  <c r="DA330" i="3"/>
  <c r="DA337" i="3" s="1"/>
  <c r="DA366" i="3"/>
  <c r="CU456" i="3"/>
  <c r="CU463" i="3"/>
  <c r="CU312" i="3" s="1"/>
  <c r="CU457" i="3"/>
  <c r="CW455" i="3"/>
  <c r="CV303" i="3"/>
  <c r="CM487" i="3"/>
  <c r="CM486" i="3"/>
  <c r="CN488" i="3"/>
  <c r="CN494" i="3"/>
  <c r="CN485" i="3"/>
  <c r="CL61" i="8"/>
  <c r="CM61" i="8" s="1"/>
  <c r="CN59" i="8" s="1"/>
  <c r="CR471" i="3"/>
  <c r="CR472" i="3" s="1"/>
  <c r="CR475" i="3"/>
  <c r="CO10" i="4"/>
  <c r="CO26" i="4"/>
  <c r="CN491" i="3"/>
  <c r="CN492" i="3"/>
  <c r="CN48" i="2"/>
  <c r="CN49" i="2" s="1"/>
  <c r="CN35" i="2"/>
  <c r="CN14" i="2"/>
  <c r="DB364" i="3"/>
  <c r="CP62" i="4" l="1"/>
  <c r="CU314" i="3"/>
  <c r="CU31" i="3"/>
  <c r="CU308" i="3"/>
  <c r="CU313" i="3"/>
  <c r="CO78" i="4"/>
  <c r="CO20" i="5"/>
  <c r="CT310" i="3"/>
  <c r="CT309" i="3"/>
  <c r="CO17" i="5"/>
  <c r="CO66" i="4"/>
  <c r="CN17" i="5"/>
  <c r="CR59" i="8"/>
  <c r="CW326" i="3"/>
  <c r="CW322" i="3"/>
  <c r="CW323" i="3" s="1"/>
  <c r="CN487" i="3"/>
  <c r="CN486" i="3"/>
  <c r="CY347" i="3"/>
  <c r="CY325" i="3"/>
  <c r="CY348" i="3"/>
  <c r="CN496" i="3"/>
  <c r="CN495" i="3"/>
  <c r="CP491" i="3"/>
  <c r="CP492" i="3"/>
  <c r="CP48" i="2"/>
  <c r="CP49" i="2" s="1"/>
  <c r="CP14" i="2"/>
  <c r="CP35" i="2"/>
  <c r="CS11" i="3"/>
  <c r="CS10" i="3"/>
  <c r="CS17" i="3"/>
  <c r="CP10" i="4"/>
  <c r="CP26" i="4"/>
  <c r="CX325" i="3"/>
  <c r="CX347" i="3"/>
  <c r="CX348" i="3"/>
  <c r="CY319" i="3"/>
  <c r="CY455" i="3"/>
  <c r="CY320" i="3"/>
  <c r="CS469" i="3"/>
  <c r="CS474" i="3"/>
  <c r="DB330" i="3"/>
  <c r="DB337" i="3" s="1"/>
  <c r="CP485" i="3"/>
  <c r="CP494" i="3"/>
  <c r="CP488" i="3"/>
  <c r="CS29" i="3"/>
  <c r="CS28" i="3"/>
  <c r="CO39" i="2"/>
  <c r="CO53" i="2"/>
  <c r="CO54" i="2" s="1"/>
  <c r="CO55" i="2"/>
  <c r="CO60" i="8"/>
  <c r="CO63" i="8" s="1"/>
  <c r="CO64" i="8" s="1"/>
  <c r="CN25" i="4"/>
  <c r="CN11" i="4"/>
  <c r="CV464" i="3"/>
  <c r="CV465" i="3"/>
  <c r="CT469" i="3"/>
  <c r="CT474" i="3"/>
  <c r="CT475" i="3" s="1"/>
  <c r="CN20" i="5"/>
  <c r="CO25" i="4"/>
  <c r="CO11" i="4"/>
  <c r="CT33" i="3"/>
  <c r="CT32" i="3"/>
  <c r="CT9" i="3"/>
  <c r="CT27" i="3"/>
  <c r="CN39" i="2"/>
  <c r="CN60" i="8"/>
  <c r="CN55" i="2"/>
  <c r="CN53" i="2"/>
  <c r="CN54" i="2" s="1"/>
  <c r="CW456" i="3"/>
  <c r="CW458" i="3"/>
  <c r="CW303" i="3"/>
  <c r="CV313" i="3"/>
  <c r="CV308" i="3"/>
  <c r="CV314" i="3"/>
  <c r="CV31" i="3"/>
  <c r="CX320" i="3"/>
  <c r="CX455" i="3"/>
  <c r="CX319" i="3"/>
  <c r="DA338" i="3"/>
  <c r="DA318" i="3"/>
  <c r="DA339" i="3"/>
  <c r="DA346" i="3"/>
  <c r="CQ11" i="3"/>
  <c r="CQ17" i="3"/>
  <c r="CQ10" i="3"/>
  <c r="CR9" i="3"/>
  <c r="DA340" i="3"/>
  <c r="CZ340" i="3"/>
  <c r="CZ318" i="3"/>
  <c r="CZ338" i="3"/>
  <c r="CZ339" i="3"/>
  <c r="CZ346" i="3"/>
  <c r="DB365" i="3"/>
  <c r="DB367" i="3"/>
  <c r="CV305" i="3"/>
  <c r="CV304" i="3"/>
  <c r="CV23" i="3"/>
  <c r="CV306" i="3" s="1"/>
  <c r="CU464" i="3"/>
  <c r="CU465" i="3"/>
  <c r="CW463" i="3"/>
  <c r="CO487" i="3"/>
  <c r="CO486" i="3"/>
  <c r="CR32" i="3"/>
  <c r="CR27" i="3"/>
  <c r="CR28" i="3" s="1"/>
  <c r="CO496" i="3"/>
  <c r="CO495" i="3"/>
  <c r="CQ29" i="3"/>
  <c r="CQ28" i="3"/>
  <c r="CU190" i="3"/>
  <c r="CU24" i="3"/>
  <c r="CU468" i="3"/>
  <c r="CU25" i="3"/>
  <c r="CX303" i="3" l="1"/>
  <c r="CX456" i="3"/>
  <c r="CX463" i="3"/>
  <c r="CT29" i="3"/>
  <c r="CT28" i="3"/>
  <c r="CZ348" i="3"/>
  <c r="CZ347" i="3"/>
  <c r="CZ325" i="3"/>
  <c r="CT10" i="3"/>
  <c r="CT11" i="3"/>
  <c r="CT17" i="3"/>
  <c r="CX327" i="3"/>
  <c r="CX312" i="3"/>
  <c r="CX326" i="3"/>
  <c r="CX322" i="3"/>
  <c r="CX323" i="3" s="1"/>
  <c r="CY327" i="3"/>
  <c r="CY326" i="3"/>
  <c r="CY322" i="3"/>
  <c r="CY323" i="3" s="1"/>
  <c r="CY463" i="3"/>
  <c r="CY456" i="3"/>
  <c r="CY457" i="3"/>
  <c r="CV33" i="3"/>
  <c r="CV9" i="3"/>
  <c r="CV32" i="3"/>
  <c r="CV27" i="3"/>
  <c r="DA320" i="3"/>
  <c r="CZ455" i="3"/>
  <c r="CZ319" i="3"/>
  <c r="CZ320" i="3"/>
  <c r="CN63" i="8"/>
  <c r="CV309" i="3"/>
  <c r="CV310" i="3"/>
  <c r="CP78" i="4"/>
  <c r="CP20" i="5"/>
  <c r="CP496" i="3"/>
  <c r="CP495" i="3"/>
  <c r="CP66" i="4"/>
  <c r="CO18" i="5"/>
  <c r="CO70" i="4"/>
  <c r="CO31" i="4"/>
  <c r="CO38" i="4" s="1"/>
  <c r="CO74" i="4"/>
  <c r="CO19" i="5"/>
  <c r="CW460" i="3"/>
  <c r="CW461" i="3" s="1"/>
  <c r="CW464" i="3"/>
  <c r="CR17" i="3"/>
  <c r="CR10" i="3"/>
  <c r="CW304" i="3"/>
  <c r="CP487" i="3"/>
  <c r="CP486" i="3"/>
  <c r="CW312" i="3"/>
  <c r="DB318" i="3"/>
  <c r="DB338" i="3"/>
  <c r="CS64" i="3"/>
  <c r="CS19" i="3"/>
  <c r="CS18" i="3"/>
  <c r="CS198" i="3"/>
  <c r="CS7" i="2"/>
  <c r="CS479" i="3"/>
  <c r="CS315" i="3"/>
  <c r="CU309" i="3"/>
  <c r="CU310" i="3"/>
  <c r="CQ64" i="3"/>
  <c r="CQ19" i="3"/>
  <c r="CQ198" i="3"/>
  <c r="CQ7" i="2"/>
  <c r="CQ479" i="3"/>
  <c r="CQ18" i="3"/>
  <c r="CQ315" i="3"/>
  <c r="CS475" i="3"/>
  <c r="CU32" i="3"/>
  <c r="CU9" i="3"/>
  <c r="CU27" i="3"/>
  <c r="CU33" i="3"/>
  <c r="CN61" i="8"/>
  <c r="CO59" i="8" s="1"/>
  <c r="CO61" i="8" s="1"/>
  <c r="CP59" i="8" s="1"/>
  <c r="CN70" i="4"/>
  <c r="CN18" i="5"/>
  <c r="CW31" i="3"/>
  <c r="CU469" i="3"/>
  <c r="CU474" i="3"/>
  <c r="CU475" i="3" s="1"/>
  <c r="DB346" i="3"/>
  <c r="DA348" i="3"/>
  <c r="DA325" i="3"/>
  <c r="DA347" i="3"/>
  <c r="CV190" i="3"/>
  <c r="CV468" i="3"/>
  <c r="CV25" i="3"/>
  <c r="CV24" i="3"/>
  <c r="CW23" i="3"/>
  <c r="CN74" i="4"/>
  <c r="CN31" i="4"/>
  <c r="CN38" i="4" s="1"/>
  <c r="CN19" i="5"/>
  <c r="CY303" i="3"/>
  <c r="CP53" i="2"/>
  <c r="CP54" i="2" s="1"/>
  <c r="CP55" i="2"/>
  <c r="CP60" i="8"/>
  <c r="CP63" i="8" s="1"/>
  <c r="CP64" i="8" s="1"/>
  <c r="CP39" i="2"/>
  <c r="DA455" i="3"/>
  <c r="DA303" i="3" s="1"/>
  <c r="DA319" i="3"/>
  <c r="CP17" i="5"/>
  <c r="CP25" i="4"/>
  <c r="CP11" i="4"/>
  <c r="CP18" i="5" s="1"/>
  <c r="CP61" i="8" l="1"/>
  <c r="CQ59" i="8" s="1"/>
  <c r="CW9" i="3"/>
  <c r="CO82" i="4"/>
  <c r="CX314" i="3"/>
  <c r="CX31" i="3"/>
  <c r="CX313" i="3"/>
  <c r="CX308" i="3"/>
  <c r="DA457" i="3"/>
  <c r="CZ457" i="3"/>
  <c r="CZ456" i="3"/>
  <c r="CZ463" i="3"/>
  <c r="CZ312" i="3" s="1"/>
  <c r="CV29" i="3"/>
  <c r="CV28" i="3"/>
  <c r="CY304" i="3"/>
  <c r="CY305" i="3"/>
  <c r="CY23" i="3"/>
  <c r="CY306" i="3" s="1"/>
  <c r="CW308" i="3"/>
  <c r="CW309" i="3" s="1"/>
  <c r="CW313" i="3"/>
  <c r="CT7" i="2"/>
  <c r="CT479" i="3"/>
  <c r="CT198" i="3"/>
  <c r="CT18" i="3"/>
  <c r="CT19" i="3"/>
  <c r="CT64" i="3"/>
  <c r="CT315" i="3"/>
  <c r="CW27" i="3"/>
  <c r="CW28" i="3" s="1"/>
  <c r="CW32" i="3"/>
  <c r="CW10" i="3"/>
  <c r="CW17" i="3"/>
  <c r="CV11" i="3"/>
  <c r="CV17" i="3"/>
  <c r="CV10" i="3"/>
  <c r="CP31" i="4"/>
  <c r="CP38" i="4" s="1"/>
  <c r="CP19" i="5"/>
  <c r="CP74" i="4"/>
  <c r="CW468" i="3"/>
  <c r="CW469" i="3" s="1"/>
  <c r="CW190" i="3"/>
  <c r="CW24" i="3"/>
  <c r="CN82" i="4"/>
  <c r="CZ322" i="3"/>
  <c r="CZ323" i="3" s="1"/>
  <c r="CZ326" i="3"/>
  <c r="CZ327" i="3"/>
  <c r="DB319" i="3"/>
  <c r="CQ480" i="3"/>
  <c r="CQ481" i="3" s="1"/>
  <c r="CQ482" i="3"/>
  <c r="CQ484" i="3"/>
  <c r="CQ490" i="3"/>
  <c r="CQ9" i="2"/>
  <c r="CQ8" i="2" s="1"/>
  <c r="CP70" i="4"/>
  <c r="CW306" i="3"/>
  <c r="CQ20" i="3"/>
  <c r="CQ34" i="2"/>
  <c r="CQ61" i="4"/>
  <c r="CQ51" i="2"/>
  <c r="CQ50" i="2"/>
  <c r="CQ52" i="2"/>
  <c r="CR7" i="2"/>
  <c r="CY464" i="3"/>
  <c r="CY465" i="3"/>
  <c r="CS9" i="2"/>
  <c r="CS8" i="2" s="1"/>
  <c r="CS490" i="3"/>
  <c r="CS484" i="3"/>
  <c r="CS480" i="3"/>
  <c r="CS481" i="3" s="1"/>
  <c r="CS482" i="3"/>
  <c r="CR198" i="3"/>
  <c r="CR18" i="3"/>
  <c r="CR64" i="3"/>
  <c r="CR479" i="3"/>
  <c r="CR315" i="3"/>
  <c r="CU28" i="3"/>
  <c r="CU29" i="3"/>
  <c r="CS20" i="3"/>
  <c r="CS34" i="2"/>
  <c r="CS61" i="4"/>
  <c r="CS51" i="2"/>
  <c r="CS50" i="2"/>
  <c r="CS52" i="2"/>
  <c r="DB455" i="3"/>
  <c r="DB303" i="3" s="1"/>
  <c r="DA304" i="3"/>
  <c r="DA23" i="3"/>
  <c r="DA306" i="3" s="1"/>
  <c r="CV469" i="3"/>
  <c r="CV474" i="3"/>
  <c r="CV475" i="3" s="1"/>
  <c r="DA456" i="3"/>
  <c r="DA463" i="3"/>
  <c r="DA464" i="3" s="1"/>
  <c r="DA327" i="3"/>
  <c r="DA326" i="3"/>
  <c r="DA322" i="3"/>
  <c r="DA323" i="3" s="1"/>
  <c r="CU17" i="3"/>
  <c r="CU10" i="3"/>
  <c r="CU11" i="3"/>
  <c r="CN64" i="8"/>
  <c r="CY312" i="3"/>
  <c r="CX464" i="3"/>
  <c r="DB347" i="3"/>
  <c r="DB342" i="3"/>
  <c r="DB343" i="3" s="1"/>
  <c r="DB325" i="3"/>
  <c r="CZ303" i="3"/>
  <c r="DA305" i="3" s="1"/>
  <c r="CX305" i="3"/>
  <c r="CX23" i="3"/>
  <c r="CX306" i="3" s="1"/>
  <c r="CX304" i="3"/>
  <c r="DA312" i="3" l="1"/>
  <c r="CP82" i="4"/>
  <c r="CW474" i="3"/>
  <c r="CW471" i="3" s="1"/>
  <c r="CW472" i="3" s="1"/>
  <c r="CQ62" i="4"/>
  <c r="CR8" i="2"/>
  <c r="DB304" i="3"/>
  <c r="CY468" i="3"/>
  <c r="CY24" i="3"/>
  <c r="CY25" i="3"/>
  <c r="CY190" i="3"/>
  <c r="CW64" i="3"/>
  <c r="CW198" i="3"/>
  <c r="CW18" i="3"/>
  <c r="CW479" i="3"/>
  <c r="CR480" i="3"/>
  <c r="CR481" i="3" s="1"/>
  <c r="CR490" i="3"/>
  <c r="CR491" i="3" s="1"/>
  <c r="CR482" i="3"/>
  <c r="CR484" i="3"/>
  <c r="CR9" i="2"/>
  <c r="CZ308" i="3"/>
  <c r="CZ31" i="3"/>
  <c r="CZ314" i="3"/>
  <c r="CZ313" i="3"/>
  <c r="DA190" i="3"/>
  <c r="DA24" i="3"/>
  <c r="DA468" i="3"/>
  <c r="DB458" i="3"/>
  <c r="DB456" i="3"/>
  <c r="CR61" i="4"/>
  <c r="CQ26" i="4"/>
  <c r="CQ10" i="4"/>
  <c r="DA465" i="3"/>
  <c r="CZ465" i="3"/>
  <c r="CZ464" i="3"/>
  <c r="CX190" i="3"/>
  <c r="CX25" i="3"/>
  <c r="CX24" i="3"/>
  <c r="CX468" i="3"/>
  <c r="DA308" i="3"/>
  <c r="DA31" i="3"/>
  <c r="DA313" i="3"/>
  <c r="DA314" i="3"/>
  <c r="CT9" i="2"/>
  <c r="CT482" i="3"/>
  <c r="CT480" i="3"/>
  <c r="CT481" i="3" s="1"/>
  <c r="CT484" i="3"/>
  <c r="CT490" i="3"/>
  <c r="CS491" i="3"/>
  <c r="CS492" i="3"/>
  <c r="CT20" i="3"/>
  <c r="CT61" i="4"/>
  <c r="CT34" i="2"/>
  <c r="CT50" i="2"/>
  <c r="CT51" i="2"/>
  <c r="CT52" i="2"/>
  <c r="CQ35" i="2"/>
  <c r="CQ48" i="2"/>
  <c r="CQ49" i="2" s="1"/>
  <c r="CQ14" i="2"/>
  <c r="CW315" i="3"/>
  <c r="CX310" i="3"/>
  <c r="CX309" i="3"/>
  <c r="CY314" i="3"/>
  <c r="CY308" i="3"/>
  <c r="CY313" i="3"/>
  <c r="CY31" i="3"/>
  <c r="CU64" i="3"/>
  <c r="CU18" i="3"/>
  <c r="CU7" i="2"/>
  <c r="CU198" i="3"/>
  <c r="CU19" i="3"/>
  <c r="CU479" i="3"/>
  <c r="CU315" i="3"/>
  <c r="CQ491" i="3"/>
  <c r="CQ492" i="3"/>
  <c r="CS494" i="3"/>
  <c r="CS488" i="3"/>
  <c r="CS485" i="3"/>
  <c r="CZ304" i="3"/>
  <c r="CZ305" i="3"/>
  <c r="CZ23" i="3"/>
  <c r="DB23" i="3" s="1"/>
  <c r="DB326" i="3"/>
  <c r="DB322" i="3"/>
  <c r="DB323" i="3" s="1"/>
  <c r="CS35" i="2"/>
  <c r="CS48" i="2"/>
  <c r="CS49" i="2" s="1"/>
  <c r="CS14" i="2"/>
  <c r="CQ485" i="3"/>
  <c r="CQ488" i="3"/>
  <c r="CQ494" i="3"/>
  <c r="CX33" i="3"/>
  <c r="CX32" i="3"/>
  <c r="CX9" i="3"/>
  <c r="CX27" i="3"/>
  <c r="CS62" i="4"/>
  <c r="DB463" i="3"/>
  <c r="DB312" i="3" s="1"/>
  <c r="CV64" i="3"/>
  <c r="CV7" i="2"/>
  <c r="CV479" i="3"/>
  <c r="CV18" i="3"/>
  <c r="CV198" i="3"/>
  <c r="CV19" i="3"/>
  <c r="CV315" i="3"/>
  <c r="CS10" i="4"/>
  <c r="CS26" i="4"/>
  <c r="CR20" i="3"/>
  <c r="CR34" i="2"/>
  <c r="CR51" i="2"/>
  <c r="CR50" i="2"/>
  <c r="CR52" i="2"/>
  <c r="CW475" i="3" l="1"/>
  <c r="CZ306" i="3"/>
  <c r="DB468" i="3"/>
  <c r="DB469" i="3" s="1"/>
  <c r="DB190" i="3"/>
  <c r="DB24" i="3"/>
  <c r="DB306" i="3"/>
  <c r="CT35" i="2"/>
  <c r="CT48" i="2"/>
  <c r="CT49" i="2" s="1"/>
  <c r="CT14" i="2"/>
  <c r="CR10" i="4"/>
  <c r="CS17" i="5" s="1"/>
  <c r="CQ66" i="4"/>
  <c r="CQ17" i="5"/>
  <c r="CR17" i="5" s="1"/>
  <c r="CQ78" i="4"/>
  <c r="CR78" i="4" s="1"/>
  <c r="CR26" i="4"/>
  <c r="CS20" i="5" s="1"/>
  <c r="CQ20" i="5"/>
  <c r="CR20" i="5" s="1"/>
  <c r="CW482" i="3"/>
  <c r="CW490" i="3"/>
  <c r="CW491" i="3" s="1"/>
  <c r="CW480" i="3"/>
  <c r="CW481" i="3" s="1"/>
  <c r="CW484" i="3"/>
  <c r="CW9" i="2"/>
  <c r="CQ487" i="3"/>
  <c r="CQ486" i="3"/>
  <c r="CS53" i="2"/>
  <c r="CS54" i="2" s="1"/>
  <c r="CS60" i="8"/>
  <c r="CS39" i="2"/>
  <c r="CS55" i="2"/>
  <c r="DA27" i="3"/>
  <c r="DA33" i="3"/>
  <c r="DA32" i="3"/>
  <c r="DA9" i="3"/>
  <c r="CV484" i="3"/>
  <c r="CV490" i="3"/>
  <c r="CV482" i="3"/>
  <c r="CV480" i="3"/>
  <c r="CV481" i="3" s="1"/>
  <c r="CV9" i="2"/>
  <c r="CV8" i="2" s="1"/>
  <c r="DA309" i="3"/>
  <c r="DA310" i="3"/>
  <c r="DA25" i="3"/>
  <c r="DB313" i="3"/>
  <c r="DB308" i="3"/>
  <c r="DB309" i="3" s="1"/>
  <c r="CT8" i="2"/>
  <c r="DA469" i="3"/>
  <c r="DA474" i="3"/>
  <c r="DA475" i="3" s="1"/>
  <c r="CY32" i="3"/>
  <c r="CY9" i="3"/>
  <c r="CY33" i="3"/>
  <c r="CY27" i="3"/>
  <c r="CT26" i="4"/>
  <c r="CT10" i="4"/>
  <c r="CX469" i="3"/>
  <c r="CX474" i="3"/>
  <c r="CS78" i="4"/>
  <c r="CX29" i="3"/>
  <c r="CX28" i="3"/>
  <c r="CY310" i="3"/>
  <c r="CY309" i="3"/>
  <c r="CY474" i="3"/>
  <c r="CY475" i="3" s="1"/>
  <c r="CY469" i="3"/>
  <c r="CV20" i="3"/>
  <c r="CV34" i="2"/>
  <c r="CV61" i="4"/>
  <c r="CV51" i="2"/>
  <c r="CV50" i="2"/>
  <c r="CV52" i="2"/>
  <c r="CR66" i="2"/>
  <c r="DB464" i="3"/>
  <c r="DB460" i="3"/>
  <c r="DB461" i="3" s="1"/>
  <c r="CZ190" i="3"/>
  <c r="CZ468" i="3"/>
  <c r="CZ24" i="3"/>
  <c r="CZ25" i="3"/>
  <c r="CS486" i="3"/>
  <c r="CS487" i="3"/>
  <c r="CT492" i="3"/>
  <c r="CT491" i="3"/>
  <c r="CZ9" i="3"/>
  <c r="CZ32" i="3"/>
  <c r="CZ27" i="3"/>
  <c r="CZ33" i="3"/>
  <c r="CU20" i="3"/>
  <c r="CU34" i="2"/>
  <c r="CU61" i="4"/>
  <c r="CU51" i="2"/>
  <c r="CU50" i="2"/>
  <c r="CU52" i="2"/>
  <c r="CW7" i="2"/>
  <c r="CS25" i="4"/>
  <c r="CS11" i="4"/>
  <c r="DB31" i="3"/>
  <c r="CS496" i="3"/>
  <c r="CS495" i="3"/>
  <c r="CT488" i="3"/>
  <c r="CT494" i="3"/>
  <c r="CT485" i="3"/>
  <c r="CZ309" i="3"/>
  <c r="CZ310" i="3"/>
  <c r="CS66" i="4"/>
  <c r="CX11" i="3"/>
  <c r="CX17" i="3"/>
  <c r="CX10" i="3"/>
  <c r="CQ495" i="3"/>
  <c r="CQ496" i="3"/>
  <c r="CR48" i="2"/>
  <c r="CR49" i="2" s="1"/>
  <c r="CR35" i="2"/>
  <c r="CR75" i="2"/>
  <c r="CR14" i="2"/>
  <c r="CU9" i="2"/>
  <c r="CU8" i="2" s="1"/>
  <c r="CU484" i="3"/>
  <c r="CU480" i="3"/>
  <c r="CU481" i="3" s="1"/>
  <c r="CU482" i="3"/>
  <c r="CU490" i="3"/>
  <c r="CQ60" i="8"/>
  <c r="CQ53" i="2"/>
  <c r="CQ54" i="2" s="1"/>
  <c r="CQ39" i="2"/>
  <c r="CQ55" i="2"/>
  <c r="CR494" i="3"/>
  <c r="CR495" i="3" s="1"/>
  <c r="CR488" i="3"/>
  <c r="CR485" i="3"/>
  <c r="CR62" i="4"/>
  <c r="CQ25" i="4"/>
  <c r="CQ11" i="4"/>
  <c r="CU62" i="4" l="1"/>
  <c r="CU11" i="4" s="1"/>
  <c r="DB9" i="3"/>
  <c r="CV62" i="4"/>
  <c r="CW62" i="4" s="1"/>
  <c r="CQ63" i="8"/>
  <c r="CQ61" i="8"/>
  <c r="CR61" i="8" s="1"/>
  <c r="CS59" i="8" s="1"/>
  <c r="CR60" i="8"/>
  <c r="CT486" i="3"/>
  <c r="CT487" i="3"/>
  <c r="DB27" i="3"/>
  <c r="DB28" i="3" s="1"/>
  <c r="DB32" i="3"/>
  <c r="CY10" i="3"/>
  <c r="CY11" i="3"/>
  <c r="CY17" i="3"/>
  <c r="DA11" i="3"/>
  <c r="DA10" i="3"/>
  <c r="DA17" i="3"/>
  <c r="CS70" i="4"/>
  <c r="CS31" i="4"/>
  <c r="CS38" i="4" s="1"/>
  <c r="CS74" i="4"/>
  <c r="CW20" i="3"/>
  <c r="CW34" i="2"/>
  <c r="CW50" i="2"/>
  <c r="CW51" i="2"/>
  <c r="CW52" i="2"/>
  <c r="DA29" i="3"/>
  <c r="DA28" i="3"/>
  <c r="DB10" i="3"/>
  <c r="DB17" i="3"/>
  <c r="CT62" i="4"/>
  <c r="CW8" i="2"/>
  <c r="CR66" i="4"/>
  <c r="CS63" i="8"/>
  <c r="CT55" i="2"/>
  <c r="CT39" i="2"/>
  <c r="CT60" i="8"/>
  <c r="CT63" i="8" s="1"/>
  <c r="CT64" i="8" s="1"/>
  <c r="CT53" i="2"/>
  <c r="CT54" i="2" s="1"/>
  <c r="CU491" i="3"/>
  <c r="CU492" i="3"/>
  <c r="CU26" i="4"/>
  <c r="CU10" i="4"/>
  <c r="CU17" i="5" s="1"/>
  <c r="CX475" i="3"/>
  <c r="CZ469" i="3"/>
  <c r="CZ474" i="3"/>
  <c r="CZ475" i="3" s="1"/>
  <c r="CV35" i="2"/>
  <c r="CV48" i="2"/>
  <c r="CV49" i="2" s="1"/>
  <c r="CV14" i="2"/>
  <c r="CT495" i="3"/>
  <c r="CT496" i="3"/>
  <c r="CT17" i="5"/>
  <c r="CT66" i="4"/>
  <c r="CW35" i="2"/>
  <c r="CW14" i="2"/>
  <c r="CW48" i="2"/>
  <c r="CW49" i="2" s="1"/>
  <c r="CW75" i="2"/>
  <c r="CQ31" i="4"/>
  <c r="CR25" i="4"/>
  <c r="CS19" i="5" s="1"/>
  <c r="CQ74" i="4"/>
  <c r="CR74" i="4" s="1"/>
  <c r="CQ19" i="5"/>
  <c r="CR19" i="5" s="1"/>
  <c r="CU35" i="2"/>
  <c r="CU48" i="2"/>
  <c r="CU49" i="2" s="1"/>
  <c r="CU14" i="2"/>
  <c r="CZ28" i="3"/>
  <c r="CZ29" i="3"/>
  <c r="CT20" i="5"/>
  <c r="CT78" i="4"/>
  <c r="CW485" i="3"/>
  <c r="CW494" i="3"/>
  <c r="CW495" i="3" s="1"/>
  <c r="CW488" i="3"/>
  <c r="CQ70" i="4"/>
  <c r="CR70" i="4" s="1"/>
  <c r="CR11" i="4"/>
  <c r="CS18" i="5" s="1"/>
  <c r="CQ18" i="5"/>
  <c r="CR18" i="5" s="1"/>
  <c r="CU485" i="3"/>
  <c r="CU494" i="3"/>
  <c r="CU488" i="3"/>
  <c r="CR55" i="2"/>
  <c r="CR53" i="2"/>
  <c r="CR54" i="2" s="1"/>
  <c r="CR39" i="2"/>
  <c r="CY29" i="3"/>
  <c r="CY28" i="3"/>
  <c r="CV491" i="3"/>
  <c r="CV492" i="3"/>
  <c r="CX64" i="3"/>
  <c r="CX18" i="3"/>
  <c r="CX19" i="3"/>
  <c r="CX7" i="2"/>
  <c r="CX198" i="3"/>
  <c r="CX479" i="3"/>
  <c r="CX315" i="3"/>
  <c r="CR486" i="3"/>
  <c r="CR487" i="3"/>
  <c r="CZ17" i="3"/>
  <c r="CZ10" i="3"/>
  <c r="CZ11" i="3"/>
  <c r="CV10" i="4"/>
  <c r="CW61" i="4"/>
  <c r="CV26" i="4"/>
  <c r="CV494" i="3"/>
  <c r="CV485" i="3"/>
  <c r="CV488" i="3"/>
  <c r="CU25" i="4" l="1"/>
  <c r="CU31" i="4" s="1"/>
  <c r="CU38" i="4" s="1"/>
  <c r="CV11" i="4"/>
  <c r="CW11" i="4" s="1"/>
  <c r="CV25" i="4"/>
  <c r="DA64" i="3"/>
  <c r="DA198" i="3"/>
  <c r="DA18" i="3"/>
  <c r="DA7" i="2"/>
  <c r="DA19" i="3"/>
  <c r="DA479" i="3"/>
  <c r="DA315" i="3"/>
  <c r="CV55" i="2"/>
  <c r="CV39" i="2"/>
  <c r="CV60" i="8"/>
  <c r="CV63" i="8" s="1"/>
  <c r="CV64" i="8" s="1"/>
  <c r="CV53" i="2"/>
  <c r="CV54" i="2" s="1"/>
  <c r="CY7" i="2"/>
  <c r="CY479" i="3"/>
  <c r="CY198" i="3"/>
  <c r="CY64" i="3"/>
  <c r="CY19" i="3"/>
  <c r="CY18" i="3"/>
  <c r="CY315" i="3"/>
  <c r="CV495" i="3"/>
  <c r="CV496" i="3"/>
  <c r="CW66" i="2"/>
  <c r="CZ64" i="3"/>
  <c r="CZ18" i="3"/>
  <c r="CZ7" i="2"/>
  <c r="CZ198" i="3"/>
  <c r="CZ19" i="3"/>
  <c r="CZ479" i="3"/>
  <c r="CZ315" i="3"/>
  <c r="CU39" i="2"/>
  <c r="CU53" i="2"/>
  <c r="CU54" i="2" s="1"/>
  <c r="CU60" i="8"/>
  <c r="CU63" i="8" s="1"/>
  <c r="CU64" i="8" s="1"/>
  <c r="CU55" i="2"/>
  <c r="CS64" i="8"/>
  <c r="CX9" i="2"/>
  <c r="CX480" i="3"/>
  <c r="CX481" i="3" s="1"/>
  <c r="CX482" i="3"/>
  <c r="CX484" i="3"/>
  <c r="CX490" i="3"/>
  <c r="CR31" i="4"/>
  <c r="CR38" i="4" s="1"/>
  <c r="CQ38" i="4"/>
  <c r="CQ82" i="4"/>
  <c r="CX20" i="3"/>
  <c r="CX34" i="2"/>
  <c r="CX61" i="4"/>
  <c r="CX50" i="2"/>
  <c r="CX51" i="2"/>
  <c r="CX52" i="2"/>
  <c r="CU496" i="3"/>
  <c r="CU495" i="3"/>
  <c r="CU487" i="3"/>
  <c r="CU486" i="3"/>
  <c r="CV18" i="5"/>
  <c r="DB474" i="3"/>
  <c r="DB479" i="3" s="1"/>
  <c r="CV487" i="3"/>
  <c r="CV486" i="3"/>
  <c r="CV17" i="5"/>
  <c r="CW17" i="5" s="1"/>
  <c r="CU66" i="4"/>
  <c r="CV20" i="5"/>
  <c r="CW26" i="4"/>
  <c r="CV78" i="4"/>
  <c r="CW78" i="4" s="1"/>
  <c r="CU78" i="4"/>
  <c r="CU20" i="5"/>
  <c r="CS61" i="8"/>
  <c r="CT59" i="8" s="1"/>
  <c r="CT61" i="8" s="1"/>
  <c r="CU59" i="8" s="1"/>
  <c r="CW59" i="8"/>
  <c r="CW53" i="2"/>
  <c r="CW54" i="2" s="1"/>
  <c r="CW39" i="2"/>
  <c r="CW55" i="2"/>
  <c r="CQ64" i="8"/>
  <c r="CR64" i="8" s="1"/>
  <c r="CR63" i="8"/>
  <c r="CW486" i="3"/>
  <c r="CW487" i="3"/>
  <c r="CV66" i="4"/>
  <c r="CW10" i="4"/>
  <c r="CT25" i="4"/>
  <c r="CT11" i="4"/>
  <c r="DB198" i="3"/>
  <c r="DB64" i="3"/>
  <c r="DB18" i="3"/>
  <c r="DB315" i="3"/>
  <c r="CV31" i="4"/>
  <c r="CW25" i="4"/>
  <c r="CS82" i="4"/>
  <c r="CV74" i="4" l="1"/>
  <c r="CW74" i="4" s="1"/>
  <c r="CV19" i="5"/>
  <c r="CU61" i="8"/>
  <c r="CV59" i="8" s="1"/>
  <c r="CV61" i="8" s="1"/>
  <c r="CW61" i="8" s="1"/>
  <c r="CX59" i="8" s="1"/>
  <c r="DB59" i="8" s="1"/>
  <c r="DB7" i="2"/>
  <c r="DB20" i="3" s="1"/>
  <c r="CW64" i="8"/>
  <c r="CW20" i="5"/>
  <c r="CT70" i="4"/>
  <c r="CU18" i="5"/>
  <c r="CT18" i="5"/>
  <c r="CT74" i="4"/>
  <c r="CT31" i="4"/>
  <c r="CT38" i="4" s="1"/>
  <c r="CT19" i="5"/>
  <c r="CZ484" i="3"/>
  <c r="CZ490" i="3"/>
  <c r="CZ480" i="3"/>
  <c r="CZ481" i="3" s="1"/>
  <c r="CZ482" i="3"/>
  <c r="CZ9" i="2"/>
  <c r="CZ8" i="2" s="1"/>
  <c r="CY61" i="4"/>
  <c r="CY34" i="2"/>
  <c r="CY50" i="2"/>
  <c r="CY51" i="2"/>
  <c r="CY52" i="2"/>
  <c r="CX492" i="3"/>
  <c r="CX491" i="3"/>
  <c r="CW31" i="4"/>
  <c r="CW38" i="4" s="1"/>
  <c r="CV38" i="4"/>
  <c r="CX494" i="3"/>
  <c r="CX485" i="3"/>
  <c r="CX488" i="3"/>
  <c r="CU70" i="4"/>
  <c r="CZ20" i="3"/>
  <c r="CZ34" i="2"/>
  <c r="CZ61" i="4"/>
  <c r="CZ51" i="2"/>
  <c r="CZ52" i="2"/>
  <c r="CZ50" i="2"/>
  <c r="CX48" i="2"/>
  <c r="CX49" i="2" s="1"/>
  <c r="CX35" i="2"/>
  <c r="CX14" i="2"/>
  <c r="CW66" i="4"/>
  <c r="CW60" i="8"/>
  <c r="CW63" i="8"/>
  <c r="DB480" i="3"/>
  <c r="DB481" i="3" s="1"/>
  <c r="DB490" i="3"/>
  <c r="DB491" i="3" s="1"/>
  <c r="DB482" i="3"/>
  <c r="DB484" i="3"/>
  <c r="DB9" i="2"/>
  <c r="CU19" i="5"/>
  <c r="DA484" i="3"/>
  <c r="DA490" i="3"/>
  <c r="DA9" i="2"/>
  <c r="DA8" i="2" s="1"/>
  <c r="DA482" i="3"/>
  <c r="DA480" i="3"/>
  <c r="DA481" i="3" s="1"/>
  <c r="CX10" i="4"/>
  <c r="CX17" i="5" s="1"/>
  <c r="CX26" i="4"/>
  <c r="CX78" i="4" s="1"/>
  <c r="CX8" i="2"/>
  <c r="CY20" i="3"/>
  <c r="DA20" i="3"/>
  <c r="DA34" i="2"/>
  <c r="DA61" i="4"/>
  <c r="DA50" i="2"/>
  <c r="DA51" i="2"/>
  <c r="DA52" i="2"/>
  <c r="CU74" i="4"/>
  <c r="CV70" i="4"/>
  <c r="CW70" i="4" s="1"/>
  <c r="DB471" i="3"/>
  <c r="DB472" i="3" s="1"/>
  <c r="DB475" i="3"/>
  <c r="CY484" i="3"/>
  <c r="CY480" i="3"/>
  <c r="CY481" i="3" s="1"/>
  <c r="CY9" i="2"/>
  <c r="CY8" i="2" s="1"/>
  <c r="CY490" i="3"/>
  <c r="CY482" i="3"/>
  <c r="DB52" i="2" l="1"/>
  <c r="DB50" i="2"/>
  <c r="DB51" i="2"/>
  <c r="DB34" i="2"/>
  <c r="CW18" i="5"/>
  <c r="CV82" i="4"/>
  <c r="CY62" i="4"/>
  <c r="CY25" i="4" s="1"/>
  <c r="DA491" i="3"/>
  <c r="DA492" i="3"/>
  <c r="DA10" i="4"/>
  <c r="DB61" i="4"/>
  <c r="DA26" i="4"/>
  <c r="CX20" i="5"/>
  <c r="DA488" i="3"/>
  <c r="DA485" i="3"/>
  <c r="DA494" i="3"/>
  <c r="DA62" i="4"/>
  <c r="CU82" i="4"/>
  <c r="CY10" i="4"/>
  <c r="CY17" i="5" s="1"/>
  <c r="CY26" i="4"/>
  <c r="CZ48" i="2"/>
  <c r="CZ49" i="2" s="1"/>
  <c r="CZ35" i="2"/>
  <c r="CZ14" i="2"/>
  <c r="CY485" i="3"/>
  <c r="CY488" i="3"/>
  <c r="CY494" i="3"/>
  <c r="CX60" i="8"/>
  <c r="CX55" i="2"/>
  <c r="CX53" i="2"/>
  <c r="CX54" i="2" s="1"/>
  <c r="CX39" i="2"/>
  <c r="CX487" i="3"/>
  <c r="CX486" i="3"/>
  <c r="CZ492" i="3"/>
  <c r="CZ491" i="3"/>
  <c r="CX495" i="3"/>
  <c r="CX496" i="3"/>
  <c r="CZ488" i="3"/>
  <c r="CZ485" i="3"/>
  <c r="CZ494" i="3"/>
  <c r="DB8" i="2"/>
  <c r="CX62" i="4"/>
  <c r="DB75" i="2"/>
  <c r="DB35" i="2"/>
  <c r="DB48" i="2"/>
  <c r="DB49" i="2" s="1"/>
  <c r="DB14" i="2"/>
  <c r="DB494" i="3"/>
  <c r="DB495" i="3" s="1"/>
  <c r="DB488" i="3"/>
  <c r="DB485" i="3"/>
  <c r="CW19" i="5"/>
  <c r="CZ62" i="4"/>
  <c r="CX66" i="4"/>
  <c r="CY492" i="3"/>
  <c r="CY491" i="3"/>
  <c r="CY35" i="2"/>
  <c r="CY48" i="2"/>
  <c r="CY49" i="2" s="1"/>
  <c r="CY14" i="2"/>
  <c r="DA35" i="2"/>
  <c r="DA48" i="2"/>
  <c r="DA49" i="2" s="1"/>
  <c r="DA14" i="2"/>
  <c r="CZ10" i="4"/>
  <c r="CZ26" i="4"/>
  <c r="CT82" i="4"/>
  <c r="DB66" i="2" l="1"/>
  <c r="CY11" i="4"/>
  <c r="DA487" i="3"/>
  <c r="DA486" i="3"/>
  <c r="CX63" i="8"/>
  <c r="CX61" i="8"/>
  <c r="CY59" i="8" s="1"/>
  <c r="DA20" i="5"/>
  <c r="DB26" i="4"/>
  <c r="DA78" i="4"/>
  <c r="DB78" i="4" s="1"/>
  <c r="CY495" i="3"/>
  <c r="CY496" i="3"/>
  <c r="DB10" i="4"/>
  <c r="DA66" i="4"/>
  <c r="CZ60" i="8"/>
  <c r="CZ63" i="8" s="1"/>
  <c r="CZ64" i="8" s="1"/>
  <c r="CZ55" i="2"/>
  <c r="CZ53" i="2"/>
  <c r="CZ54" i="2" s="1"/>
  <c r="CZ39" i="2"/>
  <c r="CZ25" i="4"/>
  <c r="CZ11" i="4"/>
  <c r="CY487" i="3"/>
  <c r="CY486" i="3"/>
  <c r="CY60" i="8"/>
  <c r="CY63" i="8" s="1"/>
  <c r="CY64" i="8" s="1"/>
  <c r="CY55" i="2"/>
  <c r="CY53" i="2"/>
  <c r="CY54" i="2" s="1"/>
  <c r="CY39" i="2"/>
  <c r="CY20" i="5"/>
  <c r="CY78" i="4"/>
  <c r="CZ78" i="4"/>
  <c r="CZ20" i="5"/>
  <c r="DA17" i="5"/>
  <c r="CZ66" i="4"/>
  <c r="CY66" i="4"/>
  <c r="CZ17" i="5"/>
  <c r="DB486" i="3"/>
  <c r="DB487" i="3"/>
  <c r="DB39" i="2"/>
  <c r="DB53" i="2"/>
  <c r="DB54" i="2" s="1"/>
  <c r="DB55" i="2"/>
  <c r="CX25" i="4"/>
  <c r="CY19" i="5" s="1"/>
  <c r="CX11" i="4"/>
  <c r="CY70" i="4" s="1"/>
  <c r="CZ496" i="3"/>
  <c r="CZ495" i="3"/>
  <c r="DA53" i="2"/>
  <c r="DA54" i="2" s="1"/>
  <c r="DA60" i="8"/>
  <c r="DA63" i="8" s="1"/>
  <c r="DA64" i="8" s="1"/>
  <c r="DA39" i="2"/>
  <c r="DA55" i="2"/>
  <c r="CZ487" i="3"/>
  <c r="CZ486" i="3"/>
  <c r="DA25" i="4"/>
  <c r="DB62" i="4"/>
  <c r="DA11" i="4"/>
  <c r="DA495" i="3"/>
  <c r="DA496" i="3"/>
  <c r="CY31" i="4"/>
  <c r="CY38" i="4" s="1"/>
  <c r="CY61" i="8" l="1"/>
  <c r="CZ59" i="8" s="1"/>
  <c r="CZ61" i="8" s="1"/>
  <c r="DA59" i="8" s="1"/>
  <c r="DA61" i="8" s="1"/>
  <c r="DB61" i="8" s="1"/>
  <c r="DB17" i="5"/>
  <c r="DB20" i="5"/>
  <c r="CZ18" i="5"/>
  <c r="CZ70" i="4"/>
  <c r="DB66" i="4"/>
  <c r="CY74" i="4"/>
  <c r="CY82" i="4" s="1"/>
  <c r="CZ31" i="4"/>
  <c r="CZ38" i="4" s="1"/>
  <c r="CZ74" i="4"/>
  <c r="CZ19" i="5"/>
  <c r="CX70" i="4"/>
  <c r="CY18" i="5"/>
  <c r="CX18" i="5"/>
  <c r="DA18" i="5"/>
  <c r="DA70" i="4"/>
  <c r="DB70" i="4" s="1"/>
  <c r="DB11" i="4"/>
  <c r="DB60" i="8"/>
  <c r="CX74" i="4"/>
  <c r="CX31" i="4"/>
  <c r="CX38" i="4" s="1"/>
  <c r="CX19" i="5"/>
  <c r="CX64" i="8"/>
  <c r="DB64" i="8" s="1"/>
  <c r="DB63" i="8"/>
  <c r="DA31" i="4"/>
  <c r="DB25" i="4"/>
  <c r="DA19" i="5"/>
  <c r="DA74" i="4"/>
  <c r="DB74" i="4" s="1"/>
  <c r="DB19" i="5" l="1"/>
  <c r="DB18" i="5"/>
  <c r="CX82" i="4"/>
  <c r="DA38" i="4"/>
  <c r="DB31" i="4"/>
  <c r="DA82" i="4"/>
  <c r="CZ82" i="4"/>
  <c r="DB38" i="4" l="1"/>
  <c r="BH85" i="4"/>
  <c r="BH91" i="4"/>
  <c r="BJ54" i="4"/>
  <c r="BN54" i="4" s="1"/>
  <c r="BH55" i="4"/>
  <c r="BI55" i="4" s="1"/>
  <c r="BI57" i="4" s="1"/>
  <c r="BJ55" i="4"/>
  <c r="BJ25" i="2"/>
  <c r="BJ36" i="5" s="1"/>
  <c r="BJ43" i="4" l="1"/>
  <c r="BJ57" i="4"/>
  <c r="BK54" i="4" s="1"/>
  <c r="BJ28" i="2"/>
  <c r="BK25" i="2"/>
  <c r="BK55" i="4"/>
  <c r="BL55" i="4" s="1"/>
  <c r="BM55" i="4" s="1"/>
  <c r="BN55" i="4" s="1"/>
  <c r="BN57" i="4" s="1"/>
  <c r="BJ26" i="2"/>
  <c r="BK57" i="4" l="1"/>
  <c r="BL54" i="4" s="1"/>
  <c r="BL57" i="4" s="1"/>
  <c r="BM54" i="4" s="1"/>
  <c r="BM57" i="4" s="1"/>
  <c r="BJ29" i="2"/>
  <c r="BJ45" i="2" s="1"/>
  <c r="BK26" i="2"/>
  <c r="BL26" i="2" s="1"/>
  <c r="BM26" i="2" s="1"/>
  <c r="BO55" i="4"/>
  <c r="BO54" i="4"/>
  <c r="BL25" i="2"/>
  <c r="BK36" i="5"/>
  <c r="BK38" i="5" l="1"/>
  <c r="BP55" i="4"/>
  <c r="BQ55" i="4" s="1"/>
  <c r="BR55" i="4" s="1"/>
  <c r="BO57" i="4"/>
  <c r="BP54" i="4" s="1"/>
  <c r="BS54" i="4"/>
  <c r="BM25" i="2"/>
  <c r="BL36" i="5"/>
  <c r="BL38" i="5" s="1"/>
  <c r="BO26" i="2"/>
  <c r="BN26" i="2"/>
  <c r="AE27" i="7" s="1"/>
  <c r="BN25" i="2"/>
  <c r="BP57" i="4" l="1"/>
  <c r="BQ54" i="4" s="1"/>
  <c r="BQ57" i="4" s="1"/>
  <c r="BR54" i="4" s="1"/>
  <c r="BR57" i="4" s="1"/>
  <c r="AE28" i="7"/>
  <c r="AE12" i="7"/>
  <c r="BO25" i="2"/>
  <c r="BM36" i="5"/>
  <c r="BM38" i="5" s="1"/>
  <c r="BP26" i="2"/>
  <c r="BQ26" i="2" s="1"/>
  <c r="BR26" i="2" s="1"/>
  <c r="BS55" i="4"/>
  <c r="BS57" i="4" s="1"/>
  <c r="BN36" i="5"/>
  <c r="BT55" i="4"/>
  <c r="BT54" i="4"/>
  <c r="BS26" i="2" l="1"/>
  <c r="AF27" i="7" s="1"/>
  <c r="AF28" i="7" s="1"/>
  <c r="BU55" i="4"/>
  <c r="BV55" i="4" s="1"/>
  <c r="BW55" i="4" s="1"/>
  <c r="BX54" i="4"/>
  <c r="BT57" i="4"/>
  <c r="BU54" i="4" s="1"/>
  <c r="BU57" i="4" s="1"/>
  <c r="BV54" i="4" s="1"/>
  <c r="BV57" i="4" s="1"/>
  <c r="BW54" i="4" s="1"/>
  <c r="BW57" i="4" s="1"/>
  <c r="AF12" i="7"/>
  <c r="BT26" i="2"/>
  <c r="BO36" i="5"/>
  <c r="BP25" i="2"/>
  <c r="BP36" i="5" l="1"/>
  <c r="BP38" i="5" s="1"/>
  <c r="BQ25" i="2"/>
  <c r="BO38" i="5"/>
  <c r="BY55" i="4"/>
  <c r="BY54" i="4"/>
  <c r="BU26" i="2"/>
  <c r="BV26" i="2" s="1"/>
  <c r="BW26" i="2" s="1"/>
  <c r="BX55" i="4"/>
  <c r="BX57" i="4" s="1"/>
  <c r="BY26" i="2" l="1"/>
  <c r="BZ55" i="4"/>
  <c r="CA55" i="4" s="1"/>
  <c r="CB55" i="4" s="1"/>
  <c r="BX26" i="2"/>
  <c r="BY57" i="4"/>
  <c r="BZ54" i="4" s="1"/>
  <c r="CC54" i="4"/>
  <c r="BQ36" i="5"/>
  <c r="BR25" i="2"/>
  <c r="BQ38" i="5" l="1"/>
  <c r="BR36" i="5"/>
  <c r="BR38" i="5" s="1"/>
  <c r="BT25" i="2"/>
  <c r="CC55" i="4"/>
  <c r="CC57" i="4" s="1"/>
  <c r="BS25" i="2"/>
  <c r="BZ57" i="4"/>
  <c r="CA54" i="4" s="1"/>
  <c r="CA57" i="4" s="1"/>
  <c r="CB54" i="4" s="1"/>
  <c r="CB57" i="4" s="1"/>
  <c r="BZ26" i="2"/>
  <c r="CA26" i="2" s="1"/>
  <c r="CB26" i="2" s="1"/>
  <c r="CC26" i="2" l="1"/>
  <c r="BT36" i="5"/>
  <c r="BU25" i="2"/>
  <c r="CD55" i="4"/>
  <c r="CD54" i="4"/>
  <c r="BS36" i="5"/>
  <c r="BS38" i="5"/>
  <c r="CH54" i="4" l="1"/>
  <c r="CD57" i="4"/>
  <c r="CE54" i="4" s="1"/>
  <c r="BU36" i="5"/>
  <c r="BU38" i="5" s="1"/>
  <c r="BV25" i="2"/>
  <c r="CE55" i="4"/>
  <c r="CF55" i="4" s="1"/>
  <c r="CG55" i="4" s="1"/>
  <c r="BT38" i="5"/>
  <c r="CD26" i="2"/>
  <c r="CH55" i="4" l="1"/>
  <c r="CE26" i="2"/>
  <c r="CF26" i="2" s="1"/>
  <c r="CG26" i="2" s="1"/>
  <c r="BV36" i="5"/>
  <c r="BW25" i="2"/>
  <c r="CE57" i="4"/>
  <c r="CF54" i="4" s="1"/>
  <c r="CF57" i="4" s="1"/>
  <c r="CG54" i="4" s="1"/>
  <c r="CG57" i="4" s="1"/>
  <c r="CH57" i="4"/>
  <c r="BW36" i="5" l="1"/>
  <c r="BW38" i="5" s="1"/>
  <c r="BY25" i="2"/>
  <c r="BX25" i="2"/>
  <c r="BV38" i="5"/>
  <c r="BX38" i="5" s="1"/>
  <c r="BX36" i="5"/>
  <c r="CH26" i="2"/>
  <c r="CI54" i="4"/>
  <c r="CI55" i="4"/>
  <c r="CI26" i="2" s="1"/>
  <c r="CI57" i="4" l="1"/>
  <c r="CJ54" i="4" s="1"/>
  <c r="CM54" i="4"/>
  <c r="BY36" i="5"/>
  <c r="BZ25" i="2"/>
  <c r="CJ55" i="4"/>
  <c r="CK55" i="4" s="1"/>
  <c r="CL55" i="4" s="1"/>
  <c r="BY38" i="5" l="1"/>
  <c r="CJ26" i="2"/>
  <c r="CM55" i="4"/>
  <c r="BZ36" i="5"/>
  <c r="BZ38" i="5" s="1"/>
  <c r="CA25" i="2"/>
  <c r="CM57" i="4"/>
  <c r="CJ57" i="4"/>
  <c r="CK54" i="4" s="1"/>
  <c r="CK57" i="4" s="1"/>
  <c r="CL54" i="4" s="1"/>
  <c r="CL57" i="4" s="1"/>
  <c r="CN55" i="4" l="1"/>
  <c r="CN54" i="4"/>
  <c r="CB25" i="2"/>
  <c r="CC25" i="2" s="1"/>
  <c r="CA36" i="5"/>
  <c r="CA38" i="5" s="1"/>
  <c r="CK26" i="2"/>
  <c r="CL26" i="2" s="1"/>
  <c r="CN26" i="2" s="1"/>
  <c r="CM26" i="2" l="1"/>
  <c r="CD25" i="2"/>
  <c r="CB36" i="5"/>
  <c r="CR54" i="4"/>
  <c r="CN57" i="4"/>
  <c r="CO54" i="4" s="1"/>
  <c r="CO55" i="4"/>
  <c r="CP55" i="4" s="1"/>
  <c r="CQ55" i="4" s="1"/>
  <c r="CR55" i="4" s="1"/>
  <c r="CO57" i="4" l="1"/>
  <c r="CP54" i="4" s="1"/>
  <c r="CP57" i="4" s="1"/>
  <c r="CQ54" i="4" s="1"/>
  <c r="CQ57" i="4" s="1"/>
  <c r="CS54" i="4" s="1"/>
  <c r="CR57" i="4"/>
  <c r="CS55" i="4"/>
  <c r="CB38" i="5"/>
  <c r="CC38" i="5" s="1"/>
  <c r="CC36" i="5"/>
  <c r="CE25" i="2"/>
  <c r="CD36" i="5"/>
  <c r="CO26" i="2"/>
  <c r="CE36" i="5" l="1"/>
  <c r="CE38" i="5" s="1"/>
  <c r="CF25" i="2"/>
  <c r="CP26" i="2"/>
  <c r="CQ26" i="2" s="1"/>
  <c r="CS26" i="2" s="1"/>
  <c r="CD38" i="5"/>
  <c r="CS57" i="4"/>
  <c r="CT54" i="4" s="1"/>
  <c r="CW54" i="4"/>
  <c r="CT55" i="4"/>
  <c r="CU55" i="4" s="1"/>
  <c r="CV55" i="4" s="1"/>
  <c r="CW55" i="4" l="1"/>
  <c r="CR26" i="2"/>
  <c r="CG25" i="2"/>
  <c r="CF36" i="5"/>
  <c r="CW57" i="4"/>
  <c r="CT57" i="4"/>
  <c r="CU54" i="4" s="1"/>
  <c r="CU57" i="4" s="1"/>
  <c r="CV54" i="4" s="1"/>
  <c r="CV57" i="4" s="1"/>
  <c r="CT26" i="2"/>
  <c r="CU26" i="2" s="1"/>
  <c r="CV26" i="2" s="1"/>
  <c r="CW26" i="2" s="1"/>
  <c r="CX54" i="4" l="1"/>
  <c r="CX55" i="4"/>
  <c r="CF38" i="5"/>
  <c r="CG36" i="5"/>
  <c r="CG38" i="5" s="1"/>
  <c r="CI25" i="2"/>
  <c r="CX26" i="2"/>
  <c r="CH25" i="2"/>
  <c r="CI36" i="5" l="1"/>
  <c r="CJ25" i="2"/>
  <c r="CH36" i="5"/>
  <c r="CH38" i="5"/>
  <c r="CY55" i="4"/>
  <c r="CZ55" i="4" s="1"/>
  <c r="DA55" i="4" s="1"/>
  <c r="CX57" i="4"/>
  <c r="CY54" i="4" s="1"/>
  <c r="DB54" i="4"/>
  <c r="CY57" i="4" l="1"/>
  <c r="CZ54" i="4" s="1"/>
  <c r="CZ57" i="4" s="1"/>
  <c r="DA54" i="4" s="1"/>
  <c r="DA57" i="4" s="1"/>
  <c r="CK25" i="2"/>
  <c r="CJ36" i="5"/>
  <c r="CJ38" i="5" s="1"/>
  <c r="CY26" i="2"/>
  <c r="DB55" i="4"/>
  <c r="DB57" i="4" s="1"/>
  <c r="CI38" i="5"/>
  <c r="CZ26" i="2" l="1"/>
  <c r="DA26" i="2" s="1"/>
  <c r="CK36" i="5"/>
  <c r="CL25" i="2"/>
  <c r="CL36" i="5" l="1"/>
  <c r="CL38" i="5" s="1"/>
  <c r="CN25" i="2"/>
  <c r="CM25" i="2"/>
  <c r="CK38" i="5"/>
  <c r="CM38" i="5" s="1"/>
  <c r="CM36" i="5"/>
  <c r="DB26" i="2"/>
  <c r="CN36" i="5" l="1"/>
  <c r="CO25" i="2"/>
  <c r="CN38" i="5" l="1"/>
  <c r="CO36" i="5"/>
  <c r="CO38" i="5" s="1"/>
  <c r="CP25" i="2"/>
  <c r="CP36" i="5" l="1"/>
  <c r="CP38" i="5" s="1"/>
  <c r="CQ25" i="2"/>
  <c r="CR25" i="2" s="1"/>
  <c r="CS25" i="2" l="1"/>
  <c r="CQ36" i="5"/>
  <c r="CQ38" i="5" l="1"/>
  <c r="CR38" i="5" s="1"/>
  <c r="CR36" i="5"/>
  <c r="CT25" i="2"/>
  <c r="CS36" i="5"/>
  <c r="CU25" i="2" l="1"/>
  <c r="CT36" i="5"/>
  <c r="CT38" i="5" s="1"/>
  <c r="CS38" i="5"/>
  <c r="CV25" i="2" l="1"/>
  <c r="CU36" i="5"/>
  <c r="CU38" i="5" s="1"/>
  <c r="CW25" i="2"/>
  <c r="CX25" i="2" l="1"/>
  <c r="CV36" i="5"/>
  <c r="CV38" i="5" l="1"/>
  <c r="CW38" i="5" s="1"/>
  <c r="CW36" i="5"/>
  <c r="CY25" i="2"/>
  <c r="CX36" i="5"/>
  <c r="CZ25" i="2" l="1"/>
  <c r="CY36" i="5"/>
  <c r="CY38" i="5" s="1"/>
  <c r="CX38" i="5"/>
  <c r="CZ36" i="5" l="1"/>
  <c r="DA25" i="2"/>
  <c r="DA36" i="5" s="1"/>
  <c r="DA38" i="5" s="1"/>
  <c r="DB25" i="2" l="1"/>
  <c r="CZ38" i="5"/>
  <c r="DB38" i="5" s="1"/>
  <c r="DB36" i="5"/>
  <c r="BI22" i="8"/>
  <c r="BH14" i="8"/>
  <c r="BI28" i="8" l="1"/>
  <c r="BJ33" i="5" s="1"/>
  <c r="BN33" i="5" s="1"/>
  <c r="BI14" i="8"/>
  <c r="BJ16" i="8"/>
  <c r="BN16" i="8" s="1"/>
  <c r="BH16" i="8"/>
  <c r="BI16" i="8" s="1"/>
  <c r="BH33" i="5"/>
  <c r="BH37" i="5" s="1"/>
  <c r="BI37" i="5" s="1"/>
  <c r="BJ38" i="5" l="1"/>
  <c r="BI33" i="5"/>
  <c r="BH38" i="5"/>
  <c r="BN38" i="5"/>
  <c r="BI38" i="5" l="1"/>
  <c r="BI15" i="4" l="1"/>
  <c r="BI39" i="8"/>
  <c r="BJ36" i="8" l="1"/>
  <c r="BN36" i="8" s="1"/>
  <c r="BI38" i="8"/>
  <c r="BI37" i="8"/>
  <c r="BH27" i="5"/>
  <c r="BH29" i="5" s="1"/>
  <c r="BI29" i="5" s="1"/>
  <c r="BI40" i="8" l="1"/>
  <c r="BH30" i="5"/>
  <c r="BI30" i="5" s="1"/>
  <c r="BI27" i="5"/>
  <c r="BJ39" i="8"/>
  <c r="AC20" i="7"/>
  <c r="BJ40" i="8" l="1"/>
  <c r="BK36" i="8" l="1"/>
  <c r="BJ15" i="4"/>
  <c r="BK39" i="8" l="1"/>
  <c r="BK40" i="8" l="1"/>
  <c r="BL36" i="8" l="1"/>
  <c r="BK15" i="4"/>
  <c r="BL39" i="8" l="1"/>
  <c r="BL40" i="8" s="1"/>
  <c r="BM36" i="8" l="1"/>
  <c r="BL15" i="4"/>
  <c r="BM39" i="8" l="1"/>
  <c r="BN39" i="8" l="1"/>
  <c r="BN40" i="8" s="1"/>
  <c r="BM40" i="8"/>
  <c r="BO36" i="8" l="1"/>
  <c r="BM15" i="4"/>
  <c r="BN15" i="4" l="1"/>
  <c r="BS36" i="8"/>
  <c r="BO39" i="8"/>
  <c r="BO40" i="8" l="1"/>
  <c r="BO15" i="4" l="1"/>
  <c r="BP36" i="8"/>
  <c r="BP39" i="8" l="1"/>
  <c r="BP40" i="8" s="1"/>
  <c r="BP15" i="4" l="1"/>
  <c r="BQ36" i="8"/>
  <c r="BQ39" i="8" l="1"/>
  <c r="BQ40" i="8" l="1"/>
  <c r="BR36" i="8" l="1"/>
  <c r="BQ15" i="4"/>
  <c r="BR39" i="8" l="1"/>
  <c r="BR40" i="8" s="1"/>
  <c r="BR15" i="4" l="1"/>
  <c r="BT36" i="8"/>
  <c r="BS39" i="8"/>
  <c r="BS40" i="8" s="1"/>
  <c r="BT39" i="8" l="1"/>
  <c r="BT40" i="8" s="1"/>
  <c r="BX36" i="8"/>
  <c r="BS15" i="4"/>
  <c r="BT15" i="4" l="1"/>
  <c r="BU36" i="8"/>
  <c r="BU39" i="8" l="1"/>
  <c r="BU40" i="8" l="1"/>
  <c r="BV36" i="8" l="1"/>
  <c r="BU15" i="4"/>
  <c r="BV39" i="8" l="1"/>
  <c r="BV40" i="8" s="1"/>
  <c r="BV15" i="4" l="1"/>
  <c r="BW36" i="8"/>
  <c r="BW39" i="8" l="1"/>
  <c r="BX39" i="8" l="1"/>
  <c r="BX40" i="8" s="1"/>
  <c r="BW40" i="8"/>
  <c r="BY36" i="8" l="1"/>
  <c r="BW15" i="4"/>
  <c r="BX15" i="4" l="1"/>
  <c r="BY39" i="8"/>
  <c r="BY40" i="8" s="1"/>
  <c r="CC36" i="8"/>
  <c r="BZ36" i="8" l="1"/>
  <c r="BY15" i="4"/>
  <c r="BZ39" i="8" l="1"/>
  <c r="BZ40" i="8" s="1"/>
  <c r="BZ15" i="4" l="1"/>
  <c r="CA36" i="8"/>
  <c r="CA39" i="8" l="1"/>
  <c r="CA40" i="8" s="1"/>
  <c r="CB36" i="8" l="1"/>
  <c r="CA15" i="4"/>
  <c r="CB39" i="8" l="1"/>
  <c r="CB40" i="8" s="1"/>
  <c r="CD36" i="8" l="1"/>
  <c r="CB15" i="4"/>
  <c r="CC39" i="8"/>
  <c r="CC40" i="8" s="1"/>
  <c r="CC15" i="4" l="1"/>
  <c r="CH36" i="8"/>
  <c r="CD39" i="8"/>
  <c r="CD40" i="8" s="1"/>
  <c r="CD15" i="4" l="1"/>
  <c r="CE36" i="8"/>
  <c r="CE39" i="8" l="1"/>
  <c r="CE40" i="8" s="1"/>
  <c r="CF36" i="8" l="1"/>
  <c r="CE15" i="4"/>
  <c r="CF39" i="8" l="1"/>
  <c r="CF40" i="8" l="1"/>
  <c r="CG36" i="8" l="1"/>
  <c r="CF15" i="4"/>
  <c r="CG39" i="8" l="1"/>
  <c r="CG40" i="8" s="1"/>
  <c r="CG15" i="4" l="1"/>
  <c r="CI36" i="8"/>
  <c r="CH39" i="8"/>
  <c r="CH40" i="8" s="1"/>
  <c r="CM36" i="8" l="1"/>
  <c r="CI39" i="8"/>
  <c r="CI40" i="8" s="1"/>
  <c r="CH15" i="4"/>
  <c r="CI15" i="4" l="1"/>
  <c r="CJ36" i="8"/>
  <c r="CJ39" i="8" l="1"/>
  <c r="CJ40" i="8" s="1"/>
  <c r="CK36" i="8" l="1"/>
  <c r="CJ15" i="4"/>
  <c r="CK39" i="8" l="1"/>
  <c r="CK40" i="8" s="1"/>
  <c r="CL36" i="8" l="1"/>
  <c r="CK15" i="4"/>
  <c r="CL39" i="8" l="1"/>
  <c r="CL40" i="8" s="1"/>
  <c r="CN36" i="8" l="1"/>
  <c r="CL15" i="4"/>
  <c r="CM39" i="8"/>
  <c r="CM40" i="8" s="1"/>
  <c r="CM15" i="4" l="1"/>
  <c r="CR36" i="8"/>
  <c r="CN39" i="8"/>
  <c r="CN40" i="8" l="1"/>
  <c r="CN15" i="4" l="1"/>
  <c r="CO36" i="8"/>
  <c r="CO39" i="8" l="1"/>
  <c r="CO40" i="8" s="1"/>
  <c r="CO15" i="4" l="1"/>
  <c r="CP36" i="8"/>
  <c r="CP39" i="8" l="1"/>
  <c r="CP40" i="8" s="1"/>
  <c r="CQ36" i="8" l="1"/>
  <c r="CP15" i="4"/>
  <c r="CQ39" i="8" l="1"/>
  <c r="CQ40" i="8" s="1"/>
  <c r="CQ15" i="4" l="1"/>
  <c r="CS36" i="8"/>
  <c r="CR39" i="8"/>
  <c r="CR40" i="8" s="1"/>
  <c r="CS39" i="8" l="1"/>
  <c r="CW36" i="8"/>
  <c r="CR15" i="4"/>
  <c r="CS40" i="8" l="1"/>
  <c r="CT36" i="8" l="1"/>
  <c r="CS15" i="4"/>
  <c r="CT39" i="8" l="1"/>
  <c r="CT40" i="8" s="1"/>
  <c r="CT15" i="4" l="1"/>
  <c r="CU36" i="8"/>
  <c r="CU39" i="8" l="1"/>
  <c r="CU40" i="8" l="1"/>
  <c r="CV36" i="8" l="1"/>
  <c r="CU15" i="4"/>
  <c r="CV39" i="8" l="1"/>
  <c r="CV40" i="8" s="1"/>
  <c r="CX36" i="8" l="1"/>
  <c r="CV15" i="4"/>
  <c r="CW39" i="8"/>
  <c r="CW40" i="8" s="1"/>
  <c r="CW15" i="4" l="1"/>
  <c r="DB36" i="8"/>
  <c r="CX39" i="8"/>
  <c r="CX40" i="8" l="1"/>
  <c r="CX15" i="4" l="1"/>
  <c r="CY36" i="8"/>
  <c r="CY39" i="8" l="1"/>
  <c r="CY40" i="8" s="1"/>
  <c r="CY15" i="4" l="1"/>
  <c r="CZ36" i="8"/>
  <c r="CZ39" i="8" l="1"/>
  <c r="CZ40" i="8" s="1"/>
  <c r="DA36" i="8" l="1"/>
  <c r="CZ15" i="4"/>
  <c r="DA39" i="8" l="1"/>
  <c r="DA40" i="8" s="1"/>
  <c r="DA15" i="4" s="1"/>
  <c r="DB39" i="8" l="1"/>
  <c r="DB40" i="8" s="1"/>
  <c r="DB15" i="4"/>
  <c r="BJ45" i="8"/>
  <c r="BN45" i="8" l="1"/>
  <c r="BJ47" i="8"/>
  <c r="BJ9" i="5" l="1"/>
  <c r="BJ48" i="8"/>
  <c r="BJ31" i="2" l="1"/>
  <c r="BJ16" i="4"/>
  <c r="BK45" i="8"/>
  <c r="BK47" i="8" l="1"/>
  <c r="BK48" i="8" s="1"/>
  <c r="BJ40" i="2"/>
  <c r="BJ56" i="2"/>
  <c r="BJ57" i="2" s="1"/>
  <c r="BK16" i="4" l="1"/>
  <c r="BL45" i="8"/>
  <c r="BK9" i="5"/>
  <c r="BK31" i="2" l="1"/>
  <c r="BL47" i="8"/>
  <c r="BL48" i="8" s="1"/>
  <c r="BL16" i="4" l="1"/>
  <c r="BM45" i="8"/>
  <c r="BK56" i="2"/>
  <c r="BK57" i="2" s="1"/>
  <c r="BK40" i="2"/>
  <c r="BL9" i="5"/>
  <c r="BL31" i="2" l="1"/>
  <c r="BM47" i="8"/>
  <c r="BM9" i="5" l="1"/>
  <c r="BN47" i="8"/>
  <c r="BN48" i="8" s="1"/>
  <c r="BL40" i="2"/>
  <c r="BL56" i="2"/>
  <c r="BL57" i="2" s="1"/>
  <c r="BM48" i="8"/>
  <c r="BM16" i="4" l="1"/>
  <c r="BO45" i="8"/>
  <c r="BM31" i="2"/>
  <c r="BN9" i="5"/>
  <c r="BM56" i="2" l="1"/>
  <c r="BN16" i="4"/>
  <c r="BS45" i="8"/>
  <c r="BO47" i="8"/>
  <c r="BO48" i="8" s="1"/>
  <c r="BN31" i="2"/>
  <c r="BP45" i="8" l="1"/>
  <c r="BO16" i="4"/>
  <c r="BN56" i="2"/>
  <c r="BO9" i="5"/>
  <c r="BO31" i="2" l="1"/>
  <c r="BP47" i="8"/>
  <c r="BP48" i="8"/>
  <c r="AE33" i="7"/>
  <c r="BP16" i="4" l="1"/>
  <c r="BQ45" i="8"/>
  <c r="BO40" i="2"/>
  <c r="BO56" i="2"/>
  <c r="BO57" i="2" s="1"/>
  <c r="BP9" i="5"/>
  <c r="BP31" i="2" l="1"/>
  <c r="BQ47" i="8"/>
  <c r="BQ48" i="8"/>
  <c r="BR45" i="8" l="1"/>
  <c r="BQ16" i="4"/>
  <c r="BQ9" i="5"/>
  <c r="BP40" i="2"/>
  <c r="BP56" i="2"/>
  <c r="BP57" i="2" s="1"/>
  <c r="BQ31" i="2" l="1"/>
  <c r="BR47" i="8"/>
  <c r="BR48" i="8" s="1"/>
  <c r="BR16" i="4" l="1"/>
  <c r="BT45" i="8"/>
  <c r="BR9" i="5"/>
  <c r="BS47" i="8"/>
  <c r="BS48" i="8" s="1"/>
  <c r="BQ56" i="2"/>
  <c r="BQ57" i="2" s="1"/>
  <c r="BQ40" i="2"/>
  <c r="BR31" i="2" l="1"/>
  <c r="BS9" i="5"/>
  <c r="BT47" i="8"/>
  <c r="BT48" i="8" s="1"/>
  <c r="BX45" i="8"/>
  <c r="BS16" i="4"/>
  <c r="BT16" i="4" l="1"/>
  <c r="BU45" i="8"/>
  <c r="BS31" i="2"/>
  <c r="BR56" i="2"/>
  <c r="BR57" i="2" s="1"/>
  <c r="BR40" i="2"/>
  <c r="BT9" i="5"/>
  <c r="BT31" i="2" l="1"/>
  <c r="BU47" i="8"/>
  <c r="BU48" i="8" s="1"/>
  <c r="BS56" i="2"/>
  <c r="BS40" i="2"/>
  <c r="BU16" i="4" l="1"/>
  <c r="BV45" i="8"/>
  <c r="BS57" i="2"/>
  <c r="AF33" i="7"/>
  <c r="BT40" i="2"/>
  <c r="BT56" i="2"/>
  <c r="BT57" i="2" s="1"/>
  <c r="BU9" i="5"/>
  <c r="BU31" i="2" l="1"/>
  <c r="BV47" i="8"/>
  <c r="BV9" i="5" l="1"/>
  <c r="BV48" i="8"/>
  <c r="BU40" i="2"/>
  <c r="BU56" i="2"/>
  <c r="BU57" i="2" s="1"/>
  <c r="BV16" i="4" l="1"/>
  <c r="BW45" i="8"/>
  <c r="BV31" i="2"/>
  <c r="BV56" i="2" l="1"/>
  <c r="BV57" i="2" s="1"/>
  <c r="BV40" i="2"/>
  <c r="BW47" i="8"/>
  <c r="BW48" i="8"/>
  <c r="BW9" i="5" l="1"/>
  <c r="BX47" i="8"/>
  <c r="BX48" i="8" s="1"/>
  <c r="BW16" i="4"/>
  <c r="BY45" i="8"/>
  <c r="BY47" i="8" l="1"/>
  <c r="BY48" i="8" s="1"/>
  <c r="CC45" i="8"/>
  <c r="BX16" i="4"/>
  <c r="BW31" i="2"/>
  <c r="BX9" i="5"/>
  <c r="BY16" i="4" l="1"/>
  <c r="BZ45" i="8"/>
  <c r="BX31" i="2"/>
  <c r="BY9" i="5"/>
  <c r="BW40" i="2"/>
  <c r="BW56" i="2"/>
  <c r="BW57" i="2" s="1"/>
  <c r="BY31" i="2" l="1"/>
  <c r="BX40" i="2"/>
  <c r="BX56" i="2"/>
  <c r="BX57" i="2" s="1"/>
  <c r="BZ47" i="8"/>
  <c r="BZ48" i="8" s="1"/>
  <c r="CA45" i="8" l="1"/>
  <c r="BZ16" i="4"/>
  <c r="BZ9" i="5"/>
  <c r="BY40" i="2"/>
  <c r="BY56" i="2"/>
  <c r="BY57" i="2" s="1"/>
  <c r="BZ31" i="2" l="1"/>
  <c r="CA47" i="8"/>
  <c r="CA9" i="5" l="1"/>
  <c r="CA48" i="8"/>
  <c r="BZ56" i="2"/>
  <c r="BZ57" i="2" s="1"/>
  <c r="BZ40" i="2"/>
  <c r="CA16" i="4" l="1"/>
  <c r="CB45" i="8"/>
  <c r="CA31" i="2"/>
  <c r="CA40" i="2" l="1"/>
  <c r="CA56" i="2"/>
  <c r="CA57" i="2" s="1"/>
  <c r="CB47" i="8"/>
  <c r="CB48" i="8"/>
  <c r="CB16" i="4" l="1"/>
  <c r="CD45" i="8"/>
  <c r="CB9" i="5"/>
  <c r="CC47" i="8"/>
  <c r="CC48" i="8" s="1"/>
  <c r="CB31" i="2" l="1"/>
  <c r="CC9" i="5"/>
  <c r="CH45" i="8"/>
  <c r="CD47" i="8"/>
  <c r="CC16" i="4"/>
  <c r="CD9" i="5" l="1"/>
  <c r="CC31" i="2"/>
  <c r="CB56" i="2"/>
  <c r="CB57" i="2" s="1"/>
  <c r="CB40" i="2"/>
  <c r="CD48" i="8"/>
  <c r="CD16" i="4" l="1"/>
  <c r="CE45" i="8"/>
  <c r="CC40" i="2"/>
  <c r="CC56" i="2"/>
  <c r="CC57" i="2" s="1"/>
  <c r="CD31" i="2"/>
  <c r="CD56" i="2" l="1"/>
  <c r="CD57" i="2" s="1"/>
  <c r="CD40" i="2"/>
  <c r="CE47" i="8"/>
  <c r="CE48" i="8" s="1"/>
  <c r="CE16" i="4" l="1"/>
  <c r="CF45" i="8"/>
  <c r="CE9" i="5"/>
  <c r="CF47" i="8" l="1"/>
  <c r="CE31" i="2"/>
  <c r="CE56" i="2" l="1"/>
  <c r="CE57" i="2" s="1"/>
  <c r="CE40" i="2"/>
  <c r="CF9" i="5"/>
  <c r="CF48" i="8"/>
  <c r="CF31" i="2" l="1"/>
  <c r="CF16" i="4"/>
  <c r="CG45" i="8"/>
  <c r="CG47" i="8" l="1"/>
  <c r="CF40" i="2"/>
  <c r="CF56" i="2"/>
  <c r="CF57" i="2" s="1"/>
  <c r="CG9" i="5" l="1"/>
  <c r="CH47" i="8"/>
  <c r="CH48" i="8" s="1"/>
  <c r="CG48" i="8"/>
  <c r="CG16" i="4" l="1"/>
  <c r="CI45" i="8"/>
  <c r="CG31" i="2"/>
  <c r="CH9" i="5"/>
  <c r="CM45" i="8" l="1"/>
  <c r="CI47" i="8"/>
  <c r="CI48" i="8"/>
  <c r="CH16" i="4"/>
  <c r="CH31" i="2"/>
  <c r="CG56" i="2"/>
  <c r="CG57" i="2" s="1"/>
  <c r="CG40" i="2"/>
  <c r="CJ45" i="8" l="1"/>
  <c r="CI16" i="4"/>
  <c r="CH56" i="2"/>
  <c r="CH57" i="2" s="1"/>
  <c r="CH40" i="2"/>
  <c r="CI9" i="5"/>
  <c r="CI31" i="2" l="1"/>
  <c r="CJ47" i="8"/>
  <c r="CJ48" i="8" s="1"/>
  <c r="CJ16" i="4" l="1"/>
  <c r="CK45" i="8"/>
  <c r="CJ9" i="5"/>
  <c r="CI40" i="2"/>
  <c r="CI56" i="2"/>
  <c r="CI57" i="2" s="1"/>
  <c r="CJ31" i="2" l="1"/>
  <c r="CK47" i="8"/>
  <c r="CK48" i="8" s="1"/>
  <c r="CK9" i="5" l="1"/>
  <c r="CK16" i="4"/>
  <c r="CL45" i="8"/>
  <c r="CJ56" i="2"/>
  <c r="CJ57" i="2" s="1"/>
  <c r="CJ40" i="2"/>
  <c r="CL47" i="8" l="1"/>
  <c r="CK31" i="2"/>
  <c r="CK56" i="2" l="1"/>
  <c r="CK57" i="2" s="1"/>
  <c r="CK40" i="2"/>
  <c r="CL9" i="5"/>
  <c r="CM47" i="8"/>
  <c r="CM48" i="8" s="1"/>
  <c r="CL48" i="8"/>
  <c r="CN45" i="8" l="1"/>
  <c r="CL16" i="4"/>
  <c r="CL31" i="2"/>
  <c r="CM9" i="5"/>
  <c r="CL40" i="2" l="1"/>
  <c r="CL56" i="2"/>
  <c r="CL57" i="2" s="1"/>
  <c r="CM16" i="4"/>
  <c r="CM31" i="2"/>
  <c r="CR45" i="8"/>
  <c r="CN47" i="8"/>
  <c r="CN9" i="5" l="1"/>
  <c r="CM56" i="2"/>
  <c r="CM57" i="2" s="1"/>
  <c r="CM40" i="2"/>
  <c r="CN48" i="8"/>
  <c r="CN16" i="4" l="1"/>
  <c r="CO45" i="8"/>
  <c r="CN31" i="2"/>
  <c r="CO47" i="8" l="1"/>
  <c r="CO48" i="8" s="1"/>
  <c r="CN56" i="2"/>
  <c r="CN57" i="2" s="1"/>
  <c r="CN40" i="2"/>
  <c r="CO16" i="4" l="1"/>
  <c r="CP45" i="8"/>
  <c r="CO9" i="5"/>
  <c r="CO31" i="2" l="1"/>
  <c r="CP47" i="8"/>
  <c r="CP9" i="5" l="1"/>
  <c r="CP48" i="8"/>
  <c r="CO40" i="2"/>
  <c r="CO56" i="2"/>
  <c r="CO57" i="2" s="1"/>
  <c r="CP16" i="4" l="1"/>
  <c r="CQ45" i="8"/>
  <c r="CP31" i="2"/>
  <c r="CP56" i="2" l="1"/>
  <c r="CP57" i="2" s="1"/>
  <c r="CP40" i="2"/>
  <c r="CQ47" i="8"/>
  <c r="CQ9" i="5" l="1"/>
  <c r="CR47" i="8"/>
  <c r="CR48" i="8" s="1"/>
  <c r="CQ48" i="8"/>
  <c r="CQ31" i="2" l="1"/>
  <c r="CR9" i="5"/>
  <c r="CS45" i="8"/>
  <c r="CQ16" i="4"/>
  <c r="CW45" i="8" l="1"/>
  <c r="CS47" i="8"/>
  <c r="CS48" i="8" s="1"/>
  <c r="CR16" i="4"/>
  <c r="CQ56" i="2"/>
  <c r="CQ57" i="2" s="1"/>
  <c r="CQ40" i="2"/>
  <c r="CR31" i="2"/>
  <c r="CS16" i="4" l="1"/>
  <c r="CT45" i="8"/>
  <c r="CS9" i="5"/>
  <c r="CR56" i="2"/>
  <c r="CR57" i="2" s="1"/>
  <c r="CR40" i="2"/>
  <c r="CS31" i="2" l="1"/>
  <c r="CT47" i="8"/>
  <c r="CT48" i="8"/>
  <c r="CT16" i="4" l="1"/>
  <c r="CU45" i="8"/>
  <c r="CT9" i="5"/>
  <c r="CS56" i="2"/>
  <c r="CS57" i="2" s="1"/>
  <c r="CS40" i="2"/>
  <c r="CT31" i="2" l="1"/>
  <c r="CU47" i="8"/>
  <c r="CU48" i="8" s="1"/>
  <c r="CV45" i="8" l="1"/>
  <c r="CU16" i="4"/>
  <c r="CU9" i="5"/>
  <c r="CT40" i="2"/>
  <c r="CT56" i="2"/>
  <c r="CT57" i="2" s="1"/>
  <c r="CU31" i="2" l="1"/>
  <c r="CV47" i="8"/>
  <c r="CV48" i="8" s="1"/>
  <c r="CV16" i="4" l="1"/>
  <c r="CX45" i="8"/>
  <c r="CV9" i="5"/>
  <c r="CW47" i="8"/>
  <c r="CW48" i="8" s="1"/>
  <c r="CU40" i="2"/>
  <c r="CU56" i="2"/>
  <c r="CU57" i="2" s="1"/>
  <c r="CV31" i="2" l="1"/>
  <c r="CW9" i="5"/>
  <c r="CX47" i="8"/>
  <c r="DB45" i="8"/>
  <c r="CX48" i="8"/>
  <c r="CW16" i="4"/>
  <c r="CX16" i="4" l="1"/>
  <c r="CY45" i="8"/>
  <c r="CX9" i="5"/>
  <c r="CW31" i="2"/>
  <c r="CV40" i="2"/>
  <c r="CV56" i="2"/>
  <c r="CV57" i="2" s="1"/>
  <c r="CW56" i="2" l="1"/>
  <c r="CW57" i="2" s="1"/>
  <c r="CW40" i="2"/>
  <c r="CY47" i="8"/>
  <c r="CX31" i="2"/>
  <c r="CY9" i="5" l="1"/>
  <c r="CX56" i="2"/>
  <c r="CX57" i="2" s="1"/>
  <c r="CX40" i="2"/>
  <c r="CY48" i="8"/>
  <c r="CZ45" i="8" l="1"/>
  <c r="CY16" i="4"/>
  <c r="CY31" i="2"/>
  <c r="CY40" i="2" l="1"/>
  <c r="CY56" i="2"/>
  <c r="CY57" i="2" s="1"/>
  <c r="CZ47" i="8"/>
  <c r="CZ9" i="5" l="1"/>
  <c r="CZ48" i="8"/>
  <c r="CZ16" i="4" l="1"/>
  <c r="DA45" i="8"/>
  <c r="CZ31" i="2"/>
  <c r="CZ56" i="2" l="1"/>
  <c r="CZ57" i="2" s="1"/>
  <c r="CZ40" i="2"/>
  <c r="DA47" i="8"/>
  <c r="DA9" i="5" l="1"/>
  <c r="DB47" i="8"/>
  <c r="DB48" i="8" s="1"/>
  <c r="DA48" i="8"/>
  <c r="DA16" i="4" s="1"/>
  <c r="DB16" i="4" l="1"/>
  <c r="DA31" i="2"/>
  <c r="DB9" i="5"/>
  <c r="DA56" i="2" l="1"/>
  <c r="DA57" i="2" s="1"/>
  <c r="DA40" i="2"/>
  <c r="DB31" i="2"/>
  <c r="DB56" i="2" l="1"/>
  <c r="DB57" i="2" s="1"/>
  <c r="DB40" i="2"/>
  <c r="BH53" i="8" l="1"/>
  <c r="BJ52" i="8"/>
  <c r="BN52" i="8" s="1"/>
  <c r="BN55" i="8" s="1"/>
  <c r="BJ55" i="8" l="1"/>
  <c r="BJ17" i="4" l="1"/>
  <c r="BJ19" i="4" s="1"/>
  <c r="BK52" i="8"/>
  <c r="BK55" i="8" s="1"/>
  <c r="BK17" i="4" l="1"/>
  <c r="BK19" i="4" s="1"/>
  <c r="BL52" i="8"/>
  <c r="BL55" i="8" s="1"/>
  <c r="BM52" i="8" l="1"/>
  <c r="BM55" i="8" s="1"/>
  <c r="BL17" i="4"/>
  <c r="BL19" i="4" s="1"/>
  <c r="BO52" i="8" l="1"/>
  <c r="BM17" i="4"/>
  <c r="BM19" i="4" l="1"/>
  <c r="BN17" i="4"/>
  <c r="BO55" i="8"/>
  <c r="BS52" i="8"/>
  <c r="BS55" i="8" s="1"/>
  <c r="BP52" i="8" l="1"/>
  <c r="BP55" i="8" s="1"/>
  <c r="BO17" i="4"/>
  <c r="BO19" i="4" s="1"/>
  <c r="BN19" i="4"/>
  <c r="BQ52" i="8" l="1"/>
  <c r="BQ55" i="8" s="1"/>
  <c r="BP17" i="4"/>
  <c r="BP19" i="4" s="1"/>
  <c r="BQ17" i="4" l="1"/>
  <c r="BQ19" i="4" s="1"/>
  <c r="BR52" i="8"/>
  <c r="BR55" i="8" s="1"/>
  <c r="BR17" i="4" l="1"/>
  <c r="BT52" i="8"/>
  <c r="BX52" i="8" l="1"/>
  <c r="BX55" i="8" s="1"/>
  <c r="BT55" i="8"/>
  <c r="BR19" i="4"/>
  <c r="BS17" i="4"/>
  <c r="BS19" i="4" l="1"/>
  <c r="BT17" i="4"/>
  <c r="BT19" i="4" s="1"/>
  <c r="BU52" i="8"/>
  <c r="BU55" i="8" s="1"/>
  <c r="BU17" i="4" l="1"/>
  <c r="BU19" i="4" s="1"/>
  <c r="BV52" i="8"/>
  <c r="BV55" i="8" s="1"/>
  <c r="BW52" i="8" l="1"/>
  <c r="BW55" i="8" s="1"/>
  <c r="BV17" i="4"/>
  <c r="BV19" i="4" s="1"/>
  <c r="BW17" i="4" l="1"/>
  <c r="BY52" i="8"/>
  <c r="BY55" i="8" l="1"/>
  <c r="CC52" i="8"/>
  <c r="CC55" i="8" s="1"/>
  <c r="BX17" i="4"/>
  <c r="BW19" i="4"/>
  <c r="BX19" i="4" l="1"/>
  <c r="BZ52" i="8"/>
  <c r="BZ55" i="8" s="1"/>
  <c r="BY17" i="4"/>
  <c r="BY19" i="4" s="1"/>
  <c r="BZ17" i="4" l="1"/>
  <c r="BZ19" i="4" s="1"/>
  <c r="CA52" i="8"/>
  <c r="CA55" i="8" s="1"/>
  <c r="CA17" i="4" l="1"/>
  <c r="CA19" i="4" s="1"/>
  <c r="CB52" i="8"/>
  <c r="CB55" i="8" s="1"/>
  <c r="CB17" i="4" l="1"/>
  <c r="CD52" i="8"/>
  <c r="CH52" i="8" l="1"/>
  <c r="CH55" i="8" s="1"/>
  <c r="CD55" i="8"/>
  <c r="CB19" i="4"/>
  <c r="CC17" i="4"/>
  <c r="CC19" i="4" l="1"/>
  <c r="CD17" i="4"/>
  <c r="CD19" i="4" s="1"/>
  <c r="CE52" i="8"/>
  <c r="CE55" i="8" s="1"/>
  <c r="CE17" i="4" l="1"/>
  <c r="CE19" i="4" s="1"/>
  <c r="CF52" i="8"/>
  <c r="CF55" i="8" s="1"/>
  <c r="CG52" i="8" l="1"/>
  <c r="CG55" i="8" s="1"/>
  <c r="CF17" i="4"/>
  <c r="CF19" i="4" s="1"/>
  <c r="CI52" i="8" l="1"/>
  <c r="CG17" i="4"/>
  <c r="CH17" i="4" l="1"/>
  <c r="CG19" i="4"/>
  <c r="CI55" i="8"/>
  <c r="CM52" i="8"/>
  <c r="CM55" i="8" s="1"/>
  <c r="CJ52" i="8" l="1"/>
  <c r="CJ55" i="8" s="1"/>
  <c r="CI17" i="4"/>
  <c r="CI19" i="4" s="1"/>
  <c r="CH19" i="4"/>
  <c r="CK52" i="8" l="1"/>
  <c r="CK55" i="8" s="1"/>
  <c r="CJ17" i="4"/>
  <c r="CJ19" i="4" s="1"/>
  <c r="CL52" i="8" l="1"/>
  <c r="CL55" i="8" s="1"/>
  <c r="CK17" i="4"/>
  <c r="CK19" i="4" s="1"/>
  <c r="CL17" i="4" l="1"/>
  <c r="CN52" i="8"/>
  <c r="CR52" i="8" l="1"/>
  <c r="CR55" i="8" s="1"/>
  <c r="CN55" i="8"/>
  <c r="CM17" i="4"/>
  <c r="CL19" i="4"/>
  <c r="CM19" i="4" l="1"/>
  <c r="CN17" i="4"/>
  <c r="CN19" i="4" s="1"/>
  <c r="CO52" i="8"/>
  <c r="CO55" i="8" s="1"/>
  <c r="CO17" i="4" l="1"/>
  <c r="CO19" i="4" s="1"/>
  <c r="CP52" i="8"/>
  <c r="CP55" i="8" s="1"/>
  <c r="CQ52" i="8" l="1"/>
  <c r="CQ55" i="8" s="1"/>
  <c r="CP17" i="4"/>
  <c r="CP19" i="4" s="1"/>
  <c r="CS52" i="8" l="1"/>
  <c r="CQ17" i="4"/>
  <c r="CR17" i="4" l="1"/>
  <c r="CQ19" i="4"/>
  <c r="CW52" i="8"/>
  <c r="CW55" i="8" s="1"/>
  <c r="CS55" i="8"/>
  <c r="CS17" i="4" l="1"/>
  <c r="CS19" i="4" s="1"/>
  <c r="CT52" i="8"/>
  <c r="CT55" i="8" s="1"/>
  <c r="CR19" i="4"/>
  <c r="CU52" i="8" l="1"/>
  <c r="CU55" i="8" s="1"/>
  <c r="CT17" i="4"/>
  <c r="CT19" i="4" s="1"/>
  <c r="CV52" i="8" l="1"/>
  <c r="CV55" i="8" s="1"/>
  <c r="CU17" i="4"/>
  <c r="CU19" i="4" s="1"/>
  <c r="CV17" i="4" l="1"/>
  <c r="CX52" i="8"/>
  <c r="DB52" i="8" l="1"/>
  <c r="DB55" i="8" s="1"/>
  <c r="CX55" i="8"/>
  <c r="CV19" i="4"/>
  <c r="CW17" i="4"/>
  <c r="CW19" i="4" l="1"/>
  <c r="CX17" i="4"/>
  <c r="CX19" i="4" s="1"/>
  <c r="CY52" i="8"/>
  <c r="CY55" i="8" s="1"/>
  <c r="CY17" i="4" l="1"/>
  <c r="CY19" i="4" s="1"/>
  <c r="CZ52" i="8"/>
  <c r="CZ55" i="8" s="1"/>
  <c r="CZ17" i="4" l="1"/>
  <c r="CZ19" i="4" s="1"/>
  <c r="DA52" i="8"/>
  <c r="DA55" i="8" s="1"/>
  <c r="DA17" i="4" s="1"/>
  <c r="DB17" i="4" l="1"/>
  <c r="DA19" i="4"/>
  <c r="DB19" i="4" l="1"/>
  <c r="BH46" i="8" l="1"/>
  <c r="BI46" i="8" s="1"/>
  <c r="BI48" i="8" s="1"/>
  <c r="BI47" i="8"/>
  <c r="BH9" i="5"/>
  <c r="BH31" i="2" l="1"/>
  <c r="BH40" i="2" s="1"/>
  <c r="BH12" i="5"/>
  <c r="BH22" i="5" s="1"/>
  <c r="BI9" i="5"/>
  <c r="BM40" i="2" l="1"/>
  <c r="BH56" i="2"/>
  <c r="BJ12" i="5"/>
  <c r="BI12" i="5"/>
  <c r="BH61" i="5"/>
  <c r="BI22" i="5"/>
  <c r="BH55" i="5"/>
  <c r="BH68" i="5"/>
  <c r="BH40" i="5"/>
  <c r="BH42" i="5" s="1"/>
  <c r="BH45" i="5" s="1"/>
  <c r="BH46" i="5" s="1"/>
  <c r="BH57" i="5" s="1"/>
  <c r="BI31" i="2"/>
  <c r="BM57" i="2"/>
  <c r="BH57" i="2"/>
  <c r="BK12" i="5" l="1"/>
  <c r="BO12" i="5"/>
  <c r="BJ42" i="4"/>
  <c r="BJ22" i="5"/>
  <c r="BH51" i="5"/>
  <c r="BI40" i="2"/>
  <c r="AC30" i="7"/>
  <c r="BI56" i="2"/>
  <c r="BN40" i="2"/>
  <c r="BI40" i="5"/>
  <c r="BI42" i="5" s="1"/>
  <c r="BI45" i="5" s="1"/>
  <c r="BI46" i="5" s="1"/>
  <c r="AC19" i="7"/>
  <c r="AC21" i="7" s="1"/>
  <c r="BI68" i="5"/>
  <c r="BI61" i="5"/>
  <c r="BK42" i="4" l="1"/>
  <c r="BJ45" i="4"/>
  <c r="BJ47" i="4" s="1"/>
  <c r="BJ61" i="5"/>
  <c r="BJ55" i="5"/>
  <c r="BJ40" i="5"/>
  <c r="BJ42" i="5" s="1"/>
  <c r="BJ45" i="5" s="1"/>
  <c r="BJ9" i="4" s="1"/>
  <c r="BT12" i="5"/>
  <c r="BL12" i="5"/>
  <c r="BP12" i="5"/>
  <c r="BU12" i="5" s="1"/>
  <c r="BZ12" i="5" s="1"/>
  <c r="CE12" i="5" s="1"/>
  <c r="CJ12" i="5" s="1"/>
  <c r="CO12" i="5" s="1"/>
  <c r="CT12" i="5" s="1"/>
  <c r="CY12" i="5" s="1"/>
  <c r="BN57" i="2"/>
  <c r="AC33" i="7"/>
  <c r="BI57" i="2"/>
  <c r="AC23" i="7"/>
  <c r="AC22" i="7"/>
  <c r="AC31" i="7"/>
  <c r="AC52" i="7"/>
  <c r="AC53" i="7"/>
  <c r="BI51" i="5"/>
  <c r="BN44" i="5"/>
  <c r="BI57" i="5"/>
  <c r="BJ44" i="5"/>
  <c r="BJ46" i="5" l="1"/>
  <c r="BJ57" i="5" s="1"/>
  <c r="BQ12" i="5"/>
  <c r="BV12" i="5" s="1"/>
  <c r="CA12" i="5" s="1"/>
  <c r="CF12" i="5" s="1"/>
  <c r="CK12" i="5" s="1"/>
  <c r="CP12" i="5" s="1"/>
  <c r="CU12" i="5" s="1"/>
  <c r="CZ12" i="5" s="1"/>
  <c r="BM12" i="5"/>
  <c r="BR12" i="5" s="1"/>
  <c r="BW12" i="5" s="1"/>
  <c r="CB12" i="5" s="1"/>
  <c r="CG12" i="5" s="1"/>
  <c r="CL12" i="5" s="1"/>
  <c r="CQ12" i="5" s="1"/>
  <c r="CV12" i="5" s="1"/>
  <c r="DA12" i="5" s="1"/>
  <c r="BY12" i="5"/>
  <c r="BJ13" i="4"/>
  <c r="BJ21" i="4" s="1"/>
  <c r="BJ52" i="4" s="1"/>
  <c r="BJ8" i="8"/>
  <c r="BK9" i="8" s="1"/>
  <c r="BL42" i="4"/>
  <c r="AC35" i="7"/>
  <c r="AC40" i="7"/>
  <c r="BK44" i="5" l="1"/>
  <c r="BJ51" i="5"/>
  <c r="BX12" i="5"/>
  <c r="BK16" i="2"/>
  <c r="CD12" i="5"/>
  <c r="CC12" i="5"/>
  <c r="BS12" i="5"/>
  <c r="BN12" i="5"/>
  <c r="BM42" i="4"/>
  <c r="BN42" i="4" l="1"/>
  <c r="BO42" i="4"/>
  <c r="AE30" i="7"/>
  <c r="AE52" i="7" s="1"/>
  <c r="AF30" i="7"/>
  <c r="AF52" i="7" s="1"/>
  <c r="CI12" i="5"/>
  <c r="CH12" i="5"/>
  <c r="BK18" i="2"/>
  <c r="CN12" i="5" l="1"/>
  <c r="CM12" i="5"/>
  <c r="BK41" i="2"/>
  <c r="BK58" i="2"/>
  <c r="BK19" i="2"/>
  <c r="BP42" i="4"/>
  <c r="BQ42" i="4" l="1"/>
  <c r="BK21" i="2"/>
  <c r="BK59" i="2"/>
  <c r="CS12" i="5"/>
  <c r="CR12" i="5"/>
  <c r="CX12" i="5" l="1"/>
  <c r="DB12" i="5" s="1"/>
  <c r="CW12" i="5"/>
  <c r="BK29" i="2"/>
  <c r="BK45" i="2" s="1"/>
  <c r="BK60" i="2"/>
  <c r="BK28" i="2"/>
  <c r="BK42" i="2"/>
  <c r="BK23" i="2"/>
  <c r="BR42" i="4"/>
  <c r="BS42" i="4" l="1"/>
  <c r="BT42" i="4"/>
  <c r="BK61" i="2"/>
  <c r="BK43" i="2"/>
  <c r="BK43" i="4"/>
  <c r="BK8" i="5"/>
  <c r="BK22" i="5" l="1"/>
  <c r="BK45" i="4"/>
  <c r="BK47" i="4" s="1"/>
  <c r="BU42" i="4"/>
  <c r="BV42" i="4" l="1"/>
  <c r="BK61" i="5"/>
  <c r="BK40" i="5"/>
  <c r="BK42" i="5" s="1"/>
  <c r="BK45" i="5" s="1"/>
  <c r="BK55" i="5"/>
  <c r="BK9" i="4" l="1"/>
  <c r="BK46" i="5"/>
  <c r="BW42" i="4"/>
  <c r="BX42" i="4" l="1"/>
  <c r="BY42" i="4"/>
  <c r="BK57" i="5"/>
  <c r="BK51" i="5"/>
  <c r="BL44" i="5"/>
  <c r="BK8" i="8"/>
  <c r="BL9" i="8" s="1"/>
  <c r="BK13" i="4"/>
  <c r="BK21" i="4" s="1"/>
  <c r="BK52" i="4" s="1"/>
  <c r="BZ42" i="4" l="1"/>
  <c r="BL16" i="2"/>
  <c r="CA42" i="4" l="1"/>
  <c r="BL18" i="2"/>
  <c r="BL19" i="2" l="1"/>
  <c r="BL21" i="2" s="1"/>
  <c r="BL58" i="2"/>
  <c r="BL41" i="2"/>
  <c r="CB42" i="4"/>
  <c r="BL60" i="2" l="1"/>
  <c r="BL42" i="2"/>
  <c r="BL28" i="2"/>
  <c r="BL23" i="2"/>
  <c r="BL29" i="2"/>
  <c r="BL45" i="2" s="1"/>
  <c r="CD42" i="4"/>
  <c r="CC42" i="4"/>
  <c r="BL59" i="2"/>
  <c r="CE42" i="4" l="1"/>
  <c r="BL61" i="2"/>
  <c r="BL8" i="5"/>
  <c r="BL43" i="2"/>
  <c r="BL43" i="4"/>
  <c r="BL45" i="4" l="1"/>
  <c r="BL47" i="4" s="1"/>
  <c r="BL22" i="5"/>
  <c r="CF42" i="4"/>
  <c r="CG42" i="4" l="1"/>
  <c r="BL40" i="5"/>
  <c r="BL42" i="5" s="1"/>
  <c r="BL45" i="5" s="1"/>
  <c r="BL55" i="5"/>
  <c r="BL61" i="5"/>
  <c r="BL9" i="4" l="1"/>
  <c r="BL46" i="5"/>
  <c r="CI42" i="4"/>
  <c r="CH42" i="4"/>
  <c r="CJ42" i="4" l="1"/>
  <c r="BL51" i="5"/>
  <c r="BM44" i="5"/>
  <c r="BL57" i="5"/>
  <c r="BL13" i="4"/>
  <c r="BL21" i="4" s="1"/>
  <c r="BL52" i="4" s="1"/>
  <c r="BL8" i="8"/>
  <c r="BM9" i="8" s="1"/>
  <c r="BM16" i="2" l="1"/>
  <c r="BN9" i="8"/>
  <c r="CK42" i="4"/>
  <c r="CL42" i="4" l="1"/>
  <c r="BM18" i="2"/>
  <c r="BN16" i="2"/>
  <c r="BN18" i="2" l="1"/>
  <c r="BM19" i="2"/>
  <c r="BM41" i="2"/>
  <c r="BM58" i="2"/>
  <c r="CN42" i="4"/>
  <c r="CM42" i="4"/>
  <c r="CO42" i="4" l="1"/>
  <c r="BM21" i="2"/>
  <c r="BM59" i="2"/>
  <c r="BN19" i="2"/>
  <c r="BN58" i="2"/>
  <c r="BN41" i="2"/>
  <c r="AE37" i="7"/>
  <c r="BN21" i="2" l="1"/>
  <c r="BN20" i="2"/>
  <c r="BN59" i="2"/>
  <c r="BM23" i="2"/>
  <c r="BM29" i="2"/>
  <c r="BM45" i="2" s="1"/>
  <c r="BM42" i="2"/>
  <c r="BM60" i="2"/>
  <c r="BM28" i="2"/>
  <c r="CP42" i="4"/>
  <c r="CQ42" i="4" l="1"/>
  <c r="BM43" i="2"/>
  <c r="BM61" i="2"/>
  <c r="BM8" i="5"/>
  <c r="BM43" i="4"/>
  <c r="BN60" i="2"/>
  <c r="BN23" i="2"/>
  <c r="BN42" i="2"/>
  <c r="BN28" i="2"/>
  <c r="BN29" i="2"/>
  <c r="BN45" i="2" l="1"/>
  <c r="BN43" i="4"/>
  <c r="BM45" i="4"/>
  <c r="AE15" i="7"/>
  <c r="AE16" i="7" s="1"/>
  <c r="AE17" i="7" s="1"/>
  <c r="BN61" i="2"/>
  <c r="BN43" i="2"/>
  <c r="AE39" i="7"/>
  <c r="BM22" i="5"/>
  <c r="BN8" i="5"/>
  <c r="CR42" i="4"/>
  <c r="CS42" i="4"/>
  <c r="CT42" i="4" l="1"/>
  <c r="BM40" i="5"/>
  <c r="BM42" i="5" s="1"/>
  <c r="BM45" i="5" s="1"/>
  <c r="BM55" i="5"/>
  <c r="BM61" i="5"/>
  <c r="BN22" i="5"/>
  <c r="BM47" i="4"/>
  <c r="BN47" i="4" s="1"/>
  <c r="BN45" i="4"/>
  <c r="AE49" i="7" s="1"/>
  <c r="AE55" i="7" l="1"/>
  <c r="AE56" i="7" s="1"/>
  <c r="AE50" i="7"/>
  <c r="BN40" i="5"/>
  <c r="BN42" i="5" s="1"/>
  <c r="BN45" i="5" s="1"/>
  <c r="BN46" i="5" s="1"/>
  <c r="AE19" i="7"/>
  <c r="AE21" i="7" s="1"/>
  <c r="BN61" i="5"/>
  <c r="BM9" i="4"/>
  <c r="BM46" i="5"/>
  <c r="CU42" i="4"/>
  <c r="AE23" i="7" l="1"/>
  <c r="AE22" i="7"/>
  <c r="BM13" i="4"/>
  <c r="BM8" i="8"/>
  <c r="BO9" i="8" s="1"/>
  <c r="BN9" i="4"/>
  <c r="AE26" i="7" s="1"/>
  <c r="BO44" i="5"/>
  <c r="BS44" i="5"/>
  <c r="BM51" i="5"/>
  <c r="BM57" i="5"/>
  <c r="CV42" i="4"/>
  <c r="BN51" i="5" l="1"/>
  <c r="BN57" i="5"/>
  <c r="AE53" i="7"/>
  <c r="AE29" i="7"/>
  <c r="BO16" i="2"/>
  <c r="BN13" i="4"/>
  <c r="BM21" i="4"/>
  <c r="CW42" i="4"/>
  <c r="CX42" i="4"/>
  <c r="CY42" i="4" l="1"/>
  <c r="BO18" i="2"/>
  <c r="AE13" i="7"/>
  <c r="AE31" i="7"/>
  <c r="BM52" i="4"/>
  <c r="BN52" i="4" s="1"/>
  <c r="BN21" i="4"/>
  <c r="AE38" i="7" l="1"/>
  <c r="AE34" i="7"/>
  <c r="BO58" i="2"/>
  <c r="BO19" i="2"/>
  <c r="BO41" i="2"/>
  <c r="CZ42" i="4"/>
  <c r="BO21" i="2" l="1"/>
  <c r="BO59" i="2"/>
  <c r="DA42" i="4"/>
  <c r="AE35" i="7"/>
  <c r="AE40" i="7"/>
  <c r="DB42" i="4" l="1"/>
  <c r="BO60" i="2"/>
  <c r="BO42" i="2"/>
  <c r="BO23" i="2"/>
  <c r="BO29" i="2"/>
  <c r="BO45" i="2" s="1"/>
  <c r="BO28" i="2"/>
  <c r="BO8" i="5" l="1"/>
  <c r="BO43" i="2"/>
  <c r="BO61" i="2"/>
  <c r="BO43" i="4"/>
  <c r="BO45" i="4" l="1"/>
  <c r="BO47" i="4" s="1"/>
  <c r="BO22" i="5"/>
  <c r="BO40" i="5" l="1"/>
  <c r="BO42" i="5" s="1"/>
  <c r="BO45" i="5" s="1"/>
  <c r="BO61" i="5"/>
  <c r="BO55" i="5"/>
  <c r="BO9" i="4" l="1"/>
  <c r="BO46" i="5"/>
  <c r="BO51" i="5" l="1"/>
  <c r="BP44" i="5"/>
  <c r="BO57" i="5"/>
  <c r="BO13" i="4"/>
  <c r="BO21" i="4" s="1"/>
  <c r="BO52" i="4" s="1"/>
  <c r="BO8" i="8"/>
  <c r="BP9" i="8" s="1"/>
  <c r="BP16" i="2" l="1"/>
  <c r="BP18" i="2" l="1"/>
  <c r="BP41" i="2" l="1"/>
  <c r="BP19" i="2"/>
  <c r="BP58" i="2"/>
  <c r="BP21" i="2" l="1"/>
  <c r="BP59" i="2"/>
  <c r="BP28" i="2" l="1"/>
  <c r="BP29" i="2"/>
  <c r="BP45" i="2" s="1"/>
  <c r="BP23" i="2"/>
  <c r="BP60" i="2"/>
  <c r="BP42" i="2"/>
  <c r="BP43" i="2" l="1"/>
  <c r="BP8" i="5"/>
  <c r="BP61" i="2"/>
  <c r="BP43" i="4"/>
  <c r="BP22" i="5" l="1"/>
  <c r="BP45" i="4"/>
  <c r="BP47" i="4" s="1"/>
  <c r="BP40" i="5" l="1"/>
  <c r="BP42" i="5" s="1"/>
  <c r="BP45" i="5" s="1"/>
  <c r="BP55" i="5"/>
  <c r="BP61" i="5"/>
  <c r="BP9" i="4" l="1"/>
  <c r="BP46" i="5"/>
  <c r="BP51" i="5" l="1"/>
  <c r="BQ44" i="5"/>
  <c r="BP57" i="5"/>
  <c r="BP8" i="8"/>
  <c r="BQ9" i="8" s="1"/>
  <c r="BP13" i="4"/>
  <c r="BP21" i="4" s="1"/>
  <c r="BP52" i="4" s="1"/>
  <c r="BQ16" i="2" l="1"/>
  <c r="BQ18" i="2" l="1"/>
  <c r="BQ41" i="2" l="1"/>
  <c r="BQ19" i="2"/>
  <c r="BQ58" i="2"/>
  <c r="BQ21" i="2" l="1"/>
  <c r="BQ59" i="2"/>
  <c r="BQ29" i="2" l="1"/>
  <c r="BQ45" i="2" s="1"/>
  <c r="BQ23" i="2"/>
  <c r="BQ60" i="2"/>
  <c r="BQ28" i="2"/>
  <c r="BQ42" i="2"/>
  <c r="BQ43" i="2" l="1"/>
  <c r="BQ8" i="5"/>
  <c r="BQ61" i="2"/>
  <c r="BQ43" i="4"/>
  <c r="BQ22" i="5" l="1"/>
  <c r="BQ45" i="4"/>
  <c r="BQ47" i="4" s="1"/>
  <c r="BQ55" i="5" l="1"/>
  <c r="BQ61" i="5"/>
  <c r="BQ40" i="5"/>
  <c r="BQ42" i="5" s="1"/>
  <c r="BQ45" i="5" s="1"/>
  <c r="BQ9" i="4" l="1"/>
  <c r="BQ46" i="5"/>
  <c r="BR44" i="5" l="1"/>
  <c r="BQ57" i="5"/>
  <c r="BQ51" i="5"/>
  <c r="BQ13" i="4"/>
  <c r="BQ21" i="4" s="1"/>
  <c r="BQ52" i="4" s="1"/>
  <c r="BQ8" i="8"/>
  <c r="BR9" i="8" s="1"/>
  <c r="BR16" i="2" l="1"/>
  <c r="BS9" i="8"/>
  <c r="BR18" i="2" l="1"/>
  <c r="BS16" i="2"/>
  <c r="BS18" i="2" l="1"/>
  <c r="BR19" i="2"/>
  <c r="BR58" i="2"/>
  <c r="BR41" i="2"/>
  <c r="BR59" i="2" l="1"/>
  <c r="BS19" i="2"/>
  <c r="BS21" i="2" s="1"/>
  <c r="BR21" i="2"/>
  <c r="BS41" i="2"/>
  <c r="AF37" i="7"/>
  <c r="BS58" i="2"/>
  <c r="BR60" i="2" l="1"/>
  <c r="BR28" i="2"/>
  <c r="BR29" i="2"/>
  <c r="BR45" i="2" s="1"/>
  <c r="BR42" i="2"/>
  <c r="BR23" i="2"/>
  <c r="BS29" i="2"/>
  <c r="BS23" i="2"/>
  <c r="BS60" i="2"/>
  <c r="BS42" i="2"/>
  <c r="BS28" i="2"/>
  <c r="BS59" i="2"/>
  <c r="BS20" i="2"/>
  <c r="BS45" i="2" l="1"/>
  <c r="BR61" i="2"/>
  <c r="BR8" i="5"/>
  <c r="BR43" i="2"/>
  <c r="BR43" i="4"/>
  <c r="BS43" i="2"/>
  <c r="BS61" i="2"/>
  <c r="AF39" i="7"/>
  <c r="AF15" i="7"/>
  <c r="AF16" i="7" s="1"/>
  <c r="AF17" i="7" s="1"/>
  <c r="BR22" i="5" l="1"/>
  <c r="BS8" i="5"/>
  <c r="BS43" i="4"/>
  <c r="BR45" i="4"/>
  <c r="BR47" i="4" l="1"/>
  <c r="BS47" i="4" s="1"/>
  <c r="BS45" i="4"/>
  <c r="AF49" i="7" s="1"/>
  <c r="BR61" i="5"/>
  <c r="BR40" i="5"/>
  <c r="BR42" i="5" s="1"/>
  <c r="BR45" i="5" s="1"/>
  <c r="BR55" i="5"/>
  <c r="BS22" i="5"/>
  <c r="BR9" i="4" l="1"/>
  <c r="BR46" i="5"/>
  <c r="AF19" i="7"/>
  <c r="AF21" i="7" s="1"/>
  <c r="BS40" i="5"/>
  <c r="BS42" i="5" s="1"/>
  <c r="BS45" i="5" s="1"/>
  <c r="BS46" i="5" s="1"/>
  <c r="BS61" i="5"/>
  <c r="AF50" i="7"/>
  <c r="AF55" i="7"/>
  <c r="AF56" i="7" s="1"/>
  <c r="BX44" i="5" l="1"/>
  <c r="BT44" i="5"/>
  <c r="AF22" i="7"/>
  <c r="AF23" i="7"/>
  <c r="BR51" i="5"/>
  <c r="BR57" i="5"/>
  <c r="BR8" i="8"/>
  <c r="BT9" i="8" s="1"/>
  <c r="BS9" i="4"/>
  <c r="AF26" i="7" s="1"/>
  <c r="BR13" i="4"/>
  <c r="BS13" i="4" l="1"/>
  <c r="BR21" i="4"/>
  <c r="BT16" i="2"/>
  <c r="BS57" i="5"/>
  <c r="AF29" i="7"/>
  <c r="AF53" i="7"/>
  <c r="BS51" i="5"/>
  <c r="BT18" i="2" l="1"/>
  <c r="AF13" i="7"/>
  <c r="AF31" i="7"/>
  <c r="BS21" i="4"/>
  <c r="BR52" i="4"/>
  <c r="BS52" i="4" s="1"/>
  <c r="AF38" i="7" l="1"/>
  <c r="AF34" i="7"/>
  <c r="BT41" i="2"/>
  <c r="BT19" i="2"/>
  <c r="BT58" i="2"/>
  <c r="BT21" i="2" l="1"/>
  <c r="BT59" i="2"/>
  <c r="AF40" i="7"/>
  <c r="AF35" i="7"/>
  <c r="BT29" i="2" l="1"/>
  <c r="BT45" i="2" s="1"/>
  <c r="BT23" i="2"/>
  <c r="BT60" i="2"/>
  <c r="BT42" i="2"/>
  <c r="BT28" i="2"/>
  <c r="BT43" i="2" l="1"/>
  <c r="BT8" i="5"/>
  <c r="BT61" i="2"/>
  <c r="BT43" i="4"/>
  <c r="BT22" i="5" l="1"/>
  <c r="BT45" i="4"/>
  <c r="BT47" i="4" s="1"/>
  <c r="BT40" i="5" l="1"/>
  <c r="BT42" i="5" s="1"/>
  <c r="BT45" i="5" s="1"/>
  <c r="BT61" i="5"/>
  <c r="BT55" i="5"/>
  <c r="BT9" i="4" l="1"/>
  <c r="BT46" i="5"/>
  <c r="BT57" i="5" l="1"/>
  <c r="BT51" i="5"/>
  <c r="BU44" i="5"/>
  <c r="BT13" i="4"/>
  <c r="BT21" i="4" s="1"/>
  <c r="BT52" i="4" s="1"/>
  <c r="BT8" i="8"/>
  <c r="BU9" i="8" s="1"/>
  <c r="BU16" i="2" l="1"/>
  <c r="BU18" i="2" l="1"/>
  <c r="BU58" i="2" l="1"/>
  <c r="BU19" i="2"/>
  <c r="BU41" i="2"/>
  <c r="BU59" i="2" l="1"/>
  <c r="BU21" i="2"/>
  <c r="BU60" i="2" l="1"/>
  <c r="BU29" i="2"/>
  <c r="BU45" i="2" s="1"/>
  <c r="BU23" i="2"/>
  <c r="BU42" i="2"/>
  <c r="BU28" i="2"/>
  <c r="BU43" i="2" l="1"/>
  <c r="BU61" i="2"/>
  <c r="BU8" i="5"/>
  <c r="BU43" i="4"/>
  <c r="BU45" i="4" l="1"/>
  <c r="BU47" i="4" s="1"/>
  <c r="BU22" i="5"/>
  <c r="BU61" i="5" l="1"/>
  <c r="BU40" i="5"/>
  <c r="BU42" i="5" s="1"/>
  <c r="BU45" i="5" s="1"/>
  <c r="BU55" i="5"/>
  <c r="BU9" i="4" l="1"/>
  <c r="BU46" i="5"/>
  <c r="BU51" i="5" l="1"/>
  <c r="BV44" i="5"/>
  <c r="BU57" i="5"/>
  <c r="BU13" i="4"/>
  <c r="BU21" i="4" s="1"/>
  <c r="BU52" i="4" s="1"/>
  <c r="BU8" i="8"/>
  <c r="BV9" i="8" s="1"/>
  <c r="BV16" i="2" l="1"/>
  <c r="BV18" i="2" l="1"/>
  <c r="BV41" i="2" l="1"/>
  <c r="BV58" i="2"/>
  <c r="BV19" i="2"/>
  <c r="BV21" i="2" l="1"/>
  <c r="BV59" i="2"/>
  <c r="BV60" i="2" l="1"/>
  <c r="BV42" i="2"/>
  <c r="BV29" i="2"/>
  <c r="BV45" i="2" s="1"/>
  <c r="BV28" i="2"/>
  <c r="BV23" i="2"/>
  <c r="BV43" i="2" l="1"/>
  <c r="BV61" i="2"/>
  <c r="BV8" i="5"/>
  <c r="BV43" i="4"/>
  <c r="BV45" i="4" l="1"/>
  <c r="BV47" i="4" s="1"/>
  <c r="BV22" i="5"/>
  <c r="BV61" i="5" l="1"/>
  <c r="BV55" i="5"/>
  <c r="BV40" i="5"/>
  <c r="BV42" i="5" s="1"/>
  <c r="BV45" i="5" s="1"/>
  <c r="BV9" i="4" l="1"/>
  <c r="BV46" i="5"/>
  <c r="BW44" i="5" l="1"/>
  <c r="BV51" i="5"/>
  <c r="BV57" i="5"/>
  <c r="BV13" i="4"/>
  <c r="BV21" i="4" s="1"/>
  <c r="BV52" i="4" s="1"/>
  <c r="BV8" i="8"/>
  <c r="BW9" i="8" s="1"/>
  <c r="BW16" i="2" l="1"/>
  <c r="BX9" i="8"/>
  <c r="BW18" i="2" l="1"/>
  <c r="BX16" i="2"/>
  <c r="BX18" i="2" l="1"/>
  <c r="BW41" i="2"/>
  <c r="BW58" i="2"/>
  <c r="BW19" i="2"/>
  <c r="BW21" i="2" l="1"/>
  <c r="BW59" i="2"/>
  <c r="BX19" i="2"/>
  <c r="BX58" i="2"/>
  <c r="BX41" i="2"/>
  <c r="BX21" i="2" l="1"/>
  <c r="BX59" i="2"/>
  <c r="BW29" i="2"/>
  <c r="BW45" i="2" s="1"/>
  <c r="BW28" i="2"/>
  <c r="BW42" i="2"/>
  <c r="BW60" i="2"/>
  <c r="BW23" i="2"/>
  <c r="BW43" i="2" l="1"/>
  <c r="BW61" i="2"/>
  <c r="BW8" i="5"/>
  <c r="BW43" i="4"/>
  <c r="BX23" i="2"/>
  <c r="BX28" i="2"/>
  <c r="BX60" i="2"/>
  <c r="BX42" i="2"/>
  <c r="BX29" i="2"/>
  <c r="BX45" i="2" s="1"/>
  <c r="BX43" i="4" l="1"/>
  <c r="BW45" i="4"/>
  <c r="BX61" i="2"/>
  <c r="BX43" i="2"/>
  <c r="BW22" i="5"/>
  <c r="BX8" i="5"/>
  <c r="BW55" i="5" l="1"/>
  <c r="BW40" i="5"/>
  <c r="BW42" i="5" s="1"/>
  <c r="BW45" i="5" s="1"/>
  <c r="BW61" i="5"/>
  <c r="BX22" i="5"/>
  <c r="BX45" i="4"/>
  <c r="BW47" i="4"/>
  <c r="BX47" i="4" s="1"/>
  <c r="BX40" i="5" l="1"/>
  <c r="BX42" i="5" s="1"/>
  <c r="BX45" i="5" s="1"/>
  <c r="BX46" i="5" s="1"/>
  <c r="BX61" i="5"/>
  <c r="BW9" i="4"/>
  <c r="BW46" i="5"/>
  <c r="BX9" i="4" l="1"/>
  <c r="BX57" i="5" s="1"/>
  <c r="BW8" i="8"/>
  <c r="BY9" i="8" s="1"/>
  <c r="BW13" i="4"/>
  <c r="BW57" i="5"/>
  <c r="BW51" i="5"/>
  <c r="BY44" i="5"/>
  <c r="CC44" i="5"/>
  <c r="BX51" i="5" l="1"/>
  <c r="BX13" i="4"/>
  <c r="BW21" i="4"/>
  <c r="BY16" i="2"/>
  <c r="BX21" i="4" l="1"/>
  <c r="BW52" i="4"/>
  <c r="BX52" i="4" s="1"/>
  <c r="BY18" i="2"/>
  <c r="BY19" i="2" l="1"/>
  <c r="BY21" i="2" s="1"/>
  <c r="BY41" i="2"/>
  <c r="BY58" i="2"/>
  <c r="BY60" i="2" l="1"/>
  <c r="BY28" i="2"/>
  <c r="BY42" i="2"/>
  <c r="BY29" i="2"/>
  <c r="BY45" i="2" s="1"/>
  <c r="BY23" i="2"/>
  <c r="BY59" i="2"/>
  <c r="BY43" i="2" l="1"/>
  <c r="BY61" i="2"/>
  <c r="BY8" i="5"/>
  <c r="BY43" i="4"/>
  <c r="BY45" i="4" l="1"/>
  <c r="BY47" i="4" s="1"/>
  <c r="BY22" i="5"/>
  <c r="BY61" i="5" l="1"/>
  <c r="BY55" i="5"/>
  <c r="BY40" i="5"/>
  <c r="BY42" i="5" s="1"/>
  <c r="BY45" i="5" s="1"/>
  <c r="BY9" i="4" l="1"/>
  <c r="BY46" i="5"/>
  <c r="BY57" i="5" l="1"/>
  <c r="BY51" i="5"/>
  <c r="BZ44" i="5"/>
  <c r="BY13" i="4"/>
  <c r="BY21" i="4" s="1"/>
  <c r="BY52" i="4" s="1"/>
  <c r="BY8" i="8"/>
  <c r="BZ9" i="8" s="1"/>
  <c r="BZ16" i="2" l="1"/>
  <c r="BZ18" i="2" l="1"/>
  <c r="BZ19" i="2" l="1"/>
  <c r="BZ21" i="2" s="1"/>
  <c r="BZ58" i="2"/>
  <c r="BZ41" i="2"/>
  <c r="BZ23" i="2" l="1"/>
  <c r="BZ28" i="2"/>
  <c r="BZ29" i="2"/>
  <c r="BZ45" i="2" s="1"/>
  <c r="BZ60" i="2"/>
  <c r="BZ42" i="2"/>
  <c r="BZ59" i="2"/>
  <c r="BZ8" i="5" l="1"/>
  <c r="BZ61" i="2"/>
  <c r="BZ43" i="2"/>
  <c r="BZ43" i="4"/>
  <c r="BZ45" i="4" l="1"/>
  <c r="BZ47" i="4" s="1"/>
  <c r="BZ22" i="5"/>
  <c r="BZ55" i="5" l="1"/>
  <c r="BZ40" i="5"/>
  <c r="BZ42" i="5" s="1"/>
  <c r="BZ45" i="5" s="1"/>
  <c r="BZ61" i="5"/>
  <c r="BZ9" i="4" l="1"/>
  <c r="BZ46" i="5"/>
  <c r="CA44" i="5" l="1"/>
  <c r="BZ57" i="5"/>
  <c r="BZ51" i="5"/>
  <c r="BZ13" i="4"/>
  <c r="BZ21" i="4" s="1"/>
  <c r="BZ52" i="4" s="1"/>
  <c r="BZ8" i="8"/>
  <c r="CA9" i="8" s="1"/>
  <c r="CA16" i="2" l="1"/>
  <c r="CA18" i="2" l="1"/>
  <c r="CA58" i="2" l="1"/>
  <c r="CA41" i="2"/>
  <c r="CA19" i="2"/>
  <c r="CA21" i="2" l="1"/>
  <c r="CA59" i="2"/>
  <c r="CA28" i="2" l="1"/>
  <c r="CA60" i="2"/>
  <c r="CA29" i="2"/>
  <c r="CA45" i="2" s="1"/>
  <c r="CA42" i="2"/>
  <c r="CA23" i="2"/>
  <c r="CA43" i="2" l="1"/>
  <c r="CA8" i="5"/>
  <c r="CA61" i="2"/>
  <c r="CA43" i="4"/>
  <c r="CA22" i="5" l="1"/>
  <c r="CA45" i="4"/>
  <c r="CA47" i="4" s="1"/>
  <c r="CA55" i="5" l="1"/>
  <c r="CA61" i="5"/>
  <c r="CA40" i="5"/>
  <c r="CA42" i="5" s="1"/>
  <c r="CA45" i="5" s="1"/>
  <c r="CA9" i="4" l="1"/>
  <c r="CA46" i="5"/>
  <c r="CB44" i="5" l="1"/>
  <c r="CA51" i="5"/>
  <c r="CA57" i="5"/>
  <c r="CA13" i="4"/>
  <c r="CA21" i="4" s="1"/>
  <c r="CA52" i="4" s="1"/>
  <c r="CA8" i="8"/>
  <c r="CB9" i="8" s="1"/>
  <c r="CB16" i="2" l="1"/>
  <c r="CC9" i="8"/>
  <c r="CB18" i="2" l="1"/>
  <c r="CC16" i="2"/>
  <c r="CC18" i="2" l="1"/>
  <c r="CB19" i="2"/>
  <c r="CB21" i="2" s="1"/>
  <c r="CB58" i="2"/>
  <c r="CB41" i="2"/>
  <c r="CB23" i="2" l="1"/>
  <c r="CB60" i="2"/>
  <c r="CB42" i="2"/>
  <c r="CB28" i="2"/>
  <c r="CB29" i="2"/>
  <c r="CB45" i="2" s="1"/>
  <c r="CB59" i="2"/>
  <c r="CC19" i="2"/>
  <c r="CC58" i="2"/>
  <c r="CC41" i="2"/>
  <c r="CC59" i="2" l="1"/>
  <c r="CC21" i="2"/>
  <c r="CB61" i="2"/>
  <c r="CB8" i="5"/>
  <c r="CB43" i="2"/>
  <c r="CB43" i="4"/>
  <c r="CC43" i="4" l="1"/>
  <c r="CB45" i="4"/>
  <c r="CB22" i="5"/>
  <c r="CC8" i="5"/>
  <c r="CC42" i="2"/>
  <c r="CC60" i="2"/>
  <c r="CC29" i="2"/>
  <c r="CC45" i="2" s="1"/>
  <c r="CC28" i="2"/>
  <c r="CC23" i="2"/>
  <c r="CC61" i="2" l="1"/>
  <c r="CC43" i="2"/>
  <c r="CB40" i="5"/>
  <c r="CB42" i="5" s="1"/>
  <c r="CB45" i="5" s="1"/>
  <c r="CB55" i="5"/>
  <c r="CB61" i="5"/>
  <c r="CC22" i="5"/>
  <c r="CB47" i="4"/>
  <c r="CC47" i="4" s="1"/>
  <c r="CC45" i="4"/>
  <c r="CB9" i="4" l="1"/>
  <c r="CB46" i="5"/>
  <c r="CC40" i="5"/>
  <c r="CC42" i="5" s="1"/>
  <c r="CC45" i="5" s="1"/>
  <c r="CC46" i="5" s="1"/>
  <c r="CC61" i="5"/>
  <c r="CH44" i="5" l="1"/>
  <c r="CD44" i="5"/>
  <c r="CB51" i="5"/>
  <c r="CB57" i="5"/>
  <c r="CB8" i="8"/>
  <c r="CD9" i="8" s="1"/>
  <c r="CC9" i="4"/>
  <c r="CC51" i="5" s="1"/>
  <c r="CB13" i="4"/>
  <c r="CC13" i="4" l="1"/>
  <c r="CB21" i="4"/>
  <c r="CC57" i="5"/>
  <c r="CD16" i="2"/>
  <c r="CD18" i="2" l="1"/>
  <c r="CC21" i="4"/>
  <c r="CB52" i="4"/>
  <c r="CC52" i="4" s="1"/>
  <c r="CD19" i="2" l="1"/>
  <c r="CD21" i="2" s="1"/>
  <c r="CD58" i="2"/>
  <c r="CD41" i="2"/>
  <c r="CD28" i="2" l="1"/>
  <c r="CD42" i="2"/>
  <c r="CD29" i="2"/>
  <c r="CD45" i="2" s="1"/>
  <c r="CD60" i="2"/>
  <c r="CD23" i="2"/>
  <c r="CD59" i="2"/>
  <c r="CD61" i="2" l="1"/>
  <c r="CD8" i="5"/>
  <c r="CD43" i="2"/>
  <c r="CD43" i="4"/>
  <c r="CD45" i="4" l="1"/>
  <c r="CD47" i="4" s="1"/>
  <c r="CD22" i="5"/>
  <c r="CD61" i="5" l="1"/>
  <c r="CD40" i="5"/>
  <c r="CD42" i="5" s="1"/>
  <c r="CD45" i="5" s="1"/>
  <c r="CD55" i="5"/>
  <c r="CD9" i="4" l="1"/>
  <c r="CD46" i="5"/>
  <c r="CD57" i="5" l="1"/>
  <c r="CD51" i="5"/>
  <c r="CE44" i="5"/>
  <c r="CD8" i="8"/>
  <c r="CE9" i="8" s="1"/>
  <c r="CD13" i="4"/>
  <c r="CD21" i="4" s="1"/>
  <c r="CD52" i="4" s="1"/>
  <c r="CE16" i="2" l="1"/>
  <c r="CE18" i="2" l="1"/>
  <c r="CE19" i="2" l="1"/>
  <c r="CE21" i="2" s="1"/>
  <c r="CE41" i="2"/>
  <c r="CE58" i="2"/>
  <c r="CE29" i="2" l="1"/>
  <c r="CE45" i="2" s="1"/>
  <c r="CE23" i="2"/>
  <c r="CE28" i="2"/>
  <c r="CE42" i="2"/>
  <c r="CE60" i="2"/>
  <c r="CE59" i="2"/>
  <c r="CE8" i="5" l="1"/>
  <c r="CE61" i="2"/>
  <c r="CE43" i="2"/>
  <c r="CE43" i="4"/>
  <c r="CE45" i="4" l="1"/>
  <c r="CE47" i="4" s="1"/>
  <c r="CE22" i="5"/>
  <c r="CE40" i="5" l="1"/>
  <c r="CE42" i="5" s="1"/>
  <c r="CE45" i="5" s="1"/>
  <c r="CE55" i="5"/>
  <c r="CE61" i="5"/>
  <c r="CE9" i="4" l="1"/>
  <c r="CE46" i="5"/>
  <c r="CF44" i="5" l="1"/>
  <c r="CE57" i="5"/>
  <c r="CE51" i="5"/>
  <c r="CE13" i="4"/>
  <c r="CE21" i="4" s="1"/>
  <c r="CE52" i="4" s="1"/>
  <c r="CE8" i="8"/>
  <c r="CF9" i="8" s="1"/>
  <c r="CF16" i="2" l="1"/>
  <c r="CF18" i="2" l="1"/>
  <c r="CF19" i="2" l="1"/>
  <c r="CF21" i="2" s="1"/>
  <c r="CF58" i="2"/>
  <c r="CF41" i="2"/>
  <c r="CF60" i="2" l="1"/>
  <c r="CF42" i="2"/>
  <c r="CF23" i="2"/>
  <c r="CF29" i="2"/>
  <c r="CF45" i="2" s="1"/>
  <c r="CF28" i="2"/>
  <c r="CF59" i="2"/>
  <c r="CF43" i="2" l="1"/>
  <c r="CF8" i="5"/>
  <c r="CF61" i="2"/>
  <c r="CF43" i="4"/>
  <c r="CF45" i="4" l="1"/>
  <c r="CF47" i="4" s="1"/>
  <c r="CF22" i="5"/>
  <c r="CF55" i="5" l="1"/>
  <c r="CF61" i="5"/>
  <c r="CF40" i="5"/>
  <c r="CF42" i="5" s="1"/>
  <c r="CF45" i="5" s="1"/>
  <c r="CF9" i="4" l="1"/>
  <c r="CF46" i="5"/>
  <c r="CF57" i="5" l="1"/>
  <c r="CF51" i="5"/>
  <c r="CG44" i="5"/>
  <c r="CF8" i="8"/>
  <c r="CG9" i="8" s="1"/>
  <c r="CF13" i="4"/>
  <c r="CF21" i="4" s="1"/>
  <c r="CF52" i="4" s="1"/>
  <c r="CG16" i="2" l="1"/>
  <c r="CH9" i="8"/>
  <c r="CG18" i="2" l="1"/>
  <c r="CH16" i="2"/>
  <c r="CH18" i="2" l="1"/>
  <c r="CG41" i="2"/>
  <c r="CG19" i="2"/>
  <c r="CG58" i="2"/>
  <c r="CG21" i="2" l="1"/>
  <c r="CG59" i="2"/>
  <c r="CH19" i="2"/>
  <c r="CH21" i="2" s="1"/>
  <c r="CH58" i="2"/>
  <c r="CH41" i="2"/>
  <c r="CH23" i="2" l="1"/>
  <c r="CH60" i="2"/>
  <c r="CH28" i="2"/>
  <c r="CH29" i="2"/>
  <c r="CH45" i="2" s="1"/>
  <c r="CH42" i="2"/>
  <c r="CH59" i="2"/>
  <c r="CG28" i="2"/>
  <c r="CG29" i="2"/>
  <c r="CG45" i="2" s="1"/>
  <c r="CG60" i="2"/>
  <c r="CG42" i="2"/>
  <c r="CG23" i="2"/>
  <c r="CG8" i="5" l="1"/>
  <c r="CG43" i="2"/>
  <c r="CG61" i="2"/>
  <c r="CG43" i="4"/>
  <c r="CH61" i="2"/>
  <c r="CH43" i="2"/>
  <c r="CH43" i="4" l="1"/>
  <c r="CG45" i="4"/>
  <c r="CG22" i="5"/>
  <c r="CH8" i="5"/>
  <c r="CG40" i="5" l="1"/>
  <c r="CG42" i="5" s="1"/>
  <c r="CG45" i="5" s="1"/>
  <c r="CG55" i="5"/>
  <c r="CG61" i="5"/>
  <c r="CH22" i="5"/>
  <c r="CG47" i="4"/>
  <c r="CH47" i="4" s="1"/>
  <c r="CH45" i="4"/>
  <c r="CH61" i="5" l="1"/>
  <c r="CH40" i="5"/>
  <c r="CH42" i="5" s="1"/>
  <c r="CH45" i="5" s="1"/>
  <c r="CH46" i="5" s="1"/>
  <c r="CG9" i="4"/>
  <c r="CG46" i="5"/>
  <c r="CG51" i="5" l="1"/>
  <c r="CG57" i="5"/>
  <c r="CI44" i="5"/>
  <c r="CM44" i="5"/>
  <c r="CH9" i="4"/>
  <c r="CH57" i="5" s="1"/>
  <c r="CG8" i="8"/>
  <c r="CI9" i="8" s="1"/>
  <c r="CG13" i="4"/>
  <c r="CI16" i="2" l="1"/>
  <c r="CH51" i="5"/>
  <c r="CH13" i="4"/>
  <c r="CG21" i="4"/>
  <c r="CI18" i="2" l="1"/>
  <c r="CH21" i="4"/>
  <c r="CG52" i="4"/>
  <c r="CH52" i="4" s="1"/>
  <c r="CI58" i="2" l="1"/>
  <c r="CI41" i="2"/>
  <c r="CI19" i="2"/>
  <c r="CI21" i="2" l="1"/>
  <c r="CI59" i="2"/>
  <c r="CI28" i="2" l="1"/>
  <c r="CI42" i="2"/>
  <c r="CI29" i="2"/>
  <c r="CI45" i="2" s="1"/>
  <c r="CI60" i="2"/>
  <c r="CI23" i="2"/>
  <c r="CI61" i="2" l="1"/>
  <c r="CI8" i="5"/>
  <c r="CI43" i="2"/>
  <c r="CI43" i="4"/>
  <c r="CI22" i="5" l="1"/>
  <c r="CI45" i="4"/>
  <c r="CI47" i="4" s="1"/>
  <c r="CI40" i="5" l="1"/>
  <c r="CI42" i="5" s="1"/>
  <c r="CI45" i="5" s="1"/>
  <c r="CI55" i="5"/>
  <c r="CI61" i="5"/>
  <c r="CI9" i="4" l="1"/>
  <c r="CI46" i="5"/>
  <c r="CI57" i="5" l="1"/>
  <c r="CJ44" i="5"/>
  <c r="CI51" i="5"/>
  <c r="CI8" i="8"/>
  <c r="CJ9" i="8" s="1"/>
  <c r="CI13" i="4"/>
  <c r="CI21" i="4" s="1"/>
  <c r="CI52" i="4" s="1"/>
  <c r="CJ16" i="2" l="1"/>
  <c r="CJ18" i="2" l="1"/>
  <c r="CJ19" i="2" l="1"/>
  <c r="CJ21" i="2" s="1"/>
  <c r="CJ58" i="2"/>
  <c r="CJ41" i="2"/>
  <c r="CJ29" i="2" l="1"/>
  <c r="CJ45" i="2" s="1"/>
  <c r="CJ42" i="2"/>
  <c r="CJ60" i="2"/>
  <c r="CJ23" i="2"/>
  <c r="CJ28" i="2"/>
  <c r="CJ59" i="2"/>
  <c r="CJ43" i="2" l="1"/>
  <c r="CJ8" i="5"/>
  <c r="CJ61" i="2"/>
  <c r="CJ43" i="4"/>
  <c r="CJ22" i="5" l="1"/>
  <c r="CJ45" i="4"/>
  <c r="CJ47" i="4" s="1"/>
  <c r="CJ55" i="5" l="1"/>
  <c r="CJ40" i="5"/>
  <c r="CJ42" i="5" s="1"/>
  <c r="CJ45" i="5" s="1"/>
  <c r="CJ61" i="5"/>
  <c r="CJ9" i="4" l="1"/>
  <c r="CJ46" i="5"/>
  <c r="CJ57" i="5" l="1"/>
  <c r="CK44" i="5"/>
  <c r="CJ51" i="5"/>
  <c r="CJ13" i="4"/>
  <c r="CJ21" i="4" s="1"/>
  <c r="CJ52" i="4" s="1"/>
  <c r="CJ8" i="8"/>
  <c r="CK9" i="8" s="1"/>
  <c r="CK16" i="2" l="1"/>
  <c r="CK18" i="2" l="1"/>
  <c r="CK58" i="2" l="1"/>
  <c r="CK41" i="2"/>
  <c r="CK19" i="2"/>
  <c r="CK21" i="2" s="1"/>
  <c r="CK29" i="2" l="1"/>
  <c r="CK45" i="2" s="1"/>
  <c r="CK28" i="2"/>
  <c r="CK23" i="2"/>
  <c r="CK60" i="2"/>
  <c r="CK42" i="2"/>
  <c r="CK59" i="2"/>
  <c r="CK61" i="2" l="1"/>
  <c r="CK43" i="2"/>
  <c r="CK8" i="5"/>
  <c r="CK43" i="4"/>
  <c r="CK45" i="4" l="1"/>
  <c r="CK47" i="4" s="1"/>
  <c r="CK22" i="5"/>
  <c r="CK40" i="5" l="1"/>
  <c r="CK42" i="5" s="1"/>
  <c r="CK45" i="5" s="1"/>
  <c r="CK61" i="5"/>
  <c r="CK55" i="5"/>
  <c r="CK9" i="4" l="1"/>
  <c r="CK46" i="5"/>
  <c r="CK57" i="5" l="1"/>
  <c r="CK51" i="5"/>
  <c r="CL44" i="5"/>
  <c r="CK8" i="8"/>
  <c r="CL9" i="8" s="1"/>
  <c r="CK13" i="4"/>
  <c r="CK21" i="4" s="1"/>
  <c r="CK52" i="4" s="1"/>
  <c r="CL16" i="2" l="1"/>
  <c r="CM9" i="8"/>
  <c r="CL18" i="2" l="1"/>
  <c r="CM16" i="2"/>
  <c r="CM18" i="2" l="1"/>
  <c r="CL41" i="2"/>
  <c r="CL19" i="2"/>
  <c r="CL21" i="2" s="1"/>
  <c r="CL58" i="2"/>
  <c r="CL29" i="2" l="1"/>
  <c r="CL45" i="2" s="1"/>
  <c r="CL42" i="2"/>
  <c r="CL23" i="2"/>
  <c r="CL28" i="2"/>
  <c r="CL60" i="2"/>
  <c r="CL59" i="2"/>
  <c r="CM19" i="2"/>
  <c r="CM58" i="2"/>
  <c r="CM41" i="2"/>
  <c r="CL43" i="2" l="1"/>
  <c r="CL61" i="2"/>
  <c r="CL8" i="5"/>
  <c r="CL43" i="4"/>
  <c r="CM59" i="2"/>
  <c r="CM21" i="2"/>
  <c r="CM42" i="2" l="1"/>
  <c r="CM28" i="2"/>
  <c r="CM29" i="2"/>
  <c r="CM45" i="2" s="1"/>
  <c r="CM60" i="2"/>
  <c r="CM23" i="2"/>
  <c r="CL22" i="5"/>
  <c r="CM8" i="5"/>
  <c r="CM43" i="4"/>
  <c r="CL45" i="4"/>
  <c r="CL40" i="5" l="1"/>
  <c r="CL42" i="5" s="1"/>
  <c r="CL45" i="5" s="1"/>
  <c r="CL55" i="5"/>
  <c r="CL61" i="5"/>
  <c r="CM22" i="5"/>
  <c r="CM43" i="2"/>
  <c r="CM61" i="2"/>
  <c r="CL47" i="4"/>
  <c r="CM47" i="4" s="1"/>
  <c r="CM45" i="4"/>
  <c r="CM40" i="5" l="1"/>
  <c r="CM42" i="5" s="1"/>
  <c r="CM45" i="5" s="1"/>
  <c r="CM46" i="5" s="1"/>
  <c r="CM61" i="5"/>
  <c r="CL9" i="4"/>
  <c r="CL46" i="5"/>
  <c r="CL57" i="5" l="1"/>
  <c r="CL51" i="5"/>
  <c r="CM9" i="4"/>
  <c r="CM51" i="5" s="1"/>
  <c r="CL13" i="4"/>
  <c r="CL8" i="8"/>
  <c r="CN9" i="8" s="1"/>
  <c r="CR44" i="5"/>
  <c r="CN44" i="5"/>
  <c r="CM57" i="5" l="1"/>
  <c r="CN16" i="2"/>
  <c r="CM13" i="4"/>
  <c r="CL21" i="4"/>
  <c r="CL52" i="4" l="1"/>
  <c r="CM52" i="4" s="1"/>
  <c r="CM21" i="4"/>
  <c r="CN18" i="2"/>
  <c r="CN41" i="2" l="1"/>
  <c r="CN19" i="2"/>
  <c r="CN58" i="2"/>
  <c r="CN59" i="2" l="1"/>
  <c r="CN21" i="2"/>
  <c r="CN23" i="2" l="1"/>
  <c r="CN60" i="2"/>
  <c r="CN42" i="2"/>
  <c r="CN28" i="2"/>
  <c r="CN29" i="2"/>
  <c r="CN45" i="2" s="1"/>
  <c r="CN61" i="2" l="1"/>
  <c r="CN43" i="2"/>
  <c r="CN8" i="5"/>
  <c r="CN43" i="4"/>
  <c r="CN45" i="4" l="1"/>
  <c r="CN47" i="4" s="1"/>
  <c r="CN22" i="5"/>
  <c r="CN40" i="5" l="1"/>
  <c r="CN42" i="5" s="1"/>
  <c r="CN45" i="5" s="1"/>
  <c r="CN61" i="5"/>
  <c r="CN55" i="5"/>
  <c r="CN9" i="4" l="1"/>
  <c r="CN46" i="5"/>
  <c r="CN57" i="5" l="1"/>
  <c r="CO44" i="5"/>
  <c r="CN51" i="5"/>
  <c r="CN13" i="4"/>
  <c r="CN21" i="4" s="1"/>
  <c r="CN52" i="4" s="1"/>
  <c r="CN8" i="8"/>
  <c r="CO9" i="8" s="1"/>
  <c r="CO16" i="2" l="1"/>
  <c r="CO18" i="2" l="1"/>
  <c r="CO19" i="2" l="1"/>
  <c r="CO21" i="2" s="1"/>
  <c r="CO58" i="2"/>
  <c r="CO41" i="2"/>
  <c r="CO29" i="2" l="1"/>
  <c r="CO45" i="2" s="1"/>
  <c r="CO60" i="2"/>
  <c r="CO42" i="2"/>
  <c r="CO23" i="2"/>
  <c r="CO28" i="2"/>
  <c r="CO59" i="2"/>
  <c r="CO43" i="2" l="1"/>
  <c r="CO61" i="2"/>
  <c r="CO8" i="5"/>
  <c r="CO43" i="4"/>
  <c r="CO45" i="4" l="1"/>
  <c r="CO47" i="4" s="1"/>
  <c r="CO22" i="5"/>
  <c r="CO40" i="5" l="1"/>
  <c r="CO42" i="5" s="1"/>
  <c r="CO45" i="5" s="1"/>
  <c r="CO61" i="5"/>
  <c r="CO55" i="5"/>
  <c r="CO9" i="4" l="1"/>
  <c r="CO46" i="5"/>
  <c r="CP44" i="5" l="1"/>
  <c r="CO51" i="5"/>
  <c r="CO57" i="5"/>
  <c r="CO13" i="4"/>
  <c r="CO21" i="4" s="1"/>
  <c r="CO52" i="4" s="1"/>
  <c r="CO8" i="8"/>
  <c r="CP9" i="8" s="1"/>
  <c r="CP16" i="2" l="1"/>
  <c r="CP18" i="2" l="1"/>
  <c r="CP41" i="2" l="1"/>
  <c r="CP19" i="2"/>
  <c r="CP58" i="2"/>
  <c r="CP59" i="2" l="1"/>
  <c r="CP21" i="2"/>
  <c r="CP23" i="2" l="1"/>
  <c r="CP28" i="2"/>
  <c r="CP60" i="2"/>
  <c r="CP29" i="2"/>
  <c r="CP45" i="2" s="1"/>
  <c r="CP42" i="2"/>
  <c r="CP8" i="5" l="1"/>
  <c r="CP43" i="2"/>
  <c r="CP61" i="2"/>
  <c r="CP43" i="4"/>
  <c r="CP45" i="4" l="1"/>
  <c r="CP47" i="4" s="1"/>
  <c r="CP22" i="5"/>
  <c r="CP40" i="5" l="1"/>
  <c r="CP42" i="5" s="1"/>
  <c r="CP45" i="5" s="1"/>
  <c r="CP61" i="5"/>
  <c r="CP55" i="5"/>
  <c r="CP9" i="4" l="1"/>
  <c r="CP46" i="5"/>
  <c r="CP51" i="5" l="1"/>
  <c r="CQ44" i="5"/>
  <c r="CP57" i="5"/>
  <c r="CP13" i="4"/>
  <c r="CP21" i="4" s="1"/>
  <c r="CP52" i="4" s="1"/>
  <c r="CP8" i="8"/>
  <c r="CQ9" i="8" s="1"/>
  <c r="CQ16" i="2" l="1"/>
  <c r="CR9" i="8"/>
  <c r="CQ18" i="2" l="1"/>
  <c r="CR16" i="2"/>
  <c r="CR18" i="2" l="1"/>
  <c r="CQ19" i="2"/>
  <c r="CQ58" i="2"/>
  <c r="CQ41" i="2"/>
  <c r="CQ59" i="2" l="1"/>
  <c r="CR19" i="2"/>
  <c r="CR21" i="2" s="1"/>
  <c r="CQ21" i="2"/>
  <c r="CR58" i="2"/>
  <c r="CR41" i="2"/>
  <c r="CQ42" i="2" l="1"/>
  <c r="CQ60" i="2"/>
  <c r="CQ28" i="2"/>
  <c r="CQ23" i="2"/>
  <c r="CQ29" i="2"/>
  <c r="CQ45" i="2" s="1"/>
  <c r="CR29" i="2"/>
  <c r="CR45" i="2" s="1"/>
  <c r="CR23" i="2"/>
  <c r="CR28" i="2"/>
  <c r="CR60" i="2"/>
  <c r="CR42" i="2"/>
  <c r="CR59" i="2"/>
  <c r="CR61" i="2" l="1"/>
  <c r="CR43" i="2"/>
  <c r="CQ43" i="2"/>
  <c r="CQ61" i="2"/>
  <c r="CQ8" i="5"/>
  <c r="CQ43" i="4"/>
  <c r="CR43" i="4" l="1"/>
  <c r="CQ45" i="4"/>
  <c r="CQ22" i="5"/>
  <c r="CR8" i="5"/>
  <c r="CQ55" i="5" l="1"/>
  <c r="CQ40" i="5"/>
  <c r="CQ42" i="5" s="1"/>
  <c r="CQ45" i="5" s="1"/>
  <c r="CQ61" i="5"/>
  <c r="CR22" i="5"/>
  <c r="CQ47" i="4"/>
  <c r="CR47" i="4" s="1"/>
  <c r="CR45" i="4"/>
  <c r="CR40" i="5" l="1"/>
  <c r="CR42" i="5" s="1"/>
  <c r="CR45" i="5" s="1"/>
  <c r="CR46" i="5" s="1"/>
  <c r="CR61" i="5"/>
  <c r="CQ9" i="4"/>
  <c r="CQ46" i="5"/>
  <c r="CQ13" i="4" l="1"/>
  <c r="CR9" i="4"/>
  <c r="CR57" i="5" s="1"/>
  <c r="CQ8" i="8"/>
  <c r="CS9" i="8" s="1"/>
  <c r="CQ51" i="5"/>
  <c r="CQ57" i="5"/>
  <c r="CS44" i="5"/>
  <c r="CW44" i="5"/>
  <c r="CR51" i="5" l="1"/>
  <c r="CS16" i="2"/>
  <c r="CR13" i="4"/>
  <c r="CQ21" i="4"/>
  <c r="CS18" i="2" l="1"/>
  <c r="CQ52" i="4"/>
  <c r="CR52" i="4" s="1"/>
  <c r="CR21" i="4"/>
  <c r="CS41" i="2" l="1"/>
  <c r="CS58" i="2"/>
  <c r="CS19" i="2"/>
  <c r="CS21" i="2" s="1"/>
  <c r="CS29" i="2" l="1"/>
  <c r="CS45" i="2" s="1"/>
  <c r="CS23" i="2"/>
  <c r="CS60" i="2"/>
  <c r="CS42" i="2"/>
  <c r="CS28" i="2"/>
  <c r="CS59" i="2"/>
  <c r="CS8" i="5" l="1"/>
  <c r="CS61" i="2"/>
  <c r="CS43" i="2"/>
  <c r="CS43" i="4"/>
  <c r="CS45" i="4" l="1"/>
  <c r="CS47" i="4" s="1"/>
  <c r="CS22" i="5"/>
  <c r="CS61" i="5" l="1"/>
  <c r="CS40" i="5"/>
  <c r="CS42" i="5" s="1"/>
  <c r="CS45" i="5" s="1"/>
  <c r="CS55" i="5"/>
  <c r="CS9" i="4" l="1"/>
  <c r="CS46" i="5"/>
  <c r="CS51" i="5" l="1"/>
  <c r="CS57" i="5"/>
  <c r="CT44" i="5"/>
  <c r="CS13" i="4"/>
  <c r="CS21" i="4" s="1"/>
  <c r="CS52" i="4" s="1"/>
  <c r="CS8" i="8"/>
  <c r="CT9" i="8" s="1"/>
  <c r="CT16" i="2" l="1"/>
  <c r="CT18" i="2" l="1"/>
  <c r="CT19" i="2" l="1"/>
  <c r="CT21" i="2" s="1"/>
  <c r="CT41" i="2"/>
  <c r="CT58" i="2"/>
  <c r="CT60" i="2" l="1"/>
  <c r="CT29" i="2"/>
  <c r="CT45" i="2" s="1"/>
  <c r="CT23" i="2"/>
  <c r="CT28" i="2"/>
  <c r="CT42" i="2"/>
  <c r="CT59" i="2"/>
  <c r="CT8" i="5" l="1"/>
  <c r="CT61" i="2"/>
  <c r="CT43" i="2"/>
  <c r="CT43" i="4"/>
  <c r="CT45" i="4" l="1"/>
  <c r="CT47" i="4" s="1"/>
  <c r="CT22" i="5"/>
  <c r="CT61" i="5" l="1"/>
  <c r="CT40" i="5"/>
  <c r="CT42" i="5" s="1"/>
  <c r="CT45" i="5" s="1"/>
  <c r="CT55" i="5"/>
  <c r="CT9" i="4" l="1"/>
  <c r="CT46" i="5"/>
  <c r="CT51" i="5" l="1"/>
  <c r="CU44" i="5"/>
  <c r="CT57" i="5"/>
  <c r="CT13" i="4"/>
  <c r="CT21" i="4" s="1"/>
  <c r="CT52" i="4" s="1"/>
  <c r="CT8" i="8"/>
  <c r="CU9" i="8" s="1"/>
  <c r="CU16" i="2" l="1"/>
  <c r="CU18" i="2" l="1"/>
  <c r="CU19" i="2" l="1"/>
  <c r="CU21" i="2" s="1"/>
  <c r="CU58" i="2"/>
  <c r="CU41" i="2"/>
  <c r="CU28" i="2" l="1"/>
  <c r="CU60" i="2"/>
  <c r="CU29" i="2"/>
  <c r="CU45" i="2" s="1"/>
  <c r="CU42" i="2"/>
  <c r="CU23" i="2"/>
  <c r="CU59" i="2"/>
  <c r="CU43" i="2" l="1"/>
  <c r="CU61" i="2"/>
  <c r="CU8" i="5"/>
  <c r="CU43" i="4"/>
  <c r="CU45" i="4" l="1"/>
  <c r="CU47" i="4" s="1"/>
  <c r="CU22" i="5"/>
  <c r="CU55" i="5" l="1"/>
  <c r="CU40" i="5"/>
  <c r="CU42" i="5" s="1"/>
  <c r="CU45" i="5" s="1"/>
  <c r="CU61" i="5"/>
  <c r="CU9" i="4" l="1"/>
  <c r="CU46" i="5"/>
  <c r="CV44" i="5" l="1"/>
  <c r="CU51" i="5"/>
  <c r="CU57" i="5"/>
  <c r="CU13" i="4"/>
  <c r="CU21" i="4" s="1"/>
  <c r="CU52" i="4" s="1"/>
  <c r="CU8" i="8"/>
  <c r="CV9" i="8" s="1"/>
  <c r="CV16" i="2" l="1"/>
  <c r="CW9" i="8"/>
  <c r="CV18" i="2" l="1"/>
  <c r="CW16" i="2"/>
  <c r="CW18" i="2" l="1"/>
  <c r="CV19" i="2"/>
  <c r="CV58" i="2"/>
  <c r="CV41" i="2"/>
  <c r="CV59" i="2" l="1"/>
  <c r="CW19" i="2"/>
  <c r="CW21" i="2" s="1"/>
  <c r="CV21" i="2"/>
  <c r="CW41" i="2"/>
  <c r="CW58" i="2"/>
  <c r="CV28" i="2" l="1"/>
  <c r="CV60" i="2"/>
  <c r="CV42" i="2"/>
  <c r="CV23" i="2"/>
  <c r="CV29" i="2"/>
  <c r="CV45" i="2" s="1"/>
  <c r="CW60" i="2"/>
  <c r="CW28" i="2"/>
  <c r="CW23" i="2"/>
  <c r="CW42" i="2"/>
  <c r="CW29" i="2"/>
  <c r="CW45" i="2" s="1"/>
  <c r="CW59" i="2"/>
  <c r="CV43" i="2" l="1"/>
  <c r="CV61" i="2"/>
  <c r="CV8" i="5"/>
  <c r="CV43" i="4"/>
  <c r="CW61" i="2"/>
  <c r="CW43" i="2"/>
  <c r="CW43" i="4" l="1"/>
  <c r="CV45" i="4"/>
  <c r="CV22" i="5"/>
  <c r="CW8" i="5"/>
  <c r="CV55" i="5" l="1"/>
  <c r="CV61" i="5"/>
  <c r="CV40" i="5"/>
  <c r="CV42" i="5" s="1"/>
  <c r="CV45" i="5" s="1"/>
  <c r="CW22" i="5"/>
  <c r="CW45" i="4"/>
  <c r="CV47" i="4"/>
  <c r="CW47" i="4" s="1"/>
  <c r="CW61" i="5" l="1"/>
  <c r="CW40" i="5"/>
  <c r="CW42" i="5" s="1"/>
  <c r="CW45" i="5" s="1"/>
  <c r="CW46" i="5" s="1"/>
  <c r="CV9" i="4"/>
  <c r="CV46" i="5"/>
  <c r="CV51" i="5" l="1"/>
  <c r="CV57" i="5"/>
  <c r="DB44" i="5"/>
  <c r="CX44" i="5"/>
  <c r="CW9" i="4"/>
  <c r="CW51" i="5" s="1"/>
  <c r="CV13" i="4"/>
  <c r="CV8" i="8"/>
  <c r="CX9" i="8" s="1"/>
  <c r="CW57" i="5" l="1"/>
  <c r="CX16" i="2"/>
  <c r="CW13" i="4"/>
  <c r="CV21" i="4"/>
  <c r="CV52" i="4" l="1"/>
  <c r="CW52" i="4" s="1"/>
  <c r="CW21" i="4"/>
  <c r="CX18" i="2"/>
  <c r="CX19" i="2" l="1"/>
  <c r="CX21" i="2" s="1"/>
  <c r="CX58" i="2"/>
  <c r="CX41" i="2"/>
  <c r="CX23" i="2" l="1"/>
  <c r="CX60" i="2"/>
  <c r="CX28" i="2"/>
  <c r="CX42" i="2"/>
  <c r="CX29" i="2"/>
  <c r="CX45" i="2" s="1"/>
  <c r="CX59" i="2"/>
  <c r="CX43" i="2" l="1"/>
  <c r="CX61" i="2"/>
  <c r="CX8" i="5"/>
  <c r="CX43" i="4"/>
  <c r="CX22" i="5" l="1"/>
  <c r="CX45" i="4"/>
  <c r="CX47" i="4" s="1"/>
  <c r="CX55" i="5" l="1"/>
  <c r="CX40" i="5"/>
  <c r="CX42" i="5" s="1"/>
  <c r="CX45" i="5" s="1"/>
  <c r="CX61" i="5"/>
  <c r="CX9" i="4" l="1"/>
  <c r="CX46" i="5"/>
  <c r="CY44" i="5" l="1"/>
  <c r="CX51" i="5"/>
  <c r="CX57" i="5"/>
  <c r="CX13" i="4"/>
  <c r="CX21" i="4" s="1"/>
  <c r="CX52" i="4" s="1"/>
  <c r="CX8" i="8"/>
  <c r="CY9" i="8" s="1"/>
  <c r="CY16" i="2" l="1"/>
  <c r="CY18" i="2" l="1"/>
  <c r="CY58" i="2" l="1"/>
  <c r="CY41" i="2"/>
  <c r="CY19" i="2"/>
  <c r="CY21" i="2" l="1"/>
  <c r="CY59" i="2"/>
  <c r="CY29" i="2" l="1"/>
  <c r="CY45" i="2" s="1"/>
  <c r="CY60" i="2"/>
  <c r="CY42" i="2"/>
  <c r="CY28" i="2"/>
  <c r="CY23" i="2"/>
  <c r="CY8" i="5" l="1"/>
  <c r="CY61" i="2"/>
  <c r="CY43" i="2"/>
  <c r="CY43" i="4"/>
  <c r="CY45" i="4" l="1"/>
  <c r="CY47" i="4" s="1"/>
  <c r="CY22" i="5"/>
  <c r="CY55" i="5" l="1"/>
  <c r="CY61" i="5"/>
  <c r="CY40" i="5"/>
  <c r="CY42" i="5" s="1"/>
  <c r="CY45" i="5" s="1"/>
  <c r="CY9" i="4" l="1"/>
  <c r="CY46" i="5"/>
  <c r="CY51" i="5" l="1"/>
  <c r="CZ44" i="5"/>
  <c r="CY57" i="5"/>
  <c r="CY13" i="4"/>
  <c r="CY21" i="4" s="1"/>
  <c r="CY52" i="4" s="1"/>
  <c r="CY8" i="8"/>
  <c r="CZ9" i="8" s="1"/>
  <c r="CZ16" i="2" l="1"/>
  <c r="CZ18" i="2" l="1"/>
  <c r="CZ19" i="2" l="1"/>
  <c r="CZ21" i="2" s="1"/>
  <c r="CZ58" i="2"/>
  <c r="CZ41" i="2"/>
  <c r="CZ28" i="2" l="1"/>
  <c r="CZ23" i="2"/>
  <c r="CZ60" i="2"/>
  <c r="CZ42" i="2"/>
  <c r="CZ29" i="2"/>
  <c r="CZ45" i="2" s="1"/>
  <c r="CZ59" i="2"/>
  <c r="CZ61" i="2" l="1"/>
  <c r="CZ43" i="2"/>
  <c r="CZ8" i="5"/>
  <c r="CZ43" i="4"/>
  <c r="CZ22" i="5" l="1"/>
  <c r="CZ45" i="4"/>
  <c r="CZ47" i="4" s="1"/>
  <c r="CZ40" i="5" l="1"/>
  <c r="CZ42" i="5" s="1"/>
  <c r="CZ45" i="5" s="1"/>
  <c r="CZ61" i="5"/>
  <c r="CZ55" i="5"/>
  <c r="CZ9" i="4" l="1"/>
  <c r="CZ46" i="5"/>
  <c r="CZ57" i="5" l="1"/>
  <c r="CZ51" i="5"/>
  <c r="DA44" i="5"/>
  <c r="CZ13" i="4"/>
  <c r="CZ21" i="4" s="1"/>
  <c r="CZ52" i="4" s="1"/>
  <c r="CZ8" i="8"/>
  <c r="DA9" i="8" s="1"/>
  <c r="DA16" i="2" l="1"/>
  <c r="DB9" i="8"/>
  <c r="DA18" i="2" l="1"/>
  <c r="DB16" i="2"/>
  <c r="DB18" i="2" l="1"/>
  <c r="DA41" i="2"/>
  <c r="DA19" i="2"/>
  <c r="DA21" i="2" s="1"/>
  <c r="DA58" i="2"/>
  <c r="DA29" i="2" l="1"/>
  <c r="DA45" i="2" s="1"/>
  <c r="DA28" i="2"/>
  <c r="DA42" i="2"/>
  <c r="DA60" i="2"/>
  <c r="DA23" i="2"/>
  <c r="DA59" i="2"/>
  <c r="DB19" i="2"/>
  <c r="DB21" i="2" s="1"/>
  <c r="DB58" i="2"/>
  <c r="DB41" i="2"/>
  <c r="DB42" i="2" l="1"/>
  <c r="DB23" i="2"/>
  <c r="DB28" i="2"/>
  <c r="DB29" i="2"/>
  <c r="DB45" i="2" s="1"/>
  <c r="DB60" i="2"/>
  <c r="DB59" i="2"/>
  <c r="DD19" i="2"/>
  <c r="DA8" i="5"/>
  <c r="DA61" i="2"/>
  <c r="DA43" i="2"/>
  <c r="DA43" i="4"/>
  <c r="DA22" i="5" l="1"/>
  <c r="DB8" i="5"/>
  <c r="DB43" i="2"/>
  <c r="DB61" i="2"/>
  <c r="DB43" i="4"/>
  <c r="DA45" i="4"/>
  <c r="DA47" i="4" l="1"/>
  <c r="DB47" i="4" s="1"/>
  <c r="DB45" i="4"/>
  <c r="DA61" i="5"/>
  <c r="DA55" i="5"/>
  <c r="DA40" i="5"/>
  <c r="DA42" i="5" s="1"/>
  <c r="DA45" i="5" s="1"/>
  <c r="DB22" i="5"/>
  <c r="DA9" i="4" l="1"/>
  <c r="DA46" i="5"/>
  <c r="DB61" i="5"/>
  <c r="DB40" i="5"/>
  <c r="DB42" i="5" s="1"/>
  <c r="DB45" i="5" s="1"/>
  <c r="DB46" i="5" s="1"/>
  <c r="DA57" i="5" l="1"/>
  <c r="DA51" i="5"/>
  <c r="DB9" i="4"/>
  <c r="DB57" i="5" s="1"/>
  <c r="DA13" i="4"/>
  <c r="DA8" i="8"/>
  <c r="DB13" i="4" l="1"/>
  <c r="DA21" i="4"/>
  <c r="DB51" i="5"/>
  <c r="DA52" i="4" l="1"/>
  <c r="DB52" i="4" s="1"/>
  <c r="DB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Mercado, Christopher</author>
  </authors>
  <commentList>
    <comment ref="A1" authorId="0" shapeId="0" xr:uid="{078A5E01-37A8-4194-BD5B-09A258A4C643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Timestamp="1772163694"&gt;&lt;FQL&gt;&lt;Q&gt;EXAS^FE_ESTIMATE(EPS,MEAN,CALA,2018,0,,,'')&lt;/Q&gt;&lt;R&gt;1&lt;/R&gt;&lt;C&gt;1&lt;/C&gt;&lt;D xsi:type="xsd:double"&gt;-0.995&lt;/D&gt;&lt;/FQL&gt;&lt;FQL&gt;&lt;Q&gt;EXAS^FE_ESTIMATE(EPS,MEAN,CALA,2019,0,,,'')&lt;/Q&gt;&lt;R&gt;1&lt;/R&gt;&lt;C&gt;1&lt;/C&gt;&lt;D xsi:type="xsd:double"&gt;-0.2309091&lt;/D&gt;&lt;/FQL&gt;&lt;FQL&gt;&lt;Q&gt;EXAS^FE_ESTIMATE(EPS,MEAN,ANN_ROLL,2023,NOW,,,'')&lt;/Q&gt;&lt;R&gt;1&lt;/R&gt;&lt;C&gt;1&lt;/C&gt;&lt;D xsi:type="xsd:double"&gt;-3.3040683&lt;/D&gt;&lt;/FQL&gt;&lt;FQL&gt;&lt;Q&gt;EXAS^FE_ESTIMATE(EPS,MEAN,ANN_ROLL,2022,NOW,,,'')&lt;/Q&gt;&lt;R&gt;1&lt;/R&gt;&lt;C&gt;1&lt;/C&gt;&lt;D xsi:type="xsd:double"&gt;-4.31&lt;/D&gt;&lt;/FQL&gt;&lt;FQL&gt;&lt;Q&gt;EXAS-US^FE_ESTIMATE(EPS,MEAN,ANN_ROLL,+1,NOW,,,'')&lt;/Q&gt;&lt;R&gt;1&lt;/R&gt;&lt;C&gt;1&lt;/C&gt;&lt;D xsi:type="xsd:double"&gt;-4.304931&lt;/D&gt;&lt;/FQL&gt;&lt;FQL&gt;&lt;Q&gt;EXAS-US^FE_ESTIMATE(EPS,MEAN,ANN_ROLL,2022,NOW,,,'')&lt;/Q&gt;&lt;R&gt;1&lt;/R&gt;&lt;C&gt;1&lt;/C&gt;&lt;D xsi:type="xsd:double"&gt;-4.304931&lt;/D&gt;&lt;/FQL&gt;&lt;FQL&gt;&lt;Q&gt;EXAS-US^FE_ESTIMATE(EPS_NONGAAP,MEAN,ANN_ROLL,2025,NOW,,,'')&lt;/Q&gt;&lt;R&gt;1&lt;/R&gt;&lt;C&gt;1&lt;/C&gt;&lt;D xsi:type="xsd:double"&gt;0.660007&lt;/D&gt;&lt;/FQL&gt;&lt;FQL&gt;&lt;Q&gt;EXAS-US^FE_ESTIMATE(EPSRD,MEAN,ANN_ROLL,2022,NOW,,,'')&lt;/Q&gt;&lt;R&gt;0&lt;/R&gt;&lt;C&gt;0&lt;/C&gt;&lt;/FQL&gt;&lt;FQL&gt;&lt;Q&gt;EXAS-US^FE_ESTIMATE(EPS_NONGAAP,MEAN,ANN_ROLL,2023,NOW,,,'')&lt;/Q&gt;&lt;R&gt;1&lt;/R&gt;&lt;C&gt;1&lt;/C&gt;&lt;D xsi:type="xsd:double"&gt;-1.2794026&lt;/D&gt;&lt;/FQL&gt;&lt;FQL&gt;&lt;Q&gt;EXAS-US^FE_ESTIMATE(EPS_NONGAAP,MEAN,ANN_ROLL,2022,NOW,,,'')&lt;/Q&gt;&lt;R&gt;1&lt;/R&gt;&lt;C&gt;1&lt;/C&gt;&lt;D xsi:type="xsd:double"&gt;-3.2566667&lt;/D&gt;&lt;/FQL&gt;&lt;FQL&gt;&lt;Q&gt;EXAS-US^FE_ESTIMATE(EPS_NONGAAP,MEAN,ANN_ROLL,2024,NOW,,,'')&lt;/Q&gt;&lt;R&gt;1&lt;/R&gt;&lt;C&gt;1&lt;/C&gt;&lt;D xsi:type="xsd:double"&gt;-0.8286494&lt;/D&gt;&lt;/FQL&gt;&lt;FQL&gt;&lt;Q&gt;NTRA-US^FG_EVAL_SALES_NTM(0)&lt;/Q&gt;&lt;R&gt;1&lt;/R&gt;&lt;C&gt;1&lt;/C&gt;&lt;D xsi:type="xsd:double"&gt;8.32591424385451&lt;/D&gt;&lt;/FQL&gt;&lt;FQL&gt;&lt;Q&gt;CAI^FG_EVAL_SALES_NTM(0)&lt;/Q&gt;&lt;R&gt;1&lt;/R&gt;&lt;C&gt;1&lt;/C&gt;&lt;D xsi:type="xsd:double"&gt;13.9229399149597&lt;/D&gt;&lt;/FQL&gt;&lt;FQL&gt;&lt;Q&gt;FLGT^FG_EVAL_SALES_NTM(0)&lt;/Q&gt;&lt;R&gt;1&lt;/R&gt;&lt;C&gt;1&lt;/C&gt;&lt;D xsi:type="xsd:double"&gt;0.73787621288927&lt;/D&gt;&lt;/FQL&gt;&lt;FQL&gt;&lt;Q&gt;PSNL^FG_EVAL_SALES_NTM(0)&lt;/Q&gt;&lt;R&gt;1&lt;/R&gt;&lt;C&gt;1&lt;/C&gt;&lt;D xsi:type="xsd:double"&gt;4.53350084506617&lt;/D&gt;&lt;/FQL&gt;&lt;FQL&gt;&lt;Q&gt;MYGN^FG_EVAL_SALES_NTM(0)&lt;/Q&gt;&lt;R&gt;1&lt;/R&gt;&lt;C&gt;1&lt;/C&gt;&lt;D xsi:type="xsd:double"&gt;0.566832069811452&lt;/D&gt;&lt;/FQL&gt;&lt;FQL&gt;&lt;Q&gt;CDNA^FG_EVAL_SALES_NTM(0)&lt;/Q&gt;&lt;R&gt;1&lt;/R&gt;&lt;C&gt;1&lt;/C&gt;&lt;D xsi:type="xsd:double"&gt;1.28332160394242&lt;/D&gt;&lt;/FQL&gt;&lt;FQL&gt;&lt;Q&gt;NEO^FG_EVAL_SALES_NTM(0)&lt;/Q&gt;&lt;R&gt;1&lt;/R&gt;&lt;C&gt;1&lt;/C&gt;&lt;D xsi:type="xsd:double"&gt;1.33463158186036&lt;/D&gt;&lt;/FQL&gt;&lt;FQL&gt;&lt;Q&gt;EXAS^FG_EVAL_SALES_NTM(0)&lt;/Q&gt;&lt;R&gt;1&lt;/R&gt;&lt;C&gt;1&lt;/C&gt;&lt;D xsi:type="xsd:double"&gt;3.27981826741104&lt;/D&gt;&lt;/FQL&gt;&lt;FQL&gt;&lt;Q&gt;VCYT^FG_EVAL_SALES_NTM(0)&lt;/Q&gt;&lt;R&gt;1&lt;/R&gt;&lt;C&gt;1&lt;/C&gt;&lt;D xsi:type="xsd:double"&gt;3.34595670933591&lt;/D&gt;&lt;/FQL&gt;&lt;FQL&gt;&lt;Q&gt;WGS^FG_EVAL_SALES_NTM(0)&lt;/Q&gt;&lt;R&gt;1&lt;/R&gt;&lt;C&gt;1&lt;/C&gt;&lt;D xsi:type="xsd:double"&gt;5.44544604622265&lt;/D&gt;&lt;/FQL&gt;&lt;FQL&gt;&lt;Q&gt;LH^FG_EVAL_SALES_NTM(0)&lt;/Q&gt;&lt;R&gt;1&lt;/R&gt;&lt;C&gt;1&lt;/C&gt;&lt;D xsi:type="xsd:double"&gt;1.97216134043868&lt;/D&gt;&lt;/FQL&gt;&lt;FQL&gt;&lt;Q&gt;DGX^FG_EVAL_SALES_NTM(0)&lt;/Q&gt;&lt;R&gt;1&lt;/R&gt;&lt;C&gt;1&lt;/C&gt;&lt;D xsi:type="xsd:double"&gt;2.26046983999923&lt;/D&gt;&lt;/FQL&gt;&lt;FQL&gt;&lt;Q&gt;GRAL^FG_EVAL_SALES_NTM(0)&lt;/Q&gt;&lt;R&gt;1&lt;/R&gt;&lt;C&gt;1&lt;/C&gt;&lt;D xsi:type="xsd:double"&gt;5.21100663782076&lt;/D&gt;&lt;/FQL&gt;&lt;FQL&gt;&lt;Q&gt;ADPT^FG_EVAL_SALES_NTM(0)&lt;/Q&gt;&lt;R&gt;1&lt;/R&gt;&lt;C&gt;1&lt;/C&gt;&lt;D xsi:type="xsd:double"&gt;6.8201837568841&lt;/D&gt;&lt;/FQL&gt;&lt;FQL&gt;&lt;Q&gt;GH^FG_EVAL_SALES_NTM(0)&lt;/Q&gt;&lt;R&gt;1&lt;/R&gt;&lt;C&gt;1&lt;/C&gt;&lt;D xsi:type="xsd:double"&gt;6.16378152135233&lt;/D&gt;&lt;/FQL&gt;&lt;FQL&gt;&lt;Q&gt;TEM^FG_EVAL_SALES_NTM(0)&lt;/Q&gt;&lt;R&gt;1&lt;/R&gt;&lt;C&gt;1&lt;/C&gt;&lt;D xsi:type="xsd:double"&gt;8.29508448339912&lt;/D&gt;&lt;/FQL&gt;&lt;FQL&gt;&lt;Q&gt;NTRA^FG_EVAL_SALES_NTM(0)&lt;/Q&gt;&lt;R&gt;1&lt;/R&gt;&lt;C&gt;1&lt;/C&gt;&lt;D xsi:type="xsd:double"&gt;8.32591424385451&lt;/D&gt;&lt;/FQL&gt;&lt;FQL&gt;&lt;Q&gt;NTRA-US^FMG_FWD_MULTIPLE_D("BEP_REV","ANN_DATE")&lt;/Q&gt;&lt;R&gt;0&lt;/R&gt;&lt;C&gt;0&lt;/C&gt;&lt;/FQL&gt;&lt;FQL&gt;&lt;Q&gt;NTRA-US^FF_ADJ_GROSS_INC(ANN,0)&lt;/Q&gt;&lt;R&gt;0&lt;/R&gt;&lt;C&gt;0&lt;/C&gt;&lt;/FQL&gt;&lt;FQL&gt;&lt;Q&gt;NTRA-US^FE_ESTIMATE(AFFO_GROSS,MEAN,ANN_ROLL,+1,NOW,,,'')&lt;/Q&gt;&lt;R&gt;0&lt;/R&gt;&lt;C&gt;0&lt;/C&gt;&lt;/FQL&gt;&lt;FQL&gt;&lt;Q&gt;NTRA-US^FE_ESTIMATE(AFFO_GROSS,MEAN,ANN_ROLL,2026,NOW,,,'')&lt;/Q&gt;&lt;R&gt;0&lt;/R&gt;&lt;C&gt;0&lt;/C&gt;&lt;/FQL&gt;&lt;FQL&gt;&lt;Q&gt;NTRA-US^FE_ESTIMATE(EPS,MEAN,ANN_ROLL,2026,NOW,,,'')&lt;/Q&gt;&lt;R&gt;1&lt;/R&gt;&lt;C&gt;1&lt;/C&gt;&lt;D xsi:type="xsd:double"&gt;-1.0498834&lt;/D&gt;&lt;/FQL&gt;&lt;FQL&gt;&lt;Q&gt;NTRA-US^FE_ESTIMATE(PAY_ACCT,MEAN,ANN_ROLL,2026,NOW,,,'')&lt;/Q&gt;&lt;R&gt;1&lt;/R&gt;&lt;C&gt;1&lt;/C&gt;&lt;D xsi:type="xsd:double"&gt;59.38175&lt;/D&gt;&lt;/FQL&gt;&lt;FQL&gt;&lt;Q&gt;NTRA-US^FE_ESTIMATE(AJUSTED GROSS PROFIT,MEAN,ANN_ROLL,2026,NOW,,,'')&lt;/Q&gt;&lt;R&gt;1&lt;/R&gt;&lt;C&gt;1&lt;/C&gt;&lt;D xsi:type="xsd:string"&gt;#NUM&lt;/D&gt;&lt;/FQL&gt;&lt;FQL&gt;&lt;Q&gt;NTRA-US^FE_ESTIMATE(GROSS_INC,MEAN,ANN_ROLL,2026,NOW,,,'')&lt;/Q&gt;&lt;R&gt;1&lt;/R&gt;&lt;C&gt;1&lt;/C&gt;&lt;D xsi:type="xsd:double"&gt;1477.5901&lt;/D&gt;&lt;/FQL&gt;&lt;FQL&gt;&lt;Q&gt;CAI^FE_ESTIMATE(GROSS_INC,MEAN,ANN_ROLL,2026,NOW,,,'')&lt;/Q&gt;&lt;R&gt;1&lt;/R&gt;&lt;C&gt;1&lt;/C&gt;&lt;D xsi:type="xsd:double"&gt;629.88336&lt;/D&gt;&lt;/FQL&gt;&lt;FQL&gt;&lt;Q&gt;FLGT^FE_ESTIMATE(GROSS_INC,MEAN,ANN_ROLL,2026,NOW,,,'')&lt;/Q&gt;&lt;R&gt;1&lt;/R&gt;&lt;C&gt;1&lt;/C&gt;&lt;D xsi:type="xsd:double"&gt;139.5965&lt;/D&gt;&lt;/FQL&gt;&lt;FQL&gt;&lt;Q&gt;PSNL^FE_ESTIMATE(GROSS_INC,MEAN,ANN_ROLL,2026,NOW,,,'')&lt;/Q&gt;&lt;R&gt;1&lt;/R&gt;&lt;C&gt;1&lt;/C&gt;&lt;D xsi:type="xsd:double"&gt;31.693428&lt;/D&gt;&lt;/FQL&gt;&lt;FQL&gt;&lt;Q&gt;MYGN^FE_ESTIMATE(GROSS_INC,MEAN,ANN_ROLL,2026,NOW,,,'')&lt;/Q&gt;&lt;R&gt;1&lt;/R&gt;&lt;C&gt;1&lt;/C&gt;&lt;D xsi:type="xsd:double"&gt;601.70166&lt;/D&gt;&lt;/FQL&gt;&lt;FQL&gt;&lt;Q&gt;CDNA^FE_ESTIMATE(GROSS_INC,MEAN,ANN_ROLL,2026,NOW,,,'')&lt;/Q&gt;&lt;R&gt;1&lt;/R&gt;&lt;C&gt;1&lt;/C&gt;&lt;D xsi:type="xsd:double"&gt;293.11493&lt;/D&gt;&lt;/FQL&gt;&lt;FQL&gt;&lt;Q&gt;NEO^FE_ESTIMATE(GROSS_INC,MEAN,ANN_ROLL,2026,NOW,,,'')&lt;/Q&gt;&lt;R&gt;1&lt;/R&gt;&lt;C&gt;1&lt;/C&gt;&lt;D xsi:type="xsd:double"&gt;384.4939&lt;/D&gt;&lt;/FQL&gt;&lt;FQL&gt;&lt;Q&gt;EXAS^FE_ESTIMATE(GROSS_INC,MEAN,ANN_ROLL,2026,NOW,,,'')&lt;/Q&gt;&lt;R&gt;1&lt;/R&gt;&lt;C&gt;1&lt;/C&gt;&lt;D xsi:type="xsd:double"&gt;2584.878&lt;/D&gt;&lt;/FQL&gt;&lt;FQL&gt;&lt;Q&gt;VCYT^FE_ESTIMATE(GROSS_INC,MEAN,ANN_ROLL,2026,NOW,,,'')&lt;/Q&gt;&lt;R&gt;1&lt;/R&gt;&lt;C&gt;1&lt;/C&gt;&lt;D xsi:type="xsd:double"&gt;390.16916&lt;/D&gt;&lt;/FQL&gt;&lt;FQL&gt;&lt;Q&gt;WGS^FE_ESTIMATE(GROSS_INC,MEAN,ANN_ROLL,2026,NOW,,,'')&lt;/Q&gt;&lt;R&gt;1&lt;/R&gt;&lt;C&gt;1&lt;/C&gt;&lt;D xsi:type="xsd:double"&gt;297.35&lt;/D&gt;&lt;/FQL&gt;&lt;FQL&gt;&lt;Q&gt;LH^FE_ESTIMATE(GROSS_INC,MEAN,ANN_ROLL,2026,NOW,,,'')&lt;/Q&gt;&lt;R&gt;1&lt;/R&gt;&lt;C&gt;1&lt;/C&gt;&lt;D xsi:type="xsd:double"&gt;4180.532&lt;/D&gt;&lt;/FQL&gt;&lt;FQL&gt;&lt;Q&gt;DGX^FE_ESTIMATE(GROSS_INC,MEAN,ANN_ROLL,2026,NOW,,,'')&lt;/Q&gt;&lt;R&gt;1&lt;/R&gt;&lt;C&gt;1&lt;/C&gt;&lt;D xsi:type="xsd:double"&gt;3747.378&lt;/D&gt;&lt;/FQL&gt;&lt;FQL&gt;&lt;Q&gt;GRAL^FE_ESTIMATE(GROSS_INC,MEAN,ANN_ROLL,2026,NOW,,,'')&lt;/Q&gt;&lt;R&gt;1&lt;/R&gt;&lt;C&gt;1&lt;/C&gt;&lt;D xsi:type="xsd:double"&gt;88.76667&lt;/D&gt;&lt;/FQL&gt;&lt;FQL&gt;&lt;Q&gt;ADPT^FE_ESTIMATE(GROSS_INC,MEAN,ANN_ROLL,2026,NOW,,,'')&lt;/Q&gt;&lt;R&gt;1&lt;/R&gt;&lt;C&gt;1&lt;/C&gt;&lt;D xsi:type="xsd:double"&gt;172.6&lt;/D&gt;&lt;/FQL&gt;&lt;FQL&gt;&lt;Q&gt;GH^FE_ESTIMATE(GROSS_INC,MEAN,ANN_ROLL,2026,NOW,,,'')&lt;/Q&gt;&lt;R&gt;1&lt;/R&gt;&lt;C&gt;1&lt;/C&gt;&lt;D xsi:type="xsd:double"&gt;677.7918&lt;/D&gt;&lt;/FQL&gt;&lt;FQL&gt;&lt;Q&gt;TEM^FE_ESTIMATE(GROSS_INC,MEAN,ANN_ROLL,2026,NOW,,,'')&lt;/Q&gt;&lt;R&gt;1&lt;/R&gt;&lt;C&gt;1&lt;/C&gt;&lt;D xsi:type="xsd:double"&gt;942.0464&lt;/D&gt;&lt;/FQL&gt;&lt;FQL&gt;&lt;Q&gt;NTRA^FE_ESTIMATE(GROSS_INC,MEAN,ANN_ROLL,2026,NOW,,,'')&lt;/Q&gt;&lt;R&gt;1&lt;/R&gt;&lt;C&gt;1&lt;/C&gt;&lt;D xsi:type="xsd:double"&gt;1477.5901&lt;/D&gt;&lt;/FQL&gt;&lt;FQL&gt;&lt;Q&gt;NTRA-US^RTP_EV_EST(+1)&lt;/Q&gt;&lt;R&gt;1&lt;/R&gt;&lt;C&gt;1&lt;/C&gt;&lt;D xsi:type="xsd:double"&gt;18068.262&lt;/D&gt;&lt;/FQL&gt;&lt;FQL&gt;&lt;Q&gt;NTRA-US^FE_VALUATION(PE,MEAN,ANN_ROLL,2026,NOW,,,'')&lt;/Q&gt;&lt;R&gt;0&lt;/R&gt;&lt;C&gt;0&lt;/C&gt;&lt;/FQL&gt;&lt;FQL&gt;&lt;Q&gt;NTRA-US^FF_ENTRPR_VAL_DAILY(0,,,,,"DIL")&lt;/Q&gt;&lt;R&gt;1&lt;/R&gt;&lt;C&gt;1&lt;/C&gt;&lt;D xsi:type="xsd:double"&gt;17920.775&lt;/D&gt;&lt;/FQL&gt;&lt;FQL&gt;&lt;Q&gt;CAI^FF_ENTRPR_VAL_DAILY(0,,,,,"DIL")&lt;/Q&gt;&lt;R&gt;1&lt;/R&gt;&lt;C&gt;1&lt;/C&gt;&lt;D xsi:type="xsd:double"&gt;10841.14429166&lt;/D&gt;&lt;/FQL&gt;&lt;FQL&gt;&lt;Q&gt;FLGT^FF_ENTRPR_VAL_DAILY(0,,,,,"DIL")&lt;/Q&gt;&lt;R&gt;1&lt;/R&gt;&lt;C&gt;1&lt;/C&gt;&lt;D xsi:type="xsd:double"&gt;249.93384&lt;/D&gt;&lt;/FQL&gt;&lt;FQL&gt;&lt;Q&gt;PSNL^FF_ENTRPR_VAL_DAILY(0,,,,,"DIL")&lt;/Q&gt;&lt;R&gt;1&lt;/R&gt;&lt;C&gt;1&lt;/C&gt;&lt;D xsi:type="xsd:double"&gt;427.17861365&lt;/D&gt;&lt;/FQL&gt;&lt;FQL&gt;&lt;Q&gt;MYGN^FF_ENTRPR_VAL_DAILY(0,,,,,"DIL")&lt;/Q&gt;&lt;R&gt;1&lt;/R&gt;&lt;C&gt;1&lt;/C&gt;&lt;D xsi:type="xsd:double"&gt;472.53&lt;/D&gt;&lt;/FQL&gt;&lt;FQL&gt;&lt;Q&gt;CDNA^FF_ENTRPR_VAL_DAILY(0,,,,,"DIL")&lt;/Q&gt;&lt;R&gt;1&lt;/R&gt;&lt;C&gt;1&lt;/C&gt;&lt;D xsi:type="xsd:double"&gt;506.16685061&lt;/D&gt;&lt;/FQL&gt;&lt;FQL&gt;&lt;Q&gt;NEO^FF_ENTRPR_VAL_DAILY(0,,,,,"DIL")&lt;/Q&gt;&lt;R&gt;1&lt;/R&gt;&lt;C&gt;1&lt;/C&gt;&lt;D xsi:type="xsd:double"&gt;1047.89604&lt;/D&gt;&lt;/FQL&gt;&lt;FQL&gt;&lt;Q&gt;EXAS^FF_ENTRPR_VAL_DAILY(0,,,,,"DIL")&lt;/Q&gt;&lt;R&gt;1&lt;/R&gt;&lt;C&gt;1&lt;/C&gt;&lt;D xsi:type="xsd:double"&gt;10811.47137&lt;/D&gt;&lt;/FQL&gt;&lt;FQL&gt;&lt;Q&gt;VCYT^FF_ENTRPR_VAL_DAILY(0,,,,,"DIL")&lt;/Q&gt;&lt;R&gt;1&lt;/R&gt;&lt;C&gt;1&lt;/C&gt;&lt;D xsi:type="xsd:double"&gt;1784.560606&lt;/D&gt;&lt;/FQL&gt;&lt;FQL&gt;&lt;Q&gt;WGS^FF_ENTRPR_VAL_DAILY(0,,,,,"DIL")&lt;/Q&gt;&lt;R&gt;1&lt;/R&gt;&lt;C&gt;1&lt;/C&gt;&lt;D xsi:type="xsd:double"&gt;2203.94368884&lt;/D&gt;&lt;/FQL&gt;&lt;FQL&gt;&lt;Q&gt;LH^FF_ENTRPR_VAL_DAILY(0,,,,,"DIL")&lt;/Q&gt;&lt;R&gt;1&lt;/R&gt;&lt;C&gt;1&lt;/C&gt;&lt;D xsi:type="xsd:double"&gt;28145.544&lt;/D&gt;&lt;/FQL&gt;&lt;FQL&gt;&lt;Q&gt;DGX^FF_ENTRPR_VAL_DAILY(0,,,,,"DIL")&lt;/Q&gt;&lt;R&gt;1&lt;/R&gt;&lt;C&gt;1&lt;/C&gt;&lt;D xsi:type="xsd:double"&gt;25229.15&lt;/D&gt;&lt;/FQL&gt;&lt;FQL&gt;&lt;Q&gt;GRAL^FF_ENTRPR_VAL_DAILY(0,,,,,"DIL")&lt;/Q&gt;&lt;R&gt;1&lt;/R&gt;&lt;C&gt;1&lt;/C&gt;&lt;D xsi:type="xsd:double"&gt;772.02084615&lt;/D&gt;&lt;/FQL&gt;&lt;FQL&gt;&lt;Q&gt;ADPT^FF_ENTRPR_VAL_DAILY(0,,,,,"DIL")&lt;/Q&gt;&lt;R&gt;1&lt;/R&gt;&lt;C&gt;1&lt;/C&gt;&lt;D xsi:type="xsd:double"&gt;1630.681551&lt;/D&gt;&lt;/FQL&gt;&lt;FQL&gt;&lt;Q&gt;GH^FF_ENTRPR_VAL_DAILY(0,,,,,"DIL")&lt;/Q&gt;&lt;R&gt;1&lt;/R&gt;&lt;C&gt;1&lt;/C&gt;&lt;D xsi:type="xsd:double"&gt;6110.16082&lt;/D&gt;&lt;/FQL&gt;&lt;FQL&gt;&lt;Q&gt;TEM^FF_ENTRPR_VAL_DAILY(0,,,,,"DIL")&lt;/Q&gt;&lt;R&gt;1&lt;/R&gt;&lt;C&gt;1&lt;/C&gt;&lt;D xsi:type="xsd:double"&gt;11634.89694&lt;/D&gt;&lt;/FQL&gt;&lt;FQL&gt;&lt;Q&gt;NTRA^FF_ENTRPR_VAL_DAILY(0,,,,,"DIL")&lt;/Q&gt;&lt;R&gt;1&lt;/R&gt;&lt;C&gt;1&lt;/C&gt;&lt;D xsi:type="xsd:double"&gt;17920.775&lt;/D&gt;&lt;/FQL&gt;&lt;FQL&gt;&lt;Q&gt;CAI^FF_ENTRPR_VAL_DAILY(NOW,,,,,"DIL")&lt;/Q&gt;&lt;R&gt;1&lt;/R&gt;&lt;C&gt;1&lt;/C&gt;&lt;D xsi:type="xsd:double"&gt;10841.14429166&lt;/D&gt;&lt;/FQL&gt;&lt;FQL&gt;&lt;Q&gt;FLGT^FF_ENTRPR_VAL_DAILY(NOW,,,,,"DIL")&lt;/Q&gt;&lt;R&gt;1&lt;/R&gt;&lt;C&gt;1&lt;/C&gt;&lt;D xsi:type="xsd:double"&gt;249.93384&lt;/D&gt;&lt;/FQL&gt;&lt;FQL&gt;&lt;Q&gt;PSNL^FF_ENTRPR_VAL_DAILY(NOW,,,,,"DIL")&lt;/Q&gt;&lt;R&gt;1&lt;/R&gt;&lt;C&gt;1&lt;/C&gt;&lt;D xsi:type="xsd:double"&gt;427.17861365&lt;/D&gt;&lt;/FQL&gt;&lt;FQL&gt;&lt;Q&gt;MYGN^FF_ENTRPR_VAL_DAILY(NOW,,,,,"DIL")&lt;/Q&gt;&lt;R&gt;1&lt;/R&gt;&lt;C&gt;1&lt;/C&gt;&lt;D xsi:type="xsd:double"&gt;472.53&lt;/D&gt;&lt;/FQL&gt;&lt;FQL&gt;&lt;Q&gt;CDNA^FF_ENTRPR_VAL_DAILY(NOW,,,,,"DIL")&lt;/Q&gt;&lt;R&gt;1&lt;/R&gt;&lt;C&gt;1&lt;/C&gt;&lt;D xsi:type="xsd:double"&gt;506.16685061&lt;/D&gt;&lt;/FQL&gt;&lt;FQL&gt;&lt;Q&gt;NEO^FF_ENTRPR_VAL_DAILY(NOW,,,,,"DIL")&lt;/Q&gt;&lt;R&gt;1&lt;/R&gt;&lt;C&gt;1&lt;/C&gt;&lt;D xsi:type="xsd:double"&gt;1047.89604&lt;/D&gt;&lt;/FQL&gt;&lt;FQL&gt;&lt;Q&gt;EXAS^FF_ENTRPR_VAL_DAILY(NOW,,,,,"DIL")&lt;/Q&gt;&lt;R&gt;1&lt;/R&gt;&lt;C&gt;1&lt;/C&gt;&lt;D xsi:type="xsd:double"&gt;10811.47137&lt;/D&gt;&lt;/FQL&gt;&lt;FQL&gt;&lt;Q&gt;VCYT^FF_ENTRPR_VAL_DAILY(NOW,,,,,"DIL")&lt;/Q&gt;&lt;R&gt;1&lt;/R&gt;&lt;C&gt;1&lt;/C&gt;&lt;D xsi:type="xsd:double"&gt;1784.560606&lt;/D&gt;&lt;/FQL&gt;&lt;FQL&gt;&lt;Q&gt;WGS^FF_ENTRPR_VAL_DAILY(NOW,,,,,"DIL")&lt;/Q&gt;&lt;R&gt;1&lt;/R&gt;&lt;C&gt;1&lt;/C&gt;&lt;D xsi:type="xsd:double"&gt;2203.94368884&lt;/D&gt;&lt;/FQL&gt;&lt;FQL&gt;&lt;Q&gt;LH^FF_ENTRPR_VAL_DAILY(NOW,,,,,"DIL")&lt;/Q&gt;&lt;R&gt;1&lt;/R&gt;&lt;C&gt;1&lt;/C&gt;&lt;D xsi:type="xsd:double"&gt;28145.544&lt;/D&gt;&lt;/FQL&gt;&lt;FQL&gt;&lt;Q&gt;DGX^FF_ENTRPR_VAL_DAILY(NOW,,,,,"DIL")&lt;/Q&gt;&lt;R&gt;1&lt;/R&gt;&lt;C&gt;1&lt;/C&gt;&lt;D xsi:type="xsd:double"&gt;25229.15&lt;/D&gt;&lt;/FQL&gt;&lt;FQL&gt;&lt;Q&gt;GRAL^FF_ENTRPR_VAL_DAILY(NOW,,,,,"DIL")&lt;/Q&gt;&lt;R&gt;1&lt;/R&gt;&lt;C&gt;1&lt;/C&gt;&lt;D xsi:type="xsd:double"&gt;772.02084615&lt;/D&gt;&lt;/FQL&gt;&lt;FQL&gt;&lt;Q&gt;ADPT^FF_ENTRPR_VAL_DAILY(NOW,,,,,"DIL")&lt;/Q&gt;&lt;R&gt;1&lt;/R&gt;&lt;C&gt;1&lt;/C&gt;&lt;D xsi:type="xsd:double"&gt;1630.681551&lt;/D&gt;&lt;/FQL&gt;&lt;FQL&gt;&lt;Q&gt;GH^FF_ENTRPR_VAL_DAILY(NOW,,,,,"DIL")&lt;/Q&gt;&lt;R&gt;1&lt;/R&gt;&lt;C&gt;1&lt;/C&gt;&lt;D xsi:type="xsd:double"&gt;6110.16082&lt;/D&gt;&lt;/FQL&gt;&lt;FQL&gt;&lt;Q&gt;TEM^FF_ENTRPR_VAL_DAILY(NOW,,,,,"DIL")&lt;/Q&gt;&lt;R&gt;1&lt;/R&gt;&lt;C&gt;1&lt;/C&gt;&lt;D xsi:type="xsd:double"&gt;11634.89694&lt;/D&gt;&lt;/FQL&gt;&lt;FQL&gt;&lt;Q&gt;NTRA^FF_ENTRPR_VAL_DAILY(NOW,,,,,"DIL")&lt;/Q&gt;&lt;R&gt;1&lt;/R&gt;&lt;C&gt;1&lt;/C&gt;&lt;D xsi:type="xsd:double"&gt;17920.775&lt;/D&gt;&lt;/FQL&gt;&lt;FQL&gt;&lt;Q&gt;NTRA-US^FF_SALES(ANN_R,0,,,,,M)&lt;/Q&gt;&lt;R&gt;1&lt;/R&gt;&lt;C&gt;1&lt;/C&gt;&lt;D xsi:type="xsd:double"&gt;1696.911&lt;/D&gt;&lt;/FQL&gt;&lt;FQL&gt;&lt;Q&gt;NTRA-US^FF_SALES(ANN_R,0,,,1696.911,,M)&lt;/Q&gt;&lt;R&gt;0&lt;/R&gt;&lt;C&gt;0&lt;/C&gt;&lt;/FQL&gt;&lt;FQL&gt;&lt;Q&gt;NTRA-US^FF_SALES(ANN_R,0,-1AY,,1696.911,,M)&lt;/Q&gt;&lt;R&gt;2&lt;/R&gt;&lt;C&gt;1&lt;/C&gt;&lt;D xsi:type="xsd:string"&gt;@NA&lt;/D&gt;&lt;D xsi:type="xsd:double"&gt;1696.911&lt;/D&gt;&lt;/FQL&gt;&lt;FQL&gt;&lt;Q&gt;NTRA-US^FF_SALES(ANN_R,0,-20AY,,1696.911,,M)&lt;/Q&gt;&lt;R&gt;21&lt;/R&gt;&lt;C&gt;1&lt;/C&gt;&lt;D xsi:type="xsd:string"&gt;@NA&lt;/D&gt;&lt;D xsi:type="xsd:double"&gt;1696.911&lt;/D&gt;&lt;D xsi:type="xsd:double"&gt;1082.571&lt;/D&gt;&lt;D xsi:type="xsd:double"&gt;820.222&lt;/D&gt;&lt;D xsi:type="xsd:double"&gt;625.486&lt;/D&gt;&lt;D xsi:type="xsd:double"&gt;391.005&lt;/D&gt;&lt;D xsi:type="xsd:double"&gt;302.328&lt;/D&gt;&lt;D xsi:type="xsd:double"&gt;257.654&lt;/D&gt;&lt;D xsi:type="xsd:double"&gt;209.625&lt;/D&gt;&lt;D xsi:type="xsd:double"&gt;217.074&lt;/D&gt;&lt;D xsi:type="xsd:double"&gt;191.555&lt;/D&gt;&lt;D xsi:type="xsd:double"&gt;159.289&lt;/D&gt;&lt;D xsi:type="xsd:double"&gt;55.171&lt;/D&gt;&lt;D xsi:type="xsd:double"&gt;14.25&lt;/D&gt;&lt;D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xsi:type="xsd:string"&gt;@NA&lt;/D&gt;&lt;/FQL&gt;&lt;FQL&gt;&lt;Q&gt;NTRA-US^FF_SALES(ANN_R,0,-1AY,CY,1696.911,,M)&lt;/Q&gt;&lt;R&gt;1&lt;/R&gt;&lt;C&gt;1&lt;/C&gt;&lt;D xsi:type="xsd:double"&gt;1696.911&lt;/D&gt;&lt;/FQL&gt;&lt;FQL&gt;&lt;Q&gt;NTRA-US^FF_SALES(ANN_R,0,-3AM,CY,1696.911,,M)&lt;/Q&gt;&lt;R&gt;1&lt;/R&gt;&lt;C&gt;1&lt;/C&gt;&lt;D xsi:type="xsd:double"&gt;1696.911&lt;/D&gt;&lt;/FQL&gt;&lt;FQL&gt;&lt;Q&gt;NTRA-US^FF_SALES(ANN_R,0,0CY,CY,1696.911,,M)&lt;/Q&gt;&lt;R&gt;1&lt;/R&gt;&lt;C&gt;1&lt;/C&gt;&lt;D xsi:type="xsd:double"&gt;1696.911&lt;/D&gt;&lt;/FQL&gt;&lt;FQL&gt;&lt;Q&gt;NTRA-US^FF_SALES(ANN_R,-2AY,0CY,CY,1696.911,,M)&lt;/Q&gt;&lt;R&gt;2&lt;/R&gt;&lt;C&gt;1&lt;/C&gt;&lt;D xsi:type="xsd:double"&gt;1082.571&lt;/D&gt;&lt;D xsi:type="xsd:double"&gt;1696.911&lt;/D&gt;&lt;/FQL&gt;&lt;FQL&gt;&lt;Q&gt;NTRA-US^FF_SALES(ANN_R,-1AY,0CY,CY,1696.911,,M)&lt;/Q&gt;&lt;R&gt;1&lt;/R&gt;&lt;C&gt;1&lt;/C&gt;&lt;D xsi:type="xsd:double"&gt;1696.911&lt;/D&gt;&lt;/FQL&gt;&lt;FQL&gt;&lt;Q&gt;NTRA-US^FF_SALES(CY,0,,,,,M)&lt;/Q&gt;&lt;R&gt;1&lt;/R&gt;&lt;C&gt;1&lt;/C&gt;&lt;D xsi:type="xsd:string"&gt;#NUM&lt;/D&gt;&lt;/FQL&gt;&lt;FQL&gt;&lt;Q&gt;NTRA-US^"FF_SALES(ANN_R,-1AY,0CY,CY,"&amp;amp;L3&amp;amp;",,M)"&lt;/Q&gt;&lt;R&gt;1&lt;/R&gt;&lt;C&gt;1&lt;/C&gt;&lt;D xsi:type="xsd:string"&gt;#NUM&lt;/D&gt;&lt;/FQL&gt;&lt;FQL&gt;&lt;Q&gt;NTRA-US^"FF_SALES(CAL_R,-1AY,0CY,CY,"&amp;amp;L3&amp;amp;",,M)"&lt;/Q&gt;&lt;R&gt;1&lt;/R&gt;&lt;C&gt;1&lt;/C&gt;&lt;D xsi:type="xsd:string"&gt;#NUM&lt;/D&gt;&lt;/FQL&gt;&lt;FQL&gt;&lt;Q&gt;NTRA-US^"FF_SALES(CAL_R,-1AY,-3AM,CY,"&amp;amp;L3&amp;amp;",,M)"&lt;/Q&gt;&lt;R&gt;1&lt;/R&gt;&lt;C&gt;1&lt;/C&gt;&lt;D xsi:type="xsd:string"&gt;#NUM&lt;/D&gt;&lt;/FQL&gt;&lt;FQL&gt;&lt;Q&gt;NTRA-US^"FF_SALES(ANN_R,-1AY,-3AM,CY,"&amp;amp;L3&amp;amp;",,M)"&lt;/Q&gt;&lt;R&gt;1&lt;/R&gt;&lt;C&gt;1&lt;/C&gt;&lt;D xsi:type="xsd:string"&gt;#NUM&lt;/D&gt;&lt;/FQL&gt;&lt;FQL&gt;&lt;Q&gt;NTRA-US^"FF_SALES(ANN_R,-1AY,0CQ,CY,"&amp;amp;L3&amp;amp;",,M)"&lt;/Q&gt;&lt;R&gt;1&lt;/R&gt;&lt;C&gt;1&lt;/C&gt;&lt;D xsi:type="xsd:string"&gt;#NUM&lt;/D&gt;&lt;/FQL&gt;&lt;FQL&gt;&lt;Q&gt;NTRA-US^FF_SALES(ANN_R,-1AY,0CQ,CY,,,M)&lt;/Q&gt;&lt;R&gt;1&lt;/R&gt;&lt;C&gt;1&lt;/C&gt;&lt;D xsi:type="xsd:double"&gt;1696.911&lt;/D&gt;&lt;/FQL&gt;&lt;FQL&gt;&lt;Q&gt;NTRA-US^FF_SALES(ANN_R,-1AY,0CQ,CY,",,M)&lt;/Q&gt;&lt;R&gt;1&lt;/R&gt;&lt;C&gt;1&lt;/C&gt;&lt;D xsi:type="xsd:string"&gt;#NUM&lt;/D&gt;&lt;/FQL&gt;&lt;FQL&gt;&lt;Q&gt;NTRA-US^FF_SALES(ANN_R,1/1/2026,0CQ,CY,,,M)&lt;/Q&gt;&lt;R&gt;0&lt;/R&gt;&lt;C&gt;0&lt;/C&gt;&lt;/FQL&gt;&lt;FQL&gt;&lt;Q&gt;NTRA-US^FF_SALES(ANN_R,1/1/2026,12/31/2026,CY,,,M)&lt;/Q&gt;&lt;R&gt;0&lt;/R&gt;&lt;C&gt;0&lt;/C&gt;&lt;/FQL&gt;&lt;FQL&gt;&lt;Q&gt;NTRA-US^FF_SALES(ANN_R,1/1/2025,12/31/2025,CY,,,M)&lt;/Q&gt;&lt;R&gt;0&lt;/R&gt;&lt;C&gt;0&lt;/C&gt;&lt;/FQL&gt;&lt;FQL&gt;&lt;Q&gt;NTRA-US^FF_SALES(ANN_R,1/1/2024,12/31/2024,CY,,,M)&lt;/Q&gt;&lt;R&gt;1&lt;/R&gt;&lt;C&gt;1&lt;/C&gt;&lt;D xsi:type="xsd:double"&gt;1696.911&lt;/D&gt;&lt;/FQL&gt;&lt;FQL&gt;&lt;Q&gt;NTRA-US^FF_SALES(ANN_R,1/1/2023,12/31/2023,CY,,,M)&lt;/Q&gt;&lt;R&gt;1&lt;/R&gt;&lt;C&gt;1&lt;/C&gt;&lt;D xsi:type="xsd:double"&gt;1082.571&lt;/D&gt;&lt;/FQL&gt;&lt;FQL&gt;&lt;Q&gt;NTRA-US^FF_SALES(ANN_R,1/1/2022,12/31/2022,CY,,,M)&lt;/Q&gt;&lt;R&gt;1&lt;/R&gt;&lt;C&gt;1&lt;/C&gt;&lt;D xsi:type="xsd:double"&gt;820.222&lt;/D&gt;&lt;/FQL&gt;&lt;FQL&gt;&lt;Q&gt;NTRA-US^FF_SALES(ANN_R,1/1/2021,12/31/2021,CY,,,M)&lt;/Q&gt;&lt;R&gt;1&lt;/R&gt;&lt;C&gt;1&lt;/C&gt;&lt;D xsi:type="xsd:double"&gt;625.486&lt;/D&gt;&lt;/FQL&gt;&lt;FQL&gt;&lt;Q&gt;NTRA-US^FF_SALES(ANN_R,1/1/2020,12/31/2020,CY,,,M)&lt;/Q&gt;&lt;R&gt;1&lt;/R&gt;&lt;C&gt;1&lt;/C&gt;&lt;D xsi:type="xsd:double"&gt;391.005&lt;/D&gt;&lt;/FQL&gt;&lt;FQL&gt;&lt;Q&gt;NTRA-US^FF_SALES(ANN_R,1/1/2019,12/31/2019,CY,,,M)&lt;/Q&gt;&lt;R&gt;1&lt;/R&gt;&lt;C&gt;1&lt;/C&gt;&lt;D xsi:type="xsd:double"&gt;302.328&lt;/D&gt;&lt;/FQL&gt;&lt;FQL&gt;&lt;Q&gt;NTRA-US^FF_SALES(ANN_R,1/1/2018,12/31/2018,CY,,,M)&lt;/Q&gt;&lt;R&gt;1&lt;/R&gt;&lt;C&gt;1&lt;/C&gt;&lt;D xsi:type="xsd:double"&gt;257.654&lt;/D&gt;&lt;/FQL&gt;&lt;FQL&gt;&lt;Q&gt;NTRA-US^FF_SALES(ANN_R,1/1/2017,12/31/2017,CY,,,M)&lt;/Q&gt;&lt;R&gt;1&lt;/R&gt;&lt;C&gt;1&lt;/C&gt;&lt;D xsi:type="xsd:double"&gt;209.625&lt;/D&gt;&lt;/FQL&gt;&lt;FQL&gt;&lt;Q&gt;NTRA-US^FF_SALES(ANN_R,1/1/2016,12/31/2016,CY,,,M)&lt;/Q&gt;&lt;R&gt;1&lt;/R&gt;&lt;C&gt;1&lt;/C&gt;&lt;D xsi:type="xsd:double"&gt;217.074&lt;/D&gt;&lt;/FQL&gt;&lt;FQL&gt;&lt;Q&gt;NTRA-US^FF_SALES(ANN_R,1/1/2015,12/31/2015,CY,,,M)&lt;/Q&gt;&lt;R&gt;1&lt;/R&gt;&lt;C&gt;1&lt;/C&gt;&lt;D xsi:type="xsd:double"&gt;191.555&lt;/D&gt;&lt;/FQL&gt;&lt;FQL&gt;&lt;Q&gt;CAI-US^FF_SALES(ANN_R,1/1/2024,12/31/2024,CY,,,M)&lt;/Q&gt;&lt;R&gt;1&lt;/R&gt;&lt;C&gt;1&lt;/C&gt;&lt;D xsi:type="xsd:double"&gt;412.26&lt;/D&gt;&lt;/FQL&gt;&lt;FQL&gt;&lt;Q&gt;FLGT-US^FF_SALES(ANN_R,1/1/2024,12/31/2024,CY,,,M)&lt;/Q&gt;&lt;R&gt;1&lt;/R&gt;&lt;C&gt;1&lt;/C&gt;&lt;D xsi:type="xsd:double"&gt;283.47&lt;/D&gt;&lt;/FQL&gt;&lt;FQL&gt;&lt;Q&gt;PSNL-US^FF_SALES(ANN_R,1/1/2024,12/31/2024,CY,,,M)&lt;/Q&gt;&lt;R&gt;1&lt;/R&gt;&lt;C&gt;1&lt;/C&gt;&lt;D xsi:type="xsd:double"&gt;84.614&lt;/D&gt;&lt;/FQL&gt;&lt;FQL&gt;&lt;Q&gt;MYGN-US^FF_SALES(ANN_R,1/1/2024,12/31/2024,CY,,,M)&lt;/Q&gt;&lt;R&gt;1&lt;/R&gt;&lt;C&gt;1&lt;/C&gt;&lt;D xsi:type="xsd:double"&gt;837.6&lt;/D&gt;&lt;/FQL&gt;&lt;FQL&gt;&lt;Q&gt;CDNA-US^FF_SALES(ANN_R,1/1/2024,12/31/2024,CY,,,M)&lt;/Q&gt;&lt;R&gt;1&lt;/R&gt;&lt;C&gt;1&lt;/C&gt;&lt;D xsi:type="xsd:double"&gt;333.785&lt;/D&gt;&lt;/FQL&gt;&lt;FQL&gt;&lt;Q&gt;NEO-US^FF_SALES(ANN_R,1/1/2024,12/31/2024,CY,,,M)&lt;/Q&gt;&lt;R&gt;1&lt;/R&gt;&lt;C&gt;1&lt;/C&gt;&lt;D xsi:type="xsd:double"&gt;660.566&lt;/D&gt;&lt;/FQL&gt;&lt;FQL&gt;&lt;Q&gt;EXAS-US^FF_SALES(ANN_R,1/1/2024,12/31/2024,CY,,,M)&lt;/Q&gt;&lt;R&gt;1&lt;/R&gt;&lt;C&gt;1&lt;/C&gt;&lt;D xsi:type="xsd:double"&gt;2758.867&lt;/D&gt;&lt;/FQL&gt;&lt;FQL&gt;&lt;Q&gt;VCYT-US^FF_SALES(ANN_R,1/1/2024,12/31/2024,CY,,,M)&lt;/Q&gt;&lt;R&gt;1&lt;/R&gt;&lt;C&gt;1&lt;/C&gt;&lt;D xsi:type="xsd:double"&gt;445.764&lt;/D&gt;&lt;/FQL&gt;&lt;FQL&gt;&lt;Q&gt;WGS-US^FF_SALES(ANN_R,1/1/2024,12/31/2024,CY,,,M)&lt;/Q&gt;&lt;R&gt;1&lt;/R&gt;&lt;C&gt;1&lt;/C&gt;&lt;D xsi:type="xsd:double"&gt;305.45&lt;/D&gt;&lt;/FQL&gt;&lt;FQL&gt;&lt;Q&gt;LH-US^FF_SALES(ANN_R,1/1/2024,12/31/2024,CY,,,M)&lt;/Q&gt;&lt;R&gt;1&lt;/R&gt;&lt;C&gt;1&lt;/C&gt;&lt;D xsi:type="xsd:double"&gt;13008.9&lt;/D&gt;&lt;/FQL&gt;&lt;FQL&gt;&lt;Q&gt;DGX-US^FF_SALES(ANN_R,1/1/2024,12/31/2024,CY,,,M)&lt;/Q&gt;&lt;R&gt;1&lt;/R&gt;&lt;C&gt;1&lt;/C&gt;&lt;D xsi:type="xsd:double"&gt;9872&lt;/D&gt;&lt;/FQL&gt;&lt;FQL&gt;&lt;Q&gt;GRAL-US^FF_SALES(ANN_R,1/1/2024,12/31/2024,CY,,,M)&lt;/Q&gt;&lt;R&gt;1&lt;/R&gt;&lt;C&gt;1&lt;/C&gt;&lt;D xsi:type="xsd:double"&gt;125.595&lt;/D&gt;&lt;/FQL&gt;&lt;FQL&gt;&lt;Q&gt;ADPT-US^FF_SALES(ANN_R,1/1/2024,12/31/2024,CY,,,M)&lt;/Q&gt;&lt;R&gt;1&lt;/R&gt;&lt;C&gt;1&lt;/C&gt;&lt;D xsi:type="xsd:double"&gt;178.957&lt;/D&gt;&lt;/FQL&gt;&lt;FQL&gt;&lt;Q&gt;GH-US^FF_SALES(ANN_R,1/1/2024,12/31/2024,CY,,,M)&lt;/Q&gt;&lt;R&gt;1&lt;/R&gt;&lt;C&gt;1&lt;/C&gt;&lt;D xsi:type="xsd:double"&gt;739.016&lt;/D&gt;&lt;/FQL&gt;&lt;FQL&gt;&lt;Q&gt;TEM-US^FF_SALES(ANN_R,1/1/2024,12/31/2024,CY,,,M)&lt;/Q&gt;&lt;R&gt;1&lt;/R&gt;&lt;C&gt;1&lt;/C&gt;&lt;D xsi:type="xsd:double"&gt;693.398&lt;/D&gt;&lt;/FQL&gt;&lt;FQL&gt;&lt;Q&gt;NTRA-US^"FF_ENTRPR_VAL_DAILY(-1AY,0CQ,CY,"&amp;amp;L3&amp;amp;",,""DIL"")"&lt;/Q&gt;&lt;R&gt;1&lt;/R&gt;&lt;C&gt;1&lt;/C&gt;&lt;D xsi:type="xsd:string"&gt;#NUM&lt;/D&gt;&lt;/FQL&gt;&lt;FQL&gt;&lt;Q&gt;530119-IN^"FF_ENTRPR_VAL_DAILY(-1AY,0CQ,CY,"&amp;amp;L3&amp;amp;",,""DIL"")"&lt;/Q&gt;&lt;R&gt;1&lt;/R&gt;&lt;C&gt;1&lt;/C&gt;&lt;D xsi:type="xsd:string"&gt;#NUM&lt;/D&gt;&lt;/FQL&gt;&lt;FQL&gt;&lt;Q&gt;NTRA-US^"FF_ENTRPR_VAL_DAILY(1/1/2024,0CQ,CY,"&amp;amp;L3&amp;amp;",,""DIL"")"&lt;/Q&gt;&lt;R&gt;1&lt;/R&gt;&lt;C&gt;1&lt;/C&gt;&lt;D xsi:type="xsd:string"&gt;#NUM&lt;/D&gt;&lt;/FQL&gt;&lt;FQL&gt;&lt;Q&gt;530119-IN^"FF_ENTRPR_VAL_DAILY(1/1/2024,0CQ,CY,"&amp;amp;L3&amp;amp;",,""DIL"")"&lt;/Q&gt;&lt;R&gt;1&lt;/R&gt;&lt;C&gt;1&lt;/C&gt;&lt;D xsi:type="xsd:string"&gt;#NUM&lt;/D&gt;&lt;/FQL&gt;&lt;FQL&gt;&lt;Q&gt;NTRA-US^"FF_ENTRPR_VAL_DAILY(1/1/2024,12/31/2024,CY,"&amp;amp;L3&amp;amp;",,""DIL"")"&lt;/Q&gt;&lt;R&gt;1&lt;/R&gt;&lt;C&gt;1&lt;/C&gt;&lt;D xsi:type="xsd:string"&gt;#NUM&lt;/D&gt;&lt;/FQL&gt;&lt;FQL&gt;&lt;Q&gt;530119-IN^"FF_ENTRPR_VAL_DAILY(1/1/2024,12/31/2024,CY,"&amp;amp;L3&amp;amp;",,""DIL"")"&lt;/Q&gt;&lt;R&gt;1&lt;/R&gt;&lt;C&gt;1&lt;/C&gt;&lt;D xsi:type="xsd:string"&gt;#NUM&lt;/D&gt;&lt;/FQL&gt;&lt;FQL&gt;&lt;Q&gt;NTRA-US^FF_ENTRPR_VAL_DAILY(1/1/2024,12/31/2024,CY,,,"DIL")&lt;/Q&gt;&lt;R&gt;1&lt;/R&gt;&lt;C&gt;1&lt;/C&gt;&lt;D xsi:type="xsd:double"&gt;18961.7014&lt;/D&gt;&lt;/FQL&gt;&lt;FQL&gt;&lt;Q&gt;530119-IN^FF_ENTRPR_VAL_DAILY(1/1/2024,12/31/2024,CY,,,"DIL")&lt;/Q&gt;&lt;R&gt;1&lt;/R&gt;&lt;C&gt;1&lt;/C&gt;&lt;D xsi:type="xsd:double"&gt;283.7412&lt;/D&gt;&lt;/FQL&gt;&lt;FQL&gt;&lt;Q&gt;NTRA-US^FF_ENTRPR_VAL_DAILY(1/1/2025,12/31/2025,CY,,,"DIL")&lt;/Q&gt;&lt;R&gt;1&lt;/R&gt;&lt;C&gt;1&lt;/C&gt;&lt;D xsi:type="xsd:double"&gt;17799.5&lt;/D&gt;&lt;/FQL&gt;&lt;FQL&gt;&lt;Q&gt;NTRA-US^FF_ENTRPR_VAL_DAILY(1/1/2023,12/31/2023,CY,,,"DIL")&lt;/Q&gt;&lt;R&gt;1&lt;/R&gt;&lt;C&gt;1&lt;/C&gt;&lt;D xsi:type="xsd:double"&gt;6766.42808&lt;/D&gt;&lt;/FQL&gt;&lt;FQL&gt;&lt;Q&gt;NTRA-US^FF_ENTRPR_VAL_DAILY(1/1/2022,12/31/2022,CY,,,"DIL")&lt;/Q&gt;&lt;R&gt;1&lt;/R&gt;&lt;C&gt;1&lt;/C&gt;&lt;D xsi:type="xsd:double"&gt;3500.87636&lt;/D&gt;&lt;/FQL&gt;&lt;FQL&gt;&lt;Q&gt;NTRA-US^FF_ENTRPR_VAL_DAILY(1/1/2021,12/31/2021,CY,,,"DIL")&lt;/Q&gt;&lt;R&gt;1&lt;/R&gt;&lt;C&gt;1&lt;/C&gt;&lt;D xsi:type="xsd:double"&gt;7939.93562&lt;/D&gt;&lt;/FQL&gt;&lt;FQL&gt;&lt;Q&gt;NTRA-US^FF_ENTRPR_VAL_DAILY(1/1/2020,12/31/2020,CY,,,"DIL")&lt;/Q&gt;&lt;R&gt;1&lt;/R&gt;&lt;C&gt;1&lt;/C&gt;&lt;D xsi:type="xsd:double"&gt;7605.84672&lt;/D&gt;&lt;/FQL&gt;&lt;FQL&gt;&lt;Q&gt;NTRA-US^FF_ENTRPR_VAL_DAILY(1/1/2019,12/31/2019,CY,,,"DIL")&lt;/Q&gt;&lt;R&gt;1&lt;/R&gt;&lt;C&gt;1&lt;/C&gt;&lt;D xsi:type="xsd:double"&gt;2058.07695&lt;/D&gt;&lt;/FQL&gt;&lt;FQL&gt;&lt;Q&gt;NTRA-US^FF_ENTRPR_VAL_DAILY(1/1/2018,12/31/2018,CY,,,"DIL")&lt;/Q&gt;&lt;R&gt;1&lt;/R&gt;&lt;C&gt;1&lt;/C&gt;&lt;D xsi:type="xsd:double"&gt;772.60308&lt;/D&gt;&lt;/FQL&gt;&lt;FQL&gt;&lt;Q&gt;NTRA-US^FF_ENTRPR_VAL_DAILY(1/1/2017,12/31/2017,CY,,,"DIL")&lt;/Q&gt;&lt;R&gt;1&lt;/R&gt;&lt;C&gt;1&lt;/C&gt;&lt;D xsi:type="xsd:double"&gt;486.15096&lt;/D&gt;&lt;/FQL&gt;&lt;FQL&gt;&lt;Q&gt;NTRA-US^FF_ENTRPR_VAL_DAILY(1/1/2016,12/31/2016,CY,,,"DIL")&lt;/Q&gt;&lt;R&gt;1&lt;/R&gt;&lt;C&gt;1&lt;/C&gt;&lt;D xsi:type="xsd:double"&gt;505.74696&lt;/D&gt;&lt;/FQL&gt;&lt;FQL&gt;&lt;Q&gt;NTRA-US^FF_ENTRPR_VAL_DAILY(1/1/2015,12/31/2015,CY,,,"DIL")&lt;/Q&gt;&lt;R&gt;1&lt;/R&gt;&lt;C&gt;1&lt;/C&gt;&lt;D xsi:type="xsd:double"&gt;93.6592000000001&lt;/D&gt;&lt;/FQL&gt;&lt;FQL&gt;&lt;Q&gt;CAI-US^FF_ENTRPR_VAL_DAILY(1/1/2025,12/31/2025,CY,,,"DIL")&lt;/Q&gt;&lt;R&gt;1&lt;/R&gt;&lt;C&gt;1&lt;/C&gt;&lt;D xsi:type="xsd:double"&gt;10151.87099974&lt;/D&gt;&lt;/FQL&gt;&lt;FQL&gt;&lt;Q&gt;CAI-US^FF_ENTRPR_VAL_DAILY(1/1/2024,12/31/2024,CY,,,"DIL")&lt;/Q&gt;&lt;R&gt;0&lt;/R&gt;&lt;C&gt;0&lt;/C&gt;&lt;/FQL&gt;&lt;FQL&gt;&lt;Q&gt;CAI-US^FF_ENTRPR_VAL_DAILY(1/1/2023,12/31/2023,CY,,,"DIL")&lt;/Q&gt;&lt;R&gt;0&lt;/R&gt;&lt;C&gt;0&lt;/C&gt;&lt;/FQL&gt;&lt;FQL&gt;&lt;Q&gt;CAI-US^FF_ENTRPR_VAL_DAILY(1/1/2022,12/31/2022,CY,,,"DIL")&lt;/Q&gt;&lt;R&gt;0&lt;/R&gt;&lt;C&gt;0&lt;/C&gt;&lt;/FQL&gt;&lt;FQL&gt;&lt;Q&gt;CAI-US^FF_ENTRPR_VAL_DAILY(1/1/2021,12/31/2021,CY,,,"DIL")&lt;/Q&gt;&lt;R&gt;0&lt;/R&gt;&lt;C&gt;0&lt;/C&gt;&lt;/FQL&gt;&lt;FQL&gt;&lt;Q&gt;CAI-US^FF_ENTRPR_VAL_DAILY(1/1/2020,12/31/2020,CY,,,"DIL")&lt;/Q&gt;&lt;R&gt;0&lt;/R&gt;&lt;C&gt;0&lt;/C&gt;&lt;/FQL&gt;&lt;FQL&gt;&lt;Q&gt;CAI-US^FF_ENTRPR_VAL_DAILY(1/1/2019,12/31/2019,CY,,,"DIL")&lt;/Q&gt;&lt;R&gt;0&lt;/R&gt;&lt;C&gt;0&lt;/C&gt;&lt;/FQL&gt;&lt;FQL&gt;&lt;Q&gt;CAI-US^FF_ENTRPR_VAL_DAILY(1/1/2018,12/31/2018,CY,,,"DIL")&lt;/Q&gt;&lt;R&gt;0&lt;/R&gt;&lt;C&gt;0&lt;/C&gt;&lt;/FQL&gt;&lt;FQL&gt;&lt;Q&gt;CAI-US^FF_ENTRPR_VAL_DAILY(1/1/2017,12/31/2017,CY,,,"DIL")&lt;/Q&gt;&lt;R&gt;0&lt;/R&gt;&lt;C&gt;0&lt;/C&gt;&lt;/FQL&gt;&lt;FQL&gt;&lt;Q&gt;CAI-US^FF_ENTRPR_VAL_DAILY(1/1/2016,12/31/2016,CY,,,"DIL")&lt;/Q&gt;&lt;R&gt;0&lt;/R&gt;&lt;C&gt;0&lt;/C&gt;&lt;/FQL&gt;&lt;FQL&gt;&lt;Q&gt;CAI-US^FF_ENTRPR_VAL_DAILY(1/1/2015,12/31/2015,CY,,,"DIL")&lt;/Q&gt;&lt;R&gt;0&lt;/R&gt;&lt;C&gt;0&lt;/C&gt;&lt;/FQL&gt;&lt;FQL&gt;&lt;Q&gt;FLGT-US^FF_ENTRPR_VAL_DAILY(1/1/2025,12/31/2025,CY,,,"DIL")&lt;/Q&gt;&lt;R&gt;1&lt;/R&gt;&lt;C&gt;1&lt;/C&gt;&lt;D xsi:type="xsd:double"&gt;239.14264&lt;/D&gt;&lt;/FQL&gt;&lt;FQL&gt;&lt;Q&gt;FLGT-US^FF_ENTRPR_VAL_DAILY(1/1/2024,12/31/2024,CY,,,"DIL")&lt;/Q&gt;&lt;R&gt;1&lt;/R&gt;&lt;C&gt;1&lt;/C&gt;&lt;D xsi:type="xsd:double"&gt;305.49145&lt;/D&gt;&lt;/FQL&gt;&lt;FQL&gt;&lt;Q&gt;FLGT-US^FF_ENTRPR_VAL_DAILY(1/1/2023,12/31/2023,CY,,,"DIL")&lt;/Q&gt;&lt;R&gt;1&lt;/R&gt;&lt;C&gt;1&lt;/C&gt;&lt;D xsi:type="xsd:double"&gt;448.99344&lt;/D&gt;&lt;/FQL&gt;&lt;FQL&gt;&lt;Q&gt;FLGT-US^FF_ENTRPR_VAL_DAILY(1/1/2022,12/31/2022,CY,,,"DIL")&lt;/Q&gt;&lt;R&gt;1&lt;/R&gt;&lt;C&gt;1&lt;/C&gt;&lt;D xsi:type="xsd:double"&gt;440.17292&lt;/D&gt;&lt;/FQL&gt;&lt;FQL&gt;&lt;Q&gt;FLGT-US^FF_ENTRPR_VAL_DAILY(1/1/2021,12/31/2021,CY,,,"DIL")&lt;/Q&gt;&lt;R&gt;1&lt;/R&gt;&lt;C&gt;1&lt;/C&gt;&lt;D xsi:type="xsd:double"&gt;2700.97784&lt;/D&gt;&lt;/FQL&gt;&lt;FQL&gt;&lt;Q&gt;FLGT-US^FF_ENTRPR_VAL_DAILY(1/1/2020,12/31/2020,CY,,,"DIL")&lt;/Q&gt;&lt;R&gt;1&lt;/R&gt;&lt;C&gt;1&lt;/C&gt;&lt;D xsi:type="xsd:double"&gt;969.8046&lt;/D&gt;&lt;/FQL&gt;&lt;FQL&gt;&lt;Q&gt;FLGT-US^FF_ENTRPR_VAL_DAILY(1/1/2019,12/31/2019,CY,,,"DIL")&lt;/Q&gt;&lt;R&gt;1&lt;/R&gt;&lt;C&gt;1&lt;/C&gt;&lt;D xsi:type="xsd:double"&gt;215.7531&lt;/D&gt;&lt;/FQL&gt;&lt;FQL&gt;&lt;Q&gt;FLGT-US^FF_ENTRPR_VAL_DAILY(1/1/2018,12/31/2018,CY,,,"DIL")&lt;/Q&gt;&lt;R&gt;1&lt;/R&gt;&lt;C&gt;1&lt;/C&gt;&lt;D xsi:type="xsd:double"&gt;25.95626&lt;/D&gt;&lt;/FQL&gt;&lt;FQL&gt;&lt;Q&gt;FLGT-US^FF_ENTRPR_VAL_DAILY(1/1/2017,12/31/2017,CY,,,"DIL")&lt;/Q&gt;&lt;R&gt;1&lt;/R&gt;&lt;C&gt;1&lt;/C&gt;&lt;D xsi:type="xsd:double"&gt;51.21282&lt;/D&gt;&lt;/FQL&gt;&lt;FQL&gt;&lt;Q&gt;FLGT-US^FF_ENTRPR_VAL_DAILY(1/1/2016,12/31/2016,CY,,,"DIL")&lt;/Q&gt;&lt;R&gt;1&lt;/R&gt;&lt;C&gt;1&lt;/C&gt;&lt;D xsi:type="xsd:double"&gt;137.7567&lt;/D&gt;&lt;/FQL&gt;&lt;FQL&gt;&lt;Q&gt;FLGT-US^FF_ENTRPR_VAL_DAILY(1/1/2015,12/31/2015,CY,,,"DIL")&lt;/Q&gt;&lt;R&gt;0&lt;/R&gt;&lt;C&gt;0&lt;/C&gt;&lt;/FQL&gt;&lt;FQL&gt;&lt;Q&gt;PSNL-US^FF_ENTRPR_VAL_DAILY(1/1/2025,12/31/2025,CY,,,"DIL")&lt;/Q&gt;&lt;R&gt;1&lt;/R&gt;&lt;C&gt;1&lt;/C&gt;&lt;D xsi:type="xsd:double"&gt;397.44089275&lt;/D&gt;&lt;/FQL&gt;&lt;FQL&gt;&lt;Q&gt;PSNL-US^FF_ENTRPR_VAL_DAILY(1/1/2024,12/31/2024,CY,,,"DIL")&lt;/Q&gt;&lt;R&gt;1&lt;/R&gt;&lt;C&gt;1&lt;/C&gt;&lt;D xsi:type="xsd:double"&gt;201.81185514&lt;/D&gt;&lt;/FQL&gt;&lt;FQL&gt;&lt;Q&gt;PSNL-US^FF_ENTRPR_VAL_DAILY(1/1/2023,12/31/2023,CY,,,"DIL")&lt;/Q&gt;&lt;R&gt;1&lt;/R&gt;&lt;C&gt;1&lt;/C&gt;&lt;D xsi:type="xsd:double"&gt;35.9509221&lt;/D&gt;&lt;/FQL&gt;&lt;FQL&gt;&lt;Q&gt;PSNL-US^FF_ENTRPR_VAL_DAILY(1/1/2022,12/31/2022,CY,,,"DIL")&lt;/Q&gt;&lt;R&gt;1&lt;/R&gt;&lt;C&gt;1&lt;/C&gt;&lt;D xsi:type="xsd:double"&gt;-28.1344861&lt;/D&gt;&lt;/FQL&gt;&lt;FQL&gt;&lt;Q&gt;PSNL-US^FF_ENTRPR_VAL_DAILY(1/1/2021,12/31/2021,CY,,,"DIL")&lt;/Q&gt;&lt;R&gt;1&lt;/R&gt;&lt;C&gt;1&lt;/C&gt;&lt;D xsi:type="xsd:double"&gt;399.2186371&lt;/D&gt;&lt;/FQL&gt;&lt;FQL&gt;&lt;Q&gt;PSNL-US^FF_ENTRPR_VAL_DAILY(1/1/2020,12/31/2020,CY,,,"DIL")&lt;/Q&gt;&lt;R&gt;1&lt;/R&gt;&lt;C&gt;1&lt;/C&gt;&lt;D xsi:type="xsd:double"&gt;1239.35011228&lt;/D&gt;&lt;/FQL&gt;&lt;FQL&gt;&lt;Q&gt;PSNL-US^FF_ENTRPR_VAL_DAILY(1/1/2019,12/31/2019,CY,,,"DIL")&lt;/Q&gt;&lt;R&gt;1&lt;/R&gt;&lt;C&gt;1&lt;/C&gt;&lt;D xsi:type="xsd:double"&gt;214.2600161&lt;/D&gt;&lt;/FQL&gt;&lt;FQL&gt;&lt;Q&gt;PSNL-US^FF_ENTRPR_VAL_DAILY(1/1/2018,12/31/2018,CY,,,"DIL")&lt;/Q&gt;&lt;R&gt;0&lt;/R&gt;&lt;C&gt;0&lt;/C&gt;&lt;/FQL&gt;&lt;FQL&gt;&lt;Q&gt;PSNL-US^FF_ENTRPR_VAL_DAILY(1/1/2017,12/31/2017,CY,,,"DIL")&lt;/Q&gt;&lt;R&gt;0&lt;/R&gt;&lt;C&gt;0&lt;/C&gt;&lt;/FQL&gt;&lt;FQL&gt;&lt;Q&gt;PSNL-US^FF_ENTRPR_VAL_DAILY(1/1/2016,12/31/2016,CY,,,"DIL")&lt;/Q&gt;&lt;R&gt;0&lt;/R&gt;&lt;C&gt;0&lt;/C&gt;&lt;/FQL&gt;&lt;FQL&gt;&lt;Q&gt;PSNL-US^FF_ENTRPR_VAL_DAILY(1/1/2015,12/31/2015,CY,,,"DIL")&lt;/Q&gt;&lt;R&gt;0&lt;/R&gt;&lt;C&gt;0&lt;/C&gt;&lt;/FQL&gt;&lt;FQL&gt;&lt;Q&gt;MYGN-US^FF_ENTRPR_VAL_DAILY(1/1/2025,12/31/2025,CY,,,"DIL")&lt;/Q&gt;&lt;R&gt;1&lt;/R&gt;&lt;C&gt;1&lt;/C&gt;&lt;D xsi:type="xsd:double"&gt;466.132&lt;/D&gt;&lt;/FQL&gt;&lt;FQL&gt;&lt;Q&gt;MYGN-US^FF_ENTRPR_VAL_DAILY(1/1/2024,12/31/2024,CY,,,"DIL")&lt;/Q&gt;&lt;R&gt;1&lt;/R&gt;&lt;C&gt;1&lt;/C&gt;&lt;D xsi:type="xsd:double"&gt;1271.426&lt;/D&gt;&lt;/FQL&gt;&lt;FQL&gt;&lt;Q&gt;MYGN-US^FF_ENTRPR_VAL_DAILY(1/1/2023,12/31/2023,CY,,,"DIL")&lt;/Q&gt;&lt;R&gt;1&lt;/R&gt;&lt;C&gt;1&lt;/C&gt;&lt;D xsi:type="xsd:double"&gt;1594.792&lt;/D&gt;&lt;/FQL&gt;&lt;FQL&gt;&lt;Q&gt;MYGN-US^FF_ENTRPR_VAL_DAILY(1/1/2022,12/31/2022,CY,,,"DIL")&lt;/Q&gt;&lt;R&gt;1&lt;/R&gt;&lt;C&gt;1&lt;/C&gt;&lt;D xsi:type="xsd:double"&gt;1197.606&lt;/D&gt;&lt;/FQL&gt;&lt;FQL&gt;&lt;Q&gt;MYGN-US^FF_ENTRPR_VAL_DAILY(1/1/2021,12/31/2021,CY,,,"DIL")&lt;/Q&gt;&lt;R&gt;1&lt;/R&gt;&lt;C&gt;1&lt;/C&gt;&lt;D xsi:type="xsd:double"&gt;1905.3&lt;/D&gt;&lt;/FQL&gt;&lt;FQL&gt;&lt;Q&gt;MYGN-US^FF_ENTRPR_VAL_DAILY(1/1/2020,12/31/2020,CY,,,"DIL")&lt;/Q&gt;&lt;R&gt;1&lt;/R&gt;&lt;C&gt;1&lt;/C&gt;&lt;D xsi:type="xsd:double"&gt;1546.2825&lt;/D&gt;&lt;/FQL&gt;&lt;FQL&gt;&lt;Q&gt;MYGN-US^FF_ENTRPR_VAL_DAILY(1/1/2019,12/31/2019,CY,,,"DIL")&lt;/Q&gt;&lt;R&gt;1&lt;/R&gt;&lt;C&gt;1&lt;/C&gt;&lt;D xsi:type="xsd:double"&gt;2181.012&lt;/D&gt;&lt;/FQL&gt;&lt;FQL&gt;&lt;Q&gt;MYGN-US^FF_ENTRPR_VAL_DAILY(1/1/2018,12/31/2018,CY,,,"DIL")&lt;/Q&gt;&lt;R&gt;1&lt;/R&gt;&lt;C&gt;1&lt;/C&gt;&lt;D xsi:type="xsd:double"&gt;2331.655&lt;/D&gt;&lt;/FQL&gt;&lt;FQL&gt;&lt;Q&gt;MYGN-US^FF_ENTRPR_VAL_DAILY(1/1/2017,12/31/2017,CY,,,"DIL")&lt;/Q&gt;&lt;R&gt;1&lt;/R&gt;&lt;C&gt;1&lt;/C&gt;&lt;D xsi:type="xsd:double"&gt;2369.1055&lt;/D&gt;&lt;/FQL&gt;&lt;FQL&gt;&lt;Q&gt;MYGN-US^FF_ENTRPR_VAL_DAILY(1/1/2016,12/31/2016,CY,,,"DIL")&lt;/Q&gt;&lt;R&gt;1&lt;/R&gt;&lt;C&gt;1&lt;/C&gt;&lt;D xsi:type="xsd:double"&gt;1179.861&lt;/D&gt;&lt;/FQL&gt;&lt;FQL&gt;&lt;Q&gt;MYGN-US^FF_ENTRPR_VAL_DAILY(1/1/2015,12/31/2015,CY,,,"DIL")&lt;/Q&gt;&lt;R&gt;1&lt;/R&gt;&lt;C&gt;1&lt;/C&gt;&lt;D xsi:type="xsd:double"&gt;2965.908&lt;/D&gt;&lt;/FQL&gt;&lt;FQL&gt;&lt;Q&gt;CDNA-US^FF_ENTRPR_VAL_DAILY(1/1/2025,12/31/2025,CY,,,"DIL")&lt;/Q&gt;&lt;R&gt;1&lt;/R&gt;&lt;C&gt;1&lt;/C&gt;&lt;D xsi:type="xsd:double"&gt;506.16685061&lt;/D&gt;&lt;/FQL&gt;&lt;FQL&gt;&lt;Q&gt;CDNA-US^FF_ENTRPR_VAL_DAILY(1/1/2024,12/31/2024,CY,,,"DIL")&lt;/Q&gt;&lt;R&gt;1&lt;/R&gt;&lt;C&gt;1&lt;/C&gt;&lt;D xsi:type="xsd:double"&gt;979.9598319&lt;/D&gt;&lt;/FQL&gt;&lt;FQL&gt;&lt;Q&gt;CDNA-US^FF_ENTRPR_VAL_DAILY(1/1/2023,12/31/2023,CY,,,"DIL")&lt;/Q&gt;&lt;R&gt;1&lt;/R&gt;&lt;C&gt;1&lt;/C&gt;&lt;D xsi:type="xsd:double"&gt;443.97946&lt;/D&gt;&lt;/FQL&gt;&lt;FQL&gt;&lt;Q&gt;CDNA-US^FF_ENTRPR_VAL_DAILY(1/1/2022,12/31/2022,CY,,,"DIL")&lt;/Q&gt;&lt;R&gt;1&lt;/R&gt;&lt;C&gt;1&lt;/C&gt;&lt;D xsi:type="xsd:double"&gt;354.30774125&lt;/D&gt;&lt;/FQL&gt;&lt;FQL&gt;&lt;Q&gt;CDNA-US^FF_ENTRPR_VAL_DAILY(1/1/2021,12/31/2021,CY,,,"DIL")&lt;/Q&gt;&lt;R&gt;1&lt;/R&gt;&lt;C&gt;1&lt;/C&gt;&lt;D xsi:type="xsd:double"&gt;2048.79113648&lt;/D&gt;&lt;/FQL&gt;&lt;FQL&gt;&lt;Q&gt;CDNA-US^FF_ENTRPR_VAL_DAILY(1/1/2020,12/31/2020,CY,,,"DIL")&lt;/Q&gt;&lt;R&gt;1&lt;/R&gt;&lt;C&gt;1&lt;/C&gt;&lt;D xsi:type="xsd:double"&gt;3161.0743814&lt;/D&gt;&lt;/FQL&gt;&lt;FQL&gt;&lt;Q&gt;CDNA-US^FF_ENTRPR_VAL_DAILY(1/1/2019,12/31/2019,CY,,,"DIL")&lt;/Q&gt;&lt;R&gt;1&lt;/R&gt;&lt;C&gt;1&lt;/C&gt;&lt;D xsi:type="xsd:double"&gt;874.28437869&lt;/D&gt;&lt;/FQL&gt;&lt;FQL&gt;&lt;Q&gt;CDNA-US^FF_ENTRPR_VAL_DAILY(1/1/2018,12/31/2018,CY,,,"DIL")&lt;/Q&gt;&lt;R&gt;1&lt;/R&gt;&lt;C&gt;1&lt;/C&gt;&lt;D xsi:type="xsd:double"&gt;831.76835384&lt;/D&gt;&lt;/FQL&gt;&lt;FQL&gt;&lt;Q&gt;CDNA-US^FF_ENTRPR_VAL_DAILY(1/1/2017,12/31/2017,CY,,,"DIL")&lt;/Q&gt;&lt;R&gt;1&lt;/R&gt;&lt;C&gt;1&lt;/C&gt;&lt;D xsi:type="xsd:double"&gt;188.61757202&lt;/D&gt;&lt;/FQL&gt;&lt;FQL&gt;&lt;Q&gt;CDNA-US^FF_ENTRPR_VAL_DAILY(1/1/2016,12/31/2016,CY,,,"DIL")&lt;/Q&gt;&lt;R&gt;1&lt;/R&gt;&lt;C&gt;1&lt;/C&gt;&lt;D xsi:type="xsd:double"&gt;52.1746597&lt;/D&gt;&lt;/FQL&gt;&lt;FQL&gt;&lt;Q&gt;CDNA-US^FF_ENTRPR_VAL_DAILY(1/1/2015,12/31/2015,CY,,,"DIL")&lt;/Q&gt;&lt;R&gt;1&lt;/R&gt;&lt;C&gt;1&lt;/C&gt;&lt;D xsi:type="xsd:double"&gt;61.845664&lt;/D&gt;&lt;/FQL&gt;&lt;FQL&gt;&lt;Q&gt;NEO-US^FF_ENTRPR_VAL_DAILY(1/1/2025,12/31/2025,CY,,,"DIL")&lt;/Q&gt;&lt;R&gt;1&lt;/R&gt;&lt;C&gt;1&lt;/C&gt;&lt;D xsi:type="xsd:double"&gt;1069.54996&lt;/D&gt;&lt;/FQL&gt;&lt;FQL&gt;&lt;Q&gt;NEO-US^FF_ENTRPR_VAL_DAILY(1/1/2024,12/31/2024,CY,,,"DIL")&lt;/Q&gt;&lt;R&gt;1&lt;/R&gt;&lt;C&gt;1&lt;/C&gt;&lt;D xsi:type="xsd:double"&gt;2305.81384&lt;/D&gt;&lt;/FQL&gt;&lt;FQL&gt;&lt;Q&gt;NEO-US^FF_ENTRPR_VAL_DAILY(1/1/2023,12/31/2023,CY,,,"DIL")&lt;/Q&gt;&lt;R&gt;1&lt;/R&gt;&lt;C&gt;1&lt;/C&gt;&lt;D xsi:type="xsd:double"&gt;2227.09836&lt;/D&gt;&lt;/FQL&gt;&lt;FQL&gt;&lt;Q&gt;NEO-US^FF_ENTRPR_VAL_DAILY(1/1/2022,12/31/2022,CY,,,"DIL")&lt;/Q&gt;&lt;R&gt;1&lt;/R&gt;&lt;C&gt;1&lt;/C&gt;&lt;D xsi:type="xsd:double"&gt;1320.70408&lt;/D&gt;&lt;/FQL&gt;&lt;FQL&gt;&lt;Q&gt;NEO-US^FF_ENTRPR_VAL_DAILY(1/1/2021,12/31/2021,CY,,,"DIL")&lt;/Q&gt;&lt;R&gt;1&lt;/R&gt;&lt;C&gt;1&lt;/C&gt;&lt;D xsi:type="xsd:double"&gt;4190.57544&lt;/D&gt;&lt;/FQL&gt;&lt;FQL&gt;&lt;Q&gt;NEO-US^FF_ENTRPR_VAL_DAILY(1/1/2020,12/31/2020,CY,,,"DIL")&lt;/Q&gt;&lt;R&gt;1&lt;/R&gt;&lt;C&gt;1&lt;/C&gt;&lt;D xsi:type="xsd:double"&gt;5941.92096&lt;/D&gt;&lt;/FQL&gt;&lt;FQL&gt;&lt;Q&gt;NEO-US^FF_ENTRPR_VAL_DAILY(1/1/2019,12/31/2019,CY,,,"DIL")&lt;/Q&gt;&lt;R&gt;1&lt;/R&gt;&lt;C&gt;1&lt;/C&gt;&lt;D xsi:type="xsd:double"&gt;2990.59775&lt;/D&gt;&lt;/FQL&gt;&lt;FQL&gt;&lt;Q&gt;NEO-US^FF_ENTRPR_VAL_DAILY(1/1/2018,12/31/2018,CY,,,"DIL")&lt;/Q&gt;&lt;R&gt;1&lt;/R&gt;&lt;C&gt;1&lt;/C&gt;&lt;D xsi:type="xsd:double"&gt;1257.16248&lt;/D&gt;&lt;/FQL&gt;&lt;FQL&gt;&lt;Q&gt;NEO-US^FF_ENTRPR_VAL_DAILY(1/1/2017,12/31/2017,CY,,,"DIL")&lt;/Q&gt;&lt;R&gt;1&lt;/R&gt;&lt;C&gt;1&lt;/C&gt;&lt;D xsi:type="xsd:double"&gt;828.93236&lt;/D&gt;&lt;/FQL&gt;&lt;FQL&gt;&lt;Q&gt;NEO-US^FF_ENTRPR_VAL_DAILY(1/1/2016,12/31/2016,CY,,,"DIL")&lt;/Q&gt;&lt;R&gt;1&lt;/R&gt;&lt;C&gt;1&lt;/C&gt;&lt;D xsi:type="xsd:double"&gt;781.05194&lt;/D&gt;&lt;/FQL&gt;&lt;FQL&gt;&lt;Q&gt;NEO-US^FF_ENTRPR_VAL_DAILY(1/1/2015,12/31/2015,CY,,,"DIL")&lt;/Q&gt;&lt;R&gt;1&lt;/R&gt;&lt;C&gt;1&lt;/C&gt;&lt;D xsi:type="xsd:double"&gt;552.90062&lt;/D&gt;&lt;/FQL&gt;&lt;FQL&gt;&lt;Q&gt;EXAS-US^FF_ENTRPR_VAL_DAILY(1/1/2025,12/31/2025,CY,,,"DIL")&lt;/Q&gt;&lt;R&gt;1&lt;/R&gt;&lt;C&gt;1&lt;/C&gt;&lt;D xsi:type="xsd:double"&gt;10727.40552&lt;/D&gt;&lt;/FQL&gt;&lt;FQL&gt;&lt;Q&gt;EXAS-US^FF_ENTRPR_VAL_DAILY(1/1/2024,12/31/2024,CY,,,"DIL")&lt;/Q&gt;&lt;R&gt;1&lt;/R&gt;&lt;C&gt;1&lt;/C&gt;&lt;D xsi:type="xsd:double"&gt;12087.76143&lt;/D&gt;&lt;/FQL&gt;&lt;FQL&gt;&lt;Q&gt;EXAS-US^FF_ENTRPR_VAL_DAILY(1/1/2023,12/31/2023,CY,,,"DIL")&lt;/Q&gt;&lt;R&gt;1&lt;/R&gt;&lt;C&gt;1&lt;/C&gt;&lt;D xsi:type="xsd:double"&gt;15116.03412&lt;/D&gt;&lt;/FQL&gt;&lt;FQL&gt;&lt;Q&gt;EXAS-US^FF_ENTRPR_VAL_DAILY(1/1/2022,12/31/2022,CY,,,"DIL")&lt;/Q&gt;&lt;R&gt;1&lt;/R&gt;&lt;C&gt;1&lt;/C&gt;&lt;D xsi:type="xsd:double"&gt;10556.55201&lt;/D&gt;&lt;/FQL&gt;&lt;FQL&gt;&lt;Q&gt;EXAS-US^FF_ENTRPR_VAL_DAILY(1/1/2021,12/31/2021,CY,,,"DIL")&lt;/Q&gt;&lt;R&gt;1&lt;/R&gt;&lt;C&gt;1&lt;/C&gt;&lt;D xsi:type="xsd:double"&gt;14706.34684&lt;/D&gt;&lt;/FQL&gt;&lt;FQL&gt;&lt;Q&gt;EXAS-US^FF_ENTRPR_VAL_DAILY(1/1/2020,12/31/2020,CY,,,"DIL")&lt;/Q&gt;&lt;R&gt;1&lt;/R&gt;&lt;C&gt;1&lt;/C&gt;&lt;D xsi:type="xsd:double"&gt;20533.47313&lt;/D&gt;&lt;/FQL&gt;&lt;FQL&gt;&lt;Q&gt;EXAS-US^FF_ENTRPR_VAL_DAILY(1/1/2019,12/31/2019,CY,,,"DIL")&lt;/Q&gt;&lt;R&gt;1&lt;/R&gt;&lt;C&gt;1&lt;/C&gt;&lt;D xsi:type="xsd:double"&gt;12770.01936&lt;/D&gt;&lt;/FQL&gt;&lt;FQL&gt;&lt;Q&gt;EXAS-US^FF_ENTRPR_VAL_DAILY(1/1/2018,12/31/2018,CY,,,"DIL")&lt;/Q&gt;&lt;R&gt;1&lt;/R&gt;&lt;C&gt;1&lt;/C&gt;&lt;D xsi:type="xsd:double"&gt;7283.6717&lt;/D&gt;&lt;/FQL&gt;&lt;FQL&gt;&lt;Q&gt;EXAS-US^FF_ENTRPR_VAL_DAILY(1/1/2017,12/31/2017,CY,,,"DIL")&lt;/Q&gt;&lt;R&gt;1&lt;/R&gt;&lt;C&gt;1&lt;/C&gt;&lt;D xsi:type="xsd:double"&gt;5657.77336&lt;/D&gt;&lt;/FQL&gt;&lt;FQL&gt;&lt;Q&gt;EXAS-US^FF_ENTRPR_VAL_DAILY(1/1/2016,12/31/2016,CY,,,"DIL")&lt;/Q&gt;&lt;R&gt;1&lt;/R&gt;&lt;C&gt;1&lt;/C&gt;&lt;D xsi:type="xsd:double"&gt;1060.9026&lt;/D&gt;&lt;/FQL&gt;&lt;FQL&gt;&lt;Q&gt;EXAS-US^FF_ENTRPR_VAL_DAILY(1/1/2015,12/31/2015,CY,,,"DIL")&lt;/Q&gt;&lt;R&gt;1&lt;/R&gt;&lt;C&gt;1&lt;/C&gt;&lt;D xsi:type="xsd:double"&gt;548.48205&lt;/D&gt;&lt;/FQL&gt;&lt;FQL&gt;&lt;Q&gt;VCYT-US^FF_ENTRPR_VAL_DAILY(1/1/2025,12/31/2025,CY,,,"DIL")&lt;/Q&gt;&lt;R&gt;1&lt;/R&gt;&lt;C&gt;1&lt;/C&gt;&lt;D xsi:type="xsd:double"&gt;1766.14772048&lt;/D&gt;&lt;/FQL&gt;&lt;FQL&gt;&lt;Q&gt;VCYT-US^FF_ENTRPR_VAL_DAILY(1/1/2024,12/31/2024,CY,,,"DIL")&lt;/Q&gt;&lt;R&gt;1&lt;/R&gt;&lt;C&gt;1&lt;/C&gt;&lt;D xsi:type="xsd:double"&gt;2856.5593932&lt;/D&gt;&lt;/FQL&gt;&lt;FQL&gt;&lt;Q&gt;VCYT-US^FF_ENTRPR_VAL_DAILY(1/1/2023,12/31/2023,CY,,,"DIL")&lt;/Q&gt;&lt;R&gt;1&lt;/R&gt;&lt;C&gt;1&lt;/C&gt;&lt;D xsi:type="xsd:double"&gt;1794.62583737&lt;/D&gt;&lt;/FQL&gt;&lt;FQL&gt;&lt;Q&gt;VCYT-US^FF_ENTRPR_VAL_DAILY(1/1/2022,12/31/2022,CY,,,"DIL")&lt;/Q&gt;&lt;R&gt;1&lt;/R&gt;&lt;C&gt;1&lt;/C&gt;&lt;D xsi:type="xsd:double"&gt;1533.72861092&lt;/D&gt;&lt;/FQL&gt;&lt;FQL&gt;&lt;Q&gt;VCYT-US^FF_ENTRPR_VAL_DAILY(1/1/2021,12/31/2021,CY,,,"DIL")&lt;/Q&gt;&lt;R&gt;1&lt;/R&gt;&lt;C&gt;1&lt;/C&gt;&lt;D xsi:type="xsd:double"&gt;2642.7375136&lt;/D&gt;&lt;/FQL&gt;&lt;FQL&gt;&lt;Q&gt;VCYT-US^FF_ENTRPR_VAL_DAILY(1/1/2020,12/31/2020,CY,,,"DIL")&lt;/Q&gt;&lt;R&gt;1&lt;/R&gt;&lt;C&gt;1&lt;/C&gt;&lt;D xsi:type="xsd:double"&gt;2268.47996514&lt;/D&gt;&lt;/FQL&gt;&lt;FQL&gt;&lt;Q&gt;VCYT-US^FF_ENTRPR_VAL_DAILY(1/1/2019,12/31/2019,CY,,,"DIL")&lt;/Q&gt;&lt;R&gt;1&lt;/R&gt;&lt;C&gt;1&lt;/C&gt;&lt;D xsi:type="xsd:double"&gt;1142.46790184&lt;/D&gt;&lt;/FQL&gt;&lt;FQL&gt;&lt;Q&gt;VCYT-US^FF_ENTRPR_VAL_DAILY(1/1/2018,12/31/2018,CY,,,"DIL")&lt;/Q&gt;&lt;R&gt;1&lt;/R&gt;&lt;C&gt;1&lt;/C&gt;&lt;D xsi:type="xsd:double"&gt;413.00169468&lt;/D&gt;&lt;/FQL&gt;&lt;FQL&gt;&lt;Q&gt;VCYT-US^FF_ENTRPR_VAL_DAILY(1/1/2017,12/31/2017,CY,,,"DIL")&lt;/Q&gt;&lt;R&gt;1&lt;/R&gt;&lt;C&gt;1&lt;/C&gt;&lt;D xsi:type="xsd:double"&gt;212.88927901&lt;/D&gt;&lt;/FQL&gt;&lt;FQL&gt;&lt;Q&gt;VCYT-US^FF_ENTRPR_VAL_DAILY(1/1/2016,12/31/2016,CY,,,"DIL")&lt;/Q&gt;&lt;R&gt;1&lt;/R&gt;&lt;C&gt;1&lt;/C&gt;&lt;D xsi:type="xsd:double"&gt;189.32585328&lt;/D&gt;&lt;/FQL&gt;&lt;FQL&gt;&lt;Q&gt;VCYT-US^FF_ENTRPR_VAL_DAILY(1/1/2015,12/31/2015,CY,,,"DIL")&lt;/Q&gt;&lt;R&gt;1&lt;/R&gt;&lt;C&gt;1&lt;/C&gt;&lt;D xsi:type="xsd:double"&gt;152.9461896&lt;/D&gt;&lt;/FQL&gt;&lt;FQL&gt;&lt;Q&gt;WGS-US^FF_ENTRPR_VAL_DAILY(1/1/2025,12/31/2025,CY,,,"DIL")&lt;/Q&gt;&lt;R&gt;1&lt;/R&gt;&lt;C&gt;1&lt;/C&gt;&lt;D xsi:type="xsd:double"&gt;2346.93526468&lt;/D&gt;&lt;/FQL&gt;&lt;FQL&gt;&lt;Q&gt;WGS-US^FF_ENTRPR_VAL_DAILY(1/1/2024,12/31/2024,CY,,,"DIL")&lt;/Q&gt;&lt;R&gt;1&lt;/R&gt;&lt;C&gt;1&lt;/C&gt;&lt;D xsi:type="xsd:double"&gt;2043.05263118&lt;/D&gt;&lt;/FQL&gt;&lt;FQL&gt;&lt;Q&gt;WGS-US^FF_ENTRPR_VAL_DAILY(1/1/2023,12/31/2023,CY,,,"DIL")&lt;/Q&gt;&lt;R&gt;1&lt;/R&gt;&lt;C&gt;1&lt;/C&gt;&lt;D xsi:type="xsd:double"&gt;56.47996975&lt;/D&gt;&lt;/FQL&gt;&lt;FQL&gt;&lt;Q&gt;WGS-US^FF_ENTRPR_VAL_DAILY(1/1/2022,12/31/2022,CY,,,"DIL")&lt;/Q&gt;&lt;R&gt;1&lt;/R&gt;&lt;C&gt;1&lt;/C&gt;&lt;D xsi:type="xsd:double"&gt;28.8478264566083&lt;/D&gt;&lt;/FQL&gt;&lt;FQL&gt;&lt;Q&gt;WGS-US^FF_ENTRPR_VAL_DAILY(1/1/2021,12/31/2021,CY,,,"DIL")&lt;/Q&gt;&lt;R&gt;1&lt;/R&gt;&lt;C&gt;1&lt;/C&gt;&lt;D xsi:type="xsd:double"&gt;114.302508894754&lt;/D&gt;&lt;/FQL&gt;&lt;FQL&gt;&lt;Q&gt;WGS-US^FF_ENTRPR_VAL_DAILY(1/1/2020,12/31/2020,CY,,,"DIL")&lt;/Q&gt;&lt;R&gt;1&lt;/R&gt;&lt;C&gt;1&lt;/C&gt;&lt;D xsi:type="xsd:double"&gt;269.618646250878&lt;/D&gt;&lt;/FQL&gt;&lt;FQL&gt;&lt;Q&gt;WGS-US^FF_ENTRPR_VAL_DAILY(1/1/2019,12/31/2019,CY,,,"DIL")&lt;/Q&gt;&lt;R&gt;0&lt;/R&gt;&lt;C&gt;0&lt;/C&gt;&lt;/FQL&gt;&lt;FQL&gt;&lt;Q&gt;WGS-US^FF_ENTRPR_VAL_DAILY(1/1/2018,12/31/2018,CY,,,"DIL")&lt;/Q&gt;&lt;R&gt;0&lt;/R&gt;&lt;C&gt;0&lt;/C&gt;&lt;/FQL&gt;&lt;FQL&gt;&lt;Q&gt;WGS-US^FF_ENTRPR_VAL_DAILY(1/1/2017,12/31/2017,CY,,,"DIL")&lt;/Q&gt;&lt;R&gt;0&lt;/R&gt;&lt;C&gt;0&lt;/C&gt;&lt;/FQL&gt;&lt;FQL&gt;&lt;Q&gt;WGS-US^FF_ENTRPR_VAL_DAILY(1/1/2016,12/31/2016,CY,,,"DIL")&lt;/Q&gt;&lt;R&gt;0&lt;/R&gt;&lt;C&gt;0&lt;/C&gt;&lt;/FQL&gt;&lt;FQL&gt;&lt;Q&gt;WGS-US^FF_ENTRPR_VAL_DAILY(1/1/2015,12/31/2015,CY,,,"DIL")&lt;/Q&gt;&lt;R&gt;0&lt;/R&gt;&lt;C&gt;0&lt;/C&gt;&lt;/FQL&gt;&lt;FQL&gt;&lt;Q&gt;LH-US^FF_ENTRPR_VAL_DAILY(1/1/2025,12/31/2025,CY,,,"DIL")&lt;/Q&gt;&lt;R&gt;1&lt;/R&gt;&lt;C&gt;1&lt;/C&gt;&lt;D xsi:type="xsd:double"&gt;27887.132&lt;/D&gt;&lt;/FQL&gt;&lt;FQL&gt;&lt;Q&gt;LH-US^FF_ENTRPR_VAL_DAILY(1/1/2024,12/31/2024,CY,,,"DIL")&lt;/Q&gt;&lt;R&gt;1&lt;/R&gt;&lt;C&gt;1&lt;/C&gt;&lt;D xsi:type="xsd:double"&gt;25123.008&lt;/D&gt;&lt;/FQL&gt;&lt;FQL&gt;&lt;Q&gt;LH-US^FF_ENTRPR_VAL_DAILY(1/1/2023,12/31/2023,CY,,,"DIL")&lt;/Q&gt;&lt;R&gt;1&lt;/R&gt;&lt;C&gt;1&lt;/C&gt;&lt;D xsi:type="xsd:double"&gt;25343.504&lt;/D&gt;&lt;/FQL&gt;&lt;FQL&gt;&lt;Q&gt;LH-US^FF_ENTRPR_VAL_DAILY(1/1/2022,12/31/2022,CY,,,"DIL")&lt;/Q&gt;&lt;R&gt;1&lt;/R&gt;&lt;C&gt;1&lt;/C&gt;&lt;D xsi:type="xsd:double"&gt;27514.668&lt;/D&gt;&lt;/FQL&gt;&lt;FQL&gt;&lt;Q&gt;LH-US^FF_ENTRPR_VAL_DAILY(1/1/2021,12/31/2021,CY,,,"DIL")&lt;/Q&gt;&lt;R&gt;1&lt;/R&gt;&lt;C&gt;1&lt;/C&gt;&lt;D xsi:type="xsd:double"&gt;35525.975&lt;/D&gt;&lt;/FQL&gt;&lt;FQL&gt;&lt;Q&gt;LH-US^FF_ENTRPR_VAL_DAILY(1/1/2020,12/31/2020,CY,,,"DIL")&lt;/Q&gt;&lt;R&gt;1&lt;/R&gt;&lt;C&gt;1&lt;/C&gt;&lt;D xsi:type="xsd:double"&gt;25404.2&lt;/D&gt;&lt;/FQL&gt;&lt;FQL&gt;&lt;Q&gt;LH-US^FF_ENTRPR_VAL_DAILY(1/1/2019,12/31/2019,CY,,,"DIL")&lt;/Q&gt;&lt;R&gt;1&lt;/R&gt;&lt;C&gt;1&lt;/C&gt;&lt;D xsi:type="xsd:double"&gt;23470.362&lt;/D&gt;&lt;/FQL&gt;&lt;FQL&gt;&lt;Q&gt;LH-US^FF_ENTRPR_VAL_DAILY(1/1/2018,12/31/2018,CY,,,"DIL")&lt;/Q&gt;&lt;R&gt;1&lt;/R&gt;&lt;C&gt;1&lt;/C&gt;&lt;D xsi:type="xsd:double"&gt;18616.636&lt;/D&gt;&lt;/FQL&gt;&lt;FQL&gt;&lt;Q&gt;LH-US^FF_ENTRPR_VAL_DAILY(1/1/2017,12/31/2017,CY,,,"DIL")&lt;/Q&gt;&lt;R&gt;1&lt;/R&gt;&lt;C&gt;1&lt;/C&gt;&lt;D xsi:type="xsd:double"&gt;23039.389&lt;/D&gt;&lt;/FQL&gt;&lt;FQL&gt;&lt;Q&gt;LH-US^FF_ENTRPR_VAL_DAILY(1/1/2016,12/31/2016,CY,,,"DIL")&lt;/Q&gt;&lt;R&gt;1&lt;/R&gt;&lt;C&gt;1&lt;/C&gt;&lt;D xsi:type="xsd:double"&gt;18821.134&lt;/D&gt;&lt;/FQL&gt;&lt;FQL&gt;&lt;Q&gt;LH-US^FF_ENTRPR_VAL_DAILY(1/1/2015,12/31/2015,CY,,,"DIL")&lt;/Q&gt;&lt;R&gt;1&lt;/R&gt;&lt;C&gt;1&lt;/C&gt;&lt;D xsi:type="xsd:double"&gt;18100.884&lt;/D&gt;&lt;/FQL&gt;&lt;FQL&gt;&lt;Q&gt;DGX-US^FF_ENTRPR_VAL_DAILY(1/1/2025,12/31/2025,CY,,,"DIL")&lt;/Q&gt;&lt;R&gt;1&lt;/R&gt;&lt;C&gt;1&lt;/C&gt;&lt;D xsi:type="xsd:double"&gt;25150.05&lt;/D&gt;&lt;/FQL&gt;&lt;FQL&gt;&lt;Q&gt;DGX-US^FF_ENTRPR_VAL_DAILY(1/1/2024,12/31/2024,CY,,,"DIL")&lt;/Q&gt;&lt;R&gt;1&lt;/R&gt;&lt;C&gt;1&lt;/C&gt;&lt;D xsi:type="xsd:double"&gt;23703.18&lt;/D&gt;&lt;/FQL&gt;&lt;FQL&gt;&lt;Q&gt;DGX-US^FF_ENTRPR_VAL_DAILY(1/1/2023,12/31/2023,CY,,,"DIL")&lt;/Q&gt;&lt;R&gt;1&lt;/R&gt;&lt;C&gt;1&lt;/C&gt;&lt;D xsi:type="xsd:double"&gt;20503.44&lt;/D&gt;&lt;/FQL&gt;&lt;FQL&gt;&lt;Q&gt;DGX-US^FF_ENTRPR_VAL_DAILY(1/1/2022,12/31/2022,CY,,,"DIL")&lt;/Q&gt;&lt;R&gt;1&lt;/R&gt;&lt;C&gt;1&lt;/C&gt;&lt;D xsi:type="xsd:double"&gt;22972.92&lt;/D&gt;&lt;/FQL&gt;&lt;FQL&gt;&lt;Q&gt;DGX-US^FF_ENTRPR_VAL_DAILY(1/1/2021,12/31/2021,CY,,,"DIL")&lt;/Q&gt;&lt;R&gt;1&lt;/R&gt;&lt;C&gt;1&lt;/C&gt;&lt;D xsi:type="xsd:double"&gt;26164.28&lt;/D&gt;&lt;/FQL&gt;&lt;FQL&gt;&lt;Q&gt;DGX-US^FF_ENTRPR_VAL_DAILY(1/1/2020,12/31/2020,CY,,,"DIL")&lt;/Q&gt;&lt;R&gt;1&lt;/R&gt;&lt;C&gt;1&lt;/C&gt;&lt;D xsi:type="xsd:double"&gt;19989.1</t>
        </r>
      </text>
    </comment>
    <comment ref="A2" authorId="0" shapeId="0" xr:uid="{E530C55D-61BA-4F6E-B629-2A67BFCAE2A5}">
      <text>
        <r>
          <rPr>
            <b/>
            <sz val="9"/>
            <color indexed="81"/>
            <rFont val="Tahoma"/>
            <charset val="1"/>
          </rPr>
          <t>2&lt;/D&gt;&lt;/FQL&gt;&lt;FQL&gt;&lt;Q&gt;DGX-US^FF_ENTRPR_VAL_DAILY(1/1/2019,12/31/2019,CY,,,"DIL")&lt;/Q&gt;&lt;R&gt;1&lt;/R&gt;&lt;C&gt;1&lt;/C&gt;&lt;D xsi:type="xsd:double"&gt;18869.44&lt;/D&gt;&lt;/FQL&gt;&lt;FQL&gt;&lt;Q&gt;DGX-US^FF_ENTRPR_VAL_DAILY(1/1/2018,12/31/2018,CY,,,"DIL")&lt;/Q&gt;&lt;R&gt;1&lt;/R&gt;&lt;C&gt;1&lt;/C&gt;&lt;D xsi:type="xsd:double"&gt;15558.53&lt;/D&gt;&lt;/FQL&gt;&lt;FQL&gt;&lt;Q&gt;DGX-US^FF_ENTRPR_VAL_DAILY(1/1/2017,12/31/2017,CY,,,"DIL")&lt;/Q&gt;&lt;R&gt;1&lt;/R&gt;&lt;C&gt;1&lt;/C&gt;&lt;D xsi:type="xsd:double"&gt;17620.6&lt;/D&gt;&lt;/FQL&gt;&lt;FQL&gt;&lt;Q&gt;DGX-US^FF_ENTRPR_VAL_DAILY(1/1/2016,12/31/2016,CY,,,"DIL")&lt;/Q&gt;&lt;R&gt;1&lt;/R&gt;&lt;C&gt;1&lt;/C&gt;&lt;D xsi:type="xsd:double"&gt;16533.8&lt;/D&gt;&lt;/FQL&gt;&lt;FQL&gt;&lt;Q&gt;DGX-US^FF_ENTRPR_VAL_DAILY(1/1/2015,12/31/2015,CY,,,"DIL")&lt;/Q&gt;&lt;R&gt;1&lt;/R&gt;&lt;C&gt;1&lt;/C&gt;&lt;D xsi:type="xsd:double"&gt;13932.3&lt;/D&gt;&lt;/FQL&gt;&lt;FQL&gt;&lt;Q&gt;GRAL-US^FF_ENTRPR_VAL_DAILY(1/1/2025,12/31/2025,CY,,,"DIL")&lt;/Q&gt;&lt;R&gt;1&lt;/R&gt;&lt;C&gt;1&lt;/C&gt;&lt;D xsi:type="xsd:double"&gt;702.71780745&lt;/D&gt;&lt;/FQL&gt;&lt;FQL&gt;&lt;Q&gt;GRAL-US^FF_ENTRPR_VAL_DAILY(1/1/2024,12/31/2024,CY,,,"DIL")&lt;/Q&gt;&lt;R&gt;1&lt;/R&gt;&lt;C&gt;1&lt;/C&gt;&lt;D xsi:type="xsd:double"&gt;-90.33164935&lt;/D&gt;&lt;/FQL&gt;&lt;FQL&gt;&lt;Q&gt;GRAL-US^FF_ENTRPR_VAL_DAILY(1/1/2023,12/31/2023,CY,,,"DIL")&lt;/Q&gt;&lt;R&gt;0&lt;/R&gt;&lt;C&gt;0&lt;/C&gt;&lt;/FQL&gt;&lt;FQL&gt;&lt;Q&gt;GRAL-US^FF_ENTRPR_VAL_DAILY(1/1/2022,12/31/2022,CY,,,"DIL")&lt;/Q&gt;&lt;R&gt;0&lt;/R&gt;&lt;C&gt;0&lt;/C&gt;&lt;/FQL&gt;&lt;FQL&gt;&lt;Q&gt;GRAL-US^FF_ENTRPR_VAL_DAILY(1/1/2021,12/31/2021,CY,,,"DIL")&lt;/Q&gt;&lt;R&gt;0&lt;/R&gt;&lt;C&gt;0&lt;/C&gt;&lt;/FQL&gt;&lt;FQL&gt;&lt;Q&gt;GRAL-US^FF_ENTRPR_VAL_DAILY(1/1/2020,12/31/2020,CY,,,"DIL")&lt;/Q&gt;&lt;R&gt;0&lt;/R&gt;&lt;C&gt;0&lt;/C&gt;&lt;/FQL&gt;&lt;FQL&gt;&lt;Q&gt;GRAL-US^FF_ENTRPR_VAL_DAILY(1/1/2019,12/31/2019,CY,,,"DIL")&lt;/Q&gt;&lt;R&gt;0&lt;/R&gt;&lt;C&gt;0&lt;/C&gt;&lt;/FQL&gt;&lt;FQL&gt;&lt;Q&gt;GRAL-US^FF_ENTRPR_VAL_DAILY(1/1/2018,12/31/2018,CY,,,"DIL")&lt;/Q&gt;&lt;R&gt;0&lt;/R&gt;&lt;C&gt;0&lt;/C&gt;&lt;/FQL&gt;&lt;FQL&gt;&lt;Q&gt;GRAL-US^FF_ENTRPR_VAL_DAILY(1/1/2017,12/31/2017,CY,,,"DIL")&lt;/Q&gt;&lt;R&gt;0&lt;/R&gt;&lt;C&gt;0&lt;/C&gt;&lt;/FQL&gt;&lt;FQL&gt;&lt;Q&gt;GRAL-US^FF_ENTRPR_VAL_DAILY(1/1/2016,12/31/2016,CY,,,"DIL")&lt;/Q&gt;&lt;R&gt;0&lt;/R&gt;&lt;C&gt;0&lt;/C&gt;&lt;/FQL&gt;&lt;FQL&gt;&lt;Q&gt;GRAL-US^FF_ENTRPR_VAL_DAILY(1/1/2015,12/31/2015,CY,,,"DIL")&lt;/Q&gt;&lt;R&gt;0&lt;/R&gt;&lt;C&gt;0&lt;/C&gt;&lt;/FQL&gt;&lt;FQL&gt;&lt;Q&gt;ADPT-US^FF_ENTRPR_VAL_DAILY(1/1/2025,12/31/2025,CY,,,"DIL")&lt;/Q&gt;&lt;R&gt;1&lt;/R&gt;&lt;C&gt;1&lt;/C&gt;&lt;D xsi:type="xsd:double"&gt;1609.79424708&lt;/D&gt;&lt;/FQL&gt;&lt;FQL&gt;&lt;Q&gt;ADPT-US^FF_ENTRPR_VAL_DAILY(1/1/2024,12/31/2024,CY,,,"DIL")&lt;/Q&gt;&lt;R&gt;1&lt;/R&gt;&lt;C&gt;1&lt;/C&gt;&lt;D xsi:type="xsd:double"&gt;882.02237976&lt;/D&gt;&lt;/FQL&gt;&lt;FQL&gt;&lt;Q&gt;ADPT-US^FF_ENTRPR_VAL_DAILY(1/1/2023,12/31/2023,CY,,,"DIL")&lt;/Q&gt;&lt;R&gt;1&lt;/R&gt;&lt;C&gt;1&lt;/C&gt;&lt;D xsi:type="xsd:double"&gt;590.3881406&lt;/D&gt;&lt;/FQL&gt;&lt;FQL&gt;&lt;Q&gt;ADPT-US^FF_ENTRPR_VAL_DAILY(1/1/2022,12/31/2022,CY,,,"DIL")&lt;/Q&gt;&lt;R&gt;1&lt;/R&gt;&lt;C&gt;1&lt;/C&gt;&lt;D xsi:type="xsd:double"&gt;823.92060588&lt;/D&gt;&lt;/FQL&gt;&lt;FQL&gt;&lt;Q&gt;ADPT-US^FF_ENTRPR_VAL_DAILY(1/1/2021,12/31/2021,CY,,,"DIL")&lt;/Q&gt;&lt;R&gt;1&lt;/R&gt;&lt;C&gt;1&lt;/C&gt;&lt;D xsi:type="xsd:double"&gt;3697.1479149&lt;/D&gt;&lt;/FQL&gt;&lt;FQL&gt;&lt;Q&gt;ADPT-US^FF_ENTRPR_VAL_DAILY(1/1/2020,12/31/2020,CY,,,"DIL")&lt;/Q&gt;&lt;R&gt;1&lt;/R&gt;&lt;C&gt;1&lt;/C&gt;&lt;D xsi:type="xsd:double"&gt;7178.42275284&lt;/D&gt;&lt;/FQL&gt;&lt;FQL&gt;&lt;Q&gt;ADPT-US^FF_ENTRPR_VAL_DAILY(1/1/2019,12/31/2019,CY,,,"DIL")&lt;/Q&gt;&lt;R&gt;1&lt;/R&gt;&lt;C&gt;1&lt;/C&gt;&lt;D xsi:type="xsd:double"&gt;1529.1672248&lt;/D&gt;&lt;/FQL&gt;&lt;FQL&gt;&lt;Q&gt;ADPT-US^FF_ENTRPR_VAL_DAILY(1/1/2018,12/31/2018,CY,,,"DIL")&lt;/Q&gt;&lt;R&gt;0&lt;/R&gt;&lt;C&gt;0&lt;/C&gt;&lt;/FQL&gt;&lt;FQL&gt;&lt;Q&gt;ADPT-US^FF_ENTRPR_VAL_DAILY(1/1/2017,12/31/2017,CY,,,"DIL")&lt;/Q&gt;&lt;R&gt;0&lt;/R&gt;&lt;C&gt;0&lt;/C&gt;&lt;/FQL&gt;&lt;FQL&gt;&lt;Q&gt;ADPT-US^FF_ENTRPR_VAL_DAILY(1/1/2016,12/31/2016,CY,,,"DIL")&lt;/Q&gt;&lt;R&gt;0&lt;/R&gt;&lt;C&gt;0&lt;/C&gt;&lt;/FQL&gt;&lt;FQL&gt;&lt;Q&gt;ADPT-US^FF_ENTRPR_VAL_DAILY(1/1/2015,12/31/2015,CY,,,"DIL")&lt;/Q&gt;&lt;R&gt;0&lt;/R&gt;&lt;C&gt;0&lt;/C&gt;&lt;/FQL&gt;&lt;FQL&gt;&lt;Q&gt;GH-US^FF_ENTRPR_VAL_DAILY(1/1/2025,12/31/2025,CY,,,"DIL")&lt;/Q&gt;&lt;R&gt;1&lt;/R&gt;&lt;C&gt;1&lt;/C&gt;&lt;D xsi:type="xsd:double"&gt;6091.58017&lt;/D&gt;&lt;/FQL&gt;&lt;FQL&gt;&lt;Q&gt;GH-US^FF_ENTRPR_VAL_DAILY(1/1/2024,12/31/2024,CY,,,"DIL")&lt;/Q&gt;&lt;R&gt;1&lt;/R&gt;&lt;C&gt;1&lt;/C&gt;&lt;D xsi:type="xsd:double"&gt;4245.93375&lt;/D&gt;&lt;/FQL&gt;&lt;FQL&gt;&lt;Q&gt;GH-US^FF_ENTRPR_VAL_DAILY(1/1/2023,12/31/2023,CY,,,"DIL")&lt;/Q&gt;&lt;R&gt;1&lt;/R&gt;&lt;C&gt;1&lt;/C&gt;&lt;D xsi:type="xsd:double"&gt;3214.4054&lt;/D&gt;&lt;/FQL&gt;&lt;FQL&gt;&lt;Q&gt;GH-US^FF_ENTRPR_VAL_DAILY(1/1/2022,12/31/2022,CY,,,"DIL")&lt;/Q&gt;&lt;R&gt;1&lt;/R&gt;&lt;C&gt;1&lt;/C&gt;&lt;D xsi:type="xsd:double"&gt;3137.2946&lt;/D&gt;&lt;/FQL&gt;&lt;FQL&gt;&lt;Q&gt;GH-US^FF_ENTRPR_VAL_DAILY(1/1/2021,12/31/2021,CY,,,"DIL")&lt;/Q&gt;&lt;R&gt;1&lt;/R&gt;&lt;C&gt;1&lt;/C&gt;&lt;D xsi:type="xsd:double"&gt;10574.40828&lt;/D&gt;&lt;/FQL&gt;&lt;FQL&gt;&lt;Q&gt;GH-US^FF_ENTRPR_VAL_DAILY(1/1/2020,12/31/2020,CY,,,"DIL")&lt;/Q&gt;&lt;R&gt;1&lt;/R&gt;&lt;C&gt;1&lt;/C&gt;&lt;D xsi:type="xsd:double"&gt;11683.02452&lt;/D&gt;&lt;/FQL&gt;&lt;FQL&gt;&lt;Q&gt;GH-US^FF_ENTRPR_VAL_DAILY(1/1/2019,12/31/2019,CY,,,"DIL")&lt;/Q&gt;&lt;R&gt;1&lt;/R&gt;&lt;C&gt;1&lt;/C&gt;&lt;D xsi:type="xsd:double"&gt;6653.32358&lt;/D&gt;&lt;/FQL&gt;&lt;FQL&gt;&lt;Q&gt;GH-US^FF_ENTRPR_VAL_DAILY(1/1/2018,12/31/2018,CY,,,"DIL")&lt;/Q&gt;&lt;R&gt;1&lt;/R&gt;&lt;C&gt;1&lt;/C&gt;&lt;D xsi:type="xsd:double"&gt;773.24177&lt;/D&gt;&lt;/FQL&gt;&lt;FQL&gt;&lt;Q&gt;GH-US^FF_ENTRPR_VAL_DAILY(1/1/2017,12/31/2017,CY,,,"DIL")&lt;/Q&gt;&lt;R&gt;0&lt;/R&gt;&lt;C&gt;0&lt;/C&gt;&lt;/FQL&gt;&lt;FQL&gt;&lt;Q&gt;GH-US^FF_ENTRPR_VAL_DAILY(1/1/2016,12/31/2016,CY,,,"DIL")&lt;/Q&gt;&lt;R&gt;0&lt;/R&gt;&lt;C&gt;0&lt;/C&gt;&lt;/FQL&gt;&lt;FQL&gt;&lt;Q&gt;GH-US^FF_ENTRPR_VAL_DAILY(1/1/2015,12/31/2015,CY,,,"DIL")&lt;/Q&gt;&lt;R&gt;0&lt;/R&gt;&lt;C&gt;0&lt;/C&gt;&lt;/FQL&gt;&lt;FQL&gt;&lt;Q&gt;TEM-US^FF_ENTRPR_VAL_DAILY(1/1/2025,12/31/2025,CY,,,"DIL")&lt;/Q&gt;&lt;R&gt;1&lt;/R&gt;&lt;C&gt;1&lt;/C&gt;&lt;D xsi:type="xsd:double"&gt;11210.337&lt;/D&gt;&lt;/FQL&gt;&lt;FQL&gt;&lt;Q&gt;TEM-US^FF_ENTRPR_VAL_DAILY(1/1/2024,12/31/2024,CY,,,"DIL")&lt;/Q&gt;&lt;R&gt;1&lt;/R&gt;&lt;C&gt;1&lt;/C&gt;&lt;D xsi:type="xsd:double"&gt;5493.02789136&lt;/D&gt;&lt;/FQL&gt;&lt;FQL&gt;&lt;Q&gt;TEM-US^FF_ENTRPR_VAL_DAILY(1/1/2023,12/31/2023,CY,,,"DIL")&lt;/Q&gt;&lt;R&gt;0&lt;/R&gt;&lt;C&gt;0&lt;/C&gt;&lt;/FQL&gt;&lt;FQL&gt;&lt;Q&gt;TEM-US^FF_ENTRPR_VAL_DAILY(1/1/2022,12/31/2022,CY,,,"DIL")&lt;/Q&gt;&lt;R&gt;0&lt;/R&gt;&lt;C&gt;0&lt;/C&gt;&lt;/FQL&gt;&lt;FQL&gt;&lt;Q&gt;TEM-US^FF_ENTRPR_VAL_DAILY(1/1/2021,12/31/2021,CY,,,"DIL")&lt;/Q&gt;&lt;R&gt;0&lt;/R&gt;&lt;C&gt;0&lt;/C&gt;&lt;/FQL&gt;&lt;FQL&gt;&lt;Q&gt;TEM-US^FF_ENTRPR_VAL_DAILY(1/1/2020,12/31/2020,CY,,,"DIL")&lt;/Q&gt;&lt;R&gt;0&lt;/R&gt;&lt;C&gt;0&lt;/C&gt;&lt;/FQL&gt;&lt;FQL&gt;&lt;Q&gt;TEM-US^FF_ENTRPR_VAL_DAILY(1/1/2019,12/31/2019,CY,,,"DIL")&lt;/Q&gt;&lt;R&gt;0&lt;/R&gt;&lt;C&gt;0&lt;/C&gt;&lt;/FQL&gt;&lt;FQL&gt;&lt;Q&gt;TEM-US^FF_ENTRPR_VAL_DAILY(1/1/2018,12/31/2018,CY,,,"DIL")&lt;/Q&gt;&lt;R&gt;0&lt;/R&gt;&lt;C&gt;0&lt;/C&gt;&lt;/FQL&gt;&lt;FQL&gt;&lt;Q&gt;TEM-US^FF_ENTRPR_VAL_DAILY(1/1/2017,12/31/2017,CY,,,"DIL")&lt;/Q&gt;&lt;R&gt;0&lt;/R&gt;&lt;C&gt;0&lt;/C&gt;&lt;/FQL&gt;&lt;FQL&gt;&lt;Q&gt;TEM-US^FF_ENTRPR_VAL_DAILY(1/1/2016,12/31/2016,CY,,,"DIL")&lt;/Q&gt;&lt;R&gt;0&lt;/R&gt;&lt;C&gt;0&lt;/C&gt;&lt;/FQL&gt;&lt;FQL&gt;&lt;Q&gt;TEM-US^FF_ENTRPR_VAL_DAILY(1/1/2015,12/31/2015,CY,,,"DIL")&lt;/Q&gt;&lt;R&gt;0&lt;/R&gt;&lt;C&gt;0&lt;/C&gt;&lt;/FQL&gt;&lt;FQL&gt;&lt;Q&gt;CAI-US^FF_SALES(ANN_R,1/1/2023,12/31/2023,CY,,,M)&lt;/Q&gt;&lt;R&gt;1&lt;/R&gt;&lt;C&gt;1&lt;/C&gt;&lt;D xsi:type="xsd:double"&gt;306.128&lt;/D&gt;&lt;/FQL&gt;&lt;FQL&gt;&lt;Q&gt;CAI-US^FF_SALES(ANN_R,1/1/2022,12/31/2022,CY,,,M)&lt;/Q&gt;&lt;R&gt;0&lt;/R&gt;&lt;C&gt;0&lt;/C&gt;&lt;/FQL&gt;&lt;FQL&gt;&lt;Q&gt;CAI-US^FF_SALES(ANN_R,1/1/2021,12/31/2021,CY,,,M)&lt;/Q&gt;&lt;R&gt;0&lt;/R&gt;&lt;C&gt;0&lt;/C&gt;&lt;/FQL&gt;&lt;FQL&gt;&lt;Q&gt;CAI-US^FF_SALES(ANN_R,1/1/2020,12/31/2020,CY,,,M)&lt;/Q&gt;&lt;R&gt;0&lt;/R&gt;&lt;C&gt;0&lt;/C&gt;&lt;/FQL&gt;&lt;FQL&gt;&lt;Q&gt;CAI-US^FF_SALES(ANN_R,1/1/2019,12/31/2019,CY,,,M)&lt;/Q&gt;&lt;R&gt;0&lt;/R&gt;&lt;C&gt;0&lt;/C&gt;&lt;/FQL&gt;&lt;FQL&gt;&lt;Q&gt;CAI-US^FF_SALES(ANN_R,1/1/2018,12/31/2018,CY,,,M)&lt;/Q&gt;&lt;R&gt;0&lt;/R&gt;&lt;C&gt;0&lt;/C&gt;&lt;/FQL&gt;&lt;FQL&gt;&lt;Q&gt;CAI-US^FF_SALES(ANN_R,1/1/2017,12/31/2017,CY,,,M)&lt;/Q&gt;&lt;R&gt;0&lt;/R&gt;&lt;C&gt;0&lt;/C&gt;&lt;/FQL&gt;&lt;FQL&gt;&lt;Q&gt;CAI-US^FF_SALES(ANN_R,1/1/2016,12/31/2016,CY,,,M)&lt;/Q&gt;&lt;R&gt;0&lt;/R&gt;&lt;C&gt;0&lt;/C&gt;&lt;/FQL&gt;&lt;FQL&gt;&lt;Q&gt;CAI-US^FF_SALES(ANN_R,1/1/2015,12/31/2015,CY,,,M)&lt;/Q&gt;&lt;R&gt;0&lt;/R&gt;&lt;C&gt;0&lt;/C&gt;&lt;/FQL&gt;&lt;FQL&gt;&lt;Q&gt;FLGT-US^FF_SALES(ANN_R,1/1/2023,12/31/2023,CY,,,M)&lt;/Q&gt;&lt;R&gt;1&lt;/R&gt;&lt;C&gt;1&lt;/C&gt;&lt;D xsi:type="xsd:double"&gt;289.213&lt;/D&gt;&lt;/FQL&gt;&lt;FQL&gt;&lt;Q&gt;FLGT-US^FF_SALES(ANN_R,1/1/2022,12/31/2022,CY,,,M)&lt;/Q&gt;&lt;R&gt;1&lt;/R&gt;&lt;C&gt;1&lt;/C&gt;&lt;D xsi:type="xsd:double"&gt;618.968&lt;/D&gt;&lt;/FQL&gt;&lt;FQL&gt;&lt;Q&gt;FLGT-US^FF_SALES(ANN_R,1/1/2021,12/31/2021,CY,,,M)&lt;/Q&gt;&lt;R&gt;1&lt;/R&gt;&lt;C&gt;1&lt;/C&gt;&lt;D xsi:type="xsd:double"&gt;992.584&lt;/D&gt;&lt;/FQL&gt;&lt;FQL&gt;&lt;Q&gt;FLGT-US^FF_SALES(ANN_R,1/1/2020,12/31/2020,CY,,,M)&lt;/Q&gt;&lt;R&gt;1&lt;/R&gt;&lt;C&gt;1&lt;/C&gt;&lt;D xsi:type="xsd:double"&gt;421.712&lt;/D&gt;&lt;/FQL&gt;&lt;FQL&gt;&lt;Q&gt;FLGT-US^FF_SALES(ANN_R,1/1/2019,12/31/2019,CY,,,M)&lt;/Q&gt;&lt;R&gt;1&lt;/R&gt;&lt;C&gt;1&lt;/C&gt;&lt;D xsi:type="xsd:double"&gt;32.528&lt;/D&gt;&lt;/FQL&gt;&lt;FQL&gt;&lt;Q&gt;FLGT-US^FF_SALES(ANN_R,1/1/2018,12/31/2018,CY,,,M)&lt;/Q&gt;&lt;R&gt;1&lt;/R&gt;&lt;C&gt;1&lt;/C&gt;&lt;D xsi:type="xsd:double"&gt;21.351&lt;/D&gt;&lt;/FQL&gt;&lt;FQL&gt;&lt;Q&gt;FLGT-US^FF_SALES(ANN_R,1/1/2017,12/31/2017,CY,,,M)&lt;/Q&gt;&lt;R&gt;1&lt;/R&gt;&lt;C&gt;1&lt;/C&gt;&lt;D xsi:type="xsd:double"&gt;18.73&lt;/D&gt;&lt;/FQL&gt;&lt;FQL&gt;&lt;Q&gt;FLGT-US^FF_SALES(ANN_R,1/1/2016,12/31/2016,CY,,,M)&lt;/Q&gt;&lt;R&gt;1&lt;/R&gt;&lt;C&gt;1&lt;/C&gt;&lt;D xsi:type="xsd:double"&gt;18.276&lt;/D&gt;&lt;/FQL&gt;&lt;FQL&gt;&lt;Q&gt;FLGT-US^FF_SALES(ANN_R,1/1/2015,12/31/2015,CY,,,M)&lt;/Q&gt;&lt;R&gt;1&lt;/R&gt;&lt;C&gt;1&lt;/C&gt;&lt;D xsi:type="xsd:double"&gt;9.576&lt;/D&gt;&lt;/FQL&gt;&lt;FQL&gt;&lt;Q&gt;PSNL-US^FF_SALES(ANN_R,1/1/2023,12/31/2023,CY,,,M)&lt;/Q&gt;&lt;R&gt;1&lt;/R&gt;&lt;C&gt;1&lt;/C&gt;&lt;D xsi:type="xsd:double"&gt;73.481&lt;/D&gt;&lt;/FQL&gt;&lt;FQL&gt;&lt;Q&gt;PSNL-US^FF_SALES(ANN_R,1/1/2022,12/31/2022,CY,,,M)&lt;/Q&gt;&lt;R&gt;1&lt;/R&gt;&lt;C&gt;1&lt;/C&gt;&lt;D xsi:type="xsd:double"&gt;65.047&lt;/D&gt;&lt;/FQL&gt;&lt;FQL&gt;&lt;Q&gt;PSNL-US^FF_SALES(ANN_R,1/1/2021,12/31/2021,CY,,,M)&lt;/Q&gt;&lt;R&gt;1&lt;/R&gt;&lt;C&gt;1&lt;/C&gt;&lt;D xsi:type="xsd:double"&gt;85.494&lt;/D&gt;&lt;/FQL&gt;&lt;FQL&gt;&lt;Q&gt;PSNL-US^FF_SALES(ANN_R,1/1/2020,12/31/2020,CY,,,M)&lt;/Q&gt;&lt;R&gt;1&lt;/R&gt;&lt;C&gt;1&lt;/C&gt;&lt;D xsi:type="xsd:double"&gt;78.648&lt;/D&gt;&lt;/FQL&gt;&lt;FQL&gt;&lt;Q&gt;PSNL-US^FF_SALES(ANN_R,1/1/2019,12/31/2019,CY,,,M)&lt;/Q&gt;&lt;R&gt;1&lt;/R&gt;&lt;C&gt;1&lt;/C&gt;&lt;D xsi:type="xsd:double"&gt;65.207&lt;/D&gt;&lt;/FQL&gt;&lt;FQL&gt;&lt;Q&gt;PSNL-US^FF_SALES(ANN_R,1/1/2018,12/31/2018,CY,,,M)&lt;/Q&gt;&lt;R&gt;1&lt;/R&gt;&lt;C&gt;1&lt;/C&gt;&lt;D xsi:type="xsd:double"&gt;37.774&lt;/D&gt;&lt;/FQL&gt;&lt;FQL&gt;&lt;Q&gt;PSNL-US^FF_SALES(ANN_R,1/1/2017,12/31/2017,CY,,,M)&lt;/Q&gt;&lt;R&gt;1&lt;/R&gt;&lt;C&gt;1&lt;/C&gt;&lt;D xsi:type="xsd:double"&gt;9.393&lt;/D&gt;&lt;/FQL&gt;&lt;FQL&gt;&lt;Q&gt;PSNL-US^FF_SALES(ANN_R,1/1/2016,12/31/2016,CY,,,M)&lt;/Q&gt;&lt;R&gt;0&lt;/R&gt;&lt;C&gt;0&lt;/C&gt;&lt;/FQL&gt;&lt;FQL&gt;&lt;Q&gt;PSNL-US^FF_SALES(ANN_R,1/1/2015,12/31/2015,CY,,,M)&lt;/Q&gt;&lt;R&gt;0&lt;/R&gt;&lt;C&gt;0&lt;/C&gt;&lt;/FQL&gt;&lt;FQL&gt;&lt;Q&gt;MYGN-US^FF_SALES(ANN_R,1/1/2023,12/31/2023,CY,,,M)&lt;/Q&gt;&lt;R&gt;1&lt;/R&gt;&lt;C&gt;1&lt;/C&gt;&lt;D xsi:type="xsd:double"&gt;753.2&lt;/D&gt;&lt;/FQL&gt;&lt;FQL&gt;&lt;Q&gt;MYGN-US^FF_SALES(ANN_R,1/1/2022,12/31/2022,CY,,,M)&lt;/Q&gt;&lt;R&gt;1&lt;/R&gt;&lt;C&gt;1&lt;/C&gt;&lt;D xsi:type="xsd:double"&gt;678.4&lt;/D&gt;&lt;/FQL&gt;&lt;FQL&gt;&lt;Q&gt;MYGN-US^FF_SALES(ANN_R,1/1/2021,12/31/2021,CY,,,M)&lt;/Q&gt;&lt;R&gt;1&lt;/R&gt;&lt;C&gt;1&lt;/C&gt;&lt;D xsi:type="xsd:double"&gt;690.6&lt;/D&gt;&lt;/FQL&gt;&lt;FQL&gt;&lt;Q&gt;MYGN-US^FF_SALES(ANN_R,1/1/2020,12/31/2020,CY,,,M)&lt;/Q&gt;&lt;R&gt;1&lt;/R&gt;&lt;C&gt;1&lt;/C&gt;&lt;D xsi:type="xsd:double"&gt;638.6&lt;/D&gt;&lt;/FQL&gt;&lt;FQL&gt;&lt;Q&gt;MYGN-US^FF_SALES(ANN_R,1/1/2019,12/31/2019,CY,,,M)&lt;/Q&gt;&lt;R&gt;1&lt;/R&gt;&lt;C&gt;1&lt;/C&gt;&lt;D xsi:type="xsd:double"&gt;851.1&lt;/D&gt;&lt;/FQL&gt;&lt;FQL&gt;&lt;Q&gt;MYGN-US^FF_SALES(ANN_R,1/1/2018,12/31/2018,CY,,,M)&lt;/Q&gt;&lt;R&gt;1&lt;/R&gt;&lt;C&gt;1&lt;/C&gt;&lt;D xsi:type="xsd:double"&gt;743.7&lt;/D&gt;&lt;/FQL&gt;&lt;FQL&gt;&lt;Q&gt;MYGN-US^FF_SALES(ANN_R,1/1/2017,12/31/2017,CY,,,M)&lt;/Q&gt;&lt;R&gt;1&lt;/R&gt;&lt;C&gt;1&lt;/C&gt;&lt;D xsi:type="xsd:double"&gt;769.9&lt;/D&gt;&lt;/FQL&gt;&lt;FQL&gt;&lt;Q&gt;MYGN-US^FF_SALES(ANN_R,1/1/2016,12/31/2016,CY,,,M)&lt;/Q&gt;&lt;R&gt;1&lt;/R&gt;&lt;C&gt;1&lt;/C&gt;&lt;D xsi:type="xsd:double"&gt;753.8&lt;/D&gt;&lt;/FQL&gt;&lt;FQL&gt;&lt;Q&gt;MYGN-US^FF_SALES(ANN_R,1/1/2015,12/31/2015,CY,,,M)&lt;/Q&gt;&lt;R&gt;1&lt;/R&gt;&lt;C&gt;1&lt;/C&gt;&lt;D xsi:type="xsd:double"&gt;723.1&lt;/D&gt;&lt;/FQL&gt;&lt;FQL&gt;&lt;Q&gt;CDNA-US^FF_SALES(ANN_R,1/1/2023,12/31/2023,CY,,,M)&lt;/Q&gt;&lt;R&gt;1&lt;/R&gt;&lt;C&gt;1&lt;/C&gt;&lt;D xsi:type="xsd:double"&gt;280.324&lt;/D&gt;&lt;/FQL&gt;&lt;FQL&gt;&lt;Q&gt;CDNA-US^FF_SALES(ANN_R,1/1/2022,12/31/2022,CY,,,M)&lt;/Q&gt;&lt;R&gt;1&lt;/R&gt;&lt;C&gt;1&lt;/C&gt;&lt;D xsi:type="xsd:double"&gt;321.793&lt;/D&gt;&lt;/FQL&gt;&lt;FQL&gt;&lt;Q&gt;CDNA-US^FF_SALES(ANN_R,1/1/2021,12/31/2021,CY,,,M)&lt;/Q&gt;&lt;R&gt;1&lt;/R&gt;&lt;C&gt;1&lt;/C&gt;&lt;D xsi:type="xsd:double"&gt;296.397&lt;/D&gt;&lt;/FQL&gt;&lt;FQL&gt;&lt;Q&gt;CDNA-US^FF_SALES(ANN_R,1/1/2020,12/31/2020,CY,,,M)&lt;/Q&gt;&lt;R&gt;1&lt;/R&gt;&lt;C&gt;1&lt;/C&gt;&lt;D xsi:type="xsd:double"&gt;192.194&lt;/D&gt;&lt;/FQL&gt;&lt;FQL&gt;&lt;Q&gt;CDNA-US^FF_SALES(ANN_R,1/1/2019,12/31/2019,CY,,,M)&lt;/Q&gt;&lt;R&gt;1&lt;/R&gt;&lt;C&gt;1&lt;/C&gt;&lt;D xsi:type="xsd:double"&gt;127.068&lt;/D&gt;&lt;/FQL&gt;&lt;FQL&gt;&lt;Q&gt;CDNA-US^FF_SALES(ANN_R,1/1/2018,12/31/2018,CY,,,M)&lt;/Q&gt;&lt;R&gt;1&lt;/R&gt;&lt;C&gt;1&lt;/C&gt;&lt;D xsi:type="xsd:double"&gt;76.569&lt;/D&gt;&lt;/FQL&gt;&lt;FQL&gt;&lt;Q&gt;CDNA-US^FF_SALES(ANN_R,1/1/2017,12/31/2017,CY,,,M)&lt;/Q&gt;&lt;R&gt;1&lt;/R&gt;&lt;C&gt;1&lt;/C&gt;&lt;D xsi:type="xsd:double"&gt;48.324&lt;/D&gt;&lt;/FQL&gt;&lt;FQL&gt;&lt;Q&gt;CDNA-US^FF_SALES(ANN_R,1/1/2016,12/31/2016,CY,,,M)&lt;/Q&gt;&lt;R&gt;1&lt;/R&gt;&lt;C&gt;1&lt;/C&gt;&lt;D xsi:type="xsd:double"&gt;40.631&lt;/D&gt;&lt;/FQL&gt;&lt;FQL&gt;&lt;Q&gt;CDNA-US^FF_SALES(ANN_R,1/1/2015,12/31/2015,CY,,,M)&lt;/Q&gt;&lt;R&gt;1&lt;/R&gt;&lt;C&gt;1&lt;/C&gt;&lt;D xsi:type="xsd:double"&gt;28.144&lt;/D&gt;&lt;/FQL&gt;&lt;FQL&gt;&lt;Q&gt;NEO-US^FF_SALES(ANN_R,1/1/2023,12/31/2023,CY,,,M)&lt;/Q&gt;&lt;R&gt;1&lt;/R&gt;&lt;C&gt;1&lt;/C&gt;&lt;D xsi:type="xsd:double"&gt;591.643&lt;/D&gt;&lt;/FQL&gt;&lt;FQL&gt;&lt;Q&gt;NEO-US^FF_SALES(ANN_R,1/1/2022,12/31/2022,CY,,,M)&lt;/Q&gt;&lt;R&gt;1&lt;/R&gt;&lt;C&gt;1&lt;/C&gt;&lt;D xsi:type="xsd:double"&gt;509.728&lt;/D&gt;&lt;/FQL&gt;&lt;FQL&gt;&lt;Q&gt;NEO-US^FF_SALES(ANN_R,1/1/2021,12/31/2021,CY,,,M)&lt;/Q&gt;&lt;R&gt;1&lt;/R&gt;&lt;C&gt;1&lt;/C&gt;&lt;D xsi:type="xsd:double"&gt;484.329&lt;/D&gt;&lt;/FQL&gt;&lt;FQL&gt;&lt;Q&gt;NEO-US^FF_SALES(ANN_R,1/1/2020,12/31/2020,CY,,,M)&lt;/Q&gt;&lt;R&gt;1&lt;/R&gt;&lt;C&gt;1&lt;/C&gt;&lt;D xsi:type="xsd:double"&gt;444.448&lt;/D&gt;&lt;/FQL&gt;&lt;FQL&gt;&lt;Q&gt;NEO-US^FF_SALES(ANN_R,1/1/2019,12/31/2019,CY,,,M)&lt;/Q&gt;&lt;R&gt;1&lt;/R&gt;&lt;C&gt;1&lt;/C&gt;&lt;D xsi:type="xsd:double"&gt;408.83&lt;/D&gt;&lt;/FQL&gt;&lt;FQL&gt;&lt;Q&gt;NEO-US^FF_SALES(ANN_R,1/1/2018,12/31/2018,CY,,,M)&lt;/Q&gt;&lt;R&gt;1&lt;/R&gt;&lt;C&gt;1&lt;/C&gt;&lt;D xsi:type="xsd:double"&gt;276.741&lt;/D&gt;&lt;/FQL&gt;&lt;FQL&gt;&lt;Q&gt;NEO-US^FF_SALES(ANN_R,1/1/2017,12/31/2017,CY,,,M)&lt;/Q&gt;&lt;R&gt;1&lt;/R&gt;&lt;C&gt;1&lt;/C&gt;&lt;D xsi:type="xsd:double"&gt;240.251&lt;/D&gt;&lt;/FQL&gt;&lt;FQL&gt;&lt;Q&gt;NEO-US^FF_SALES(ANN_R,1/1/2016,12/31/2016,CY,,,M)&lt;/Q&gt;&lt;R&gt;1&lt;/R&gt;&lt;C&gt;1&lt;/C&gt;&lt;D xsi:type="xsd:double"&gt;244.083&lt;/D&gt;&lt;/FQL&gt;&lt;FQL&gt;&lt;Q&gt;NEO-US^FF_SALES(ANN_R,1/1/2015,12/31/2015,CY,,,M)&lt;/Q&gt;&lt;R&gt;1&lt;/R&gt;&lt;C&gt;1&lt;/C&gt;&lt;D xsi:type="xsd:double"&gt;99.802&lt;/D&gt;&lt;/FQL&gt;&lt;FQL&gt;&lt;Q&gt;EXAS-US^FF_SALES(ANN_R,1/1/2023,12/31/2023,CY,,,M)&lt;/Q&gt;&lt;R&gt;1&lt;/R&gt;&lt;C&gt;1&lt;/C&gt;&lt;D xsi:type="xsd:double"&gt;2499.766&lt;/D&gt;&lt;/FQL&gt;&lt;FQL&gt;&lt;Q&gt;EXAS-US^FF_SALES(ANN_R,1/1/2022,12/31/2022,CY,,,M)&lt;/Q&gt;&lt;R&gt;1&lt;/R&gt;&lt;C&gt;1&lt;/C&gt;&lt;D xsi:type="xsd:double"&gt;2084.279&lt;/D&gt;&lt;/FQL&gt;&lt;FQL&gt;&lt;Q&gt;EXAS-US^FF_SALES(ANN_R,1/1/2021,12/31/2021,CY,,,M)&lt;/Q&gt;&lt;R&gt;1&lt;/R&gt;&lt;C&gt;1&lt;/C&gt;&lt;D xsi:type="xsd:double"&gt;1767.087&lt;/D&gt;&lt;/FQL&gt;&lt;FQL&gt;&lt;Q&gt;EXAS-US^FF_SALES(ANN_R,1/1/2020,12/31/2020,CY,,,M)&lt;/Q&gt;&lt;R&gt;1&lt;/R&gt;&lt;C&gt;1&lt;/C&gt;&lt;D xsi:type="xsd:double"&gt;1491.391&lt;/D&gt;&lt;/FQL&gt;&lt;FQL&gt;&lt;Q&gt;EXAS-US^FF_SALES(ANN_R,1/1/2019,12/31/2019,CY,,,M)&lt;/Q&gt;&lt;R&gt;1&lt;/R&gt;&lt;C&gt;1&lt;/C&gt;&lt;D xsi:type="xsd:double"&gt;876.293&lt;/D&gt;&lt;/FQL&gt;&lt;FQL&gt;&lt;Q&gt;EXAS-US^FF_SALES(ANN_R,1/1/2018,12/31/2018,CY,,,M)&lt;/Q&gt;&lt;R&gt;1&lt;/R&gt;&lt;C&gt;1&lt;/C&gt;&lt;D xsi:type="xsd:double"&gt;454.462&lt;/D&gt;&lt;/FQL&gt;&lt;FQL&gt;&lt;Q&gt;EXAS-US^FF_SALES(ANN_R,1/1/2017,12/31/2017,CY,,,M)&lt;/Q&gt;&lt;R&gt;1&lt;/R&gt;&lt;C&gt;1&lt;/C&gt;&lt;D xsi:type="xsd:double"&gt;265.989&lt;/D&gt;&lt;/FQL&gt;&lt;FQL&gt;&lt;Q&gt;EXAS-US^FF_SALES(ANN_R,1/1/2016,12/31/2016,CY,,,M)&lt;/Q&gt;&lt;R&gt;1&lt;/R&gt;&lt;C&gt;1&lt;/C&gt;&lt;D xsi:type="xsd:double"&gt;99.376&lt;/D&gt;&lt;/FQL&gt;&lt;FQL&gt;&lt;Q&gt;EXAS-US^FF_SALES(ANN_R,1/1/2015,12/31/2015,CY,,,M)&lt;/Q&gt;&lt;R&gt;1&lt;/R&gt;&lt;C&gt;1&lt;/C&gt;&lt;D xsi:type="xsd:double"&gt;39.437&lt;/D&gt;&lt;/FQL&gt;&lt;FQL&gt;&lt;Q&gt;VCYT-US^FF_SALES(ANN_R,1/1/2023,12/31/2023,CY,,,M)&lt;/Q&gt;&lt;R&gt;1&lt;/R&gt;&lt;C&gt;1&lt;/C&gt;&lt;D xsi:type="xsd:double"&gt;361.051&lt;/D&gt;&lt;/FQL&gt;&lt;FQL&gt;&lt;Q&gt;VCYT-US^FF_SALES(ANN_R,1/1/2022,12/31/2022,CY,,,M)&lt;/Q&gt;&lt;R&gt;1&lt;/R&gt;&lt;C&gt;1&lt;/C&gt;&lt;D xsi:type="xsd:double"&gt;296.536&lt;/D&gt;&lt;/FQL&gt;&lt;FQL&gt;&lt;Q&gt;VCYT-US^FF_SALES(ANN_R,1/1/2021,12/31/2021,CY,,,M)&lt;/Q&gt;&lt;R&gt;1&lt;/R&gt;&lt;C&gt;1&lt;/C&gt;&lt;D xsi:type="xsd:double"&gt;219.514&lt;/D&gt;&lt;/FQL&gt;&lt;FQL&gt;&lt;Q&gt;VCYT-US^FF_SALES(ANN_R,1/1/2020,12/31/2020,CY,,,M)&lt;/Q&gt;&lt;R&gt;1&lt;/R&gt;&lt;C&gt;1&lt;/C&gt;&lt;D xsi:type="xsd:double"&gt;117.483&lt;/D&gt;&lt;/FQL&gt;&lt;FQL&gt;&lt;Q&gt;VCYT-US^FF_SALES(ANN_R,1/1/2019,12/31/2019,CY,,,M)&lt;/Q&gt;&lt;R&gt;1&lt;/R&gt;&lt;C&gt;1&lt;/C&gt;&lt;D xsi:type="xsd:double"&gt;120.368&lt;/D&gt;&lt;/FQL&gt;&lt;FQL&gt;&lt;Q&gt;VCYT-US^FF_SALES(ANN_R,1/1/2018,12/31/2018,CY,,,M)&lt;/Q&gt;&lt;R&gt;1&lt;/R&gt;&lt;C&gt;1&lt;/C&gt;&lt;D xsi:type="xsd:double"&gt;92.008&lt;/D&gt;&lt;/FQL&gt;&lt;FQL&gt;&lt;Q&gt;VCYT-US^FF_SALES(ANN_R,1/1/2017,12/31/2017,CY,,,M)&lt;/Q&gt;&lt;R&gt;1&lt;/R&gt;&lt;C&gt;1&lt;/C&gt;&lt;D xsi:type="xsd:double"&gt;71.953&lt;/D&gt;&lt;/FQL&gt;&lt;FQL&gt;&lt;Q&gt;VCYT-US^FF_SALES(ANN_R,1/1/2016,12/31/2016,CY,,,M)&lt;/Q&gt;&lt;R&gt;1&lt;/R&gt;&lt;C&gt;1&lt;/C&gt;&lt;D xsi:type="xsd:double"&gt;65.085&lt;/D&gt;&lt;/FQL&gt;&lt;FQL&gt;&lt;Q&gt;VCYT-US^FF_SALES(ANN_R,1/1/2015,12/31/2015,CY,,,M)&lt;/Q&gt;&lt;R&gt;1&lt;/R&gt;&lt;C&gt;1&lt;/C&gt;&lt;D xsi:type="xsd:double"&gt;49.503&lt;/D&gt;&lt;/FQL&gt;&lt;FQL&gt;&lt;Q&gt;WGS-US^FF_SALES(ANN_R,1/1/2023,12/31/2023,CY,,,M)&lt;/Q&gt;&lt;R&gt;1&lt;/R&gt;&lt;C&gt;1&lt;/C&gt;&lt;D xsi:type="xsd:double"&gt;202.566&lt;/D&gt;&lt;/FQL&gt;&lt;FQL&gt;&lt;Q&gt;WGS-US^FF_SALES(ANN_R,1/1/2022,12/31/2022,CY,,,M)&lt;/Q&gt;&lt;R&gt;1&lt;/R&gt;&lt;C&gt;1&lt;/C&gt;&lt;D xsi:type="xsd:double"&gt;234.694&lt;/D&gt;&lt;/FQL&gt;&lt;FQL&gt;&lt;Q&gt;WGS-US^FF_SALES(ANN_R,1/1/2021,12/31/2021,CY,,,M)&lt;/Q&gt;&lt;R&gt;1&lt;/R&gt;&lt;C&gt;1&lt;/C&gt;&lt;D xsi:type="xsd:double"&gt;212.195&lt;/D&gt;&lt;/FQL&gt;&lt;FQL&gt;&lt;Q&gt;WGS-US^FF_SALES(ANN_R,1/1/2020,12/31/2020,CY,,,M)&lt;/Q&gt;&lt;R&gt;1&lt;/R&gt;&lt;C&gt;1&lt;/C&gt;&lt;D xsi:type="xsd:double"&gt;179.322&lt;/D&gt;&lt;/FQL&gt;&lt;FQL&gt;&lt;Q&gt;WGS-US^FF_SALES(ANN_R,1/1/2019,12/31/2019,CY,,,M)&lt;/Q&gt;&lt;R&gt;0&lt;/R&gt;&lt;C&gt;0&lt;/C&gt;&lt;/FQL&gt;&lt;FQL&gt;&lt;Q&gt;WGS-US^FF_SALES(ANN_R,1/1/2018,12/31/2018,CY,,,M)&lt;/Q&gt;&lt;R&gt;0&lt;/R&gt;&lt;C&gt;0&lt;/C&gt;&lt;/FQL&gt;&lt;FQL&gt;&lt;Q&gt;WGS-US^FF_SALES(ANN_R,1/1/2017,12/31/2017,CY,,,M)&lt;/Q&gt;&lt;R&gt;0&lt;/R&gt;&lt;C&gt;0&lt;/C&gt;&lt;/FQL&gt;&lt;FQL&gt;&lt;Q&gt;WGS-US^FF_SALES(ANN_R,1/1/2016,12/31/2016,CY,,,M)&lt;/Q&gt;&lt;R&gt;0&lt;/R&gt;&lt;C&gt;0&lt;/C&gt;&lt;/FQL&gt;&lt;FQL&gt;&lt;Q&gt;WGS-US^FF_SALES(ANN_R,1/1/2015,12/31/2015,CY,,,M)&lt;/Q&gt;&lt;R&gt;0&lt;/R&gt;&lt;C&gt;0&lt;/C&gt;&lt;/FQL&gt;&lt;FQL&gt;&lt;Q&gt;LH-US^FF_SALES(ANN_R,1/1/2023,12/31/2023,CY,,,M)&lt;/Q&gt;&lt;R&gt;1&lt;/R&gt;&lt;C&gt;1&lt;/C&gt;&lt;D xsi:type="xsd:double"&gt;12161.6&lt;/D&gt;&lt;/FQL&gt;&lt;FQL&gt;&lt;Q&gt;LH-US^FF_SALES(ANN_R,1/1/2022,12/31/2022,CY,,,M)&lt;/Q&gt;&lt;R&gt;1&lt;/R&gt;&lt;C&gt;1&lt;/C&gt;&lt;D xsi:type="xsd:double"&gt;11863.9&lt;/D&gt;&lt;/FQL&gt;&lt;FQL&gt;&lt;Q&gt;LH-US^FF_SALES(ANN_R,1/1/2021,12/31/2021,CY,,,M)&lt;/Q&gt;&lt;R&gt;1&lt;/R&gt;&lt;C&gt;1&lt;/C&gt;&lt;D xsi:type="xsd:double"&gt;16120.9&lt;/D&gt;&lt;/FQL&gt;&lt;FQL&gt;&lt;Q&gt;LH-US^FF_SALES(ANN_R,1/1/2020,12/31/2020,CY,,,M)&lt;/Q&gt;&lt;R&gt;1&lt;/R&gt;&lt;C&gt;1&lt;/C&gt;&lt;D xsi:type="xsd:double"&gt;13978.5&lt;/D&gt;&lt;/FQL&gt;&lt;FQL&gt;&lt;Q&gt;LH-US^FF_SALES(ANN_R,1/1/2019,12/31/2019,CY,,,M)&lt;/Q&gt;&lt;R&gt;1&lt;/R&gt;&lt;C&gt;1&lt;/C&gt;&lt;D xsi:type="xsd:double"&gt;11554.8&lt;/D&gt;&lt;/FQL&gt;&lt;FQL&gt;&lt;Q&gt;LH-US^FF_SALES(ANN_R,1/1/2018,12/31/2018,CY,,,M)&lt;/Q&gt;&lt;R&gt;1&lt;/R&gt;&lt;C&gt;1&lt;/C&gt;&lt;D xsi:type="xsd:double"&gt;11333.4&lt;/D&gt;&lt;/FQL&gt;&lt;FQL&gt;&lt;Q&gt;LH-US^FF_SALES(ANN_R,1/1/2017,12/31/2017,CY,,,M)&lt;/Q&gt;&lt;R&gt;1&lt;/R&gt;&lt;C&gt;1&lt;/C&gt;&lt;D xsi:type="xsd:double"&gt;10308&lt;/D&gt;&lt;/FQL&gt;&lt;FQL&gt;&lt;Q&gt;LH-US^FF_SALES(ANN_R,1/1/2016,12/31/2016,CY,,,M)&lt;/Q&gt;&lt;R&gt;1&lt;/R&gt;&lt;C&gt;1&lt;/C&gt;&lt;D xsi:type="xsd:double"&gt;9641.8&lt;/D&gt;&lt;/FQL&gt;&lt;FQL&gt;&lt;Q&gt;LH-US^FF_SALES(ANN_R,1/1/2015,12/31/2015,CY,,,M)&lt;/Q&gt;&lt;R&gt;1&lt;/R&gt;&lt;C&gt;1&lt;/C&gt;&lt;D xsi:type="xsd:double"&gt;8680.1&lt;/D&gt;&lt;/FQL&gt;&lt;FQL&gt;&lt;Q&gt;DGX-US^FF_SALES(ANN_R,1/1/2023,12/31/2023,CY,,,M)&lt;/Q&gt;&lt;R&gt;1&lt;/R&gt;&lt;C&gt;1&lt;/C&gt;&lt;D xsi:type="xsd:double"&gt;9252&lt;/D&gt;&lt;/FQL&gt;&lt;FQL&gt;&lt;Q&gt;DGX-US^FF_SALES(ANN_R,1/1/2022,12/31/2022,CY,,,M)&lt;/Q&gt;&lt;R&gt;1&lt;/R&gt;&lt;C&gt;1&lt;/C&gt;&lt;D xsi:type="xsd:double"&gt;9883&lt;/D&gt;&lt;/FQL&gt;&lt;FQL&gt;&lt;Q&gt;DGX-US^FF_SALES(ANN_R,1/1/2021,12/31/2021,CY,,,M)&lt;/Q&gt;&lt;R&gt;1&lt;/R&gt;&lt;C&gt;1&lt;/C&gt;&lt;D xsi:type="xsd:double"&gt;10788&lt;/D&gt;&lt;/FQL&gt;&lt;FQL&gt;&lt;Q&gt;DGX-US^FF_SALES(ANN_R,1/1/2020,12/31/2020,CY,,,M)&lt;/Q&gt;&lt;R&gt;1&lt;/R&gt;&lt;C&gt;1&lt;/C&gt;&lt;D xsi:type="xsd:double"&gt;9437&lt;/D&gt;&lt;/FQL&gt;&lt;FQL&gt;&lt;Q&gt;DGX-US^FF_SALES(ANN_R,1/1/2019,12/31/2019,CY,,,M)&lt;/Q&gt;&lt;R&gt;1&lt;/R&gt;&lt;C&gt;1&lt;/C&gt;&lt;D xsi:type="xsd:double"&gt;7726&lt;/D&gt;&lt;/FQL&gt;&lt;FQL&gt;&lt;Q&gt;DGX-US^FF_SALES(ANN_R,1/1/2018,12/31/2018,CY,,,M)&lt;/Q&gt;&lt;R&gt;1&lt;/R&gt;&lt;C&gt;1&lt;/C&gt;&lt;D xsi:type="xsd:double"&gt;7531&lt;/D&gt;&lt;/FQL&gt;&lt;FQL&gt;&lt;Q&gt;DGX-US^FF_SALES(ANN_R,1/1/2017,12/31/2017,CY,,,M)&lt;/Q&gt;&lt;R&gt;1&lt;/R&gt;&lt;C&gt;1&lt;/C&gt;&lt;D xsi:type="xsd:double"&gt;7402&lt;/D&gt;&lt;/FQL&gt;&lt;FQL&gt;&lt;Q&gt;DGX-US^FF_SALES(ANN_R,1/1/2016,12/31/2016,CY,,,M)&lt;/Q&gt;&lt;R&gt;1&lt;/R&gt;&lt;C&gt;1&lt;/C&gt;&lt;D xsi:type="xsd:double"&gt;7515&lt;/D&gt;&lt;/FQL&gt;&lt;FQL&gt;&lt;Q&gt;DGX-US^FF_SALES(ANN_R,1/1/2015,12/31/2015,CY,,,M)&lt;/Q&gt;&lt;R&gt;1&lt;/R&gt;&lt;C&gt;1&lt;/C&gt;&lt;D xsi:type="xsd:double"&gt;7493&lt;/D&gt;&lt;/FQL&gt;&lt;FQL&gt;&lt;Q&gt;GRAL-US^FF_SALES(ANN_R,1/1/2023,12/31/2023,CY,,,M)&lt;/Q&gt;&lt;R&gt;1&lt;/R&gt;&lt;C&gt;1&lt;/C&gt;&lt;D xsi:type="xsd:double"&gt;93.105&lt;/D&gt;&lt;/FQL&gt;&lt;FQL&gt;&lt;Q&gt;GRAL-US^FF_SALES(ANN_R,1/1/2022,12/31/2022,CY,,,M)&lt;/Q&gt;&lt;R&gt;1&lt;/R&gt;&lt;C&gt;1&lt;/C&gt;&lt;D xsi:type="xsd:double"&gt;55.55&lt;/D&gt;&lt;/FQL&gt;&lt;FQL&gt;&lt;Q&gt;GRAL-US^FF_SALES(ANN_R,1/1/2021,12/31/2021,CY,,,M)&lt;/Q&gt;&lt;R&gt;1&lt;/R&gt;&lt;C&gt;1&lt;/C&gt;&lt;D xsi:type="xsd:double"&gt;14.612&lt;/D&gt;&lt;/FQL&gt;&lt;FQL&gt;&lt;Q&gt;GRAL-US^FF_SALES(ANN_R,1/1/2020,12/31/2020,CY,,,M)&lt;/Q&gt;&lt;R&gt;0&lt;/R&gt;&lt;C&gt;0&lt;/C&gt;&lt;/FQL&gt;&lt;FQL&gt;&lt;Q&gt;GRAL-US^FF_SALES(ANN_R,1/1/2019,12/31/2019,CY,,,M)&lt;/Q&gt;&lt;R&gt;1&lt;/R&gt;&lt;C&gt;1&lt;/C&gt;&lt;D xsi:type="xsd:double"&gt;0&lt;/D&gt;&lt;/FQL&gt;&lt;FQL&gt;&lt;Q&gt;GRAL-US^FF_SALES(ANN_R,1/1/2018,12/31/2018,CY,,,M)&lt;/Q&gt;&lt;R&gt;1&lt;/R&gt;&lt;C&gt;1&lt;/C&gt;&lt;D xsi:type="xsd:double"&gt;0&lt;/D&gt;&lt;/FQL&gt;&lt;FQL&gt;&lt;Q&gt;GRAL-US^FF_SALES(ANN_R,1/1/2017,12/31/2017,CY,,,M)&lt;/Q&gt;&lt;R&gt;0&lt;/R&gt;&lt;C&gt;0&lt;/C&gt;&lt;/FQL&gt;&lt;FQL&gt;&lt;Q&gt;GRAL-US^FF_SALES(ANN_R,1/1/2016,12/31/2016,CY,,,M)&lt;/Q&gt;&lt;R&gt;0&lt;/R&gt;&lt;C&gt;0&lt;/C&gt;&lt;/FQL&gt;&lt;FQL&gt;&lt;Q&gt;GRAL-US^FF_SALES(ANN_R,1/1/2015,12/31/2015,CY,,,M)&lt;/Q&gt;&lt;R&gt;0&lt;/R&gt;&lt;C&gt;0&lt;/C&gt;&lt;/FQL&gt;&lt;FQL&gt;&lt;Q&gt;ADPT-US^FF_SALES(ANN_R,1/1/2023,12/31/2023,CY,,,M)&lt;/Q&gt;&lt;R&gt;1&lt;/R&gt;&lt;C&gt;1&lt;/C&gt;&lt;D xsi:type="xsd:double"&gt;170.276&lt;/D&gt;&lt;/FQL&gt;&lt;FQL&gt;&lt;Q&gt;ADPT-US^FF_SALES(ANN_R,1/1/2022,12/31/2022,CY,,,M)&lt;/Q&gt;&lt;R&gt;1&lt;/R&gt;&lt;C&gt;1&lt;/C&gt;&lt;D xsi:type="xsd:double"&gt;185.308&lt;/D&gt;&lt;/FQL&gt;&lt;FQL&gt;&lt;Q&gt;ADPT-US^FF_SALES(ANN_R,1/1/2021,12/31/2021,CY,,,M)&lt;/Q&gt;&lt;R&gt;1&lt;/R&gt;&lt;C&gt;1&lt;/C&gt;&lt;D xsi:type="xsd:double"&gt;154.344&lt;/D&gt;&lt;/FQL&gt;&lt;FQL&gt;&lt;Q&gt;ADPT-US^FF_SALES(ANN_R,1/1/2020,12/31/2020,CY,,,M)&lt;/Q&gt;&lt;R&gt;1&lt;/R&gt;&lt;C&gt;1&lt;/C&gt;&lt;D xsi:type="xsd:double"&gt;98.382&lt;/D&gt;&lt;/FQL&gt;&lt;FQL&gt;&lt;Q&gt;ADPT-US^FF_SALES(ANN_R,1/1/2019,12/31/2019,CY,,,M)&lt;/Q&gt;&lt;R&gt;1&lt;/R&gt;&lt;C&gt;1&lt;/C&gt;&lt;D xsi:type="xsd:double"&gt;85.071&lt;/D&gt;&lt;/FQL&gt;&lt;FQL&gt;&lt;Q&gt;ADPT-US^FF_SALES(ANN_R,1/1/2018,12/31/2018,CY,,,M)&lt;/Q&gt;&lt;R&gt;1&lt;/R&gt;&lt;C&gt;1&lt;/C&gt;&lt;D xsi:type="xsd:double"&gt;55.663&lt;/D&gt;&lt;/FQL&gt;&lt;FQL&gt;&lt;Q&gt;ADPT-US^FF_SALES(ANN_R,1/1/2017,12/31/2017,CY,,,M)&lt;/Q&gt;&lt;R&gt;1&lt;/R&gt;&lt;C&gt;1&lt;/C&gt;&lt;D xsi:type="xsd:double"&gt;38.448&lt;/D&gt;&lt;/FQL&gt;&lt;FQL&gt;&lt;Q&gt;ADPT-US^FF_SALES(ANN_R,1/1/2016,12/31/2016,CY,,,M)&lt;/Q&gt;&lt;R&gt;0&lt;/R&gt;&lt;C&gt;0&lt;/C&gt;&lt;/FQL&gt;&lt;FQL&gt;&lt;Q&gt;ADPT-US^FF_SALES(ANN_R,1/1/2015,12/31/2015,CY,,,M)&lt;/Q&gt;&lt;R&gt;0&lt;/R&gt;&lt;C&gt;0&lt;/C&gt;&lt;/FQL&gt;&lt;FQL&gt;&lt;Q&gt;GH-US^FF_SALES(ANN_R,1/1/2023,12/31/2023,CY,,,M)&lt;/Q&gt;&lt;R&gt;1&lt;/R&gt;&lt;C&gt;1&lt;/C&gt;&lt;D xsi:type="xsd:double"&gt;563.948&lt;/D&gt;&lt;/FQL&gt;&lt;FQL&gt;&lt;Q&gt;GH-US^FF_SALES(ANN_R,1/1/2022,12/31/2022,CY,,,M)&lt;/Q&gt;&lt;R&gt;1&lt;/R&gt;&lt;C&gt;1&lt;/C&gt;&lt;D xsi:type="xsd:double"&gt;449.538&lt;/D&gt;&lt;/FQL&gt;&lt;FQL&gt;&lt;Q&gt;GH-US^FF_SALES(ANN_R,1/1/2021,12/31/2021,CY,,,M)&lt;/Q&gt;&lt;R&gt;1&lt;/R&gt;&lt;C&gt;1&lt;/C&gt;&lt;D xsi:type="xsd:double"&gt;373.653&lt;/D&gt;&lt;/FQL&gt;&lt;FQL&gt;&lt;Q&gt;GH-US^FF_SALES(ANN_R,1/1/2020,12/31/2020,CY,,,M)&lt;/Q&gt;&lt;R&gt;1&lt;/R&gt;&lt;C&gt;1&lt;/C&gt;&lt;D xsi:type="xsd:double"&gt;286.73&lt;/D&gt;&lt;/FQL&gt;&lt;FQL&gt;&lt;Q&gt;GH-US^FF_SALES(ANN_R,1/1/2019,12/31/2019,CY,,,M)&lt;/Q&gt;&lt;R&gt;1&lt;/R&gt;&lt;C&gt;1&lt;/C&gt;&lt;D xsi:type="xsd:double"&gt;214.375&lt;/D&gt;&lt;/FQL&gt;&lt;FQL&gt;&lt;Q&gt;GH-US^FF_SALES(ANN_R,1/1/2018,12/31/2018,CY,,,M)&lt;/Q&gt;&lt;R&gt;1&lt;/R&gt;&lt;C&gt;1&lt;/C&gt;&lt;D xsi:type="xsd:double"&gt;90.639&lt;/D&gt;&lt;/FQL&gt;&lt;FQL&gt;&lt;Q&gt;GH-US^FF_SALES(ANN_R,1/1/2017,12/31/2017,CY,,,M)&lt;/Q&gt;&lt;R&gt;1&lt;/R&gt;&lt;C&gt;1&lt;/C&gt;&lt;D xsi:type="xsd:double"&gt;49.842&lt;/D&gt;&lt;/FQL&gt;&lt;FQL&gt;&lt;Q&gt;GH-US^FF_SALES(ANN_R,1/1/2016,12/31/2016,CY,,,M)&lt;/Q&gt;&lt;R&gt;1&lt;/R&gt;&lt;C&gt;1&lt;/C&gt;&lt;D xsi:type="xsd:double"&gt;25.249&lt;/D&gt;&lt;/FQL&gt;&lt;FQL&gt;&lt;Q&gt;GH-US^FF_SALES(ANN_R,1/1/2015,12/31/2015,CY,,,M)&lt;/Q&gt;&lt;R&gt;0&lt;/R&gt;&lt;C&gt;0&lt;/C&gt;&lt;/FQL&gt;&lt;FQL&gt;&lt;Q&gt;TEM-US^FF_SALES(ANN_R,1/1/2023,12/31/2023,CY,,,M)&lt;/Q&gt;&lt;R&gt;1&lt;/R&gt;&lt;C&gt;1&lt;/C&gt;&lt;D xsi:type="xsd:double"&gt;531.822&lt;/D&gt;&lt;/FQL&gt;&lt;FQL&gt;&lt;Q&gt;TEM-US^FF_SALES(ANN_R,1/1/2022,12/31/2022,CY,,,M)&lt;/Q&gt;&lt;R&gt;1&lt;/R&gt;&lt;C&gt;1&lt;/C&gt;&lt;D xsi:type="xsd:double"&gt;320.668&lt;/D&gt;&lt;/FQL&gt;&lt;FQL&gt;&lt;Q&gt;TEM-US^FF_SALES(ANN_R,1/1/2021,12/31/2021,CY,,,M)&lt;/Q&gt;&lt;R&gt;1&lt;/R&gt;&lt;C&gt;1&lt;/C&gt;&lt;D xsi:type="xsd:double"&gt;257.853&lt;/D&gt;&lt;/FQL&gt;&lt;FQL&gt;&lt;Q&gt;TEM-US^FF_SALES(ANN_R,1/1/2020,12/31/2020,CY,,,M)&lt;/Q&gt;&lt;R&gt;1&lt;/R&gt;&lt;C&gt;1&lt;/C&gt;&lt;D xsi:type="xsd:double"&gt;188.004&lt;/D&gt;&lt;/FQL&gt;&lt;FQL&gt;&lt;Q&gt;TEM-US^FF_SALES(ANN_R,1/1/2019,12/31/2019,CY,,,M)&lt;/Q&gt;&lt;R&gt;0&lt;/R&gt;&lt;C&gt;0&lt;/C&gt;&lt;/FQL&gt;&lt;FQL&gt;&lt;Q&gt;TEM-US^FF_SALES(ANN_R,1/1/2018,12/31/2018,CY,,,M)&lt;/Q&gt;&lt;R&gt;0&lt;/R&gt;&lt;C&gt;0&lt;/C&gt;&lt;/FQL&gt;&lt;FQL&gt;&lt;Q&gt;TEM-US^FF_SALES(ANN_R,1/1/2017,12/31/2017,CY,,,M)&lt;/Q&gt;&lt;R&gt;0&lt;/R&gt;&lt;C&gt;0&lt;/C&gt;&lt;/FQL&gt;&lt;FQL&gt;&lt;Q&gt;TEM-US^FF_SALES(ANN_R,1/1/2016,12/31/2016,CY,,,M)&lt;/Q&gt;&lt;R&gt;0&lt;/R&gt;&lt;C&gt;0&lt;/C&gt;&lt;/FQL&gt;&lt;FQL&gt;&lt;Q&gt;TEM-US^FF_SALES(ANN_R,1/1/2015,12/31/2015,CY,,,M)&lt;/Q&gt;&lt;R&gt;0&lt;/R&gt;&lt;C&gt;0&lt;/C&gt;&lt;/FQL&gt;&lt;FQL&gt;&lt;Q&gt;NTRA-US^FF_GROSS_INC(ANN_R,1/1/2024,12/31/2024,CY,,,M)&lt;/Q&gt;&lt;R&gt;1&lt;/R&gt;&lt;C&gt;1&lt;/C&gt;&lt;D xsi:type="xsd:double"&gt;1023.158&lt;/D&gt;&lt;/FQL&gt;&lt;FQL&gt;&lt;Q&gt;530119-IN^FF_GROSS_INC(ANN_R,1/1/2024,12/31/2024,CY,,,M)&lt;/Q&gt;&lt;R&gt;1&lt;/R&gt;&lt;C&gt;1&lt;/C&gt;&lt;D xsi:type="xsd:double"&gt;-70.3859999999999&lt;/D&gt;&lt;/FQL&gt;&lt;FQL&gt;&lt;Q&gt;NTRA-US^FF_GROSS_INC(ANN_R,1/1/2024,12/31/2025,CY,,,M)&lt;/Q&gt;&lt;R&gt;2&lt;/R&gt;&lt;C&gt;1&lt;/C&gt;&lt;D xsi:type="xsd:double"&gt;1023.158&lt;/D&gt;&lt;D xsi:type="xsd:string"&gt;@NA&lt;/D&gt;&lt;/FQL&gt;&lt;FQL&gt;&lt;Q&gt;NTRA-US^FF_GROSS_INC(ANN_R,1/1/2023,12/31/2024,CY,,,M)&lt;/Q&gt;&lt;R&gt;2&lt;/R&gt;&lt;C&gt;1&lt;/C&gt;&lt;D xsi:type="xsd:double"&gt;492.74&lt;/D&gt;&lt;D xsi:type="xsd:double"&gt;1023.158&lt;/D&gt;&lt;/FQL&gt;&lt;FQL&gt;&lt;Q&gt;NTRA-US^FF_GROSS_INC(ANN_R,1/1/2022,12/31/2023,CY,,,M)&lt;/Q&gt;&lt;R&gt;2&lt;/R&gt;&lt;C&gt;1&lt;/C&gt;&lt;D xsi:type="xsd:double"&gt;363.966&lt;/D&gt;&lt;D xsi:type="xsd:double"&gt;492.74&lt;/D&gt;&lt;/FQL&gt;&lt;FQL&gt;&lt;Q&gt;NTRA-US^FF_GROSS_INC(ANN_R,1/1/2021,12/31/2022,CY,,,M)&lt;/Q&gt;&lt;R&gt;2&lt;/R&gt;&lt;C&gt;1&lt;/C&gt;&lt;D xsi:type="xsd:double"&gt;307.068&lt;/D&gt;&lt;D xsi:type="xsd:double"&gt;363.966&lt;/D&gt;&lt;/FQL&gt;&lt;FQL&gt;&lt;Q&gt;NTRA-US^FF_GROSS_INC(ANN_R,1/1/2020,12/31/2021,CY,,,M)&lt;/Q&gt;&lt;R&gt;2&lt;/R&gt;&lt;C&gt;1&lt;/C&gt;&lt;D xsi:type="xsd:double"&gt;187.385&lt;/D&gt;&lt;D xsi:type="xsd:double"&gt;307.068&lt;/D&gt;&lt;/FQL&gt;&lt;FQL&gt;&lt;Q&gt;NTRA-US^FF_GROSS_INC(ANN_R,1/1/2019,12/31/2020,CY,,,M)&lt;/Q&gt;&lt;R&gt;2&lt;/R&gt;&lt;C&gt;1&lt;/C&gt;&lt;D xsi:type="xsd:double"&gt;126.858&lt;/D&gt;&lt;D xsi:type="xsd:double"&gt;187.385&lt;/D&gt;&lt;/FQL&gt;&lt;FQL&gt;&lt;Q&gt;NTRA-US^FF_GROSS_INC(ANN_R,1/1/2018,12/31/2019,CY,,,M)&lt;/Q&gt;&lt;R&gt;2&lt;/R&gt;&lt;C&gt;1&lt;/C&gt;&lt;D xsi:type="xsd:double"&gt;91.599&lt;/D&gt;&lt;D xsi:type="xsd:double"&gt;126.858&lt;/D&gt;&lt;/FQL&gt;&lt;FQL&gt;&lt;Q&gt;NTRA-US^FF_GROSS_INC(ANN_R,1/1/2017,12/31/2018,CY,,,M)&lt;/Q&gt;&lt;R&gt;2&lt;/R&gt;&lt;C&gt;1&lt;/C&gt;&lt;D xsi:type="xsd:double"&gt;70.605&lt;/D&gt;&lt;D xsi:type="xsd:double"&gt;91.599&lt;/D&gt;&lt;/FQL&gt;&lt;FQL&gt;&lt;Q&gt;NTRA-US^FF_GROSS_INC(ANN_R,1/1/2016,12/31/2017,CY,,,M)&lt;/Q&gt;&lt;R&gt;2&lt;/R&gt;&lt;C&gt;1&lt;/C&gt;&lt;D xsi:type="xsd:double"&gt;81.5&lt;/D&gt;&lt;D xsi:type="xsd:double"&gt;70.605&lt;/D&gt;&lt;/FQL&gt;&lt;FQL&gt;&lt;Q&gt;NTRA-US^FF_GROSS_INC(ANN_R,1/1/2015,12/31/2016,CY,,,M)&lt;/Q&gt;&lt;R&gt;2&lt;/R&gt;&lt;C&gt;1&lt;/C&gt;&lt;D xsi:type="xsd:double"&gt;79.71&lt;/D&gt;&lt;D xsi:type="xsd:double"&gt;81.5&lt;/D&gt;&lt;/FQL&gt;&lt;FQL&gt;&lt;Q&gt;NTRA-US^FF_GROSS_INC(ANN_R,1/1/2023,12/31/2023,CY,,,M)&lt;/Q&gt;&lt;R&gt;1&lt;/R&gt;&lt;C&gt;1&lt;/C&gt;&lt;D xsi:type="xsd:double"&gt;492.74&lt;/D&gt;&lt;/FQL&gt;&lt;FQL&gt;&lt;Q&gt;NTRA-US^FF_GROSS_INC(ANN_R,1/1/2022,12/31/2022,CY,,,M)&lt;/Q&gt;&lt;R&gt;1&lt;/R&gt;&lt;C&gt;1&lt;/C&gt;&lt;D xsi:type="xsd:double"&gt;363.966&lt;/D&gt;&lt;/FQL&gt;&lt;FQL&gt;&lt;Q&gt;NTRA-US^FF_GROSS_INC(ANN_R,1/1/2021,12/31/2021,CY,,,M)&lt;/Q&gt;&lt;R&gt;1&lt;/R&gt;&lt;C&gt;1&lt;/C&gt;&lt;D xsi:type="xsd:double"&gt;307.068&lt;/D&gt;&lt;/FQL&gt;&lt;FQL&gt;&lt;Q&gt;NTRA-US^FF_GROSS_INC(ANN_R,1/1/2020,12/31/2020,CY,,,M)&lt;/Q&gt;&lt;R&gt;1&lt;/R&gt;&lt;C&gt;1&lt;/C&gt;&lt;D xsi:type="xsd:double"&gt;187.385&lt;/D&gt;&lt;/FQL&gt;&lt;FQL&gt;&lt;Q&gt;NTRA-US^FF_GROSS_INC(ANN_R,1/1/2019,12/31/2019,CY,,,M)&lt;/Q&gt;&lt;R&gt;1&lt;/R&gt;&lt;C&gt;1&lt;/C&gt;&lt;D xsi:type="xsd:double"&gt;126.858&lt;/D&gt;&lt;/FQL&gt;&lt;FQL&gt;&lt;Q&gt;NTRA-US^FF_GROSS_INC(ANN_R,1/1/2018,12/31/2018,CY,,,M)&lt;/Q&gt;&lt;R&gt;1&lt;/R&gt;&lt;C&gt;1&lt;/C&gt;&lt;D xsi:type="xsd:double"&gt;91.599&lt;/D&gt;&lt;/FQL&gt;&lt;FQL&gt;&lt;Q&gt;NTRA-US^FF_GROSS_INC(ANN_R,1/1/2017,12/31/2017,CY,,,M)&lt;/Q&gt;&lt;R&gt;1&lt;/R&gt;&lt;C&gt;1&lt;/C&gt;&lt;D xsi:type="xsd:double"&gt;70.605&lt;/D&gt;&lt;/FQL&gt;&lt;FQL&gt;&lt;Q&gt;NTRA-US^FF_GROSS_INC(ANN_R,1/1/2016,12/31/2016,CY,,,M)&lt;/Q&gt;&lt;R&gt;1&lt;/R&gt;&lt;C&gt;1&lt;/C&gt;&lt;D xsi:type="xsd:double"&gt;81.5&lt;/D&gt;&lt;/FQL&gt;&lt;FQL&gt;&lt;Q&gt;NTRA-US^FF_GROSS_INC(ANN_R,1/1/2015,12/31/2015,CY,,,M)&lt;/Q&gt;&lt;R&gt;1&lt;/R&gt;&lt;C&gt;1&lt;/C&gt;&lt;D xsi:type="xsd:double"&gt;79.71&lt;/D&gt;&lt;/FQL&gt;&lt;FQL&gt;&lt;Q&gt;CAI-US^FF_GROSS_INC(ANN_R,1/1/2024,12/31/2024,CY,,,M)&lt;/Q&gt;&lt;R&gt;1&lt;/R&gt;&lt;C&gt;1&lt;/C&gt;&lt;D xsi:type="xsd:double"&gt;178.782&lt;/D&gt;&lt;/FQL&gt;&lt;FQL&gt;&lt;Q&gt;FLGT-US^FF_GROSS_INC(ANN_R,1/1/2024,12/31/2024,CY,,,M)&lt;/Q&gt;&lt;R&gt;1&lt;/R&gt;&lt;C&gt;1&lt;/C&gt;&lt;D xsi:type="xsd:double"&gt;99.25&lt;/D&gt;&lt;/FQL&gt;&lt;FQL&gt;&lt;Q&gt;PSNL-US^FF_GROSS_INC(ANN_R,1/1/2024,12/31/2024,CY,,,M)&lt;/Q&gt;&lt;R&gt;1&lt;/R&gt;&lt;C&gt;1&lt;/C&gt;&lt;D xsi:type="xsd:double"&gt;26.825&lt;/D&gt;&lt;/FQL&gt;&lt;FQL&gt;&lt;Q&gt;MYGN-US^FF_GROSS_INC(ANN_R,1/1/2024,12/31/2024,CY,,,M)&lt;/Q&gt;&lt;R&gt;1&lt;/R&gt;&lt;C&gt;1&lt;/C&gt;&lt;D xsi:type="xsd:double"&gt;585.4&lt;/D&gt;&lt;/FQL&gt;&lt;FQL&gt;&lt;Q&gt;CDNA-US^FF_GROSS_INC(ANN_R,1/1/2024,12/31/2024,CY,,,M)&lt;/Q&gt;&lt;R&gt;1&lt;/R&gt;&lt;C&gt;1&lt;/C&gt;&lt;D xsi:type="xsd:double"&gt;221.635&lt;/D&gt;&lt;/FQL&gt;&lt;FQL&gt;&lt;Q&gt;NEO-US^FF_GROSS_INC(ANN_R,1/1/2024,12/31/2024,CY,,,M)&lt;/Q&gt;&lt;R&gt;1&lt;/R&gt;&lt;C&gt;1&lt;/C&gt;&lt;D xsi:type="xsd:double"&gt;256.654&lt;/D&gt;&lt;/FQL&gt;&lt;FQL&gt;&lt;Q&gt;EXAS-US^FF_GROSS_INC(ANN_R,1/1/2024,12/31/2024,CY,,,M)&lt;/Q&gt;&lt;R&gt;1&lt;/R&gt;&lt;C&gt;1&lt;/C&gt;&lt;D xsi:type="xsd:double"&gt;1918.717&lt;/D&gt;&lt;/FQL&gt;&lt;FQL&gt;&lt;Q&gt;VCYT-US^FF_GROSS_INC(ANN_R,1/1/2024,12/31/2024,CY,,,M)&lt;/Q&gt;&lt;R&gt;1&lt;/R&gt;&lt;C&gt;1&lt;/C&gt;&lt;D xsi:type="xsd:double"&gt;289.546&lt;/D&gt;&lt;/FQL&gt;&lt;FQL&gt;&lt;Q&gt;WGS-US^FF_GROSS_INC(ANN_R,1/1/2024,12/31/2024,CY,,,M)&lt;/Q&gt;&lt;R&gt;1&lt;/R&gt;&lt;C&gt;1&lt;/C&gt;&lt;D xsi:type="xsd:double"&gt;176.491&lt;/D&gt;&lt;/FQL&gt;&lt;FQL&gt;&lt;Q&gt;LH-US^FF_GROSS_INC(ANN_R,1/1/2024,12/31/2024,CY,,,M)&lt;/Q&gt;&lt;R&gt;1&lt;/R&gt;&lt;C&gt;1&lt;/C&gt;&lt;D xsi:type="xsd:double"&gt;3368&lt;/D&gt;&lt;/FQL&gt;&lt;FQL&gt;&lt;Q&gt;DGX-US^FF_GROSS_INC(ANN_R,1/1/2024,12/31/2024,CY,,,M)&lt;/Q&gt;&lt;R&gt;1&lt;/R&gt;&lt;C&gt;1&lt;/C&gt;&lt;D xsi:type="xsd:double"&gt;3146&lt;/D&gt;&lt;/FQL&gt;&lt;FQL&gt;&lt;Q&gt;GRAL-US^FF_GROSS_INC(ANN_R,1/1/2024,12/31/2024,CY,,,M)&lt;/Q&gt;&lt;R&gt;1&lt;/R&gt;&lt;C&gt;1&lt;/C&gt;&lt;D xsi:type="xsd:double"&gt;-78.022&lt;/D&gt;&lt;/FQL&gt;&lt;FQL&gt;&lt;Q&gt;ADPT-US^FF_GROSS_INC(ANN_R,1/1/2024,12/31/2024,CY,,,M)&lt;/Q&gt;&lt;R&gt;1&lt;/R&gt;&lt;C&gt;1&lt;/C&gt;&lt;D xsi:type="xsd:double"&gt;96.554&lt;/D&gt;&lt;/FQL&gt;&lt;FQL&gt;&lt;Q&gt;GH-US^FF_GROSS_INC(ANN_R,1/1/2024,12/31/2024,CY,,,M)&lt;/Q&gt;&lt;R&gt;1&lt;/R&gt;&lt;C&gt;1&lt;/C&gt;&lt;D xsi:type="xsd:double"&gt;449.217&lt;/D&gt;&lt;/FQL&gt;&lt;FQL&gt;&lt;Q&gt;TEM-US^FF_GROSS_INC(ANN_R,1/1/2024,12/31/2024,CY,,,M)&lt;/Q&gt;&lt;R&gt;1&lt;/R&gt;&lt;C&gt;1&lt;/C&gt;&lt;D xsi:type="xsd:double"&gt;368.895&lt;/D&gt;&lt;/FQL&gt;&lt;FQL&gt;&lt;Q&gt;CAI-US^FF_GROSS_INC(ANN_R,1/1/2023,12/31/2023,CY,,,M)&lt;/Q&gt;&lt;R&gt;1&lt;/R&gt;&lt;C&gt;1&lt;/C&gt;&lt;D xsi:type="xsd:double"&gt;89.31&lt;/D&gt;&lt;/FQL&gt;&lt;FQL&gt;&lt;Q&gt;CAI-US^FF_GROSS_INC(ANN_R,1/1/2022,12/31/2022,CY,,,M)&lt;/Q&gt;&lt;R&gt;0&lt;/R&gt;&lt;C&gt;0&lt;/C&gt;&lt;/FQL&gt;&lt;FQL&gt;&lt;Q&gt;CAI-US^FF_GROSS_INC(ANN_R,1/1/2021,12/31/2021,CY,,,M)&lt;/Q&gt;&lt;R&gt;0&lt;/R&gt;&lt;C&gt;0&lt;/C&gt;&lt;/FQL&gt;&lt;FQL&gt;&lt;Q&gt;CAI-US^FF_GROSS_INC(ANN_R,1/1/2020,12/31/2020,CY,,,M)&lt;/Q&gt;&lt;R&gt;0&lt;/R&gt;&lt;C&gt;0&lt;/C&gt;&lt;/FQL&gt;&lt;FQL&gt;&lt;Q&gt;CAI-US^FF_GROSS_INC(ANN_R,1/1/2019,12/31/2019,CY,,,M)&lt;/Q&gt;&lt;R&gt;0&lt;/R&gt;&lt;C&gt;0&lt;/C&gt;&lt;/FQL&gt;&lt;FQL&gt;&lt;Q&gt;CAI-US^FF_GROSS_INC(ANN_R,1/1/2018,12/31/2018,CY,,,M)&lt;/Q&gt;&lt;R&gt;0&lt;/R&gt;&lt;C&gt;0&lt;/C&gt;&lt;/FQL&gt;&lt;FQL&gt;&lt;Q&gt;CAI-US^FF_GROSS_INC(ANN_R,1/1/2017,12/31/2017,CY,,,M)&lt;/Q&gt;&lt;R&gt;0&lt;/R&gt;&lt;C&gt;0&lt;/C&gt;&lt;/FQL&gt;&lt;FQL&gt;&lt;Q&gt;CAI-US^FF_GROSS_INC(ANN_R,1/1/2016,12/31/2016,CY,,,M)&lt;/Q&gt;&lt;R&gt;0&lt;/R&gt;&lt;C&gt;0&lt;/C&gt;&lt;/FQL&gt;&lt;FQL&gt;&lt;Q&gt;CAI-US^FF_GROSS_INC(ANN_R,1/1/2015,12/31/2015,CY,,,M)&lt;/Q&gt;&lt;R&gt;0&lt;/R&gt;&lt;C&gt;0&lt;/C&gt;&lt;/FQL&gt;&lt;FQL&gt;&lt;Q&gt;FLGT-US^FF_GROSS_INC(ANN_R,1/1/2023,12/31/2023,CY,,,M)&lt;/Q&gt;&lt;R&gt;1&lt;/R&gt;&lt;C&gt;1&lt;/C&gt;&lt;D xsi:type="xsd:double"&gt;96.611&lt;/D&gt;&lt;/FQL&gt;&lt;FQL&gt;&lt;Q&gt;FLGT-US^FF_GROSS_INC(ANN_R,1/1/2022,12/31/2022,CY,,,M)&lt;/Q&gt;&lt;R&gt;1&lt;/R&gt;&lt;C&gt;1&lt;/C&gt;&lt;D xsi:type="xsd:double"&gt;360.404&lt;/D&gt;&lt;/FQL&gt;&lt;FQL&gt;&lt;Q&gt;FLGT-US^FF_GROSS_INC(ANN_R,1/1/2021,12/31/2021,CY,,,M)&lt;/Q&gt;&lt;R&gt;1&lt;/R&gt;&lt;C&gt;1&lt;/C&gt;&lt;D xsi:type="xsd:double"&gt;775.343&lt;/D&gt;&lt;/FQL&gt;&lt;FQL&gt;&lt;Q&gt;FLGT-US^FF_GROSS_INC(ANN_R,1/1/2020,12/31/2020,CY,,,M)&lt;/Q&gt;&lt;R&gt;1&lt;/R&gt;&lt;C&gt;1&lt;/C&gt;&lt;D xsi:type="xsd:double"&gt;331.905&lt;/D&gt;&lt;/FQL&gt;&lt;FQL&gt;&lt;Q&gt;FLGT-US^FF_GROSS_INC(ANN_R,1/1/2019,12/31/2019,CY,,,M)&lt;/Q&gt;&lt;R&gt;1&lt;/R&gt;&lt;C&gt;1&lt;/C&gt;&lt;D xsi:type="xsd:double"&gt;18.421&lt;/D&gt;&lt;/FQL&gt;&lt;FQL&gt;&lt;Q&gt;FLGT-US^FF_GROSS_INC(ANN_R,1/1/2018,12/31/2018,CY,,,M)&lt;/Q&gt;&lt;R&gt;1&lt;/R&gt;&lt;C&gt;1&lt;/C&gt;&lt;D xsi:type="xsd:double"&gt;10.654&lt;/D&gt;&lt;/FQL&gt;&lt;FQL&gt;&lt;Q&gt;FLGT-US^FF_GROSS_INC(ANN_R,1/1/2017,12/31/2017,CY,,,M)&lt;/Q&gt;&lt;R&gt;1&lt;/R&gt;&lt;C&gt;1&lt;/C&gt;&lt;D xsi:type="xsd:double"&gt;10.179&lt;/D&gt;&lt;/FQL&gt;&lt;FQL&gt;&lt;Q&gt;FLGT-US^FF_GROSS_INC(ANN_R,1/1/2016,12/31/2016,CY,,,M)&lt;/Q&gt;&lt;R&gt;1&lt;/R&gt;&lt;C&gt;1&lt;/C&gt;&lt;D xsi:type="xsd:double"&gt;11.554&lt;/D&gt;&lt;/FQL&gt;&lt;FQL&gt;&lt;Q&gt;FLGT-US^FF_GROSS_INC(ANN_R,1/1/2015,12/31/2015,CY,,,M)&lt;/Q&gt;&lt;R&gt;1&lt;/R&gt;&lt;C&gt;1&lt;/C&gt;&lt;D xsi:type="xsd:double"&gt;4.507&lt;/D&gt;&lt;/FQL&gt;&lt;FQL&gt;&lt;Q&gt;PSNL-US^FF_GROSS_INC(ANN_R,1/1/2023,12/31/2023,CY,,,M)&lt;/Q&gt;&lt;R&gt;1&lt;/R&gt;&lt;C&gt;1&lt;/C&gt;&lt;D xsi:type="xsd:double"&gt;18.208&lt;/D&gt;&lt;/FQL&gt;&lt;FQL&gt;&lt;Q&gt;PSNL-US^FF_GROSS_INC(ANN_R,1/1/2022,12/31/2022,CY,,,M)&lt;/Q&gt;&lt;R&gt;1&lt;/R&gt;&lt;C&gt;1&lt;/C&gt;&lt;D xsi:type="xsd:double"&gt;13.35&lt;/D&gt;&lt;/FQL&gt;&lt;FQL&gt;&lt;Q&gt;PSNL-US^FF_GROSS_INC(ANN_R,1/1/2021,12/31/2021,CY,,,M)&lt;/Q&gt;&lt;R&gt;1&lt;/R&gt;&lt;C&gt;1&lt;/C&gt;&lt;D xsi:type="xsd:double"&gt;31.657&lt;/D&gt;&lt;/FQL&gt;&lt;FQL&gt;&lt;Q&gt;PSNL-US^FF_GROSS_INC(ANN_R,1/1/2020,12/31/2020,CY,,,M)&lt;/Q&gt;&lt;R&gt;1&lt;/R&gt;&lt;C&gt;1&lt;/C&gt;&lt;D xsi:type="xsd:double"&gt;20.114&lt;/D&gt;&lt;/FQL&gt;&lt;FQL&gt;&lt;Q&gt;PSNL-US^FF_GROSS_INC(ANN_R,1/1/2019,12/31/2019,CY,,,M)&lt;/Q&gt;&lt;R&gt;1&lt;/R&gt;&lt;C&gt;1&lt;/C&gt;&lt;D xsi:type="xsd:double"&gt;22.08&lt;/D&gt;&lt;/FQL&gt;&lt;FQL&gt;&lt;Q&gt;PSNL-US^FF_GROSS_INC(ANN_R,1/1/2018,12/31/2018,CY,,,M)&lt;/Q&gt;&lt;R&gt;1&lt;/R&gt;&lt;C&gt;1&lt;/C&gt;&lt;D xsi:type="xsd:double"&gt;11.805&lt;/D&gt;&lt;/FQL&gt;&lt;FQL&gt;&lt;Q&gt;PSNL-US^FF_GROSS_INC(ANN_R,1/1/2017,12/31/2017,CY,,,M)&lt;/Q&gt;&lt;R&gt;1&lt;/R&gt;&lt;C&gt;1&lt;/C&gt;&lt;D xsi:type="xsd:double"&gt;-2.343&lt;/D&gt;&lt;/FQL&gt;&lt;FQL&gt;&lt;Q&gt;PSNL-US^FF_GROSS_INC(ANN_R,1/1/2016,12/31/2016,CY,,,M)&lt;/Q&gt;&lt;R&gt;0&lt;/R&gt;&lt;C&gt;0&lt;/C&gt;&lt;/FQL&gt;&lt;FQL&gt;&lt;Q&gt;PSNL-US^FF_GROSS_INC(ANN_R,1/1/2015,12/31/2015,CY,,,M)&lt;/Q&gt;&lt;R&gt;0&lt;/R&gt;&lt;C&gt;0&lt;/C&gt;&lt;/FQL&gt;&lt;FQL&gt;&lt;Q&gt;MYGN-US^FF_GROSS_INC(ANN_R,1/1/2023,12/31/2023,CY,,,M)&lt;/Q&gt;&lt;R&gt;1&lt;/R&gt;&lt;C&gt;1&lt;/C&gt;&lt;D xsi:type="xsd:double"&gt;474.2&lt;/D&gt;&lt;/FQL&gt;&lt;FQL&gt;&lt;Q&gt;MYGN-US^FF_GROSS_INC(ANN_R,1/1/2022,12/31/2022,CY,,,M)&lt;/Q&gt;&lt;R&gt;1&lt;/R&gt;&lt;C&gt;1&lt;/C&gt;&lt;D xsi:type="xsd:double"&gt;435.3&lt;/D&gt;&lt;/FQL&gt;&lt;FQL&gt;&lt;Q&gt;MYGN-US^FF_GROSS_INC(ANN_R,1/1/2021,12/31/2021,CY,,,M)&lt;/Q&gt;&lt;R&gt;1&lt;/R&gt;&lt;C&gt;1&lt;/C&gt;&lt;D xsi:type="xsd:double"&gt;442.3&lt;/D&gt;&lt;/FQL&gt;&lt;FQL&gt;&lt;Q&gt;MYGN-US^FF_GROSS_INC(ANN_R,1/1/2020,12/31/2020,CY,,,M)&lt;/Q&gt;&lt;R&gt;1&lt;/R&gt;&lt;C&gt;1&lt;/C&gt;&lt;D xsi:type="xsd:double"&gt;391.5&lt;/D&gt;&lt;/FQL&gt;&lt;FQL&gt;&lt;Q&gt;MYGN-US^FF_GROSS_INC(ANN_R,1/1/2019,12/31/2019,CY,,,M)&lt;/Q&gt;&lt;R&gt;1&lt;/R&gt;&lt;C&gt;1&lt;/C&gt;&lt;D xsi:type="xsd:double"&gt;590.8&lt;/D&gt;&lt;/FQL&gt;&lt;FQL&gt;&lt;Q&gt;MYGN-US^FF_GROSS_INC(ANN_R,1/1/2018,12/31/2018,CY,,,M)&lt;/Q&gt;&lt;R&gt;1&lt;/R&gt;&lt;C&gt;1&lt;/C&gt;&lt;D xsi:type="xsd:double"&gt;529.2&lt;/D&gt;&lt;/FQL&gt;&lt;FQL&gt;&lt;Q&gt;MYGN-US^FF_GROSS_INC(ANN_R,1/1/2017,12/31/2017,CY,,,M)&lt;/Q&gt;&lt;R&gt;1&lt;/R&gt;&lt;C&gt;1&lt;/C&gt;&lt;D xsi:type="xsd:double"&gt;598.7&lt;/D&gt;&lt;/FQL&gt;&lt;FQL&gt;&lt;Q&gt;MYGN-US^FF_GROSS_INC(ANN_R,1/1/2016,12/31/2016,CY,,,M)&lt;/Q&gt;&lt;R&gt;1&lt;/R&gt;&lt;C&gt;1&lt;/C&gt;&lt;D xsi:type="xsd:double"&gt;596.5&lt;/D&gt;&lt;/FQL&gt;&lt;FQL&gt;&lt;Q&gt;MYGN-US^FF_GROSS_INC(ANN_R,1/1/2015,12/31/2015,CY,,,M)&lt;/Q&gt;&lt;R&gt;1&lt;/R&gt;&lt;C&gt;1&lt;/C&gt;&lt;D xsi:type="xsd:double"&gt;575.7&lt;/D&gt;&lt;/FQL&gt;&lt;FQL&gt;&lt;Q&gt;CDNA-US^FF_GROSS_INC(ANN_R,1/1/2023,12/31/2023,CY,,,M)&lt;/Q&gt;&lt;R&gt;1&lt;/R&gt;&lt;C&gt;1&lt;/C&gt;&lt;D xsi:type="xsd:double"&gt;175.868&lt;/D&gt;&lt;/FQL&gt;&lt;FQL&gt;&lt;Q&gt;CDNA-US^FF_GROSS_INC(ANN_R,1/1/2022,12/31/2022,CY,,,M)&lt;/Q&gt;&lt;R&gt;1&lt;/R&gt;&lt;C&gt;1&lt;/C&gt;&lt;D xsi:type="xsd:double"&gt;207.329&lt;/D&gt;&lt;/FQL&gt;&lt;FQL&gt;&lt;Q&gt;CDNA-US^FF_GROSS_INC(ANN_R,1/1/2021,12/31/2021,CY,,,M)&lt;/Q&gt;&lt;R&gt;1&lt;/R&gt;&lt;C&gt;1&lt;/C&gt;&lt;D xsi:type="xsd:double"&gt;197.408&lt;/D&gt;&lt;/FQL&gt;&lt;FQL&gt;&lt;Q&gt;CDNA-US^FF_GROSS_INC(ANN_R,1/1/2020,12/31/2020,CY,,,M)&lt;/Q&gt;&lt;R&gt;1&lt;/R&gt;&lt;C&gt;1&lt;/C&gt;&lt;D xsi:type="xsd:double"&gt;127.577&lt;/D&gt;&lt;/FQL&gt;&lt;FQL&gt;&lt;Q&gt;CDNA-US^FF_GROSS_INC(ANN_R,1/1/2019,12/31/2019,CY,,,M)&lt;/Q&gt;&lt;R&gt;1&lt;/R&gt;&lt;C&gt;1&lt;/C&gt;&lt;D xsi:type="xsd:double"&gt;80.313&lt;/D&gt;&lt;/FQL&gt;&lt;FQL&gt;&lt;Q&gt;CDNA-US^FF_GROSS_INC(ANN_R,1/1/2018,12/31/2018,CY,,,M)&lt;/Q&gt;&lt;R&gt;1&lt;/R&gt;&lt;C&gt;1&lt;/C&gt;&lt;D xsi:type="xsd:double"&gt;42.582&lt;/D&gt;&lt;/FQL&gt;&lt;FQL&gt;&lt;Q&gt;CDNA-US^FF_GROSS_INC(ANN_R,1/1/2017,12/31/2017,CY,,,M)&lt;/Q&gt;&lt;R&gt;1&lt;/R&gt;&lt;C&gt;1&lt;/C&gt;&lt;D xsi:type="xsd:double"&gt;25.953&lt;/D&gt;&lt;/FQL&gt;&lt;FQL&gt;&lt;Q&gt;CDNA-US^FF_GROSS_INC(ANN_R,1/1/2016,12/31/2016,CY,,,M)&lt;/Q&gt;&lt;R&gt;1&lt;/R&gt;&lt;C&gt;1&lt;/C&gt;&lt;D xsi:type="xsd:double"&gt;18.809&lt;/D&gt;&lt;/FQL&gt;&lt;FQL&gt;&lt;Q&gt;CDNA-US^FF_GROSS_INC(ANN_R,1/1/2015,12/31/2015,CY,,,M)&lt;/Q&gt;&lt;R&gt;1&lt;/R&gt;&lt;C&gt;1&lt;/C&gt;&lt;D xsi:type="xsd:double"&gt;17.871&lt;/D&gt;&lt;/FQL&gt;&lt;FQL&gt;&lt;Q&gt;NEO-US^FF_GROSS_INC(ANN_R,1/1/2023,12/31/2023,CY,,,M)&lt;/Q&gt;&lt;R&gt;1&lt;/R&gt;&lt;C&gt;1&lt;/C&gt;&lt;D xsi:type="xsd:double"&gt;209.471&lt;/D&gt;&lt;/FQL&gt;&lt;FQL&gt;&lt;Q&gt;NEO-US^FF_GROSS_INC(ANN_R,1/1/2022,12/31/2022,CY,,,M)&lt;/Q&gt;&lt;R&gt;1&lt;/R&gt;&lt;C&gt;1&lt;/C&gt;&lt;D xsi:type="xsd:double"&gt;173.25&lt;/D&gt;&lt;/FQL&gt;&lt;FQL&gt;&lt;Q&gt;NEO-US^FF_GROSS_INC(ANN_R,1/1/2021,12/31/2021,CY,,,M)&lt;/Q&gt;&lt;R&gt;1&lt;/R&gt;&lt;C&gt;1&lt;/C&gt;&lt;D xsi:type="xsd:double"&gt;179.568&lt;/D&gt;&lt;/FQL&gt;&lt;FQL&gt;&lt;Q&gt;NEO-US^FF_GROSS_INC(ANN_R,1/1/2020,12/31/2020,CY,,,M)&lt;/Q&gt;&lt;R&gt;1&lt;/R&gt;&lt;C&gt;1&lt;/C&gt;&lt;D xsi:type="xsd:double"&gt;165.476&lt;/D&gt;&lt;/FQL&gt;&lt;FQL&gt;&lt;Q&gt;NEO-US^FF_GROSS_INC(ANN_R,1/1/2019,12/31/2019,CY,,,M)&lt;/Q&gt;&lt;R&gt;1&lt;/R&gt;&lt;C&gt;1&lt;/C&gt;&lt;D xsi:type="xsd:double"&gt;176.011&lt;/D&gt;&lt;/FQL&gt;&lt;FQL&gt;&lt;Q&gt;NEO-US^FF_GROSS_INC(ANN_R,1/1/2018,12/31/2018,CY,,,M)&lt;/Q&gt;&lt;R&gt;1&lt;/R&gt;&lt;C&gt;1&lt;/C&gt;&lt;D xsi:type="xsd:double"&gt;113.737&lt;/D&gt;&lt;/FQL&gt;&lt;FQL&gt;&lt;Q&gt;NEO-US^FF_GROSS_INC(ANN_R,1/1/2017,12/31/2017,CY,,,M)&lt;/Q&gt;&lt;R&gt;1&lt;/R&gt;&lt;C&gt;1&lt;/C&gt;&lt;D xsi:type="xsd:double"&gt;88.761&lt;/D&gt;&lt;/FQL&gt;&lt;FQL&gt;&lt;Q&gt;NEO-US^FF_GROSS_INC(ANN_R,1/1/2016,12/31/2016,CY,,,M)&lt;/Q&gt;&lt;R&gt;1&lt;/R&gt;&lt;C&gt;1&lt;/C&gt;&lt;D xsi:type="xsd:double"&gt;106.179&lt;/D&gt;&lt;/FQL&gt;&lt;FQL&gt;&lt;Q&gt;NEO-US^FF_GROSS_INC(ANN_R,1/1/2015,12/31/2015,CY,,,M)&lt;/Q&gt;&lt;R&gt;1&lt;/R&gt;&lt;C&gt;1&lt;/C&gt;&lt;D xsi:type="xsd:double"&gt;40.852&lt;/D&gt;&lt;/FQL&gt;&lt;FQL&gt;&lt;Q&gt;EXAS-US^FF_GROSS_INC(ANN_R,1/1/2023,12/31/2023,CY,,,M)&lt;/Q&gt;&lt;R&gt;1&lt;/R&gt;&lt;C&gt;1&lt;/C&gt;&lt;D xsi:type="xsd:double"&gt;1753.358&lt;/D&gt;&lt;/FQL&gt;&lt;FQL&gt;&lt;Q&gt;EXAS-US^FF_GROSS_INC(ANN_R,1/1/2022,12/31/2022,CY,,,M)&lt;/Q&gt;&lt;R&gt;1&lt;/R&gt;&lt;C&gt;1&lt;/C&gt;&lt;D xsi:type="xsd:double"&gt;1412.435&lt;/D&gt;&lt;/FQL&gt;&lt;FQL&gt;&lt;Q&gt;EXAS-US^FF_GROSS_INC(ANN_R,1/1/2021,12/31/2021,CY,,,M)&lt;/Q&gt;&lt;R&gt;1&lt;/R&gt;&lt;C&gt;1&lt;/C&gt;&lt;D xsi:type="xsd:double"&gt;1213.329&lt;/D&gt;&lt;/FQL&gt;&lt;FQL&gt;&lt;Q&gt;EXAS-US^FF_GROSS_INC(ANN_R,1/1/2020,12/31/2020,CY,,,M)&lt;/Q&gt;&lt;R&gt;1&lt;/R&gt;&lt;C&gt;1&lt;/C&gt;&lt;D xsi:type="xsd:double"&gt;1043.669&lt;/D&gt;&lt;/FQL&gt;&lt;FQL&gt;&lt;Q&gt;EXAS-US^FF_GROSS_INC(ANN_R,1/1/2019,12/31/2019,CY,,,M)&lt;/Q&gt;&lt;R&gt;1&lt;/R&gt;&lt;C&gt;1&lt;/C&gt;&lt;D xsi:type="xsd:double"&gt;643.541&lt;/D&gt;&lt;/FQL&gt;&lt;FQL&gt;&lt;Q&gt;EXAS-US^FF_GROSS_INC(ANN_R,1/1/2018,12/31/2018,CY,,,M)&lt;/Q&gt;&lt;R&gt;1&lt;/R&gt;&lt;C&gt;1&lt;/C&gt;&lt;D xsi:type="xsd:double"&gt;336.48&lt;/D&gt;&lt;/FQL&gt;&lt;FQL&gt;&lt;Q&gt;EXAS-US^FF_GROSS_INC(ANN_R,1/1/2017,12/31/2017,CY,,,M)&lt;/Q&gt;&lt;R&gt;1&lt;/R&gt;&lt;C&gt;1&lt;/C&gt;&lt;D xsi:type="xsd:double"&gt;186.793&lt;/D&gt;&lt;/FQL&gt;&lt;FQL&gt;&lt;Q&gt;EXAS-US^FF_GROSS_INC(ANN_R,1/1/2016,12/31/2016,CY,,,M)&lt;/Q&gt;&lt;R&gt;1&lt;/R&gt;&lt;C&gt;1&lt;/C&gt;&lt;D xsi:type="xsd:double"&gt;54.181&lt;/D&gt;&lt;/FQL&gt;&lt;FQL&gt;&lt;Q&gt;EXAS-US^FF_GROSS_INC(ANN_R,1/1/2015,12/31/2015,CY,,,M)&lt;/Q&gt;&lt;R&gt;1&lt;/R&gt;&lt;C&gt;1&lt;/C&gt;&lt;D xsi:type="xsd:double"&gt;14.936&lt;/D&gt;&lt;/FQL&gt;&lt;FQL&gt;&lt;Q&gt;VCYT-US^FF_GROSS_INC(ANN_R,1/1/2023,12/31/2023,CY</t>
        </r>
      </text>
    </comment>
    <comment ref="A3" authorId="0" shapeId="0" xr:uid="{D34AEE58-AF7B-4ECD-95A5-24FB946ED0B3}">
      <text>
        <r>
          <rPr>
            <b/>
            <sz val="9"/>
            <color indexed="81"/>
            <rFont val="Tahoma"/>
            <charset val="1"/>
          </rPr>
          <t>,,,M)&lt;/Q&gt;&lt;R&gt;1&lt;/R&gt;&lt;C&gt;1&lt;/C&gt;&lt;D xsi:type="xsd:double"&gt;223.152&lt;/D&gt;&lt;/FQL&gt;&lt;FQL&gt;&lt;Q&gt;VCYT-US^FF_GROSS_INC(ANN_R,1/1/2022,12/31/2022,CY,,,M)&lt;/Q&gt;&lt;R&gt;1&lt;/R&gt;&lt;C&gt;1&lt;/C&gt;&lt;D xsi:type="xsd:double"&gt;170.831&lt;/D&gt;&lt;/FQL&gt;&lt;FQL&gt;&lt;Q&gt;VCYT-US^FF_GROSS_INC(ANN_R,1/1/2021,12/31/2021,CY,,,M)&lt;/Q&gt;&lt;R&gt;1&lt;/R&gt;&lt;C&gt;1&lt;/C&gt;&lt;D xsi:type="xsd:double"&gt;126.971&lt;/D&gt;&lt;/FQL&gt;&lt;FQL&gt;&lt;Q&gt;VCYT-US^FF_GROSS_INC(ANN_R,1/1/2020,12/31/2020,CY,,,M)&lt;/Q&gt;&lt;R&gt;1&lt;/R&gt;&lt;C&gt;1&lt;/C&gt;&lt;D xsi:type="xsd:double"&gt;70.246&lt;/D&gt;&lt;/FQL&gt;&lt;FQL&gt;&lt;Q&gt;VCYT-US^FF_GROSS_INC(ANN_R,1/1/2019,12/31/2019,CY,,,M)&lt;/Q&gt;&lt;R&gt;1&lt;/R&gt;&lt;C&gt;1&lt;/C&gt;&lt;D xsi:type="xsd:double"&gt;80.749&lt;/D&gt;&lt;/FQL&gt;&lt;FQL&gt;&lt;Q&gt;VCYT-US^FF_GROSS_INC(ANN_R,1/1/2018,12/31/2018,CY,,,M)&lt;/Q&gt;&lt;R&gt;1&lt;/R&gt;&lt;C&gt;1&lt;/C&gt;&lt;D xsi:type="xsd:double"&gt;55.81&lt;/D&gt;&lt;/FQL&gt;&lt;FQL&gt;&lt;Q&gt;VCYT-US^FF_GROSS_INC(ANN_R,1/1/2017,12/31/2017,CY,,,M)&lt;/Q&gt;&lt;R&gt;1&lt;/R&gt;&lt;C&gt;1&lt;/C&gt;&lt;D xsi:type="xsd:double"&gt;40.583&lt;/D&gt;&lt;/FQL&gt;&lt;FQL&gt;&lt;Q&gt;VCYT-US^FF_GROSS_INC(ANN_R,1/1/2016,12/31/2016,CY,,,M)&lt;/Q&gt;&lt;R&gt;1&lt;/R&gt;&lt;C&gt;1&lt;/C&gt;&lt;D xsi:type="xsd:double"&gt;38.556&lt;/D&gt;&lt;/FQL&gt;&lt;FQL&gt;&lt;Q&gt;VCYT-US^FF_GROSS_INC(ANN_R,1/1/2015,12/31/2015,CY,,,M)&lt;/Q&gt;&lt;R&gt;1&lt;/R&gt;&lt;C&gt;1&lt;/C&gt;&lt;D xsi:type="xsd:double"&gt;27.206&lt;/D&gt;&lt;/FQL&gt;&lt;FQL&gt;&lt;Q&gt;WGS-US^FF_GROSS_INC(ANN_R,1/1/2023,12/31/2023,CY,,,M)&lt;/Q&gt;&lt;R&gt;1&lt;/R&gt;&lt;C&gt;1&lt;/C&gt;&lt;D xsi:type="xsd:double"&gt;60.622&lt;/D&gt;&lt;/FQL&gt;&lt;FQL&gt;&lt;Q&gt;WGS-US^FF_GROSS_INC(ANN_R,1/1/2022,12/31/2022,CY,,,M)&lt;/Q&gt;&lt;R&gt;1&lt;/R&gt;&lt;C&gt;1&lt;/C&gt;&lt;D xsi:type="xsd:double"&gt;-54.731&lt;/D&gt;&lt;/FQL&gt;&lt;FQL&gt;&lt;Q&gt;WGS-US^FF_GROSS_INC(ANN_R,1/1/2021,12/31/2021,CY,,,M)&lt;/Q&gt;&lt;R&gt;1&lt;/R&gt;&lt;C&gt;1&lt;/C&gt;&lt;D xsi:type="xsd:double"&gt;-24.315&lt;/D&gt;&lt;/FQL&gt;&lt;FQL&gt;&lt;Q&gt;WGS-US^FF_GROSS_INC(ANN_R,1/1/2020,12/31/2020,CY,,,M)&lt;/Q&gt;&lt;R&gt;1&lt;/R&gt;&lt;C&gt;1&lt;/C&gt;&lt;D xsi:type="xsd:double"&gt;1.34699999999999&lt;/D&gt;&lt;/FQL&gt;&lt;FQL&gt;&lt;Q&gt;WGS-US^FF_GROSS_INC(ANN_R,1/1/2019,12/31/2019,CY,,,M)&lt;/Q&gt;&lt;R&gt;0&lt;/R&gt;&lt;C&gt;0&lt;/C&gt;&lt;/FQL&gt;&lt;FQL&gt;&lt;Q&gt;WGS-US^FF_GROSS_INC(ANN_R,1/1/2018,12/31/2018,CY,,,M)&lt;/Q&gt;&lt;R&gt;0&lt;/R&gt;&lt;C&gt;0&lt;/C&gt;&lt;/FQL&gt;&lt;FQL&gt;&lt;Q&gt;WGS-US^FF_GROSS_INC(ANN_R,1/1/2017,12/31/2017,CY,,,M)&lt;/Q&gt;&lt;R&gt;0&lt;/R&gt;&lt;C&gt;0&lt;/C&gt;&lt;/FQL&gt;&lt;FQL&gt;&lt;Q&gt;WGS-US^FF_GROSS_INC(ANN_R,1/1/2016,12/31/2016,CY,,,M)&lt;/Q&gt;&lt;R&gt;0&lt;/R&gt;&lt;C&gt;0&lt;/C&gt;&lt;/FQL&gt;&lt;FQL&gt;&lt;Q&gt;WGS-US^FF_GROSS_INC(ANN_R,1/1/2015,12/31/2015,CY,,,M)&lt;/Q&gt;&lt;R&gt;0&lt;/R&gt;&lt;C&gt;0&lt;/C&gt;&lt;/FQL&gt;&lt;FQL&gt;&lt;Q&gt;LH-US^FF_GROSS_INC(ANN_R,1/1/2023,12/31/2023,CY,,,M)&lt;/Q&gt;&lt;R&gt;1&lt;/R&gt;&lt;C&gt;1&lt;/C&gt;&lt;D xsi:type="xsd:double"&gt;3145.1&lt;/D&gt;&lt;/FQL&gt;&lt;FQL&gt;&lt;Q&gt;LH-US^FF_GROSS_INC(ANN_R,1/1/2022,12/31/2022,CY,,,M)&lt;/Q&gt;&lt;R&gt;1&lt;/R&gt;&lt;C&gt;1&lt;/C&gt;&lt;D xsi:type="xsd:double"&gt;3515.3&lt;/D&gt;&lt;/FQL&gt;&lt;FQL&gt;&lt;Q&gt;LH-US^FF_GROSS_INC(ANN_R,1/1/2021,12/31/2021,CY,,,M)&lt;/Q&gt;&lt;R&gt;1&lt;/R&gt;&lt;C&gt;1&lt;/C&gt;&lt;D xsi:type="xsd:double"&gt;5254.7&lt;/D&gt;&lt;/FQL&gt;&lt;FQL&gt;&lt;Q&gt;LH-US^FF_GROSS_INC(ANN_R,1/1/2020,12/31/2020,CY,,,M)&lt;/Q&gt;&lt;R&gt;1&lt;/R&gt;&lt;C&gt;1&lt;/C&gt;&lt;D xsi:type="xsd:double"&gt;4677.4&lt;/D&gt;&lt;/FQL&gt;&lt;FQL&gt;&lt;Q&gt;LH-US^FF_GROSS_INC(ANN_R,1/1/2019,12/31/2019,CY,,,M)&lt;/Q&gt;&lt;R&gt;1&lt;/R&gt;&lt;C&gt;1&lt;/C&gt;&lt;D xsi:type="xsd:double"&gt;3009.3&lt;/D&gt;&lt;/FQL&gt;&lt;FQL&gt;&lt;Q&gt;LH-US^FF_GROSS_INC(ANN_R,1/1/2018,12/31/2018,CY,,,M)&lt;/Q&gt;&lt;R&gt;1&lt;/R&gt;&lt;C&gt;1&lt;/C&gt;&lt;D xsi:type="xsd:double"&gt;2944.7&lt;/D&gt;&lt;/FQL&gt;&lt;FQL&gt;&lt;Q&gt;LH-US^FF_GROSS_INC(ANN_R,1/1/2017,12/31/2017,CY,,,M)&lt;/Q&gt;&lt;R&gt;1&lt;/R&gt;&lt;C&gt;1&lt;/C&gt;&lt;D xsi:type="xsd:double"&gt;2875.3&lt;/D&gt;&lt;/FQL&gt;&lt;FQL&gt;&lt;Q&gt;LH-US^FF_GROSS_INC(ANN_R,1/1/2016,12/31/2016,CY,,,M)&lt;/Q&gt;&lt;R&gt;1&lt;/R&gt;&lt;C&gt;1&lt;/C&gt;&lt;D xsi:type="xsd:double"&gt;3001&lt;/D&gt;&lt;/FQL&gt;&lt;FQL&gt;&lt;Q&gt;LH-US^FF_GROSS_INC(ANN_R,1/1/2015,12/31/2015,CY,,,M)&lt;/Q&gt;&lt;R&gt;1&lt;/R&gt;&lt;C&gt;1&lt;/C&gt;&lt;D xsi:type="xsd:double"&gt;2738.8&lt;/D&gt;&lt;/FQL&gt;&lt;FQL&gt;&lt;Q&gt;DGX-US^FF_GROSS_INC(ANN_R,1/1/2023,12/31/2023,CY,,,M)&lt;/Q&gt;&lt;R&gt;1&lt;/R&gt;&lt;C&gt;1&lt;/C&gt;&lt;D xsi:type="xsd:double"&gt;2961&lt;/D&gt;&lt;/FQL&gt;&lt;FQL&gt;&lt;Q&gt;DGX-US^FF_GROSS_INC(ANN_R,1/1/2022,12/31/2022,CY,,,M)&lt;/Q&gt;&lt;R&gt;1&lt;/R&gt;&lt;C&gt;1&lt;/C&gt;&lt;D xsi:type="xsd:double"&gt;3347&lt;/D&gt;&lt;/FQL&gt;&lt;FQL&gt;&lt;Q&gt;DGX-US^FF_GROSS_INC(ANN_R,1/1/2021,12/31/2021,CY,,,M)&lt;/Q&gt;&lt;R&gt;1&lt;/R&gt;&lt;C&gt;1&lt;/C&gt;&lt;D xsi:type="xsd:double"&gt;4140&lt;/D&gt;&lt;/FQL&gt;&lt;FQL&gt;&lt;Q&gt;DGX-US^FF_GROSS_INC(ANN_R,1/1/2020,12/31/2020,CY,,,M)&lt;/Q&gt;&lt;R&gt;1&lt;/R&gt;&lt;C&gt;1&lt;/C&gt;&lt;D xsi:type="xsd:double"&gt;3614&lt;/D&gt;&lt;/FQL&gt;&lt;FQL&gt;&lt;Q&gt;DGX-US^FF_GROSS_INC(ANN_R,1/1/2019,12/31/2019,CY,,,M)&lt;/Q&gt;&lt;R&gt;1&lt;/R&gt;&lt;C&gt;1&lt;/C&gt;&lt;D xsi:type="xsd:double"&gt;2628&lt;/D&gt;&lt;/FQL&gt;&lt;FQL&gt;&lt;Q&gt;DGX-US^FF_GROSS_INC(ANN_R,1/1/2018,12/31/2018,CY,,,M)&lt;/Q&gt;&lt;R&gt;1&lt;/R&gt;&lt;C&gt;1&lt;/C&gt;&lt;D xsi:type="xsd:double"&gt;2583&lt;/D&gt;&lt;/FQL&gt;&lt;FQL&gt;&lt;Q&gt;DGX-US^FF_GROSS_INC(ANN_R,1/1/2017,12/31/2017,CY,,,M)&lt;/Q&gt;&lt;R&gt;1&lt;/R&gt;&lt;C&gt;1&lt;/C&gt;&lt;D xsi:type="xsd:double"&gt;2659&lt;/D&gt;&lt;/FQL&gt;&lt;FQL&gt;&lt;Q&gt;DGX-US^FF_GROSS_INC(ANN_R,1/1/2016,12/31/2016,CY,,,M)&lt;/Q&gt;&lt;R&gt;1&lt;/R&gt;&lt;C&gt;1&lt;/C&gt;&lt;D xsi:type="xsd:double"&gt;2867&lt;/D&gt;&lt;/FQL&gt;&lt;FQL&gt;&lt;Q&gt;DGX-US^FF_GROSS_INC(ANN_R,1/1/2015,12/31/2015,CY,,,M)&lt;/Q&gt;&lt;R&gt;1&lt;/R&gt;&lt;C&gt;1&lt;/C&gt;&lt;D xsi:type="xsd:double"&gt;2820&lt;/D&gt;&lt;/FQL&gt;&lt;FQL&gt;&lt;Q&gt;GRAL-US^FF_GROSS_INC(ANN_R,1/1/2023,12/31/2023,CY,,,M)&lt;/Q&gt;&lt;R&gt;1&lt;/R&gt;&lt;C&gt;1&lt;/C&gt;&lt;D xsi:type="xsd:double"&gt;-95.611&lt;/D&gt;&lt;/FQL&gt;&lt;FQL&gt;&lt;Q&gt;GRAL-US^FF_GROSS_INC(ANN_R,1/1/2022,12/31/2022,CY,,,M)&lt;/Q&gt;&lt;R&gt;1&lt;/R&gt;&lt;C&gt;1&lt;/C&gt;&lt;D xsi:type="xsd:double"&gt;-116.447&lt;/D&gt;&lt;/FQL&gt;&lt;FQL&gt;&lt;Q&gt;GRAL-US^FF_GROSS_INC(ANN_R,1/1/2021,12/31/2021,CY,,,M)&lt;/Q&gt;&lt;R&gt;1&lt;/R&gt;&lt;C&gt;1&lt;/C&gt;&lt;D xsi:type="xsd:double"&gt;-100.003&lt;/D&gt;&lt;/FQL&gt;&lt;FQL&gt;&lt;Q&gt;GRAL-US^FF_GROSS_INC(ANN_R,1/1/2020,12/31/2020,CY,,,M)&lt;/Q&gt;&lt;R&gt;0&lt;/R&gt;&lt;C&gt;0&lt;/C&gt;&lt;/FQL&gt;&lt;FQL&gt;&lt;Q&gt;GRAL-US^FF_GROSS_INC(ANN_R,1/1/2019,12/31/2019,CY,,,M)&lt;/Q&gt;&lt;R&gt;1&lt;/R&gt;&lt;C&gt;1&lt;/C&gt;&lt;D xsi:type="xsd:double"&gt;-10.307&lt;/D&gt;&lt;/FQL&gt;&lt;FQL&gt;&lt;Q&gt;GRAL-US^FF_GROSS_INC(ANN_R,1/1/2018,12/31/2018,CY,,,M)&lt;/Q&gt;&lt;R&gt;1&lt;/R&gt;&lt;C&gt;1&lt;/C&gt;&lt;D xsi:type="xsd:double"&gt;-14.08&lt;/D&gt;&lt;/FQL&gt;&lt;FQL&gt;&lt;Q&gt;GRAL-US^FF_GROSS_INC(ANN_R,1/1/2017,12/31/2017,CY,,,M)&lt;/Q&gt;&lt;R&gt;0&lt;/R&gt;&lt;C&gt;0&lt;/C&gt;&lt;/FQL&gt;&lt;FQL&gt;&lt;Q&gt;GRAL-US^FF_GROSS_INC(ANN_R,1/1/2016,12/31/2016,CY,,,M)&lt;/Q&gt;&lt;R&gt;0&lt;/R&gt;&lt;C&gt;0&lt;/C&gt;&lt;/FQL&gt;&lt;FQL&gt;&lt;Q&gt;GRAL-US^FF_GROSS_INC(ANN_R,1/1/2015,12/31/2015,CY,,,M)&lt;/Q&gt;&lt;R&gt;0&lt;/R&gt;&lt;C&gt;0&lt;/C&gt;&lt;/FQL&gt;&lt;FQL&gt;&lt;Q&gt;ADPT-US^FF_GROSS_INC(ANN_R,1/1/2023,12/31/2023,CY,,,M)&lt;/Q&gt;&lt;R&gt;1&lt;/R&gt;&lt;C&gt;1&lt;/C&gt;&lt;D xsi:type="xsd:double"&gt;72.492&lt;/D&gt;&lt;/FQL&gt;&lt;FQL&gt;&lt;Q&gt;ADPT-US^FF_GROSS_INC(ANN_R,1/1/2022,12/31/2022,CY,,,M)&lt;/Q&gt;&lt;R&gt;1&lt;/R&gt;&lt;C&gt;1&lt;/C&gt;&lt;D xsi:type="xsd:double"&gt;106.479&lt;/D&gt;&lt;/FQL&gt;&lt;FQL&gt;&lt;Q&gt;ADPT-US^FF_GROSS_INC(ANN_R,1/1/2021,12/31/2021,CY,,,M)&lt;/Q&gt;&lt;R&gt;1&lt;/R&gt;&lt;C&gt;1&lt;/C&gt;&lt;D xsi:type="xsd:double"&gt;91.09&lt;/D&gt;&lt;/FQL&gt;&lt;FQL&gt;&lt;Q&gt;ADPT-US^FF_GROSS_INC(ANN_R,1/1/2020,12/31/2020,CY,,,M)&lt;/Q&gt;&lt;R&gt;1&lt;/R&gt;&lt;C&gt;1&lt;/C&gt;&lt;D xsi:type="xsd:double"&gt;67.38&lt;/D&gt;&lt;/FQL&gt;&lt;FQL&gt;&lt;Q&gt;ADPT-US^FF_GROSS_INC(ANN_R,1/1/2019,12/31/2019,CY,,,M)&lt;/Q&gt;&lt;R&gt;1&lt;/R&gt;&lt;C&gt;1&lt;/C&gt;&lt;D xsi:type="xsd:double"&gt;56.031&lt;/D&gt;&lt;/FQL&gt;&lt;FQL&gt;&lt;Q&gt;ADPT-US^FF_GROSS_INC(ANN_R,1/1/2018,12/31/2018,CY,,,M)&lt;/Q&gt;&lt;R&gt;1&lt;/R&gt;&lt;C&gt;1&lt;/C&gt;&lt;D xsi:type="xsd:double"&gt;32.175&lt;/D&gt;&lt;/FQL&gt;&lt;FQL&gt;&lt;Q&gt;ADPT-US^FF_GROSS_INC(ANN_R,1/1/2017,12/31/2017,CY,,,M)&lt;/Q&gt;&lt;R&gt;1&lt;/R&gt;&lt;C&gt;1&lt;/C&gt;&lt;D xsi:type="xsd:double"&gt;18.975&lt;/D&gt;&lt;/FQL&gt;&lt;FQL&gt;&lt;Q&gt;ADPT-US^FF_GROSS_INC(ANN_R,1/1/2016,12/31/2016,CY,,,M)&lt;/Q&gt;&lt;R&gt;0&lt;/R&gt;&lt;C&gt;0&lt;/C&gt;&lt;/FQL&gt;&lt;FQL&gt;&lt;Q&gt;ADPT-US^FF_GROSS_INC(ANN_R,1/1/2015,12/31/2015,CY,,,M)&lt;/Q&gt;&lt;R&gt;0&lt;/R&gt;&lt;C&gt;0&lt;/C&gt;&lt;/FQL&gt;&lt;FQL&gt;&lt;Q&gt;GH-US^FF_GROSS_INC(ANN_R,1/1/2023,12/31/2023,CY,,,M)&lt;/Q&gt;&lt;R&gt;1&lt;/R&gt;&lt;C&gt;1&lt;/C&gt;&lt;D xsi:type="xsd:double"&gt;336.896&lt;/D&gt;&lt;/FQL&gt;&lt;FQL&gt;&lt;Q&gt;GH-US^FF_GROSS_INC(ANN_R,1/1/2022,12/31/2022,CY,,,M)&lt;/Q&gt;&lt;R&gt;1&lt;/R&gt;&lt;C&gt;1&lt;/C&gt;&lt;D xsi:type="xsd:double"&gt;291.666&lt;/D&gt;&lt;/FQL&gt;&lt;FQL&gt;&lt;Q&gt;GH-US^FF_GROSS_INC(ANN_R,1/1/2021,12/31/2021,CY,,,M)&lt;/Q&gt;&lt;R&gt;1&lt;/R&gt;&lt;C&gt;1&lt;/C&gt;&lt;D xsi:type="xsd:double"&gt;249.394&lt;/D&gt;&lt;/FQL&gt;&lt;FQL&gt;&lt;Q&gt;GH-US^FF_GROSS_INC(ANN_R,1/1/2020,12/31/2020,CY,,,M)&lt;/Q&gt;&lt;R&gt;1&lt;/R&gt;&lt;C&gt;1&lt;/C&gt;&lt;D xsi:type="xsd:double"&gt;194.195&lt;/D&gt;&lt;/FQL&gt;&lt;FQL&gt;&lt;Q&gt;GH-US^FF_GROSS_INC(ANN_R,1/1/2019,12/31/2019,CY,,,M)&lt;/Q&gt;&lt;R&gt;1&lt;/R&gt;&lt;C&gt;1&lt;/C&gt;&lt;D xsi:type="xsd:double"&gt;143.655&lt;/D&gt;&lt;/FQL&gt;&lt;FQL&gt;&lt;Q&gt;GH-US^FF_GROSS_INC(ANN_R,1/1/2018,12/31/2018,CY,,,M)&lt;/Q&gt;&lt;R&gt;1&lt;/R&gt;&lt;C&gt;1&lt;/C&gt;&lt;D xsi:type="xsd:double"&gt;47.429&lt;/D&gt;&lt;/FQL&gt;&lt;FQL&gt;&lt;Q&gt;GH-US^FF_GROSS_INC(ANN_R,1/1/2017,12/31/2017,CY,,,M)&lt;/Q&gt;&lt;R&gt;1&lt;/R&gt;&lt;C&gt;1&lt;/C&gt;&lt;D xsi:type="xsd:double"&gt;18.224&lt;/D&gt;&lt;/FQL&gt;&lt;FQL&gt;&lt;Q&gt;GH-US^FF_GROSS_INC(ANN_R,1/1/2016,12/31/2016,CY,,,M)&lt;/Q&gt;&lt;R&gt;1&lt;/R&gt;&lt;C&gt;1&lt;/C&gt;&lt;D xsi:type="xsd:double"&gt;3.125&lt;/D&gt;&lt;/FQL&gt;&lt;FQL&gt;&lt;Q&gt;GH-US^FF_GROSS_INC(ANN_R,1/1/2015,12/31/2015,CY,,,M)&lt;/Q&gt;&lt;R&gt;0&lt;/R&gt;&lt;C&gt;0&lt;/C&gt;&lt;/FQL&gt;&lt;FQL&gt;&lt;Q&gt;TEM-US^FF_GROSS_INC(ANN_R,1/1/2023,12/31/2023,CY,,,M)&lt;/Q&gt;&lt;R&gt;1&lt;/R&gt;&lt;C&gt;1&lt;/C&gt;&lt;D xsi:type="xsd:double"&gt;277.857&lt;/D&gt;&lt;/FQL&gt;&lt;FQL&gt;&lt;Q&gt;TEM-US^FF_GROSS_INC(ANN_R,1/1/2022,12/31/2022,CY,,,M)&lt;/Q&gt;&lt;R&gt;1&lt;/R&gt;&lt;C&gt;1&lt;/C&gt;&lt;D xsi:type="xsd:double"&gt;121.682&lt;/D&gt;&lt;/FQL&gt;&lt;FQL&gt;&lt;Q&gt;TEM-US^FF_GROSS_INC(ANN_R,1/1/2021,12/31/2021,CY,,,M)&lt;/Q&gt;&lt;R&gt;1&lt;/R&gt;&lt;C&gt;1&lt;/C&gt;&lt;D xsi:type="xsd:double"&gt;77.389&lt;/D&gt;&lt;/FQL&gt;&lt;FQL&gt;&lt;Q&gt;TEM-US^FF_GROSS_INC(ANN_R,1/1/2020,12/31/2020,CY,,,M)&lt;/Q&gt;&lt;R&gt;1&lt;/R&gt;&lt;C&gt;1&lt;/C&gt;&lt;D xsi:type="xsd:double"&gt;22.829&lt;/D&gt;&lt;/FQL&gt;&lt;FQL&gt;&lt;Q&gt;TEM-US^FF_GROSS_INC(ANN_R,1/1/2019,12/31/2019,CY,,,M)&lt;/Q&gt;&lt;R&gt;0&lt;/R&gt;&lt;C&gt;0&lt;/C&gt;&lt;/FQL&gt;&lt;FQL&gt;&lt;Q&gt;TEM-US^FF_GROSS_INC(ANN_R,1/1/2018,12/31/2018,CY,,,M)&lt;/Q&gt;&lt;R&gt;0&lt;/R&gt;&lt;C&gt;0&lt;/C&gt;&lt;/FQL&gt;&lt;FQL&gt;&lt;Q&gt;TEM-US^FF_GROSS_INC(ANN_R,1/1/2017,12/31/2017,CY,,,M)&lt;/Q&gt;&lt;R&gt;0&lt;/R&gt;&lt;C&gt;0&lt;/C&gt;&lt;/FQL&gt;&lt;FQL&gt;&lt;Q&gt;TEM-US^FF_GROSS_INC(ANN_R,1/1/2016,12/31/2016,CY,,,M)&lt;/Q&gt;&lt;R&gt;0&lt;/R&gt;&lt;C&gt;0&lt;/C&gt;&lt;/FQL&gt;&lt;FQL&gt;&lt;Q&gt;TEM-US^FF_GROSS_INC(ANN_R,1/1/2015,12/31/2015,CY,,,M)&lt;/Q&gt;&lt;R&gt;0&lt;/R&gt;&lt;C&gt;0&lt;/C&gt;&lt;/FQL&gt;&lt;FQL&gt;&lt;Q&gt;NTRA^FF_ENTRPR_VAL_DAILY(45868)&lt;/Q&gt;&lt;R&gt;1&lt;/R&gt;&lt;C&gt;1&lt;/C&gt;&lt;D xsi:type="xsd:double"&gt;17939.64&lt;/D&gt;&lt;/FQL&gt;&lt;FQL&gt;&lt;Q&gt;TEM^FF_ENTRPR_VAL_DAILY(45868)&lt;/Q&gt;&lt;R&gt;1&lt;/R&gt;&lt;C&gt;1&lt;/C&gt;&lt;D xsi:type="xsd:double"&gt;10557.29902&lt;/D&gt;&lt;/FQL&gt;&lt;FQL&gt;&lt;Q&gt;GH^FF_ENTRPR_VAL_DAILY(45868)&lt;/Q&gt;&lt;R&gt;1&lt;/R&gt;&lt;C&gt;1&lt;/C&gt;&lt;D xsi:type="xsd:double"&gt;6160.94793&lt;/D&gt;&lt;/FQL&gt;&lt;FQL&gt;&lt;Q&gt;ADPT^FF_ENTRPR_VAL_DAILY(45868)&lt;/Q&gt;&lt;R&gt;1&lt;/R&gt;&lt;C&gt;1&lt;/C&gt;&lt;D xsi:type="xsd:double"&gt;1593.382794&lt;/D&gt;&lt;/FQL&gt;&lt;FQL&gt;&lt;Q&gt;GRAL^FF_ENTRPR_VAL_DAILY(45868)&lt;/Q&gt;&lt;R&gt;1&lt;/R&gt;&lt;C&gt;1&lt;/C&gt;&lt;D xsi:type="xsd:double"&gt;588.4707189&lt;/D&gt;&lt;/FQL&gt;&lt;FQL&gt;&lt;Q&gt;DGX^FF_ENTRPR_VAL_DAILY(45868)&lt;/Q&gt;&lt;R&gt;1&lt;/R&gt;&lt;C&gt;1&lt;/C&gt;&lt;D xsi:type="xsd:double"&gt;25341.02&lt;/D&gt;&lt;/FQL&gt;&lt;FQL&gt;&lt;Q&gt;LH^FF_ENTRPR_VAL_DAILY(45868)&lt;/Q&gt;&lt;R&gt;1&lt;/R&gt;&lt;C&gt;1&lt;/C&gt;&lt;D xsi:type="xsd:double"&gt;28065.839&lt;/D&gt;&lt;/FQL&gt;&lt;FQL&gt;&lt;Q&gt;WGS^FF_ENTRPR_VAL_DAILY(45868)&lt;/Q&gt;&lt;R&gt;1&lt;/R&gt;&lt;C&gt;1&lt;/C&gt;&lt;D xsi:type="xsd:double"&gt;3087.95568386&lt;/D&gt;&lt;/FQL&gt;&lt;FQL&gt;&lt;Q&gt;VCYT^FF_ENTRPR_VAL_DAILY(45868)&lt;/Q&gt;&lt;R&gt;1&lt;/R&gt;&lt;C&gt;1&lt;/C&gt;&lt;D xsi:type="xsd:double"&gt;1726.1117028776&lt;/D&gt;&lt;/FQL&gt;&lt;FQL&gt;&lt;Q&gt;EXAS^FF_ENTRPR_VAL_DAILY(45868)&lt;/Q&gt;&lt;R&gt;1&lt;/R&gt;&lt;C&gt;1&lt;/C&gt;&lt;D xsi:type="xsd:double"&gt;10617.18585&lt;/D&gt;&lt;/FQL&gt;&lt;FQL&gt;&lt;Q&gt;NEO^FF_ENTRPR_VAL_DAILY(45868)&lt;/Q&gt;&lt;R&gt;1&lt;/R&gt;&lt;C&gt;1&lt;/C&gt;&lt;D xsi:type="xsd:double"&gt;911.493565&lt;/D&gt;&lt;/FQL&gt;&lt;FQL&gt;&lt;Q&gt;CDNA^FF_ENTRPR_VAL_DAILY(45868)&lt;/Q&gt;&lt;R&gt;1&lt;/R&gt;&lt;C&gt;1&lt;/C&gt;&lt;D xsi:type="xsd:double"&gt;527.71920962&lt;/D&gt;&lt;/FQL&gt;&lt;FQL&gt;&lt;Q&gt;MYGN^FF_ENTRPR_VAL_DAILY(45868)&lt;/Q&gt;&lt;R&gt;1&lt;/R&gt;&lt;C&gt;1&lt;/C&gt;&lt;D xsi:type="xsd:double"&gt;448.766&lt;/D&gt;&lt;/FQL&gt;&lt;FQL&gt;&lt;Q&gt;PSNL^FF_ENTRPR_VAL_DAILY(45868)&lt;/Q&gt;&lt;R&gt;1&lt;/R&gt;&lt;C&gt;1&lt;/C&gt;&lt;D xsi:type="xsd:double"&gt;362.45533875&lt;/D&gt;&lt;/FQL&gt;&lt;FQL&gt;&lt;Q&gt;FLGT^FF_ENTRPR_VAL_DAILY(45868)&lt;/Q&gt;&lt;R&gt;1&lt;/R&gt;&lt;C&gt;1&lt;/C&gt;&lt;D xsi:type="xsd:double"&gt;233.74704&lt;/D&gt;&lt;/FQL&gt;&lt;FQL&gt;&lt;Q&gt;CAI^FF_ENTRPR_VAL_DAILY(45868)&lt;/Q&gt;&lt;R&gt;1&lt;/R&gt;&lt;C&gt;1&lt;/C&gt;&lt;D xsi:type="xsd:double"&gt;10666.04664089&lt;/D&gt;&lt;/FQL&gt;&lt;FQL&gt;&lt;Q&gt;NTRA^FF_ENTRPR_VAL_DAILY(45503)&lt;/Q&gt;&lt;R&gt;1&lt;/R&gt;&lt;C&gt;1&lt;/C&gt;&lt;D xsi:type="xsd:double"&gt;11559.38575&lt;/D&gt;&lt;/FQL&gt;&lt;FQL&gt;&lt;Q&gt;TEM^FF_ENTRPR_VAL_DAILY(45503)&lt;/Q&gt;&lt;R&gt;1&lt;/R&gt;&lt;C&gt;1&lt;/C&gt;&lt;D xsi:type="xsd:double"&gt;7072.84511862&lt;/D&gt;&lt;/FQL&gt;&lt;FQL&gt;&lt;Q&gt;GH^FF_ENTRPR_VAL_DAILY(45503)&lt;/Q&gt;&lt;R&gt;1&lt;/R&gt;&lt;C&gt;1&lt;/C&gt;&lt;D xsi:type="xsd:double"&gt;4749.47563&lt;/D&gt;&lt;/FQL&gt;&lt;FQL&gt;&lt;Q&gt;ADPT^FF_ENTRPR_VAL_DAILY(45503)&lt;/Q&gt;&lt;R&gt;1&lt;/R&gt;&lt;C&gt;1&lt;/C&gt;&lt;D xsi:type="xsd:double"&gt;612.309837&lt;/D&gt;&lt;/FQL&gt;&lt;FQL&gt;&lt;Q&gt;GRAL^FF_ENTRPR_VAL_DAILY(45503)&lt;/Q&gt;&lt;R&gt;1&lt;/R&gt;&lt;C&gt;1&lt;/C&gt;&lt;D xsi:type="xsd:double"&gt;-400.54173156&lt;/D&gt;&lt;/FQL&gt;&lt;FQL&gt;&lt;Q&gt;DGX^FF_ENTRPR_VAL_DAILY(45503)&lt;/Q&gt;&lt;R&gt;1&lt;/R&gt;&lt;C&gt;1&lt;/C&gt;&lt;D xsi:type="xsd:double"&gt;20938.68&lt;/D&gt;&lt;/FQL&gt;&lt;FQL&gt;&lt;Q&gt;LH^FF_ENTRPR_VAL_DAILY(45503)&lt;/Q&gt;&lt;R&gt;1&lt;/R&gt;&lt;C&gt;1&lt;/C&gt;&lt;D xsi:type="xsd:double"&gt;23685.958&lt;/D&gt;&lt;/FQL&gt;&lt;FQL&gt;&lt;Q&gt;WGS^FF_ENTRPR_VAL_DAILY(45503)&lt;/Q&gt;&lt;R&gt;1&lt;/R&gt;&lt;C&gt;1&lt;/C&gt;&lt;D xsi:type="xsd:double"&gt;813.19998415&lt;/D&gt;&lt;/FQL&gt;&lt;FQL&gt;&lt;Q&gt;VCYT^FF_ENTRPR_VAL_DAILY(45503)&lt;/Q&gt;&lt;R&gt;1&lt;/R&gt;&lt;C&gt;1&lt;/C&gt;&lt;D xsi:type="xsd:double"&gt;1603.55842193&lt;/D&gt;&lt;/FQL&gt;&lt;FQL&gt;&lt;Q&gt;EXAS^FF_ENTRPR_VAL_DAILY(45503)&lt;/Q&gt;&lt;R&gt;1&lt;/R&gt;&lt;C&gt;1&lt;/C&gt;&lt;D xsi:type="xsd:double"&gt;10422.44954&lt;/D&gt;&lt;/FQL&gt;&lt;FQL&gt;&lt;Q&gt;NEO^FF_ENTRPR_VAL_DAILY(45503)&lt;/Q&gt;&lt;R&gt;1&lt;/R&gt;&lt;C&gt;1&lt;/C&gt;&lt;D xsi:type="xsd:double"&gt;2401.67735&lt;/D&gt;&lt;/FQL&gt;&lt;FQL&gt;&lt;Q&gt;CDNA^FF_ENTRPR_VAL_DAILY(45503)&lt;/Q&gt;&lt;R&gt;1&lt;/R&gt;&lt;C&gt;1&lt;/C&gt;&lt;D xsi:type="xsd:double"&gt;781.7668312&lt;/D&gt;&lt;/FQL&gt;&lt;FQL&gt;&lt;Q&gt;MYGN^FF_ENTRPR_VAL_DAILY(45503)&lt;/Q&gt;&lt;R&gt;1&lt;/R&gt;&lt;C&gt;1&lt;/C&gt;&lt;D xsi:type="xsd:double"&gt;2565.586&lt;/D&gt;&lt;/FQL&gt;&lt;FQL&gt;&lt;Q&gt;PSNL^FF_ENTRPR_VAL_DAILY(45503)&lt;/Q&gt;&lt;R&gt;1&lt;/R&gt;&lt;C&gt;1&lt;/C&gt;&lt;D xsi:type="xsd:double"&gt;123.16239536&lt;/D&gt;&lt;/FQL&gt;&lt;FQL&gt;&lt;Q&gt;FLGT^FF_ENTRPR_VAL_DAILY(45503)&lt;/Q&gt;&lt;R&gt;1&lt;/R&gt;&lt;C&gt;1&lt;/C&gt;&lt;D xsi:type="xsd:double"&gt;418.8151&lt;/D&gt;&lt;/FQL&gt;&lt;FQL&gt;&lt;Q&gt;CAI^FF_ENTRPR_VAL_DAILY(45503)&lt;/Q&gt;&lt;R&gt;0&lt;/R&gt;&lt;C&gt;0&lt;/C&gt;&lt;/FQL&gt;&lt;FQL&gt;&lt;Q&gt;NTRA^FF_ENTRPR_VAL_DAILY(45138)&lt;/Q&gt;&lt;R&gt;1&lt;/R&gt;&lt;C&gt;1&lt;/C&gt;&lt;D xsi:type="xsd:double"&gt;4849.3618&lt;/D&gt;&lt;/FQL&gt;&lt;FQL&gt;&lt;Q&gt;TEM^FF_ENTRPR_VAL_DAILY(45138)&lt;/Q&gt;&lt;R&gt;0&lt;/R&gt;&lt;C&gt;0&lt;/C&gt;&lt;/FQL&gt;&lt;FQL&gt;&lt;Q&gt;GH^FF_ENTRPR_VAL_DAILY(45138)&lt;/Q&gt;&lt;R&gt;1&lt;/R&gt;&lt;C&gt;1&lt;/C&gt;&lt;D xsi:type="xsd:double"&gt;4382.45416&lt;/D&gt;&lt;/FQL&gt;&lt;FQL&gt;&lt;Q&gt;ADPT^FF_ENTRPR_VAL_DAILY(45138)&lt;/Q&gt;&lt;R&gt;1&lt;/R&gt;&lt;C&gt;1&lt;/C&gt;&lt;D xsi:type="xsd:double"&gt;1033.10552892&lt;/D&gt;&lt;/FQL&gt;&lt;FQL&gt;&lt;Q&gt;GRAL^FF_ENTRPR_VAL_DAILY(45138)&lt;/Q&gt;&lt;R&gt;0&lt;/R&gt;&lt;C&gt;0&lt;/C&gt;&lt;/FQL&gt;&lt;FQL&gt;&lt;Q&gt;DGX^FF_ENTRPR_VAL_DAILY(45138)&lt;/Q&gt;&lt;R&gt;1&lt;/R&gt;&lt;C&gt;1&lt;/C&gt;&lt;D xsi:type="xsd:double"&gt;20361.94&lt;/D&gt;&lt;/FQL&gt;&lt;FQL&gt;&lt;Q&gt;LH^FF_ENTRPR_VAL_DAILY(45138)&lt;/Q&gt;&lt;R&gt;1&lt;/R&gt;&lt;C&gt;1&lt;/C&gt;&lt;D xsi:type="xsd:double"&gt;23339.27&lt;/D&gt;&lt;/FQL&gt;&lt;FQL&gt;&lt;Q&gt;WGS^FF_ENTRPR_VAL_DAILY(45138)&lt;/Q&gt;&lt;R&gt;1&lt;/R&gt;&lt;C&gt;1&lt;/C&gt;&lt;D xsi:type="xsd:double"&gt;107.03903278&lt;/D&gt;&lt;/FQL&gt;&lt;FQL&gt;&lt;Q&gt;VCYT^FF_ENTRPR_VAL_DAILY(45138)&lt;/Q&gt;&lt;R&gt;1&lt;/R&gt;&lt;C&gt;1&lt;/C&gt;&lt;D xsi:type="xsd:double"&gt;1813.2612719&lt;/D&gt;&lt;/FQL&gt;&lt;FQL&gt;&lt;Q&gt;EXAS^FF_ENTRPR_VAL_DAILY(45138)&lt;/Q&gt;&lt;R&gt;1&lt;/R&gt;&lt;C&gt;1&lt;/C&gt;&lt;D xsi:type="xsd:double"&gt;19372.82616&lt;/D&gt;&lt;/FQL&gt;&lt;FQL&gt;&lt;Q&gt;NEO^FF_ENTRPR_VAL_DAILY(45138)&lt;/Q&gt;&lt;R&gt;1&lt;/R&gt;&lt;C&gt;1&lt;/C&gt;&lt;D xsi:type="xsd:double"&gt;2372.66148&lt;/D&gt;&lt;/FQL&gt;&lt;FQL&gt;&lt;Q&gt;CDNA^FF_ENTRPR_VAL_DAILY(45138)&lt;/Q&gt;&lt;R&gt;1&lt;/R&gt;&lt;C&gt;1&lt;/C&gt;&lt;D xsi:type="xsd:double"&gt;341.1876966&lt;/D&gt;&lt;/FQL&gt;&lt;FQL&gt;&lt;Q&gt;MYGN^FF_ENTRPR_VAL_DAILY(45138)&lt;/Q&gt;&lt;R&gt;1&lt;/R&gt;&lt;C&gt;1&lt;/C&gt;&lt;D xsi:type="xsd:double"&gt;1908.195&lt;/D&gt;&lt;/FQL&gt;&lt;FQL&gt;&lt;Q&gt;PSNL^FF_ENTRPR_VAL_DAILY(45138)&lt;/Q&gt;&lt;R&gt;1&lt;/R&gt;&lt;C&gt;1&lt;/C&gt;&lt;D xsi:type="xsd:double"&gt;24.08705068&lt;/D&gt;&lt;/FQL&gt;&lt;FQL&gt;&lt;Q&gt;FLGT^FF_ENTRPR_VAL_DAILY(45138)&lt;/Q&gt;&lt;R&gt;1&lt;/R&gt;&lt;C&gt;1&lt;/C&gt;&lt;D xsi:type="xsd:double"&gt;724.79979&lt;/D&gt;&lt;/FQL&gt;&lt;FQL&gt;&lt;Q&gt;CAI^FF_ENTRPR_VAL_DAILY(45138)&lt;/Q&gt;&lt;R&gt;0&lt;/R&gt;&lt;C&gt;0&lt;/C&gt;&lt;/FQL&gt;&lt;FQL&gt;&lt;Q&gt;NTRA^FF_ENTRPR_VAL_DAILY(44773)&lt;/Q&gt;&lt;R&gt;1&lt;/R&gt;&lt;C&gt;1&lt;/C&gt;&lt;D xsi:type="xsd:double"&gt;4302.635&lt;/D&gt;&lt;/FQL&gt;&lt;FQL&gt;&lt;Q&gt;TEM^FF_ENTRPR_VAL_DAILY(44773)&lt;/Q&gt;&lt;R&gt;0&lt;/R&gt;&lt;C&gt;0&lt;/C&gt;&lt;/FQL&gt;&lt;FQL&gt;&lt;Q&gt;GH^FF_ENTRPR_VAL_DAILY(44773)&lt;/Q&gt;&lt;R&gt;1&lt;/R&gt;&lt;C&gt;1&lt;/C&gt;&lt;D xsi:type="xsd:double"&gt;5642.91799&lt;/D&gt;&lt;/FQL&gt;&lt;FQL&gt;&lt;Q&gt;ADPT^FF_ENTRPR_VAL_DAILY(44773)&lt;/Q&gt;&lt;R&gt;1&lt;/R&gt;&lt;C&gt;1&lt;/C&gt;&lt;D xsi:type="xsd:double"&gt;1031.66647524&lt;/D&gt;&lt;/FQL&gt;&lt;FQL&gt;&lt;Q&gt;GRAL^FF_ENTRPR_VAL_DAILY(44773)&lt;/Q&gt;&lt;R&gt;0&lt;/R&gt;&lt;C&gt;0&lt;/C&gt;&lt;/FQL&gt;&lt;FQL&gt;&lt;Q&gt;DGX^FF_ENTRPR_VAL_DAILY(44773)&lt;/Q&gt;&lt;R&gt;1&lt;/R&gt;&lt;C&gt;1&lt;/C&gt;&lt;D xsi:type="xsd:double"&gt;20214.83&lt;/D&gt;&lt;/FQL&gt;&lt;FQL&gt;&lt;Q&gt;LH^FF_ENTRPR_VAL_DAILY(44773)&lt;/Q&gt;&lt;R&gt;1&lt;/R&gt;&lt;C&gt;1&lt;/C&gt;&lt;D xsi:type="xsd:double"&gt;29572.013&lt;/D&gt;&lt;/FQL&gt;&lt;FQL&gt;&lt;Q&gt;WGS^FF_ENTRPR_VAL_DAILY(44773)&lt;/Q&gt;&lt;R&gt;1&lt;/R&gt;&lt;C&gt;1&lt;/C&gt;&lt;D xsi:type="xsd:double"&gt;341.072286925098&lt;/D&gt;&lt;/FQL&gt;&lt;FQL&gt;&lt;Q&gt;VCYT^FF_ENTRPR_VAL_DAILY(44773)&lt;/Q&gt;&lt;R&gt;1&lt;/R&gt;&lt;C&gt;1&lt;/C&gt;&lt;D xsi:type="xsd:double"&gt;1736.29728444&lt;/D&gt;&lt;/FQL&gt;&lt;FQL&gt;&lt;Q&gt;EXAS^FF_ENTRPR_VAL_DAILY(44773)&lt;/Q&gt;&lt;R&gt;1&lt;/R&gt;&lt;C&gt;1&lt;/C&gt;&lt;D xsi:type="xsd:double"&gt;9681.8564&lt;/D&gt;&lt;/FQL&gt;&lt;FQL&gt;&lt;Q&gt;NEO^FF_ENTRPR_VAL_DAILY(44773)&lt;/Q&gt;&lt;R&gt;1&lt;/R&gt;&lt;C&gt;1&lt;/C&gt;&lt;D xsi:type="xsd:double"&gt;1401.51316&lt;/D&gt;&lt;/FQL&gt;&lt;FQL&gt;&lt;Q&gt;CDNA^FF_ENTRPR_VAL_DAILY(44773)&lt;/Q&gt;&lt;R&gt;1&lt;/R&gt;&lt;C&gt;1&lt;/C&gt;&lt;D xsi:type="xsd:double"&gt;979.64067555&lt;/D&gt;&lt;/FQL&gt;&lt;FQL&gt;&lt;Q&gt;MYGN^FF_ENTRPR_VAL_DAILY(44773)&lt;/Q&gt;&lt;R&gt;1&lt;/R&gt;&lt;C&gt;1&lt;/C&gt;&lt;D xsi:type="xsd:double"&gt;2016.552&lt;/D&gt;&lt;/FQL&gt;&lt;FQL&gt;&lt;Q&gt;PSNL^FF_ENTRPR_VAL_DAILY(44773)&lt;/Q&gt;&lt;R&gt;1&lt;/R&gt;&lt;C&gt;1&lt;/C&gt;&lt;D xsi:type="xsd:double"&gt;-6.86537777999999&lt;/D&gt;&lt;/FQL&gt;&lt;FQL&gt;&lt;Q&gt;FLGT^FF_ENTRPR_VAL_DAILY(44773)&lt;/Q&gt;&lt;R&gt;1&lt;/R&gt;&lt;C&gt;1&lt;/C&gt;&lt;D xsi:type="xsd:double"&gt;1394.94675&lt;/D&gt;&lt;/FQL&gt;&lt;FQL&gt;&lt;Q&gt;CAI^FF_ENTRPR_VAL_DAILY(44773)&lt;/Q&gt;&lt;R&gt;0&lt;/R&gt;&lt;C&gt;0&lt;/C&gt;&lt;/FQL&gt;&lt;FQL&gt;&lt;Q&gt;NTRA^FF_ENTRPR_VAL_DAILY(44408)&lt;/Q&gt;&lt;R&gt;1&lt;/R&gt;&lt;C&gt;1&lt;/C&gt;&lt;D xsi:type="xsd:double"&gt;9891.78204&lt;/D&gt;&lt;/FQL&gt;&lt;FQL&gt;&lt;Q&gt;TEM^FF_ENTRPR_VAL_DAILY(44408)&lt;/Q&gt;&lt;R&gt;0&lt;/R&gt;&lt;C&gt;0&lt;/C&gt;&lt;/FQL&gt;&lt;FQL&gt;&lt;Q&gt;GH^FF_ENTRPR_VAL_DAILY(44408)&lt;/Q&gt;&lt;R&gt;1&lt;/R&gt;&lt;C&gt;1&lt;/C&gt;&lt;D xsi:type="xsd:double"&gt;10729.2926&lt;/D&gt;&lt;/FQL&gt;&lt;FQL&gt;&lt;Q&gt;ADPT^FF_ENTRPR_VAL_DAILY(44408)&lt;/Q&gt;&lt;R&gt;1&lt;/R&gt;&lt;C&gt;1&lt;/C&gt;&lt;D xsi:type="xsd:double"&gt;4655.89556122&lt;/D&gt;&lt;/FQL&gt;&lt;FQL&gt;&lt;Q&gt;GRAL^FF_ENTRPR_VAL_DAILY(44408)&lt;/Q&gt;&lt;R&gt;0&lt;/R&gt;&lt;C&gt;0&lt;/C&gt;&lt;/FQL&gt;&lt;FQL&gt;&lt;Q&gt;DGX^FF_ENTRPR_VAL_DAILY(44408)&lt;/Q&gt;&lt;R&gt;1&lt;/R&gt;&lt;C&gt;1&lt;/C&gt;&lt;D xsi:type="xsd:double"&gt;22214.6&lt;/D&gt;&lt;/FQL&gt;&lt;FQL&gt;&lt;Q&gt;LH^FF_ENTRPR_VAL_DAILY(44408)&lt;/Q&gt;&lt;R&gt;1&lt;/R&gt;&lt;C&gt;1&lt;/C&gt;&lt;D xsi:type="xsd:double"&gt;33497.33&lt;/D&gt;&lt;/FQL&gt;&lt;FQL&gt;&lt;Q&gt;WGS^FF_ENTRPR_VAL_DAILY(44408)&lt;/Q&gt;&lt;R&gt;1&lt;/R&gt;&lt;C&gt;1&lt;/C&gt;&lt;D xsi:type="xsd:double"&gt;12.24832051718&lt;/D&gt;&lt;/FQL&gt;&lt;FQL&gt;&lt;Q&gt;VCYT^FF_ENTRPR_VAL_DAILY(44408)&lt;/Q&gt;&lt;R&gt;1&lt;/R&gt;&lt;C&gt;1&lt;/C&gt;&lt;D xsi:type="xsd:double"&gt;2689.2458564&lt;/D&gt;&lt;/FQL&gt;&lt;FQL&gt;&lt;Q&gt;EXAS^FF_ENTRPR_VAL_DAILY(44408)&lt;/Q&gt;&lt;R&gt;1&lt;/R&gt;&lt;C&gt;1&lt;/C&gt;&lt;D xsi:type="xsd:double"&gt;19586.07296&lt;/D&gt;&lt;/FQL&gt;&lt;FQL&gt;&lt;Q&gt;NEO^FF_ENTRPR_VAL_DAILY(44408)&lt;/Q&gt;&lt;R&gt;1&lt;/R&gt;&lt;C&gt;1&lt;/C&gt;&lt;D xsi:type="xsd:double"&gt;6066.9837&lt;/D&gt;&lt;/FQL&gt;&lt;FQL&gt;&lt;Q&gt;CDNA^FF_ENTRPR_VAL_DAILY(44408)&lt;/Q&gt;&lt;R&gt;1&lt;/R&gt;&lt;C&gt;1&lt;/C&gt;&lt;D xsi:type="xsd:double"&gt;4040.137172&lt;/D&gt;&lt;/FQL&gt;&lt;FQL&gt;&lt;Q&gt;MYGN^FF_ENTRPR_VAL_DAILY(44408)&lt;/Q&gt;&lt;R&gt;1&lt;/R&gt;&lt;C&gt;1&lt;/C&gt;&lt;D xsi:type="xsd:double"&gt;2478.036&lt;/D&gt;&lt;/FQL&gt;&lt;FQL&gt;&lt;Q&gt;PSNL^FF_ENTRPR_VAL_DAILY(44408)&lt;/Q&gt;&lt;R&gt;1&lt;/R&gt;&lt;C&gt;1&lt;/C&gt;&lt;D xsi:type="xsd:double"&gt;610.12606606&lt;/D&gt;&lt;/FQL&gt;&lt;FQL&gt;&lt;Q&gt;FLGT^FF_ENTRPR_VAL_DAILY(44408)&lt;/Q&gt;&lt;R&gt;1&lt;/R&gt;&lt;C&gt;1&lt;/C&gt;&lt;D xsi:type="xsd:double"&gt;2491.4395&lt;/D&gt;&lt;/FQL&gt;&lt;FQL&gt;&lt;Q&gt;CAI^FF_ENTRPR_VAL_DAILY(44408)&lt;/Q&gt;&lt;R&gt;0&lt;/R&gt;&lt;C&gt;0&lt;/C&gt;&lt;/FQL&gt;&lt;FQL&gt;&lt;Q&gt;NTRA^FF_ENTRPR_VAL_DAILY(44043)&lt;/Q&gt;&lt;R&gt;1&lt;/R&gt;&lt;C&gt;1&lt;/C&gt;&lt;D xsi:type="xsd:double"&gt;3502.46838&lt;/D&gt;&lt;/FQL&gt;&lt;FQL&gt;&lt;Q&gt;TEM^FF_ENTRPR_VAL_DAILY(44043)&lt;/Q&gt;&lt;R&gt;0&lt;/R&gt;&lt;C&gt;0&lt;/C&gt;&lt;/FQL&gt;&lt;FQL&gt;&lt;Q&gt;GH^FF_ENTRPR_VAL_DAILY(44043)&lt;/Q&gt;&lt;R&gt;1&lt;/R&gt;&lt;C&gt;1&lt;/C&gt;&lt;D xsi:type="xsd:double"&gt;7340.14298&lt;/D&gt;&lt;/FQL&gt;&lt;FQL&gt;&lt;Q&gt;ADPT^FF_ENTRPR_VAL_DAILY(44043)&lt;/Q&gt;&lt;R&gt;1&lt;/R&gt;&lt;C&gt;1&lt;/C&gt;&lt;D xsi:type="xsd:double"&gt;4229.30728024&lt;/D&gt;&lt;/FQL&gt;&lt;FQL&gt;&lt;Q&gt;GRAL^FF_ENTRPR_VAL_DAILY(44043)&lt;/Q&gt;&lt;R&gt;0&lt;/R&gt;&lt;C&gt;0&lt;/C&gt;&lt;/FQL&gt;&lt;FQL&gt;&lt;Q&gt;DGX^FF_ENTRPR_VAL_DAILY(44043)&lt;/Q&gt;&lt;R&gt;1&lt;/R&gt;&lt;C&gt;1&lt;/C&gt;&lt;D xsi:type="xsd:double"&gt;21557.52&lt;/D&gt;&lt;/FQL&gt;&lt;FQL&gt;&lt;Q&gt;LH^FF_ENTRPR_VAL_DAILY(44043)&lt;/Q&gt;&lt;R&gt;1&lt;/R&gt;&lt;C&gt;1&lt;/C&gt;&lt;D xsi:type="xsd:double"&gt;25424.684&lt;/D&gt;&lt;/FQL&gt;&lt;FQL&gt;&lt;Q&gt;WGS^FF_ENTRPR_VAL_DAILY(44043)&lt;/Q&gt;&lt;R&gt;0&lt;/R&gt;&lt;C&gt;0&lt;/C&gt;&lt;/FQL&gt;&lt;FQL&gt;&lt;Q&gt;VCYT^FF_ENTRPR_VAL_DAILY(44043)&lt;/Q&gt;&lt;R&gt;1&lt;/R&gt;&lt;C&gt;1&lt;/C&gt;&lt;D xsi:type="xsd:double"&gt;1656.64842741&lt;/D&gt;&lt;/FQL&gt;&lt;FQL&gt;&lt;Q&gt;EXAS^FF_ENTRPR_VAL_DAILY(44043)&lt;/Q&gt;&lt;R&gt;1&lt;/R&gt;&lt;C&gt;1&lt;/C&gt;&lt;D xsi:type="xsd:double"&gt;14659.12325&lt;/D&gt;&lt;/FQL&gt;&lt;FQL&gt;&lt;Q&gt;NEO^FF_ENTRPR_VAL_DAILY(44043)&lt;/Q&gt;&lt;R&gt;1&lt;/R&gt;&lt;C&gt;1&lt;/C&gt;&lt;D xsi:type="xsd:double"&gt;4049.1720100000002&lt;/D&gt;&lt;/FQL&gt;&lt;FQL&gt;&lt;Q&gt;CDNA^FF_ENTRPR_VAL_DAILY(44043)&lt;/Q&gt;&lt;R&gt;1&lt;/R&gt;&lt;C&gt;1&lt;/C&gt;&lt;D xsi:type="xsd:double"&gt;1298.53803395&lt;/D&gt;&lt;/FQL&gt;&lt;FQL&gt;&lt;Q&gt;MYGN^FF_ENTRPR_VAL_DAILY(44043)&lt;/Q&gt;&lt;R&gt;1&lt;/R&gt;&lt;C&gt;1&lt;/C&gt;&lt;D xsi:type="xsd:double"&gt;973.801&lt;/D&gt;&lt;/FQL&gt;&lt;FQL&gt;&lt;Q&gt;PSNL^FF_ENTRPR_VAL_DAILY(44043)&lt;/Q&gt;&lt;R&gt;1&lt;/R&gt;&lt;C&gt;1&lt;/C&gt;&lt;D xsi:type="xsd:double"&gt;458.55464348&lt;/D&gt;&lt;/FQL&gt;&lt;FQL&gt;&lt;Q&gt;FLGT^FF_ENTRPR_VAL_DAILY(44043)&lt;/Q&gt;&lt;R&gt;1&lt;/R&gt;&lt;C&gt;1&lt;/C&gt;&lt;D xsi:type="xsd:double"&gt;585.845&lt;/D&gt;&lt;/FQL&gt;&lt;FQL&gt;&lt;Q&gt;CAI^FF_ENTRPR_VAL_DAILY(44043)&lt;/Q&gt;&lt;R&gt;0&lt;/R&gt;&lt;C&gt;0&lt;/C&gt;&lt;/FQL&gt;&lt;FQL&gt;&lt;Q&gt;NTRA^FF_ENTRPR_VAL_DAILY(43678)&lt;/Q&gt;&lt;R&gt;1&lt;/R&gt;&lt;C&gt;1&lt;/C&gt;&lt;D xsi:type="xsd:double"&gt;1835.96492&lt;/D&gt;&lt;/FQL&gt;&lt;FQL&gt;&lt;Q&gt;TEM^FF_ENTRPR_VAL_DAILY(43678)&lt;/Q&gt;&lt;R&gt;0&lt;/R&gt;&lt;C&gt;0&lt;/C&gt;&lt;/FQL&gt;&lt;FQL&gt;&lt;Q&gt;GH^FF_ENTRPR_VAL_DAILY(43678)&lt;/Q&gt;&lt;R&gt;1&lt;/R&gt;&lt;C&gt;1&lt;/C&gt;&lt;D xsi:type="xsd:double"&gt;7919.69392&lt;/D&gt;&lt;/FQL&gt;&lt;FQL&gt;&lt;Q&gt;ADPT^FF_ENTRPR_VAL_DAILY(43678)&lt;/Q&gt;&lt;R&gt;1&lt;/R&gt;&lt;C&gt;1&lt;/C&gt;&lt;D xsi:type="xsd:double"&gt;4940.17513096&lt;/D&gt;&lt;/FQL&gt;&lt;FQL&gt;&lt;Q&gt;GRAL^FF_ENTRPR_VAL_DAILY(43678)&lt;/Q&gt;&lt;R&gt;0&lt;/R&gt;&lt;C&gt;0&lt;/C&gt;&lt;/FQL&gt;&lt;FQL&gt;&lt;Q&gt;DGX^FF_ENTRPR_VAL_DAILY(43678)&lt;/Q&gt;&lt;R&gt;1&lt;/R&gt;&lt;C&gt;1&lt;/C&gt;&lt;D xsi:type="xsd:double"&gt;18158&lt;/D&gt;&lt;/FQL&gt;&lt;FQL&gt;&lt;Q&gt;LH^FF_ENTRPR_VAL_DAILY(43678)&lt;/Q&gt;&lt;R&gt;1&lt;/R&gt;&lt;C&gt;1&lt;/C&gt;&lt;D xsi:type="xsd:double"&gt;23662.4&lt;/D&gt;&lt;/FQL&gt;&lt;FQL&gt;&lt;Q&gt;WGS^FF_ENTRPR_VAL_DAILY(43678)&lt;/Q&gt;&lt;R&gt;0&lt;/R&gt;&lt;C&gt;0&lt;/C&gt;&lt;/FQL&gt;&lt;FQL&gt;&lt;Q&gt;VCYT^FF_ENTRPR_VAL_DAILY(43678)&lt;/Q&gt;&lt;R&gt;1&lt;/R&gt;&lt;C&gt;1&lt;/C&gt;&lt;D xsi:type="xsd:double"&gt;1052.433187&lt;/D&gt;&lt;/FQL&gt;&lt;FQL&gt;&lt;Q&gt;EXAS^FF_ENTRPR_VAL_DAILY(43678)&lt;/Q&gt;&lt;R&gt;1&lt;/R&gt;&lt;C&gt;1&lt;/C&gt;&lt;D xsi:type="xsd:double"&gt;14453.82046&lt;/D&gt;&lt;/FQL&gt;&lt;FQL&gt;&lt;Q&gt;NEO^FF_ENTRPR_VAL_DAILY(43678)&lt;/Q&gt;&lt;R&gt;1&lt;/R&gt;&lt;C&gt;1&lt;/C&gt;&lt;D xsi:type="xsd:double"&gt;2615.4136&lt;/D&gt;&lt;/FQL&gt;&lt;FQL&gt;&lt;Q&gt;CDNA^FF_ENTRPR_VAL_DAILY(43678)&lt;/Q&gt;&lt;R&gt;1&lt;/R&gt;&lt;C&gt;1&lt;/C&gt;&lt;D xsi:type="xsd:double"&gt;1391.451464&lt;/D&gt;&lt;/FQL&gt;&lt;FQL&gt;&lt;Q&gt;MYGN^FF_ENTRPR_VAL_DAILY(43678)&lt;/Q&gt;&lt;R&gt;1&lt;/R&gt;&lt;C&gt;1&lt;/C&gt;&lt;D xsi:type="xsd:double"&gt;3517.36&lt;/D&gt;&lt;/FQL&gt;&lt;FQL&gt;&lt;Q&gt;PSNL^FF_ENTRPR_VAL_DAILY(43678)&lt;/Q&gt;&lt;R&gt;1&lt;/R&gt;&lt;C&gt;1&lt;/C&gt;&lt;D xsi:type="xsd:double"&gt;-37.90855877&lt;/D&gt;&lt;/FQL&gt;&lt;FQL&gt;&lt;Q&gt;FLGT^FF_ENTRPR_VAL_DAILY(43678)&lt;/Q&gt;&lt;R&gt;1&lt;/R&gt;&lt;C&gt;1&lt;/C&gt;&lt;D xsi:type="xsd:double"&gt;119.59976&lt;/D&gt;&lt;/FQL&gt;&lt;FQL&gt;&lt;Q&gt;CAI^FF_ENTRPR_VAL_DAILY(43678)&lt;/Q&gt;&lt;R&gt;0&lt;/R&gt;&lt;C&gt;0&lt;/C&gt;&lt;/FQL&gt;&lt;FQL&gt;&lt;Q&gt;NTRA^FF_ENTRPR_VAL_DAILY(43313)&lt;/Q&gt;&lt;R&gt;1&lt;/R&gt;&lt;C&gt;1&lt;/C&gt;&lt;D xsi:type="xsd:double"&gt;1348.11208&lt;/D&gt;&lt;/FQL&gt;&lt;FQL&gt;&lt;Q&gt;TEM^FF_ENTRPR_VAL_DAILY(43313)&lt;/Q&gt;&lt;R&gt;0&lt;/R&gt;&lt;C&gt;0&lt;/C&gt;&lt;/FQL&gt;&lt;FQL&gt;&lt;Q&gt;GH^FF_ENTRPR_VAL_DAILY(43313)&lt;/Q&gt;&lt;R&gt;0&lt;/R&gt;&lt;C&gt;0&lt;/C&gt;&lt;/FQL&gt;&lt;FQL&gt;&lt;Q&gt;ADPT^FF_ENTRPR_VAL_DAILY(43313)&lt;/Q&gt;&lt;R&gt;0&lt;/R&gt;&lt;C&gt;0&lt;/C&gt;&lt;/FQL&gt;&lt;FQL&gt;&lt;Q&gt;GRAL^FF_ENTRPR_VAL_DAILY(43313)&lt;/Q&gt;&lt;R&gt;0&lt;/R&gt;&lt;C&gt;0&lt;/C&gt;&lt;/FQL&gt;&lt;FQL&gt;&lt;Q&gt;DGX^FF_ENTRPR_VAL_DAILY(43313)&lt;/Q&gt;&lt;R&gt;1&lt;/R&gt;&lt;C&gt;1&lt;/C&gt;&lt;D xsi:type="xsd:double"&gt;18561.66&lt;/D&gt;&lt;/FQL&gt;&lt;FQL&gt;&lt;Q&gt;LH^FF_ENTRPR_VAL_DAILY(43313)&lt;/Q&gt;&lt;R&gt;1&lt;/R&gt;&lt;C&gt;1&lt;/C&gt;&lt;D xsi:type="xsd:double"&gt;24266.38&lt;/D&gt;&lt;/FQL&gt;&lt;FQL&gt;&lt;Q&gt;WGS^FF_ENTRPR_VAL_DAILY(43313)&lt;/Q&gt;&lt;R&gt;0&lt;/R&gt;&lt;C&gt;0&lt;/C&gt;&lt;/FQL&gt;&lt;FQL&gt;&lt;Q&gt;VCYT^FF_ENTRPR_VAL_DAILY(43313)&lt;/Q&gt;&lt;R&gt;1&lt;/R&gt;&lt;C&gt;1&lt;/C&gt;&lt;D xsi:type="xsd:double"&gt;375.18300826&lt;/D&gt;&lt;/FQL&gt;&lt;FQL&gt;&lt;Q&gt;EXAS^FF_ENTRPR_VAL_DAILY(43313)&lt;/Q&gt;&lt;R&gt;1&lt;/R&gt;&lt;C&gt;1&lt;/C&gt;&lt;D xsi:type="xsd:double"&gt;6651.49348&lt;/D&gt;&lt;/FQL&gt;&lt;FQL&gt;&lt;Q&gt;NEO^FF_ENTRPR_VAL_DAILY(43313)&lt;/Q&gt;&lt;R&gt;1&lt;/R&gt;&lt;C&gt;1&lt;/C&gt;&lt;D xsi:type="xsd:double"&gt;1390.54932&lt;/D&gt;&lt;/FQL&gt;&lt;FQL&gt;&lt;Q&gt;CDNA^FF_ENTRPR_VAL_DAILY(43313)&lt;/Q&gt;&lt;R&gt;1&lt;/R&gt;&lt;C&gt;1&lt;/C&gt;&lt;D xsi:type="xsd:double"&gt;511.59064302&lt;/D&gt;&lt;/FQL&gt;&lt;FQL&gt;&lt;Q&gt;MYGN^FF_ENTRPR_VAL_DAILY(43313)&lt;/Q&gt;&lt;R&gt;1&lt;/R&gt;&lt;C&gt;1&lt;/C&gt;&lt;D xsi:type="xsd:double"&gt;2999.58&lt;/D&gt;&lt;/FQL&gt;&lt;FQL&gt;&lt;Q&gt;PSNL^FF_ENTRPR_VAL_DAILY(43313)&lt;/Q&gt;&lt;R&gt;0&lt;/R&gt;&lt;C&gt;0&lt;/C&gt;&lt;/FQL&gt;&lt;FQL&gt;&lt;Q&gt;FLGT^FF_ENTRPR_VAL_DAILY(43313)&lt;/Q&gt;&lt;R&gt;1&lt;/R&gt;&lt;C&gt;1&lt;/C&gt;&lt;D xsi:type="xsd:double"&gt;58.3845459&lt;/D&gt;&lt;/FQL&gt;&lt;FQL&gt;&lt;Q&gt;CAI^FF_ENTRPR_VAL_DAILY(43313)&lt;/Q&gt;&lt;R&gt;0&lt;/R&gt;&lt;C&gt;0&lt;/C&gt;&lt;/FQL&gt;&lt;FQL&gt;&lt;Q&gt;NTRA^FF_ENTRPR_VAL_DAILY(42948)&lt;/Q&gt;&lt;R&gt;1&lt;/R&gt;&lt;C&gt;1&lt;/C&gt;&lt;D xsi:type="xsd:double"&gt;382.49336&lt;/D&gt;&lt;/FQL&gt;&lt;FQL&gt;&lt;Q&gt;TEM^FF_ENTRPR_VAL_DAILY(42948)&lt;/Q&gt;&lt;R&gt;0&lt;/R&gt;&lt;C&gt;0&lt;/C&gt;&lt;/FQL&gt;&lt;FQL&gt;&lt;Q&gt;GH^FF_ENTRPR_VAL_DAILY(42948)&lt;/Q&gt;&lt;R&gt;0&lt;/R&gt;&lt;C&gt;0&lt;/C&gt;&lt;/FQL&gt;&lt;FQL&gt;&lt;Q&gt;ADPT^FF_ENTRPR_VAL_DAILY(42948)&lt;/Q&gt;&lt;R&gt;0&lt;/R&gt;&lt;C&gt;0&lt;/C&gt;&lt;/FQL&gt;&lt;FQL&gt;&lt;Q&gt;GRAL^FF_ENTRPR_VAL_DAILY(42948)&lt;/Q&gt;&lt;R&gt;0&lt;/R&gt;&lt;C&gt;0&lt;/C&gt;&lt;/FQL&gt;&lt;FQL&gt;&lt;Q&gt;DGX^FF_ENTRPR_VAL_DAILY(42948)&lt;/Q&gt;&lt;R&gt;1&lt;/R&gt;&lt;C&gt;1&lt;/C&gt;&lt;D xsi:type="xsd:double"&gt;18706.6&lt;/D&gt;&lt;/FQL&gt;&lt;FQL&gt;&lt;Q&gt;LH^FF_ENTRPR_VAL_DAILY(42948)&lt;/Q&gt;&lt;R&gt;1&lt;/R&gt;&lt;C&gt;1&lt;/C&gt;&lt;D xsi:type="xsd:double"&gt;22483.602&lt;/D&gt;&lt;/FQL&gt;&lt;FQL&gt;&lt;Q&gt;WGS^FF_ENTRPR_VAL_DAILY(42948)&lt;/Q&gt;&lt;R&gt;0&lt;/R&gt;&lt;C&gt;0&lt;/C&gt;&lt;/FQL&gt;&lt;FQL&gt;&lt;Q&gt;VCYT^FF_ENTRPR_VAL_DAILY(42948)&lt;/Q&gt;&lt;R&gt;1&lt;/R&gt;&lt;C&gt;1&lt;/C&gt;&lt;D xsi:type="xsd:double"&gt;256.6036496&lt;/D&gt;&lt;/FQL&gt;&lt;FQL&gt;&lt;Q&gt;EXAS^FF_ENTRPR_VAL_DAILY(42948)&lt;/Q&gt;&lt;R&gt;1&lt;/R&gt;&lt;C&gt;1&lt;/C&gt;&lt;D xsi:type="xsd:double"&gt;3808.656&lt;/D&gt;&lt;/FQL&gt;&lt;FQL&gt;&lt;Q&gt;NEO^FF_ENTRPR_VAL_DAILY(42948)&lt;/Q&gt;&lt;R&gt;1&lt;/R&gt;&lt;C&gt;1&lt;/C&gt;&lt;D xsi:type="xsd:double"&gt;885.24128&lt;/D&gt;&lt;/FQL&gt;&lt;FQL&gt;&lt;Q&gt;CDNA^FF_ENTRPR_VAL_DAILY(42948)&lt;/Q&gt;&lt;R&gt;1&lt;/R&gt;&lt;C&gt;1&lt;/C&gt;&lt;D xsi:type="xsd:double"&gt;54.969472&lt;/D&gt;&lt;/FQL&gt;&lt;FQL&gt;&lt;Q&gt;MYGN^FF_ENTRPR_VAL_DAILY(42948)&lt;/Q&gt;&lt;R&gt;1&lt;/R&gt;&lt;C&gt;1&lt;/C&gt;&lt;D xsi:type="xsd:double"&gt;1614.336&lt;/D&gt;&lt;/FQL&gt;&lt;FQL&gt;&lt;Q&gt;PSNL^FF_ENTRPR_VAL_DAILY(42948)&lt;/Q&gt;&lt;R&gt;0&lt;/R&gt;&lt;C&gt;0&lt;/C&gt;&lt;/FQL&gt;&lt;FQL&gt;&lt;Q&gt;FLGT^FF_ENTRPR_VAL_DAILY(42948)&lt;/Q&gt;&lt;R&gt;1&lt;/R&gt;&lt;C&gt;1&lt;/C&gt;&lt;D xsi:type="xsd:double"&gt;81.28942&lt;/D&gt;&lt;/FQL&gt;&lt;FQL&gt;&lt;Q&gt;CAI^FF_ENTRPR_VAL_DAILY(42948)&lt;/Q&gt;&lt;R&gt;0&lt;/R&gt;&lt;C&gt;0&lt;/C&gt;&lt;/FQL&gt;&lt;FQL&gt;&lt;Q&gt;NTRA^FF_ENTRPR_VAL_DAILY(42583)&lt;/Q&gt;&lt;R&gt;1&lt;/R&gt;&lt;C&gt;1&lt;/C&gt;&lt;D xsi:type="xsd:double"&gt;503.6918&lt;/D&gt;&lt;/FQL&gt;&lt;FQL&gt;&lt;Q&gt;TEM^FF_ENTRPR_VAL_DAILY(42583)&lt;/Q&gt;&lt;R&gt;0&lt;/R&gt;&lt;C&gt;0&lt;/C&gt;&lt;/FQL&gt;&lt;FQL&gt;&lt;Q&gt;GH^FF_ENTRPR_VAL_DAILY(42583)&lt;/Q&gt;&lt;R&gt;0&lt;/R&gt;&lt;C&gt;0&lt;/C&gt;&lt;/FQL&gt;&lt;FQL&gt;&lt;Q&gt;ADPT^FF_ENTRPR_VAL_DAILY(42583)&lt;/Q&gt;&lt;R&gt;0&lt;/R&gt;&lt;C&gt;0&lt;/C&gt;&lt;/FQL&gt;&lt;FQL&gt;&lt;Q&gt;GRAL^FF_ENTRPR_VAL_DAILY(42583)&lt;/Q&gt;&lt;R&gt;0&lt;/R&gt;&lt;C&gt;0&lt;/C&gt;&lt;/FQL&gt;&lt;FQL&gt;&lt;Q&gt;DGX^FF_ENTRPR_VAL_DAILY(42583)&lt;/Q&gt;&lt;R&gt;1&lt;/R&gt;&lt;C&gt;1&lt;/C&gt;&lt;D xsi:type="xsd:double"&gt;15911.08&lt;/D&gt;&lt;/FQL&gt;&lt;FQL&gt;&lt;Q&gt;LH^FF_ENTRPR_VAL_DAILY(42583)&lt;/Q&gt;&lt;R&gt;1&lt;/R&gt;&lt;C&gt;1&lt;/C&gt;&lt;D xsi:type="xsd:double"&gt;19966.783&lt;/D&gt;&lt;/FQL&gt;&lt;FQL&gt;&lt;Q&gt;WGS^FF_ENTRPR_VAL_DAILY(42583)&lt;/Q&gt;&lt;R&gt;0&lt;/R&gt;&lt;C&gt;0&lt;/C&gt;&lt;/FQL&gt;&lt;FQL&gt;&lt;Q&gt;VCYT^FF_ENTRPR_VAL_DAILY(42583)&lt;/Q&gt;&lt;R&gt;1&lt;/R&gt;&lt;C&gt;1&lt;/C&gt;&lt;D xsi:type="xsd:double"&gt;124.30039164&lt;/D&gt;&lt;/FQL&gt;&lt;FQL&gt;&lt;Q&gt;EXAS^FF_ENTRPR_VAL_DAILY(42583)&lt;/Q&gt;&lt;R&gt;1&lt;/R&gt;&lt;C&gt;1&lt;/C&gt;&lt;D xsi:type="xsd:double"&gt;1553.81022&lt;/D&gt;&lt;/FQL&gt;&lt;FQL&gt;&lt;Q&gt;NEO^FF_ENTRPR_VAL_DAILY(42583)&lt;/Q&gt;&lt;R&gt;1&lt;/R&gt;&lt;C&gt;1&lt;/C&gt;&lt;D xsi:type="xsd:double"&gt;740.12896&lt;/D&gt;&lt;/FQL&gt;&lt;FQL&gt;&lt;Q&gt;CDNA^FF_ENTRPR_VAL_DAILY(42583)&lt;/Q&gt;&lt;R&gt;1&lt;/R&gt;&lt;C&gt;1&lt;/C&gt;&lt;D xsi:type="xsd:double"&gt;78.600976&lt;/D&gt;&lt;/FQL&gt;&lt;FQL&gt;&lt;Q&gt;MYGN^FF_ENTRPR_VAL_DAILY(42583)&lt;/Q&gt;&lt;R&gt;1&lt;/R&gt;&lt;C&gt;1&lt;/C&gt;&lt;D xsi:type="xsd:double"&gt;2151.632&lt;/D&gt;&lt;/FQL&gt;&lt;FQL&gt;&lt;Q&gt;PSNL^FF_ENTRPR_VAL_DAILY(42583)&lt;/Q&gt;&lt;R&gt;0&lt;/R&gt;&lt;C&gt;0&lt;/C&gt;&lt;/FQL&gt;&lt;FQL&gt;&lt;Q&gt;FLGT^FF_ENTRPR_VAL_DAILY(42583)&lt;/Q&gt;&lt;R&gt;0&lt;/R&gt;&lt;C&gt;0&lt;/C&gt;&lt;/FQL&gt;&lt;FQL&gt;&lt;Q&gt;CAI^FF_ENTRPR_VAL_DAILY(42583)&lt;/Q&gt;&lt;R&gt;0&lt;/R&gt;&lt;C&gt;0&lt;/C&gt;&lt;/FQL&gt;&lt;FQL&gt;&lt;Q&gt;NTRA^FF_ENTRPR_VAL_DAILY(42218)&lt;/Q&gt;&lt;R&gt;1&lt;/R&gt;&lt;C&gt;1&lt;/C&gt;&lt;D xsi:type="xsd:double"&gt;305.34946&lt;/D&gt;&lt;/FQL&gt;&lt;FQL&gt;&lt;Q&gt;TEM^FF_ENTRPR_VAL_DAILY(42218)&lt;/Q&gt;&lt;R&gt;0&lt;/R&gt;&lt;C&gt;0&lt;/C&gt;&lt;/FQL&gt;&lt;FQL&gt;&lt;Q&gt;GH^FF_ENTRPR_VAL_DAILY(42218)&lt;/Q&gt;&lt;R&gt;0&lt;/R&gt;&lt;C&gt;0&lt;/C&gt;&lt;/FQL&gt;&lt;FQL&gt;&lt;Q&gt;ADPT^FF_ENTRPR_VAL_DAILY(42218)&lt;/Q&gt;&lt;R&gt;0&lt;/R&gt;&lt;C&gt;0&lt;/C&gt;&lt;/FQL&gt;&lt;FQL&gt;&lt;Q&gt;GRAL^FF_ENTRPR_VAL_DAILY(42218)&lt;/Q&gt;&lt;R&gt;0&lt;/R&gt;&lt;C&gt;0&lt;/C&gt;&lt;/FQL&gt;&lt;FQL&gt;&lt;Q&gt;DGX^FF_ENTRPR_VAL_DAILY(42218)&lt;/Q&gt;&lt;R&gt;1&lt;/R&gt;&lt;C&gt;1&lt;/C&gt;&lt;D xsi:type="xsd:double"&gt;14318.45&lt;/D&gt;&lt;/FQL&gt;&lt;FQL&gt;&lt;Q&gt;LH^FF_ENTRPR_VAL_DAILY(42218)&lt;/Q&gt;&lt;R&gt;1&lt;/R&gt;&lt;C&gt;1&lt;/C&gt;&lt;D xsi:type="xsd:double"&gt;19232.025&lt;/D&gt;&lt;/FQL&gt;&lt;FQL&gt;&lt;Q&gt;WGS^FF_ENTRPR_VAL_DAILY(42218)&lt;/Q&gt;&lt;R&gt;0&lt;/R&gt;&lt;C&gt;0&lt;/C&gt;&lt;/FQL&gt;&lt;FQL&gt;&lt;Q&gt;VCYT^FF_ENTRPR_VAL_DAILY(42218)&lt;/Q&gt;&lt;R&gt;1&lt;/R&gt;&lt;C&gt;1&lt;/C&gt;&lt;D xsi:type="xsd:double"&gt;255.9796344&lt;/D&gt;&lt;/FQL&gt;&lt;FQL&gt;&lt;Q&gt;EXAS^FF_ENTRPR_VAL_DAILY(42218)&lt;/Q&gt;&lt;R&gt;1&lt;/R&gt;&lt;C&gt;1&lt;/C&gt;&lt;D xsi:type="xsd:double"&gt;1933.29533&lt;/D&gt;&lt;/FQL&gt;&lt;FQL&gt;&lt;Q&gt;NEO^FF_ENTRPR_VAL_DAILY(42218)&lt;/Q&gt;&lt;R&gt;1&lt;/R&gt;&lt;C&gt;1&lt;/C&gt;&lt;D xsi:type="xsd:double"&gt;346.29275&lt;/D&gt;&lt;/FQL&gt;&lt;FQL&gt;&lt;Q&gt;CDNA^FF_ENTRPR_VAL_DAILY(42218)&lt;/Q&gt;&lt;R&gt;1&lt;/R&gt;&lt;C&gt;1&lt;/C&gt;&lt;D xsi:type="xsd:double"&gt;56.3405487&lt;/D&gt;&lt;/FQL&gt;&lt;FQL&gt;&lt;Q&gt;MYGN^FF_ENTRPR_VAL_DAILY(42218)&lt;/Q&gt;&lt;R&gt;1&lt;/R&gt;&lt;C&gt;1&lt;/C&gt;&lt;D xsi:type="xsd:double"&gt;2397.14&lt;/D&gt;&lt;/FQL&gt;&lt;FQL&gt;&lt;Q&gt;PSNL^FF_ENTRPR_VAL_DAILY(42218)&lt;/Q&gt;&lt;R&gt;0&lt;/R&gt;&lt;C&gt;0&lt;/C&gt;&lt;/FQL&gt;&lt;FQL&gt;&lt;Q&gt;FLGT^FF_ENTRPR_VAL_DAILY(42218)&lt;/Q&gt;&lt;R&gt;0&lt;/R&gt;&lt;C&gt;0&lt;/C&gt;&lt;/FQL&gt;&lt;FQL&gt;&lt;Q&gt;CAI^FF_ENTRPR_VAL_DAILY(42218)&lt;/Q&gt;&lt;R&gt;0&lt;/R&gt;&lt;C&gt;0&lt;/C&gt;&lt;/FQL&gt;&lt;FQL&gt;&lt;Q&gt;NTRA^FE_ESTIMATE(EBITDA,MEAN,NTMA,,'2025-07-30',,,'')&lt;/Q&gt;&lt;R&gt;1&lt;/R&gt;&lt;C&gt;1&lt;/C&gt;&lt;D xsi:type="xsd:double"&gt;-162.76936&lt;/D&gt;&lt;/FQL&gt;&lt;FQL&gt;&lt;Q&gt;NTRA^FE_ESTIMATE(SALES,MEAN,NTMA,,'2025-07-30',,,'')&lt;/Q&gt;&lt;R&gt;1&lt;/R&gt;&lt;C&gt;1&lt;/C&gt;&lt;D xsi:type="xsd:double"&gt;2276.6934&lt;/D&gt;&lt;/FQL&gt;&lt;FQL&gt;&lt;Q&gt;NTRA^FE_ESTIMATE(SALES,MEAN,NTMA,,45868,,,'')&lt;/Q&gt;&lt;R&gt;1&lt;/R&gt;&lt;C&gt;1&lt;/C&gt;&lt;D xsi:type="xsd:double"&gt;2187.9119&lt;/D&gt;&lt;/FQL&gt;&lt;FQL&gt;&lt;Q&gt;NTRA^FE_ESTIMATE(SALES,MEAN,NTMA,,'2025-07-31',,,'')&lt;/Q&gt;&lt;R&gt;1&lt;/R&gt;&lt;C&gt;1&lt;/C&gt;&lt;D xsi:type="xsd:double"&gt;2275.7964&lt;/D&gt;&lt;/FQL&gt;&lt;FQL&gt;&lt;Q&gt;NTRA^FE_ESTIMATE(SALES,MEAN,NTMA,,7/30/2025,,,'')&lt;/Q&gt;&lt;R&gt;1&lt;/R&gt;&lt;C&gt;1&lt;/C&gt;&lt;D xsi:type="xsd:double"&gt;2187.9119&lt;/D&gt;&lt;/FQL&gt;&lt;FQL&gt;&lt;Q&gt;NTRA^FE_ESTIMATE(SALES,MEAN,NTMA,,45503,,,'')&lt;/Q&gt;&lt;R&gt;1&lt;/R&gt;&lt;C&gt;1&lt;/C&gt;&lt;D xsi:type="xsd:double"&gt;1586.1498&lt;/D&gt;&lt;/FQL&gt;&lt;FQL&gt;&lt;Q&gt;NTRA^FE_ESTIMATE(SALES,MEAN,NTMA,,45138,,,'')&lt;/Q&gt;&lt;R&gt;1&lt;/R&gt;&lt;C&gt;1&lt;/C&gt;&lt;D xsi:type="xsd:double"&gt;1159.2446&lt;/D&gt;&lt;/FQL&gt;&lt;FQL&gt;&lt;Q&gt;NTRA^FE_ESTIMATE(SALES,MEAN,NTMA,,44773,,,'')&lt;/Q&gt;&lt;R&gt;1&lt;/R&gt;&lt;C&gt;1&lt;/C&gt;&lt;D xsi:type="xsd:double"&gt;915.5516&lt;/D&gt;&lt;/FQL&gt;&lt;FQL&gt;&lt;Q&gt;NTRA^FE_ESTIMATE(SALES,MEAN,NTMA,,44408,,,'')&lt;/Q&gt;&lt;R&gt;1&lt;/R&gt;&lt;C&gt;1&lt;/C&gt;&lt;D xsi:type="xsd:double"&gt;635.94727&lt;/D&gt;&lt;/FQL&gt;&lt;FQL&gt;&lt;Q&gt;NTRA^FE_ESTIMATE(SALES,MEAN,NTMA,,44043,,,'')&lt;/Q&gt;&lt;R&gt;1&lt;/R&gt;&lt;C&gt;1&lt;/C&gt;&lt;D xsi:type="xsd:double"&gt;369.39194&lt;/D&gt;&lt;/FQL&gt;&lt;FQL&gt;&lt;Q&gt;NTRA^FE_ESTIMATE(SALES,MEAN,NTMA,,43678,,,'')&lt;/Q&gt;&lt;R&gt;1&lt;/R&gt;&lt;C&gt;1&lt;/C&gt;&lt;D xsi:type="xsd:double"&gt;325.54095&lt;/D&gt;&lt;/FQL&gt;&lt;FQL&gt;&lt;Q&gt;NTRA^FE_ESTIMATE(SALES,MEAN,NTMA,,43313,,,'')&lt;/Q&gt;&lt;R&gt;1&lt;/R&gt;&lt;C&gt;1&lt;/C&gt;&lt;D xsi:type="xsd:double"&gt;298.27036&lt;/D&gt;&lt;/FQL&gt;&lt;FQL&gt;&lt;Q&gt;NTRA^FE_ESTIMATE(SALES,MEAN,NTMA,,42948,,,'')&lt;/Q&gt;&lt;R&gt;1&lt;/R&gt;&lt;C&gt;1&lt;/C&gt;&lt;D xsi:type="xsd:double"&gt;266.9195&lt;/D&gt;&lt;/FQL&gt;&lt;FQL&gt;&lt;Q&gt;NTRA^FE_ESTIMATE(SALES,MEAN,NTMA,,42583,,,'')&lt;/Q&gt;&lt;R&gt;1&lt;/R&gt;&lt;C&gt;1&lt;/C&gt;&lt;D xsi:type="xsd:double"&gt;247.76933&lt;/D&gt;&lt;/FQL&gt;&lt;FQL&gt;&lt;Q&gt;NTRA^FE_ESTIMATE(SALES,MEAN,NTMA,,42218,,,'')&lt;/Q&gt;&lt;R&gt;1&lt;/R&gt;&lt;C&gt;1&lt;/C&gt;&lt;D xsi:type="xsd:double"&gt;199.00714&lt;/D&gt;&lt;/FQL&gt;&lt;FQL&gt;&lt;Q&gt;TEM^FE_ESTIMATE(SALES,MEAN,NTMA,,45868,,,'')&lt;/Q&gt;&lt;R&gt;1&lt;/R&gt;&lt;C&gt;1&lt;/C&gt;&lt;D xsi:type="xsd:double"&gt;1427.1664&lt;/D&gt;&lt;/FQL&gt;&lt;FQL&gt;&lt;Q&gt;GH^FE_ESTIMATE(SALES,MEAN,NTMA,,45868,,,'')&lt;/Q&gt;&lt;R&gt;1&lt;/R&gt;&lt;C&gt;1&lt;/C&gt;&lt;D xsi:type="xsd:double"&gt;995.0619&lt;/D&gt;&lt;/FQL&gt;&lt;FQL&gt;&lt;Q&gt;ADPT^FE_ESTIMATE(SALES,MEAN,NTMA,,45868,,,'')&lt;/Q&gt;&lt;R&gt;1&lt;/R&gt;&lt;C&gt;1&lt;/C&gt;&lt;D xsi:type="xsd:double"&gt;243.99873&lt;/D&gt;&lt;/FQL&gt;&lt;FQL&gt;&lt;Q&gt;GRAL^FE_ESTIMATE(SALES,MEAN,NTMA,,45868,,,'')&lt;/Q&gt;&lt;R&gt;1&lt;/R&gt;&lt;C&gt;1&lt;/C&gt;&lt;D xsi:type="xsd:double"&gt;161.38947&lt;/D&gt;&lt;/FQL&gt;&lt;FQL&gt;&lt;Q&gt;DGX^FE_ESTIMATE(SALES,MEAN,NTMA,,45868,,,'')&lt;/Q&gt;&lt;R&gt;1&lt;/R&gt;&lt;C&gt;1&lt;/C&gt;&lt;D xsi:type="xsd:double"&gt;11077.432&lt;/D&gt;&lt;/FQL&gt;&lt;FQL&gt;&lt;Q&gt;LH^FE_ESTIMATE(SALES,MEAN,NTMA,,45868,,,'')&lt;/Q&gt;&lt;R&gt;1&lt;/R&gt;&lt;C&gt;1&lt;/C&gt;&lt;D xsi:type="xsd:double"&gt;14387.925&lt;/D&gt;&lt;/FQL&gt;&lt;FQL&gt;&lt;Q&gt;WGS^FE_ESTIMATE(SALES,MEAN,NTMA,,45868,,,'')&lt;/Q&gt;&lt;R&gt;1&lt;/R&gt;&lt;C&gt;1&lt;/C&gt;&lt;D xsi:type="xsd:double"&gt;448.7712&lt;/D&gt;&lt;/FQL&gt;&lt;FQL&gt;&lt;Q&gt;VCYT^FE_ESTIMATE(SALES,MEAN,NTMA,,45868,,,'')&lt;/Q&gt;&lt;R&gt;1&lt;/R&gt;&lt;C&gt;1&lt;/C&gt;&lt;D xsi:type="xsd:double"&gt;520.893&lt;/D&gt;&lt;/FQL&gt;&lt;FQL&gt;&lt;Q&gt;EXAS^FE_ESTIMATE(SALES,MEAN,NTMA,,45868,,,'')&lt;/Q&gt;&lt;R&gt;1&lt;/R&gt;&lt;C&gt;1&lt;/C&gt;&lt;D xsi:type="xsd:double"&gt;3328.757&lt;/D&gt;&lt;/FQL&gt;&lt;FQL&gt;&lt;Q&gt;NEO^FE_ESTIMATE(SALES,MEAN,NTMA,,45868,,,'')&lt;/Q&gt;&lt;R&gt;1&lt;/R&gt;&lt;C&gt;1&lt;/C&gt;&lt;D xsi:type="xsd:double"&gt;770.8319&lt;/D&gt;&lt;/FQL&gt;&lt;FQL&gt;&lt;Q&gt;CDNA^FE_ESTIMATE(SALES,MEAN,NTMA,,45868,,,'')&lt;/Q&gt;&lt;R&gt;1&lt;/R&gt;&lt;C&gt;1&lt;/C&gt;&lt;D xsi:type="xsd:double"&gt;399.3051&lt;/D&gt;&lt;/FQL&gt;&lt;FQL&gt;&lt;Q&gt;MYGN^FE_ESTIMATE(SALES,MEAN,NTMA,,45868,,,'')&lt;/Q&gt;&lt;R&gt;1&lt;/R&gt;&lt;C&gt;1&lt;/C&gt;&lt;D xsi:type="xsd:double"&gt;840.46&lt;/D&gt;&lt;/FQL&gt;&lt;FQL&gt;&lt;Q&gt;PSNL^FE_ESTIMATE(SALES,MEAN,NTMA,,45868,,,'')&lt;/Q&gt;&lt;R&gt;1&lt;/R&gt;&lt;C&gt;1&lt;/C&gt;&lt;D xsi:type="xsd:double"&gt;95.751045&lt;/D&gt;&lt;/FQL&gt;&lt;FQL&gt;&lt;Q&gt;FLGT^FE_ESTIMATE(SALES,MEAN,NTMA,,45868,,,'')&lt;/Q&gt;&lt;R&gt;1&lt;/R&gt;&lt;C&gt;1&lt;/C&gt;&lt;D xsi:type="xsd:double"&gt;329.4964&lt;/D&gt;&lt;/FQL&gt;&lt;FQL&gt;&lt;Q&gt;CAI^FE_ESTIMATE(SALES,MEAN,NTMA,,45868,,,'')&lt;/Q&gt;&lt;R&gt;1&lt;/R&gt;&lt;C&gt;1&lt;/C&gt;&lt;D xsi:type="xsd:double"&gt;795.82184&lt;/D&gt;&lt;/FQL&gt;&lt;FQL&gt;&lt;Q&gt;TEM^FE_ESTIMATE(SALES,MEAN,NTMA,,45503,,,'')&lt;/Q&gt;&lt;R&gt;1&lt;/R&gt;&lt;C&gt;1&lt;/C&gt;&lt;D xsi:type="xsd:double"&gt;824.3758&lt;/D&gt;&lt;/FQL&gt;&lt;FQL&gt;&lt;Q&gt;GH^FE_ESTIMATE(SALES,MEAN,NTMA,,45503,,,'')&lt;/Q&gt;&lt;R&gt;1&lt;/R&gt;&lt;C&gt;1&lt;/C&gt;&lt;D xsi:type="xsd:double"&gt;758.4685&lt;/D&gt;&lt;/FQL&gt;&lt;FQL&gt;&lt;Q&gt;ADPT^FE_ESTIMATE(SALES,MEAN,NTMA,,45503,,,'')&lt;/Q&gt;&lt;R&gt;1&lt;/R&gt;&lt;C&gt;1&lt;/C&gt;&lt;D xsi:type="xsd:double"&gt;189.63899&lt;/D&gt;&lt;/FQL&gt;&lt;FQL&gt;&lt;Q&gt;GRAL^FE_ESTIMATE(SALES,MEAN,NTMA,,45503,,,'')&lt;/Q&gt;&lt;R&gt;0&lt;/R&gt;&lt;C&gt;0&lt;/C&gt;&lt;/FQL&gt;&lt;FQL&gt;&lt;Q&gt;DGX^FE_ESTIMATE(SALES,MEAN,NTMA,,45503,,,'')&lt;/Q&gt;&lt;R&gt;1&lt;/R&gt;&lt;C&gt;1&lt;/C&gt;&lt;D xsi:type="xsd:double"&gt;9866.179&lt;/D&gt;&lt;/FQL&gt;&lt;FQL&gt;&lt;Q&gt;LH^FE_ESTIMATE(SALES,MEAN,NTMA,,45503,,,'')&lt;/Q&gt;&lt;R&gt;1&lt;/R&gt;&lt;C&gt;1&lt;/C&gt;&lt;D xsi:type="xsd:double"&gt;13221.962&lt;/D&gt;&lt;/FQL&gt;&lt;FQL&gt;&lt;Q&gt;WGS^FE_ESTIMATE(SALES,MEAN,NTMA,,45503,,,'')&lt;/Q&gt;&lt;R&gt;1&lt;/R&gt;&lt;C&gt;1&lt;/C&gt;&lt;D xsi:type="xsd:double"&gt;261.59778&lt;/D&gt;&lt;/FQL&gt;&lt;FQL&gt;&lt;Q&gt;VCYT^FE_ESTIMATE(SALES,MEAN,NTMA,,45503,,,'')&lt;/Q&gt;&lt;R&gt;1&lt;/R&gt;&lt;C&gt;1&lt;/C&gt;&lt;D xsi:type="xsd:double"&gt;431.09445&lt;/D&gt;&lt;/FQL&gt;&lt;FQL&gt;&lt;Q&gt;EXAS^FE_ESTIMATE(SALES,MEAN,NTMA,,45503,,,'')&lt;/Q&gt;&lt;R&gt;1&lt;/R&gt;&lt;C&gt;1&lt;/C&gt;&lt;D xsi:type="xsd:double"&gt;3049.818&lt;/D&gt;&lt;/FQL&gt;&lt;FQL&gt;&lt;Q&gt;NEO^FE_ESTIMATE(SALES,MEAN,NTMA,,45503,,,'')&lt;/Q&gt;&lt;R&gt;1&lt;/R&gt;&lt;C&gt;1&lt;/C&gt;&lt;D xsi:type="xsd:double"&gt;696.72235&lt;/D&gt;&lt;/FQL&gt;&lt;FQL&gt;&lt;Q&gt;CDNA^FE_ESTIMATE(SALES,MEAN,NTMA,,45503,,,'')&lt;/Q&gt;&lt;R&gt;1&lt;/R&gt;&lt;C&gt;1&lt;/C&gt;&lt;D xsi:type="xsd:double"&gt;290.89563&lt;/D&gt;&lt;/FQL&gt;&lt;FQL&gt;&lt;Q&gt;MYGN^FE_ESTIMATE(SALES,MEAN,NTMA,,45503,,,'')&lt;/Q&gt;&lt;R&gt;1&lt;/R&gt;&lt;C&gt;1&lt;/C&gt;&lt;D xsi:type="xsd:double"&gt;867.98566&lt;/D&gt;&lt;/FQL&gt;&lt;FQL&gt;&lt;Q&gt;PSNL^FE_ESTIMATE(SALES,MEAN,NTMA,,45503,,,'')&lt;/Q&gt;&lt;R&gt;1&lt;/R&gt;&lt;C&gt;1&lt;/C&gt;&lt;D xsi:type="xsd:double"&gt;82.054756&lt;/D&gt;&lt;/FQL&gt;&lt;FQL&gt;&lt;Q&gt;FLGT^FE_ESTIMATE(SALES,MEAN,NTMA,,45503,,,'')&lt;/Q&gt;&lt;R&gt;1&lt;/R&gt;&lt;C&gt;1&lt;/C&gt;&lt;D xsi:type="xsd:double"&gt;303.95563&lt;/D&gt;&lt;/FQL&gt;&lt;FQL&gt;&lt;Q&gt;CAI^FE_ESTIMATE(SALES,MEAN,NTMA,,45503,,,'')&lt;/Q&gt;&lt;R&gt;0&lt;/R&gt;&lt;C&gt;0&lt;/C&gt;&lt;/FQL&gt;&lt;FQL&gt;&lt;Q&gt;TEM^FE_ESTIMATE(SALES,MEAN,NTMA,,45138,,,'')&lt;/Q&gt;&lt;R&gt;0&lt;/R&gt;&lt;C&gt;0&lt;/C&gt;&lt;/FQL&gt;&lt;FQL&gt;&lt;Q&gt;GH^FE_ESTIMATE(SALES,MEAN,NTMA,,45138,,,'')&lt;/Q&gt;&lt;R&gt;1&lt;/R&gt;&lt;C&gt;1&lt;/C&gt;&lt;D xsi:type="xsd:double"&gt;615.58295&lt;/D&gt;&lt;/FQL&gt;&lt;FQL&gt;&lt;Q&gt;ADPT^FE_ESTIMATE(SALES,MEAN,NTMA,,45138,,,'')&lt;/Q&gt;&lt;R&gt;1&lt;/R&gt;&lt;C&gt;1&lt;/C&gt;&lt;D xsi:type="xsd:double"&gt;238.0859&lt;/D&gt;&lt;/FQL&gt;&lt;FQL&gt;&lt;Q&gt;GRAL^FE_ESTIMATE(SALES,MEAN,NTMA,,45138,,,'')&lt;/Q&gt;&lt;R&gt;0&lt;/R&gt;&lt;C&gt;0&lt;/C&gt;&lt;/FQL&gt;&lt;FQL&gt;&lt;Q&gt;DGX^FE_ESTIMATE(SALES,MEAN,NTMA,,45138,,,'')&lt;/Q&gt;&lt;R&gt;1&lt;/R&gt;&lt;C&gt;1&lt;/C&gt;&lt;D xsi:type="xsd:double"&gt;9260.04&lt;/D&gt;&lt;/FQL&gt;&lt;FQL&gt;&lt;Q&gt;LH^FE_ESTIMATE(SALES,MEAN,NTMA,,45138,,,'')&lt;/Q&gt;&lt;R&gt;1&lt;/R&gt;&lt;C&gt;1&lt;/C&gt;&lt;D xsi:type="xsd:double"&gt;12381.41&lt;/D&gt;&lt;/FQL&gt;&lt;FQL&gt;&lt;Q&gt;WGS^FE_ESTIMATE(SALES,MEAN,NTMA,,45138,,,'')&lt;/Q&gt;&lt;R&gt;1&lt;/R&gt;&lt;C&gt;1&lt;/C&gt;&lt;D xsi:type="xsd:double"&gt;231.07379&lt;/D&gt;&lt;/FQL&gt;&lt;FQL&gt;&lt;Q&gt;VCYT^FE_ESTIMATE(SALES,MEAN,NTMA,,45138,,,'')&lt;/Q&gt;&lt;R&gt;1&lt;/R&gt;&lt;C&gt;1&lt;/C&gt;&lt;D xsi:type="xsd:double"&gt;362.21506&lt;/D&gt;&lt;/FQL&gt;&lt;FQL&gt;&lt;Q&gt;EXAS^FE_ESTIMATE(SALES,MEAN,NTMA,,45138,,,'')&lt;/Q&gt;&lt;R&gt;1&lt;/R&gt;&lt;C&gt;1&lt;/C&gt;&lt;D xsi:type="xsd:double"&gt;2621.343&lt;/D&gt;&lt;/FQL&gt;&lt;FQL&gt;&lt;Q&gt;NEO^FE_ESTIMATE(SALES,MEAN,NTMA,,45138,,,'')&lt;/Q&gt;&lt;R&gt;1&lt;/R&gt;&lt;C&gt;1&lt;/C&gt;&lt;D xsi:type="xsd:double"&gt;589.19995&lt;/D&gt;&lt;/FQL&gt;&lt;FQL&gt;&lt;Q&gt;CDNA^FE_ESTIMATE(SALES,MEAN,NTMA,,45138,,,'')&lt;/Q&gt;&lt;R&gt;1&lt;/R&gt;&lt;C&gt;1&lt;/C&gt;&lt;D xsi:type="xsd:double"&gt;260.07373&lt;/D&gt;&lt;/FQL&gt;&lt;FQL&gt;&lt;Q&gt;MYGN^FE_ESTIMATE(SALES,MEAN,NTMA,,45138,,,'')&lt;/Q&gt;&lt;R&gt;1&lt;/R&gt;&lt;C&gt;1&lt;/C&gt;&lt;D xsi:type="xsd:double"&gt;775.2899&lt;/D&gt;&lt;/FQL&gt;&lt;FQL&gt;&lt;Q&gt;PSNL^FE_ESTIMATE(SALES,MEAN,NTMA,,45138,,,'')&lt;/Q&gt;&lt;R&gt;1&lt;/R&gt;&lt;C&gt;1&lt;/C&gt;&lt;D xsi:type="xsd:double"&gt;69.013145&lt;/D&gt;&lt;/FQL&gt;&lt;FQL&gt;&lt;Q&gt;FLGT^FE_ESTIMATE(SALES,MEAN,NTMA,,45138,,,'')&lt;/Q&gt;&lt;R&gt;1&lt;/R&gt;&lt;C&gt;1&lt;/C&gt;&lt;D xsi:type="xsd:double"&gt;280.74518&lt;/D&gt;&lt;/FQL&gt;&lt;FQL&gt;&lt;Q&gt;CAI^FE_ESTIMATE(SALES,MEAN,NTMA,,45138,,,'')&lt;/Q&gt;&lt;R&gt;0&lt;/R&gt;&lt;C&gt;0&lt;/C&gt;&lt;/FQL&gt;&lt;FQL&gt;&lt;Q&gt;TEM^FE_ESTIMATE(SALES,MEAN,NTMA,,44773,,,'')&lt;/Q&gt;&lt;R&gt;0&lt;/R&gt;&lt;C&gt;0&lt;/C&gt;&lt;/FQL&gt;&lt;FQL&gt;&lt;Q&gt;GH^FE_ESTIMATE(SALES,MEAN,NTMA,,44773,,,'')&lt;/Q&gt;&lt;R&gt;1&lt;/R&gt;&lt;C&gt;1&lt;/C&gt;&lt;D xsi:type="xsd:double"&gt;556.1981&lt;/D&gt;&lt;/FQL&gt;&lt;FQL&gt;&lt;Q&gt;ADPT^FE_ESTIMATE(SALES,MEAN,NTMA,,44773,,,'')&lt;/Q&gt;&lt;R&gt;1&lt;/R&gt;&lt;C&gt;1&lt;/C&gt;&lt;D xsi:type="xsd:double"&gt;215.39598&lt;/D&gt;&lt;/FQL&gt;&lt;FQL&gt;&lt;Q&gt;GRAL^FE_ESTIMATE(SALES,MEAN,NTMA,,44773,,,'')&lt;/Q&gt;&lt;R&gt;0&lt;/R&gt;&lt;C&gt;0&lt;/C&gt;&lt;/FQL&gt;&lt;FQL&gt;&lt;Q&gt;DGX^FE_ESTIMATE(SALES,MEAN,NTMA,,44773,,,'')&lt;/Q&gt;&lt;R&gt;1&lt;/R&gt;&lt;C&gt;1&lt;/C&gt;&lt;D xsi:type="xsd:double"&gt;9345.156&lt;/D&gt;&lt;/FQL&gt;&lt;FQL&gt;&lt;Q&gt;LH^FE_ESTIMATE(SALES,MEAN,NTMA,,44773,,,'')&lt;/Q&gt;&lt;R&gt;1&lt;/R&gt;&lt;C&gt;1&lt;/C&gt;&lt;D xsi:type="xsd:double"&gt;15284.098&lt;/D&gt;&lt;/FQL&gt;&lt;FQL&gt;&lt;Q&gt;WGS^FE_ESTIMATE(SALES,MEAN,NTMA,,44773,,,'')&lt;/Q&gt;&lt;R&gt;1&lt;/R&gt;&lt;C&gt;1&lt;/C&gt;&lt;D xsi:type="xsd:double"&gt;372.5771&lt;/D&gt;&lt;/FQL&gt;&lt;FQL&gt;&lt;Q&gt;VCYT^FE_ESTIMATE(SALES,MEAN,NTMA,,44773,,,'')&lt;/Q&gt;&lt;R&gt;1&lt;/R&gt;&lt;C&gt;1&lt;/C&gt;&lt;D xsi:type="xsd:double"&gt;302.26407&lt;/D&gt;&lt;/FQL&gt;&lt;FQL&gt;&lt;Q&gt;EXAS^FE_ESTIMATE(SALES,MEAN,NTMA,,44773,,,'')&lt;/Q&gt;&lt;R&gt;1&lt;/R&gt;&lt;C&gt;1&lt;/C&gt;&lt;D xsi:type="xsd:double"&gt;2212.362&lt;/D&gt;&lt;/FQL&gt;&lt;FQL&gt;&lt;Q&gt;NEO^FE_ESTIMATE(SALES,MEAN,NTMA,,44773,,,'')&lt;/Q&gt;&lt;R&gt;1&lt;/R&gt;&lt;C&gt;1&lt;/C&gt;&lt;D xsi:type="xsd:double"&gt;532.11566&lt;/D&gt;&lt;/FQL&gt;&lt;FQL&gt;&lt;Q&gt;CDNA^FE_ESTIMATE(SALES,MEAN,NTMA,,44773,,,'')&lt;/Q&gt;&lt;R&gt;1&lt;/R&gt;&lt;C&gt;1&lt;/C&gt;&lt;D xsi:type="xsd:double"&gt;365.92532&lt;/D&gt;&lt;/FQL&gt;&lt;FQL&gt;&lt;Q&gt;MYGN^FE_ESTIMATE(SALES,MEAN,NTMA,,44773,,,'')&lt;/Q&gt;&lt;R&gt;1&lt;/R&gt;&lt;C&gt;1&lt;/C&gt;&lt;D xsi:type="xsd:double"&gt;711.22064&lt;/D&gt;&lt;/FQL&gt;&lt;FQL&gt;&lt;Q&gt;PSNL^FE_ESTIMATE(SALES,MEAN,NTMA,,44773,,,'')&lt;/Q&gt;&lt;R&gt;1&lt;/R&gt;&lt;C&gt;1&lt;/C&gt;&lt;D xsi:type="xsd:double"&gt;75.994514&lt;/D&gt;&lt;/FQL&gt;&lt;FQL&gt;&lt;Q&gt;FLGT^FE_ESTIMATE(SALES,</t>
        </r>
      </text>
    </comment>
    <comment ref="A4" authorId="0" shapeId="0" xr:uid="{3ED1E87E-9AFD-4551-AD24-C2F3657D5081}">
      <text>
        <r>
          <rPr>
            <b/>
            <sz val="9"/>
            <color indexed="81"/>
            <rFont val="Tahoma"/>
            <charset val="1"/>
          </rPr>
          <t>MEAN,NTMA,,44773,,,'')&lt;/Q&gt;&lt;R&gt;1&lt;/R&gt;&lt;C&gt;1&lt;/C&gt;&lt;D xsi:type="xsd:double"&gt;484.87946&lt;/D&gt;&lt;/FQL&gt;&lt;FQL&gt;&lt;Q&gt;CAI^FE_ESTIMATE(SALES,MEAN,NTMA,,44773,,,'')&lt;/Q&gt;&lt;R&gt;0&lt;/R&gt;&lt;C&gt;0&lt;/C&gt;&lt;/FQL&gt;&lt;FQL&gt;&lt;Q&gt;TEM^FE_ESTIMATE(SALES,MEAN,NTMA,,44408,,,'')&lt;/Q&gt;&lt;R&gt;0&lt;/R&gt;&lt;C&gt;0&lt;/C&gt;&lt;/FQL&gt;&lt;FQL&gt;&lt;Q&gt;GH^FE_ESTIMATE(SALES,MEAN,NTMA,,44408,,,'')&lt;/Q&gt;&lt;R&gt;1&lt;/R&gt;&lt;C&gt;1&lt;/C&gt;&lt;D xsi:type="xsd:double"&gt;449.60278&lt;/D&gt;&lt;/FQL&gt;&lt;FQL&gt;&lt;Q&gt;ADPT^FE_ESTIMATE(SALES,MEAN,NTMA,,44408,,,'')&lt;/Q&gt;&lt;R&gt;1&lt;/R&gt;&lt;C&gt;1&lt;/C&gt;&lt;D xsi:type="xsd:double"&gt;186.00298&lt;/D&gt;&lt;/FQL&gt;&lt;FQL&gt;&lt;Q&gt;GRAL^FE_ESTIMATE(SALES,MEAN,NTMA,,44408,,,'')&lt;/Q&gt;&lt;R&gt;0&lt;/R&gt;&lt;C&gt;0&lt;/C&gt;&lt;/FQL&gt;&lt;FQL&gt;&lt;Q&gt;DGX^FE_ESTIMATE(SALES,MEAN,NTMA,,44408,,,'')&lt;/Q&gt;&lt;R&gt;1&lt;/R&gt;&lt;C&gt;1&lt;/C&gt;&lt;D xsi:type="xsd:double"&gt;9032.29&lt;/D&gt;&lt;/FQL&gt;&lt;FQL&gt;&lt;Q&gt;LH^FE_ESTIMATE(SALES,MEAN,NTMA,,44408,,,'')&lt;/Q&gt;&lt;R&gt;1&lt;/R&gt;&lt;C&gt;1&lt;/C&gt;&lt;D xsi:type="xsd:double"&gt;14400.448&lt;/D&gt;&lt;/FQL&gt;&lt;FQL&gt;&lt;Q&gt;WGS^FE_ESTIMATE(SALES,MEAN,NTMA,,44408,,,'')&lt;/Q&gt;&lt;R&gt;0&lt;/R&gt;&lt;C&gt;0&lt;/C&gt;&lt;/FQL&gt;&lt;FQL&gt;&lt;Q&gt;VCYT^FE_ESTIMATE(SALES,MEAN,NTMA,,44408,,,'')&lt;/Q&gt;&lt;R&gt;1&lt;/R&gt;&lt;C&gt;1&lt;/C&gt;&lt;D xsi:type="xsd:double"&gt;236.84827&lt;/D&gt;&lt;/FQL&gt;&lt;FQL&gt;&lt;Q&gt;EXAS^FE_ESTIMATE(SALES,MEAN,NTMA,,44408,,,'')&lt;/Q&gt;&lt;R&gt;1&lt;/R&gt;&lt;C&gt;1&lt;/C&gt;&lt;D xsi:type="xsd:double"&gt;1940.6108&lt;/D&gt;&lt;/FQL&gt;&lt;FQL&gt;&lt;Q&gt;NEO^FE_ESTIMATE(SALES,MEAN,NTMA,,44408,,,'')&lt;/Q&gt;&lt;R&gt;1&lt;/R&gt;&lt;C&gt;1&lt;/C&gt;&lt;D xsi:type="xsd:double"&gt;548.54565&lt;/D&gt;&lt;/FQL&gt;&lt;FQL&gt;&lt;Q&gt;CDNA^FE_ESTIMATE(SALES,MEAN,NTMA,,44408,,,'')&lt;/Q&gt;&lt;R&gt;1&lt;/R&gt;&lt;C&gt;1&lt;/C&gt;&lt;D xsi:type="xsd:double"&gt;319.8599&lt;/D&gt;&lt;/FQL&gt;&lt;FQL&gt;&lt;Q&gt;MYGN^FE_ESTIMATE(SALES,MEAN,NTMA,,44408,,,'')&lt;/Q&gt;&lt;R&gt;1&lt;/R&gt;&lt;C&gt;1&lt;/C&gt;&lt;D xsi:type="xsd:double"&gt;659.63556&lt;/D&gt;&lt;/FQL&gt;&lt;FQL&gt;&lt;Q&gt;PSNL^FE_ESTIMATE(SALES,MEAN,NTMA,,44408,,,'')&lt;/Q&gt;&lt;R&gt;1&lt;/R&gt;&lt;C&gt;1&lt;/C&gt;&lt;D xsi:type="xsd:double"&gt;91.86605&lt;/D&gt;&lt;/FQL&gt;&lt;FQL&gt;&lt;Q&gt;FLGT^FE_ESTIMATE(SALES,MEAN,NTMA,,44408,,,'')&lt;/Q&gt;&lt;R&gt;1&lt;/R&gt;&lt;C&gt;1&lt;/C&gt;&lt;D xsi:type="xsd:double"&gt;547.17834&lt;/D&gt;&lt;/FQL&gt;&lt;FQL&gt;&lt;Q&gt;CAI^FE_ESTIMATE(SALES,MEAN,NTMA,,44408,,,'')&lt;/Q&gt;&lt;R&gt;0&lt;/R&gt;&lt;C&gt;0&lt;/C&gt;&lt;/FQL&gt;&lt;FQL&gt;&lt;Q&gt;TEM^FE_ESTIMATE(SALES,MEAN,NTMA,,44043,,,'')&lt;/Q&gt;&lt;R&gt;0&lt;/R&gt;&lt;C&gt;0&lt;/C&gt;&lt;/FQL&gt;&lt;FQL&gt;&lt;Q&gt;GH^FE_ESTIMATE(SALES,MEAN,NTMA,,44043,,,'')&lt;/Q&gt;&lt;R&gt;1&lt;/R&gt;&lt;C&gt;1&lt;/C&gt;&lt;D xsi:type="xsd:double"&gt;334.3616&lt;/D&gt;&lt;/FQL&gt;&lt;FQL&gt;&lt;Q&gt;ADPT^FE_ESTIMATE(SALES,MEAN,NTMA,,44043,,,'')&lt;/Q&gt;&lt;R&gt;1&lt;/R&gt;&lt;C&gt;1&lt;/C&gt;&lt;D xsi:type="xsd:double"&gt;140.0835&lt;/D&gt;&lt;/FQL&gt;&lt;FQL&gt;&lt;Q&gt;GRAL^FE_ESTIMATE(SALES,MEAN,NTMA,,44043,,,'')&lt;/Q&gt;&lt;R&gt;0&lt;/R&gt;&lt;C&gt;0&lt;/C&gt;&lt;/FQL&gt;&lt;FQL&gt;&lt;Q&gt;DGX^FE_ESTIMATE(SALES,MEAN,NTMA,,44043,,,'')&lt;/Q&gt;&lt;R&gt;1&lt;/R&gt;&lt;C&gt;1&lt;/C&gt;&lt;D xsi:type="xsd:double"&gt;8836.333&lt;/D&gt;&lt;/FQL&gt;&lt;FQL&gt;&lt;Q&gt;LH^FE_ESTIMATE(SALES,MEAN,NTMA,,44043,,,'')&lt;/Q&gt;&lt;R&gt;1&lt;/R&gt;&lt;C&gt;1&lt;/C&gt;&lt;D xsi:type="xsd:double"&gt;13017.077&lt;/D&gt;&lt;/FQL&gt;&lt;FQL&gt;&lt;Q&gt;WGS^FE_ESTIMATE(SALES,MEAN,NTMA,,44043,,,'')&lt;/Q&gt;&lt;R&gt;0&lt;/R&gt;&lt;C&gt;0&lt;/C&gt;&lt;/FQL&gt;&lt;FQL&gt;&lt;Q&gt;VCYT^FE_ESTIMATE(SALES,MEAN,NTMA,,44043,,,'')&lt;/Q&gt;&lt;R&gt;1&lt;/R&gt;&lt;C&gt;1&lt;/C&gt;&lt;D xsi:type="xsd:double"&gt;132.07991&lt;/D&gt;&lt;/FQL&gt;&lt;FQL&gt;&lt;Q&gt;EXAS^FE_ESTIMATE(SALES,MEAN,NTMA,,44043,,,'')&lt;/Q&gt;&lt;R&gt;1&lt;/R&gt;&lt;C&gt;1&lt;/C&gt;&lt;D xsi:type="xsd:double"&gt;1631.071&lt;/D&gt;&lt;/FQL&gt;&lt;FQL&gt;&lt;Q&gt;NEO^FE_ESTIMATE(SALES,MEAN,NTMA,,44043,,,'')&lt;/Q&gt;&lt;R&gt;1&lt;/R&gt;&lt;C&gt;1&lt;/C&gt;&lt;D xsi:type="xsd:double"&gt;505.68872&lt;/D&gt;&lt;/FQL&gt;&lt;FQL&gt;&lt;Q&gt;CDNA^FE_ESTIMATE(SALES,MEAN,NTMA,,44043,,,'')&lt;/Q&gt;&lt;R&gt;1&lt;/R&gt;&lt;C&gt;1&lt;/C&gt;&lt;D xsi:type="xsd:double"&gt;181.41402&lt;/D&gt;&lt;/FQL&gt;&lt;FQL&gt;&lt;Q&gt;MYGN^FE_ESTIMATE(SALES,MEAN,NTMA,,44043,,,'')&lt;/Q&gt;&lt;R&gt;1&lt;/R&gt;&lt;C&gt;1&lt;/C&gt;&lt;D xsi:type="xsd:double"&gt;691.233&lt;/D&gt;&lt;/FQL&gt;&lt;FQL&gt;&lt;Q&gt;PSNL^FE_ESTIMATE(SALES,MEAN,NTMA,,44043,,,'')&lt;/Q&gt;&lt;R&gt;1&lt;/R&gt;&lt;C&gt;1&lt;/C&gt;&lt;D xsi:type="xsd:double"&gt;82.262314&lt;/D&gt;&lt;/FQL&gt;&lt;FQL&gt;&lt;Q&gt;FLGT^FE_ESTIMATE(SALES,MEAN,NTMA,,44043,,,'')&lt;/Q&gt;&lt;R&gt;1&lt;/R&gt;&lt;C&gt;1&lt;/C&gt;&lt;D xsi:type="xsd:double"&gt;54.61093&lt;/D&gt;&lt;/FQL&gt;&lt;FQL&gt;&lt;Q&gt;CAI^FE_ESTIMATE(SALES,MEAN,NTMA,,44043,,,'')&lt;/Q&gt;&lt;R&gt;0&lt;/R&gt;&lt;C&gt;0&lt;/C&gt;&lt;/FQL&gt;&lt;FQL&gt;&lt;Q&gt;TEM^FE_ESTIMATE(SALES,MEAN,NTMA,,43678,,,'')&lt;/Q&gt;&lt;R&gt;0&lt;/R&gt;&lt;C&gt;0&lt;/C&gt;&lt;/FQL&gt;&lt;FQL&gt;&lt;Q&gt;GH^FE_ESTIMATE(SALES,MEAN,NTMA,,43678,,,'')&lt;/Q&gt;&lt;R&gt;1&lt;/R&gt;&lt;C&gt;1&lt;/C&gt;&lt;D xsi:type="xsd:double"&gt;186.93126&lt;/D&gt;&lt;/FQL&gt;&lt;FQL&gt;&lt;Q&gt;ADPT^FE_ESTIMATE(SALES,MEAN,NTMA,,43678,,,'')&lt;/Q&gt;&lt;R&gt;1&lt;/R&gt;&lt;C&gt;1&lt;/C&gt;&lt;D xsi:type="xsd:double"&gt;108.32866&lt;/D&gt;&lt;/FQL&gt;&lt;FQL&gt;&lt;Q&gt;GRAL^FE_ESTIMATE(SALES,MEAN,NTMA,,43678,,,'')&lt;/Q&gt;&lt;R&gt;0&lt;/R&gt;&lt;C&gt;0&lt;/C&gt;&lt;/FQL&gt;&lt;FQL&gt;&lt;Q&gt;DGX^FE_ESTIMATE(SALES,MEAN,NTMA,,43678,,,'')&lt;/Q&gt;&lt;R&gt;1&lt;/R&gt;&lt;C&gt;1&lt;/C&gt;&lt;D xsi:type="xsd:double"&gt;7817.7593&lt;/D&gt;&lt;/FQL&gt;&lt;FQL&gt;&lt;Q&gt;LH^FE_ESTIMATE(SALES,MEAN,NTMA,,43678,,,'')&lt;/Q&gt;&lt;R&gt;1&lt;/R&gt;&lt;C&gt;1&lt;/C&gt;&lt;D xsi:type="xsd:double"&gt;11728.981&lt;/D&gt;&lt;/FQL&gt;&lt;FQL&gt;&lt;Q&gt;WGS^FE_ESTIMATE(SALES,MEAN,NTMA,,43678,,,'')&lt;/Q&gt;&lt;R&gt;0&lt;/R&gt;&lt;C&gt;0&lt;/C&gt;&lt;/FQL&gt;&lt;FQL&gt;&lt;Q&gt;VCYT^FE_ESTIMATE(SALES,MEAN,NTMA,,43678,,,'')&lt;/Q&gt;&lt;R&gt;1&lt;/R&gt;&lt;C&gt;1&lt;/C&gt;&lt;D xsi:type="xsd:double"&gt;128.36221&lt;/D&gt;&lt;/FQL&gt;&lt;FQL&gt;&lt;Q&gt;EXAS^FE_ESTIMATE(SALES,MEAN,NTMA,,43678,,,'')&lt;/Q&gt;&lt;R&gt;1&lt;/R&gt;&lt;C&gt;1&lt;/C&gt;&lt;D xsi:type="xsd:double"&gt;1018.6789&lt;/D&gt;&lt;/FQL&gt;&lt;FQL&gt;&lt;Q&gt;NEO^FE_ESTIMATE(SALES,MEAN,NTMA,,43678,,,'')&lt;/Q&gt;&lt;R&gt;1&lt;/R&gt;&lt;C&gt;1&lt;/C&gt;&lt;D xsi:type="xsd:double"&gt;427.59195&lt;/D&gt;&lt;/FQL&gt;&lt;FQL&gt;&lt;Q&gt;CDNA^FE_ESTIMATE(SALES,MEAN,NTMA,,43678,,,'')&lt;/Q&gt;&lt;R&gt;1&lt;/R&gt;&lt;C&gt;1&lt;/C&gt;&lt;D xsi:type="xsd:double"&gt;143.98166&lt;/D&gt;&lt;/FQL&gt;&lt;FQL&gt;&lt;Q&gt;MYGN^FE_ESTIMATE(SALES,MEAN,NTMA,,43678,,,'')&lt;/Q&gt;&lt;R&gt;1&lt;/R&gt;&lt;C&gt;1&lt;/C&gt;&lt;D xsi:type="xsd:double"&gt;914.08453&lt;/D&gt;&lt;/FQL&gt;&lt;FQL&gt;&lt;Q&gt;PSNL^FE_ESTIMATE(SALES,MEAN,NTMA,,43678,,,'')&lt;/Q&gt;&lt;R&gt;1&lt;/R&gt;&lt;C&gt;1&lt;/C&gt;&lt;D xsi:type="xsd:double"&gt;70.47472&lt;/D&gt;&lt;/FQL&gt;&lt;FQL&gt;&lt;Q&gt;FLGT^FE_ESTIMATE(SALES,MEAN,NTMA,,43678,,,'')&lt;/Q&gt;&lt;R&gt;1&lt;/R&gt;&lt;C&gt;1&lt;/C&gt;&lt;D xsi:type="xsd:double"&gt;30.345308&lt;/D&gt;&lt;/FQL&gt;&lt;FQL&gt;&lt;Q&gt;CAI^FE_ESTIMATE(SALES,MEAN,NTMA,,43678,,,'')&lt;/Q&gt;&lt;R&gt;0&lt;/R&gt;&lt;C&gt;0&lt;/C&gt;&lt;/FQL&gt;&lt;FQL&gt;&lt;Q&gt;TEM^FE_ESTIMATE(SALES,MEAN,NTMA,,43313,,,'')&lt;/Q&gt;&lt;R&gt;0&lt;/R&gt;&lt;C&gt;0&lt;/C&gt;&lt;/FQL&gt;&lt;FQL&gt;&lt;Q&gt;GH^FE_ESTIMATE(SALES,MEAN,NTMA,,43313,,,'')&lt;/Q&gt;&lt;R&gt;0&lt;/R&gt;&lt;C&gt;0&lt;/C&gt;&lt;/FQL&gt;&lt;FQL&gt;&lt;Q&gt;ADPT^FE_ESTIMATE(SALES,MEAN,NTMA,,43313,,,'')&lt;/Q&gt;&lt;R&gt;0&lt;/R&gt;&lt;C&gt;0&lt;/C&gt;&lt;/FQL&gt;&lt;FQL&gt;&lt;Q&gt;GRAL^FE_ESTIMATE(SALES,MEAN,NTMA,,43313,,,'')&lt;/Q&gt;&lt;R&gt;0&lt;/R&gt;&lt;C&gt;0&lt;/C&gt;&lt;/FQL&gt;&lt;FQL&gt;&lt;Q&gt;DGX^FE_ESTIMATE(SALES,MEAN,NTMA,,43313,,,'')&lt;/Q&gt;&lt;R&gt;1&lt;/R&gt;&lt;C&gt;1&lt;/C&gt;&lt;D xsi:type="xsd:double"&gt;7868.065&lt;/D&gt;&lt;/FQL&gt;&lt;FQL&gt;&lt;Q&gt;LH^FE_ESTIMATE(SALES,MEAN,NTMA,,43313,,,'')&lt;/Q&gt;&lt;R&gt;1&lt;/R&gt;&lt;C&gt;1&lt;/C&gt;&lt;D xsi:type="xsd:double"&gt;11648.083&lt;/D&gt;&lt;/FQL&gt;&lt;FQL&gt;&lt;Q&gt;WGS^FE_ESTIMATE(SALES,MEAN,NTMA,,43313,,,'')&lt;/Q&gt;&lt;R&gt;0&lt;/R&gt;&lt;C&gt;0&lt;/C&gt;&lt;/FQL&gt;&lt;FQL&gt;&lt;Q&gt;VCYT^FE_ESTIMATE(SALES,MEAN,NTMA,,43313,,,'')&lt;/Q&gt;&lt;R&gt;1&lt;/R&gt;&lt;C&gt;1&lt;/C&gt;&lt;D xsi:type="xsd:double"&gt;98.21239&lt;/D&gt;&lt;/FQL&gt;&lt;FQL&gt;&lt;Q&gt;EXAS^FE_ESTIMATE(SALES,MEAN,NTMA,,43313,,,'')&lt;/Q&gt;&lt;R&gt;1&lt;/R&gt;&lt;C&gt;1&lt;/C&gt;&lt;D xsi:type="xsd:double"&gt;546.1895&lt;/D&gt;&lt;/FQL&gt;&lt;FQL&gt;&lt;Q&gt;NEO^FE_ESTIMATE(SALES,MEAN,NTMA,,43313,,,'')&lt;/Q&gt;&lt;R&gt;1&lt;/R&gt;&lt;C&gt;1&lt;/C&gt;&lt;D xsi:type="xsd:double"&gt;284.58282&lt;/D&gt;&lt;/FQL&gt;&lt;FQL&gt;&lt;Q&gt;CDNA^FE_ESTIMATE(SALES,MEAN,NTMA,,43313,,,'')&lt;/Q&gt;&lt;R&gt;1&lt;/R&gt;&lt;C&gt;1&lt;/C&gt;&lt;D xsi:type="xsd:double"&gt;80.81034&lt;/D&gt;&lt;/FQL&gt;&lt;FQL&gt;&lt;Q&gt;MYGN^FE_ESTIMATE(SALES,MEAN,NTMA,,43313,,,'')&lt;/Q&gt;&lt;R&gt;1&lt;/R&gt;&lt;C&gt;1&lt;/C&gt;&lt;D xsi:type="xsd:double"&gt;784.2077&lt;/D&gt;&lt;/FQL&gt;&lt;FQL&gt;&lt;Q&gt;PSNL^FE_ESTIMATE(SALES,MEAN,NTMA,,43313,,,'')&lt;/Q&gt;&lt;R&gt;0&lt;/R&gt;&lt;C&gt;0&lt;/C&gt;&lt;/FQL&gt;&lt;FQL&gt;&lt;Q&gt;FLGT^FE_ESTIMATE(SALES,MEAN,NTMA,,43313,,,'')&lt;/Q&gt;&lt;R&gt;1&lt;/R&gt;&lt;C&gt;1&lt;/C&gt;&lt;D xsi:type="xsd:double"&gt;24.843424&lt;/D&gt;&lt;/FQL&gt;&lt;FQL&gt;&lt;Q&gt;CAI^FE_ESTIMATE(SALES,MEAN,NTMA,,43313,,,'')&lt;/Q&gt;&lt;R&gt;0&lt;/R&gt;&lt;C&gt;0&lt;/C&gt;&lt;/FQL&gt;&lt;FQL&gt;&lt;Q&gt;TEM^FE_ESTIMATE(SALES,MEAN,NTMA,,42948,,,'')&lt;/Q&gt;&lt;R&gt;0&lt;/R&gt;&lt;C&gt;0&lt;/C&gt;&lt;/FQL&gt;&lt;FQL&gt;&lt;Q&gt;GH^FE_ESTIMATE(SALES,MEAN,NTMA,,42948,,,'')&lt;/Q&gt;&lt;R&gt;0&lt;/R&gt;&lt;C&gt;0&lt;/C&gt;&lt;/FQL&gt;&lt;FQL&gt;&lt;Q&gt;ADPT^FE_ESTIMATE(SALES,MEAN,NTMA,,42948,,,'')&lt;/Q&gt;&lt;R&gt;0&lt;/R&gt;&lt;C&gt;0&lt;/C&gt;&lt;/FQL&gt;&lt;FQL&gt;&lt;Q&gt;GRAL^FE_ESTIMATE(SALES,MEAN,NTMA,,42948,,,'')&lt;/Q&gt;&lt;R&gt;0&lt;/R&gt;&lt;C&gt;0&lt;/C&gt;&lt;/FQL&gt;&lt;FQL&gt;&lt;Q&gt;DGX^FE_ESTIMATE(SALES,MEAN,NTMA,,42948,,,'')&lt;/Q&gt;&lt;R&gt;1&lt;/R&gt;&lt;C&gt;1&lt;/C&gt;&lt;D xsi:type="xsd:double"&gt;7811.2734&lt;/D&gt;&lt;/FQL&gt;&lt;FQL&gt;&lt;Q&gt;LH^FE_ESTIMATE(SALES,MEAN,NTMA,,42948,,,'')&lt;/Q&gt;&lt;R&gt;1&lt;/R&gt;&lt;C&gt;1&lt;/C&gt;&lt;D xsi:type="xsd:double"&gt;10285.258&lt;/D&gt;&lt;/FQL&gt;&lt;FQL&gt;&lt;Q&gt;WGS^FE_ESTIMATE(SALES,MEAN,NTMA,,42948,,,'')&lt;/Q&gt;&lt;R&gt;0&lt;/R&gt;&lt;C&gt;0&lt;/C&gt;&lt;/FQL&gt;&lt;FQL&gt;&lt;Q&gt;VCYT^FE_ESTIMATE(SALES,MEAN,NTMA,,42948,,,'')&lt;/Q&gt;&lt;R&gt;1&lt;/R&gt;&lt;C&gt;1&lt;/C&gt;&lt;D xsi:type="xsd:double"&gt;90.87732&lt;/D&gt;&lt;/FQL&gt;&lt;FQL&gt;&lt;Q&gt;EXAS^FE_ESTIMATE(SALES,MEAN,NTMA,,42948,,,'')&lt;/Q&gt;&lt;R&gt;1&lt;/R&gt;&lt;C&gt;1&lt;/C&gt;&lt;D xsi:type="xsd:double"&gt;320.82306&lt;/D&gt;&lt;/FQL&gt;&lt;FQL&gt;&lt;Q&gt;NEO^FE_ESTIMATE(SALES,MEAN,NTMA,,42948,,,'')&lt;/Q&gt;&lt;R&gt;1&lt;/R&gt;&lt;C&gt;1&lt;/C&gt;&lt;D xsi:type="xsd:double"&gt;278.89572&lt;/D&gt;&lt;/FQL&gt;&lt;FQL&gt;&lt;Q&gt;CDNA^FE_ESTIMATE(SALES,MEAN,NTMA,,42948,,,'')&lt;/Q&gt;&lt;R&gt;1&lt;/R&gt;&lt;C&gt;1&lt;/C&gt;&lt;D xsi:type="xsd:double"&gt;52.273952&lt;/D&gt;&lt;/FQL&gt;&lt;FQL&gt;&lt;Q&gt;MYGN^FE_ESTIMATE(SALES,MEAN,NTMA,,42948,,,'')&lt;/Q&gt;&lt;R&gt;1&lt;/R&gt;&lt;C&gt;1&lt;/C&gt;&lt;D xsi:type="xsd:double"&gt;790.6497&lt;/D&gt;&lt;/FQL&gt;&lt;FQL&gt;&lt;Q&gt;PSNL^FE_ESTIMATE(SALES,MEAN,NTMA,,42948,,,'')&lt;/Q&gt;&lt;R&gt;0&lt;/R&gt;&lt;C&gt;0&lt;/C&gt;&lt;/FQL&gt;&lt;FQL&gt;&lt;Q&gt;FLGT^FE_ESTIMATE(SALES,MEAN,NTMA,,42948,,,'')&lt;/Q&gt;&lt;R&gt;1&lt;/R&gt;&lt;C&gt;1&lt;/C&gt;&lt;D xsi:type="xsd:double"&gt;32.603924&lt;/D&gt;&lt;/FQL&gt;&lt;FQL&gt;&lt;Q&gt;CAI^FE_ESTIMATE(SALES,MEAN,NTMA,,42948,,,'')&lt;/Q&gt;&lt;R&gt;0&lt;/R&gt;&lt;C&gt;0&lt;/C&gt;&lt;/FQL&gt;&lt;FQL&gt;&lt;Q&gt;TEM^FE_ESTIMATE(SALES,MEAN,NTMA,,42583,,,'')&lt;/Q&gt;&lt;R&gt;0&lt;/R&gt;&lt;C&gt;0&lt;/C&gt;&lt;/FQL&gt;&lt;FQL&gt;&lt;Q&gt;GH^FE_ESTIMATE(SALES,MEAN,NTMA,,42583,,,'')&lt;/Q&gt;&lt;R&gt;0&lt;/R&gt;&lt;C&gt;0&lt;/C&gt;&lt;/FQL&gt;&lt;FQL&gt;&lt;Q&gt;ADPT^FE_ESTIMATE(SALES,MEAN,NTMA,,42583,,,'')&lt;/Q&gt;&lt;R&gt;0&lt;/R&gt;&lt;C&gt;0&lt;/C&gt;&lt;/FQL&gt;&lt;FQL&gt;&lt;Q&gt;GRAL^FE_ESTIMATE(SALES,MEAN,NTMA,,42583,,,'')&lt;/Q&gt;&lt;R&gt;0&lt;/R&gt;&lt;C&gt;0&lt;/C&gt;&lt;/FQL&gt;&lt;FQL&gt;&lt;Q&gt;DGX^FE_ESTIMATE(SALES,MEAN,NTMA,,42583,,,'')&lt;/Q&gt;&lt;R&gt;1&lt;/R&gt;&lt;C&gt;1&lt;/C&gt;&lt;D xsi:type="xsd:double"&gt;7593.561&lt;/D&gt;&lt;/FQL&gt;&lt;FQL&gt;&lt;Q&gt;LH^FE_ESTIMATE(SALES,MEAN,NTMA,,42583,,,'')&lt;/Q&gt;&lt;R&gt;1&lt;/R&gt;&lt;C&gt;1&lt;/C&gt;&lt;D xsi:type="xsd:double"&gt;9652.553&lt;/D&gt;&lt;/FQL&gt;&lt;FQL&gt;&lt;Q&gt;WGS^FE_ESTIMATE(SALES,MEAN,NTMA,,42583,,,'')&lt;/Q&gt;&lt;R&gt;0&lt;/R&gt;&lt;C&gt;0&lt;/C&gt;&lt;/FQL&gt;&lt;FQL&gt;&lt;Q&gt;VCYT^FE_ESTIMATE(SALES,MEAN,NTMA,,42583,,,'')&lt;/Q&gt;&lt;R&gt;1&lt;/R&gt;&lt;C&gt;1&lt;/C&gt;&lt;D xsi:type="xsd:double"&gt;71.98285&lt;/D&gt;&lt;/FQL&gt;&lt;FQL&gt;&lt;Q&gt;EXAS^FE_ESTIMATE(SALES,MEAN,NTMA,,42583,,,'')&lt;/Q&gt;&lt;R&gt;1&lt;/R&gt;&lt;C&gt;1&lt;/C&gt;&lt;D xsi:type="xsd:double"&gt;127.099655&lt;/D&gt;&lt;/FQL&gt;&lt;FQL&gt;&lt;Q&gt;NEO^FE_ESTIMATE(SALES,MEAN,NTMA,,42583,,,'')&lt;/Q&gt;&lt;R&gt;1&lt;/R&gt;&lt;C&gt;1&lt;/C&gt;&lt;D xsi:type="xsd:double"&gt;267.5498&lt;/D&gt;&lt;/FQL&gt;&lt;FQL&gt;&lt;Q&gt;CDNA^FE_ESTIMATE(SALES,MEAN,NTMA,,42583,,,'')&lt;/Q&gt;&lt;R&gt;1&lt;/R&gt;&lt;C&gt;1&lt;/C&gt;&lt;D xsi:type="xsd:double"&gt;47.62218&lt;/D&gt;&lt;/FQL&gt;&lt;FQL&gt;&lt;Q&gt;MYGN^FE_ESTIMATE(SALES,MEAN,NTMA,,42583,,,'')&lt;/Q&gt;&lt;R&gt;1&lt;/R&gt;&lt;C&gt;1&lt;/C&gt;&lt;D xsi:type="xsd:double"&gt;792.95074&lt;/D&gt;&lt;/FQL&gt;&lt;FQL&gt;&lt;Q&gt;PSNL^FE_ESTIMATE(SALES,MEAN,NTMA,,42583,,,'')&lt;/Q&gt;&lt;R&gt;0&lt;/R&gt;&lt;C&gt;0&lt;/C&gt;&lt;/FQL&gt;&lt;FQL&gt;&lt;Q&gt;FLGT^FE_ESTIMATE(SALES,MEAN,NTMA,,42583,,,'')&lt;/Q&gt;&lt;R&gt;0&lt;/R&gt;&lt;C&gt;0&lt;/C&gt;&lt;/FQL&gt;&lt;FQL&gt;&lt;Q&gt;CAI^FE_ESTIMATE(SALES,MEAN,NTMA,,42583,,,'')&lt;/Q&gt;&lt;R&gt;0&lt;/R&gt;&lt;C&gt;0&lt;/C&gt;&lt;/FQL&gt;&lt;FQL&gt;&lt;Q&gt;TEM^FE_ESTIMATE(SALES,MEAN,NTMA,,42218,,,'')&lt;/Q&gt;&lt;R&gt;0&lt;/R&gt;&lt;C&gt;0&lt;/C&gt;&lt;/FQL&gt;&lt;FQL&gt;&lt;Q&gt;GH^FE_ESTIMATE(SALES,MEAN,NTMA,,42218,,,'')&lt;/Q&gt;&lt;R&gt;0&lt;/R&gt;&lt;C&gt;0&lt;/C&gt;&lt;/FQL&gt;&lt;FQL&gt;&lt;Q&gt;ADPT^FE_ESTIMATE(SALES,MEAN,NTMA,,42218,,,'')&lt;/Q&gt;&lt;R&gt;0&lt;/R&gt;&lt;C&gt;0&lt;/C&gt;&lt;/FQL&gt;&lt;FQL&gt;&lt;Q&gt;GRAL^FE_ESTIMATE(SALES,MEAN,NTMA,,42218,,,'')&lt;/Q&gt;&lt;R&gt;0&lt;/R&gt;&lt;C&gt;0&lt;/C&gt;&lt;/FQL&gt;&lt;FQL&gt;&lt;Q&gt;DGX^FE_ESTIMATE(SALES,MEAN,NTMA,,42218,,,'')&lt;/Q&gt;&lt;R&gt;1&lt;/R&gt;&lt;C&gt;1&lt;/C&gt;&lt;D xsi:type="xsd:double"&gt;7594.071&lt;/D&gt;&lt;/FQL&gt;&lt;FQL&gt;&lt;Q&gt;LH^FE_ESTIMATE(SALES,MEAN,NTMA,,42218,,,'')&lt;/Q&gt;&lt;R&gt;1&lt;/R&gt;&lt;C&gt;1&lt;/C&gt;&lt;D xsi:type="xsd:double"&gt;8867.912&lt;/D&gt;&lt;/FQL&gt;&lt;FQL&gt;&lt;Q&gt;WGS^FE_ESTIMATE(SALES,MEAN,NTMA,,42218,,,'')&lt;/Q&gt;&lt;R&gt;0&lt;/R&gt;&lt;C&gt;0&lt;/C&gt;&lt;/FQL&gt;&lt;FQL&gt;&lt;Q&gt;VCYT^FE_ESTIMATE(SALES,MEAN,NTMA,,42218,,,'')&lt;/Q&gt;&lt;R&gt;1&lt;/R&gt;&lt;C&gt;1&lt;/C&gt;&lt;D xsi:type="xsd:double"&gt;59.300335&lt;/D&gt;&lt;/FQL&gt;&lt;FQL&gt;&lt;Q&gt;EXAS^FE_ESTIMATE(SALES,MEAN,NTMA,,42218,,,'')&lt;/Q&gt;&lt;R&gt;1&lt;/R&gt;&lt;C&gt;1&lt;/C&gt;&lt;D xsi:type="xsd:double"&gt;103.04109&lt;/D&gt;&lt;/FQL&gt;&lt;FQL&gt;&lt;Q&gt;NEO^FE_ESTIMATE(SALES,MEAN,NTMA,,42218,,,'')&lt;/Q&gt;&lt;R&gt;1&lt;/R&gt;&lt;C&gt;1&lt;/C&gt;&lt;D xsi:type="xsd:double"&gt;110.89684&lt;/D&gt;&lt;/FQL&gt;&lt;FQL&gt;&lt;Q&gt;CDNA^FE_ESTIMATE(SALES,MEAN,NTMA,,42218,,,'')&lt;/Q&gt;&lt;R&gt;1&lt;/R&gt;&lt;C&gt;1&lt;/C&gt;&lt;D xsi:type="xsd:double"&gt;32.44001&lt;/D&gt;&lt;/FQL&gt;&lt;FQL&gt;&lt;Q&gt;MYGN^FE_ESTIMATE(SALES,MEAN,NTMA,,42218,,,'')&lt;/Q&gt;&lt;R&gt;1&lt;/R&gt;&lt;C&gt;1&lt;/C&gt;&lt;D xsi:type="xsd:double"&gt;762.4464&lt;/D&gt;&lt;/FQL&gt;&lt;FQL&gt;&lt;Q&gt;PSNL^FE_ESTIMATE(SALES,MEAN,NTMA,,42218,,,'')&lt;/Q&gt;&lt;R&gt;0&lt;/R&gt;&lt;C&gt;0&lt;/C&gt;&lt;/FQL&gt;&lt;FQL&gt;&lt;Q&gt;FLGT^FE_ESTIMATE(SALES,MEAN,NTMA,,42218,,,'')&lt;/Q&gt;&lt;R&gt;0&lt;/R&gt;&lt;C&gt;0&lt;/C&gt;&lt;/FQL&gt;&lt;FQL&gt;&lt;Q&gt;CAI^FE_ESTIMATE(SALES,MEAN,NTMA,,42218,,,'')&lt;/Q&gt;&lt;R&gt;0&lt;/R&gt;&lt;C&gt;0&lt;/C&gt;&lt;/FQL&gt;&lt;FQL&gt;&lt;Q&gt;NTRA^FE_ESTIMATE(SALES,MEAN,NTMA,,,,,'')&lt;/Q&gt;&lt;R&gt;1&lt;/R&gt;&lt;C&gt;1&lt;/C&gt;&lt;D xsi:type="xsd:double"&gt;2187.9119&lt;/D&gt;&lt;/FQL&gt;&lt;FQL&gt;&lt;Q&gt;NTRA^"FE_ESTIMATE(SALES,MEAN,NTMA,,"&amp;amp;TODAY&amp;amp;",,,'')"&lt;/Q&gt;&lt;R&gt;1&lt;/R&gt;&lt;C&gt;1&lt;/C&gt;&lt;D xsi:type="xsd:string"&gt;#NUM&lt;/D&gt;&lt;/FQL&gt;&lt;FQL&gt;&lt;Q&gt;NTRA^FE_ESTIMATE(SALES,MEAN,NTMA,,TODAY,,,'')&lt;/Q&gt;&lt;R&gt;1&lt;/R&gt;&lt;C&gt;1&lt;/C&gt;&lt;D xsi:type="xsd:double"&gt;2187.9119&lt;/D&gt;&lt;/FQL&gt;&lt;FQL&gt;&lt;Q&gt;NTRA^FF_GROSS_INC(ANN_R,0)&lt;/Q&gt;&lt;R&gt;1&lt;/R&gt;&lt;C&gt;1&lt;/C&gt;&lt;D xsi:type="xsd:double"&gt;1023.158&lt;/D&gt;&lt;/FQL&gt;&lt;FQL&gt;&lt;Q&gt;NTRA^FE_ESTIMATE(SALES,MEAN,NTMA,,07/30/2025,,,'')&lt;/Q&gt;&lt;R&gt;1&lt;/R&gt;&lt;C&gt;1&lt;/C&gt;&lt;D xsi:type="xsd:double"&gt;2187.9119&lt;/D&gt;&lt;/FQL&gt;&lt;FQL&gt;&lt;Q&gt;NTRA^FE_ESTIMATE(GROSS_INC,MEAN,NTMA,,07/30/2025,,,'')&lt;/Q&gt;&lt;R&gt;1&lt;/R&gt;&lt;C&gt;1&lt;/C&gt;&lt;D xsi:type="xsd:double"&gt;1381.4352&lt;/D&gt;&lt;/FQL&gt;&lt;FQL&gt;&lt;Q&gt;NTRA^FE_ESTIMATE(GROSS_INC,MEAN,NTMA,,45868,,,'')&lt;/Q&gt;&lt;R&gt;1&lt;/R&gt;&lt;C&gt;1&lt;/C&gt;&lt;D xsi:type="xsd:double"&gt;1381.4352&lt;/D&gt;&lt;/FQL&gt;&lt;FQL&gt;&lt;Q&gt;NTRA^FE_ESTIMATE(GROSS_INC,MEAN,NTMA,,45503,,,'')&lt;/Q&gt;&lt;R&gt;1&lt;/R&gt;&lt;C&gt;1&lt;/C&gt;&lt;D xsi:type="xsd:double"&gt;872.1685&lt;/D&gt;&lt;/FQL&gt;&lt;FQL&gt;&lt;Q&gt;NTRA^FE_ESTIMATE(GROSS_INC,MEAN,NTMA,,45138,,,'')&lt;/Q&gt;&lt;R&gt;1&lt;/R&gt;&lt;C&gt;1&lt;/C&gt;&lt;D xsi:type="xsd:double"&gt;519.6703&lt;/D&gt;&lt;/FQL&gt;&lt;FQL&gt;&lt;Q&gt;NTRA^FE_ESTIMATE(GROSS_INC,MEAN,NTMA,,44773,,,'')&lt;/Q&gt;&lt;R&gt;1&lt;/R&gt;&lt;C&gt;1&lt;/C&gt;&lt;D xsi:type="xsd:double"&gt;442.05405&lt;/D&gt;&lt;/FQL&gt;&lt;FQL&gt;&lt;Q&gt;NTRA^FE_ESTIMATE(GROSS_INC,MEAN,NTMA,,44408,,,'')&lt;/Q&gt;&lt;R&gt;1&lt;/R&gt;&lt;C&gt;1&lt;/C&gt;&lt;D xsi:type="xsd:double"&gt;345.43726&lt;/D&gt;&lt;/FQL&gt;&lt;FQL&gt;&lt;Q&gt;NTRA^FE_ESTIMATE(GROSS_INC,MEAN,NTMA,,44043,,,'')&lt;/Q&gt;&lt;R&gt;1&lt;/R&gt;&lt;C&gt;1&lt;/C&gt;&lt;D xsi:type="xsd:double"&gt;170.69182&lt;/D&gt;&lt;/FQL&gt;&lt;FQL&gt;&lt;Q&gt;NTRA^FE_ESTIMATE(GROSS_INC,MEAN,NTMA,,43678,,,'')&lt;/Q&gt;&lt;R&gt;1&lt;/R&gt;&lt;C&gt;1&lt;/C&gt;&lt;D xsi:type="xsd:double"&gt;138.68051&lt;/D&gt;&lt;/FQL&gt;&lt;FQL&gt;&lt;Q&gt;NTRA^FE_ESTIMATE(GROSS_INC,MEAN,NTMA,,43313,,,'')&lt;/Q&gt;&lt;R&gt;1&lt;/R&gt;&lt;C&gt;1&lt;/C&gt;&lt;D xsi:type="xsd:double"&gt;128.17946&lt;/D&gt;&lt;/FQL&gt;&lt;FQL&gt;&lt;Q&gt;NTRA^FE_ESTIMATE(GROSS_INC,MEAN,NTMA,,42948,,,'')&lt;/Q&gt;&lt;R&gt;1&lt;/R&gt;&lt;C&gt;1&lt;/C&gt;&lt;D xsi:type="xsd:double"&gt;124.039734&lt;/D&gt;&lt;/FQL&gt;&lt;FQL&gt;&lt;Q&gt;NTRA^FE_ESTIMATE(GROSS_INC,MEAN,NTMA,,42583,,,'')&lt;/Q&gt;&lt;R&gt;1&lt;/R&gt;&lt;C&gt;1&lt;/C&gt;&lt;D xsi:type="xsd:double"&gt;108.0611&lt;/D&gt;&lt;/FQL&gt;&lt;FQL&gt;&lt;Q&gt;NTRA^FE_ESTIMATE(GROSS_INC,MEAN,NTMA,,42218,,,'')&lt;/Q&gt;&lt;R&gt;1&lt;/R&gt;&lt;C&gt;1&lt;/C&gt;&lt;D xsi:type="xsd:double"&gt;67.15696&lt;/D&gt;&lt;/FQL&gt;&lt;FQL&gt;&lt;Q&gt;TEM^FE_ESTIMATE(GROSS_INC,MEAN,NTMA,,45868,,,'')&lt;/Q&gt;&lt;R&gt;1&lt;/R&gt;&lt;C&gt;1&lt;/C&gt;&lt;D xsi:type="xsd:double"&gt;860.74945&lt;/D&gt;&lt;/FQL&gt;&lt;FQL&gt;&lt;Q&gt;GH^FE_ESTIMATE(GROSS_INC,MEAN,NTMA,,45868,,,'')&lt;/Q&gt;&lt;R&gt;1&lt;/R&gt;&lt;C&gt;1&lt;/C&gt;&lt;D xsi:type="xsd:double"&gt;628.0221&lt;/D&gt;&lt;/FQL&gt;&lt;FQL&gt;&lt;Q&gt;ADPT^FE_ESTIMATE(GROSS_INC,MEAN,NTMA,,45868,,,'')&lt;/Q&gt;&lt;R&gt;1&lt;/R&gt;&lt;C&gt;1&lt;/C&gt;&lt;D xsi:type="xsd:double"&gt;157.48479&lt;/D&gt;&lt;/FQL&gt;&lt;FQL&gt;&lt;Q&gt;GRAL^FE_ESTIMATE(GROSS_INC,MEAN,NTMA,,45868,,,'')&lt;/Q&gt;&lt;R&gt;1&lt;/R&gt;&lt;C&gt;1&lt;/C&gt;&lt;D xsi:type="xsd:double"&gt;80.38457&lt;/D&gt;&lt;/FQL&gt;&lt;FQL&gt;&lt;Q&gt;DGX^FE_ESTIMATE(GROSS_INC,MEAN,NTMA,,45868,,,'')&lt;/Q&gt;&lt;R&gt;1&lt;/R&gt;&lt;C&gt;1&lt;/C&gt;&lt;D xsi:type="xsd:double"&gt;3690.6611&lt;/D&gt;&lt;/FQL&gt;&lt;FQL&gt;&lt;Q&gt;LH^FE_ESTIMATE(GROSS_INC,MEAN,NTMA,,45868,,,'')&lt;/Q&gt;&lt;R&gt;1&lt;/R&gt;&lt;C&gt;1&lt;/C&gt;&lt;D xsi:type="xsd:double"&gt;4124.569&lt;/D&gt;&lt;/FQL&gt;&lt;FQL&gt;&lt;Q&gt;WGS^FE_ESTIMATE(GROSS_INC,MEAN,NTMA,,45868,,,'')&lt;/Q&gt;&lt;R&gt;1&lt;/R&gt;&lt;C&gt;1&lt;/C&gt;&lt;D xsi:type="xsd:double"&gt;311.038&lt;/D&gt;&lt;/FQL&gt;&lt;FQL&gt;&lt;Q&gt;VCYT^FE_ESTIMATE(GROSS_INC,MEAN,NTMA,,45868,,,'')&lt;/Q&gt;&lt;R&gt;1&lt;/R&gt;&lt;C&gt;1&lt;/C&gt;&lt;D xsi:type="xsd:double"&gt;373.63297&lt;/D&gt;&lt;/FQL&gt;&lt;FQL&gt;&lt;Q&gt;EXAS^FE_ESTIMATE(GROSS_INC,MEAN,NTMA,,45868,,,'')&lt;/Q&gt;&lt;R&gt;1&lt;/R&gt;&lt;C&gt;1&lt;/C&gt;&lt;D xsi:type="xsd:double"&gt;2451.2688&lt;/D&gt;&lt;/FQL&gt;&lt;FQL&gt;&lt;Q&gt;NEO^FE_ESTIMATE(GROSS_INC,MEAN,NTMA,,45868,,,'')&lt;/Q&gt;&lt;R&gt;1&lt;/R&gt;&lt;C&gt;1&lt;/C&gt;&lt;D xsi:type="xsd:double"&gt;345.51117&lt;/D&gt;&lt;/FQL&gt;&lt;FQL&gt;&lt;Q&gt;CDNA^FE_ESTIMATE(GROSS_INC,MEAN,NTMA,,45868,,,'')&lt;/Q&gt;&lt;R&gt;1&lt;/R&gt;&lt;C&gt;1&lt;/C&gt;&lt;D xsi:type="xsd:double"&gt;276.39893&lt;/D&gt;&lt;/FQL&gt;&lt;FQL&gt;&lt;Q&gt;MYGN^FE_ESTIMATE(GROSS_INC,MEAN,NTMA,,45868,,,'')&lt;/Q&gt;&lt;R&gt;1&lt;/R&gt;&lt;C&gt;1&lt;/C&gt;&lt;D xsi:type="xsd:double"&gt;583.85474&lt;/D&gt;&lt;/FQL&gt;&lt;FQL&gt;&lt;Q&gt;PSNL^FE_ESTIMATE(GROSS_INC,MEAN,NTMA,,45868,,,'')&lt;/Q&gt;&lt;R&gt;1&lt;/R&gt;&lt;C&gt;1&lt;/C&gt;&lt;D xsi:type="xsd:double"&gt;26.619083&lt;/D&gt;&lt;/FQL&gt;&lt;FQL&gt;&lt;Q&gt;FLGT^FE_ESTIMATE(GROSS_INC,MEAN,NTMA,,45868,,,'')&lt;/Q&gt;&lt;R&gt;1&lt;/R&gt;&lt;C&gt;1&lt;/C&gt;&lt;D xsi:type="xsd:double"&gt;132.85468&lt;/D&gt;&lt;/FQL&gt;&lt;FQL&gt;&lt;Q&gt;CAI^FE_ESTIMATE(GROSS_INC,MEAN,NTMA,,45868,,,'')&lt;/Q&gt;&lt;R&gt;1&lt;/R&gt;&lt;C&gt;1&lt;/C&gt;&lt;D xsi:type="xsd:double"&gt;500.47412&lt;/D&gt;&lt;/FQL&gt;&lt;FQL&gt;&lt;Q&gt;TEM^FE_ESTIMATE(GROSS_INC,MEAN,NTMA,,45503,,,'')&lt;/Q&gt;&lt;R&gt;1&lt;/R&gt;&lt;C&gt;1&lt;/C&gt;&lt;D xsi:type="xsd:double"&gt;471.5873&lt;/D&gt;&lt;/FQL&gt;&lt;FQL&gt;&lt;Q&gt;GH^FE_ESTIMATE(GROSS_INC,MEAN,NTMA,,45503,,,'')&lt;/Q&gt;&lt;R&gt;1&lt;/R&gt;&lt;C&gt;1&lt;/C&gt;&lt;D xsi:type="xsd:double"&gt;455.23468&lt;/D&gt;&lt;/FQL&gt;&lt;FQL&gt;&lt;Q&gt;ADPT^FE_ESTIMATE(GROSS_INC,MEAN,NTMA,,45503,,,'')&lt;/Q&gt;&lt;R&gt;1&lt;/R&gt;&lt;C&gt;1&lt;/C&gt;&lt;D xsi:type="xsd:double"&gt;109.1389&lt;/D&gt;&lt;/FQL&gt;&lt;FQL&gt;&lt;Q&gt;GRAL^FE_ESTIMATE(GROSS_INC,MEAN,NTMA,,45503,,,'')&lt;/Q&gt;&lt;R&gt;0&lt;/R&gt;&lt;C&gt;0&lt;/C&gt;&lt;/FQL&gt;&lt;FQL&gt;&lt;Q&gt;DGX^FE_ESTIMATE(GROSS_INC,MEAN,NTMA,,45503,,,'')&lt;/Q&gt;&lt;R&gt;1&lt;/R&gt;&lt;C&gt;1&lt;/C&gt;&lt;D xsi:type="xsd:double"&gt;3279.4272&lt;/D&gt;&lt;/FQL&gt;&lt;FQL&gt;&lt;Q&gt;LH^FE_ESTIMATE(GROSS_INC,MEAN,NTMA,,45503,,,'')&lt;/Q&gt;&lt;R&gt;1&lt;/R&gt;&lt;C&gt;1&lt;/C&gt;&lt;D xsi:type="xsd:double"&gt;3750.1326&lt;/D&gt;&lt;/FQL&gt;&lt;FQL&gt;&lt;Q&gt;WGS^FE_ESTIMATE(GROSS_INC,MEAN,NTMA,,45503,,,'')&lt;/Q&gt;&lt;R&gt;1&lt;/R&gt;&lt;C&gt;1&lt;/C&gt;&lt;D xsi:type="xsd:double"&gt;161.01376&lt;/D&gt;&lt;/FQL&gt;&lt;FQL&gt;&lt;Q&gt;VCYT^FE_ESTIMATE(GROSS_INC,MEAN,NTMA,,45503,,,'')&lt;/Q&gt;&lt;R&gt;1&lt;/R&gt;&lt;C&gt;1&lt;/C&gt;&lt;D xsi:type="xsd:double"&gt;294.64984&lt;/D&gt;&lt;/FQL&gt;&lt;FQL&gt;&lt;Q&gt;EXAS^FE_ESTIMATE(GROSS_INC,MEAN,NTMA,,45503,,,'')&lt;/Q&gt;&lt;R&gt;1&lt;/R&gt;&lt;C&gt;1&lt;/C&gt;&lt;D xsi:type="xsd:double"&gt;2267.888&lt;/D&gt;&lt;/FQL&gt;&lt;FQL&gt;&lt;Q&gt;NEO^FE_ESTIMATE(GROSS_INC,MEAN,NTMA,,45503,,,'')&lt;/Q&gt;&lt;R&gt;1&lt;/R&gt;&lt;C&gt;1&lt;/C&gt;&lt;D xsi:type="xsd:double"&gt;310.274&lt;/D&gt;&lt;/FQL&gt;&lt;FQL&gt;&lt;Q&gt;CDNA^FE_ESTIMATE(GROSS_INC,MEAN,NTMA,,45503,,,'')&lt;/Q&gt;&lt;R&gt;1&lt;/R&gt;&lt;C&gt;1&lt;/C&gt;&lt;D xsi:type="xsd:double"&gt;189.67729&lt;/D&gt;&lt;/FQL&gt;&lt;FQL&gt;&lt;Q&gt;MYGN^FE_ESTIMATE(GROSS_INC,MEAN,NTMA,,45503,,,'')&lt;/Q&gt;&lt;R&gt;1&lt;/R&gt;&lt;C&gt;1&lt;/C&gt;&lt;D xsi:type="xsd:double"&gt;609.8358&lt;/D&gt;&lt;/FQL&gt;&lt;FQL&gt;&lt;Q&gt;PSNL^FE_ESTIMATE(GROSS_INC,MEAN,NTMA,,45503,,,'')&lt;/Q&gt;&lt;R&gt;1&lt;/R&gt;&lt;C&gt;1&lt;/C&gt;&lt;D xsi:type="xsd:double"&gt;24.852606&lt;/D&gt;&lt;/FQL&gt;&lt;FQL&gt;&lt;Q&gt;FLGT^FE_ESTIMATE(GROSS_INC,MEAN,NTMA,,45503,,,'')&lt;/Q&gt;&lt;R&gt;1&lt;/R&gt;&lt;C&gt;1&lt;/C&gt;&lt;D xsi:type="xsd:double"&gt;122.35754&lt;/D&gt;&lt;/FQL&gt;&lt;FQL&gt;&lt;Q&gt;CAI^FE_ESTIMATE(GROSS_INC,MEAN,NTMA,,45503,,,'')&lt;/Q&gt;&lt;R&gt;0&lt;/R&gt;&lt;C&gt;0&lt;/C&gt;&lt;/FQL&gt;&lt;FQL&gt;&lt;Q&gt;TEM^FE_ESTIMATE(GROSS_INC,MEAN,NTMA,,45138,,,'')&lt;/Q&gt;&lt;R&gt;0&lt;/R&gt;&lt;C&gt;0&lt;/C&gt;&lt;/FQL&gt;&lt;FQL&gt;&lt;Q&gt;GH^FE_ESTIMATE(GROSS_INC,MEAN,NTMA,,45138,,,'')&lt;/Q&gt;&lt;R&gt;1&lt;/R&gt;&lt;C&gt;1&lt;/C&gt;&lt;D xsi:type="xsd:double"&gt;384.0531&lt;/D&gt;&lt;/FQL&gt;&lt;FQL&gt;&lt;Q&gt;ADPT^FE_ESTIMATE(GROSS_INC,MEAN,NTMA,,45138,,,'')&lt;/Q&gt;&lt;R&gt;1&lt;/R&gt;&lt;C&gt;1&lt;/C&gt;&lt;D xsi:type="xsd:double"&gt;168.55334&lt;/D&gt;&lt;/FQL&gt;&lt;FQL&gt;&lt;Q&gt;GRAL^FE_ESTIMATE(GROSS_INC,MEAN,NTMA,,45138,,,'')&lt;/Q&gt;&lt;R&gt;0&lt;/R&gt;&lt;C&gt;0&lt;/C&gt;&lt;/FQL&gt;&lt;FQL&gt;&lt;Q&gt;DGX^FE_ESTIMATE(GROSS_INC,MEAN,NTMA,,45138,,,'')&lt;/Q&gt;&lt;R&gt;1&lt;/R&gt;&lt;C&gt;1&lt;/C&gt;&lt;D xsi:type="xsd:double"&gt;3175.5576&lt;/D&gt;&lt;/FQL&gt;&lt;FQL&gt;&lt;Q&gt;LH^FE_ESTIMATE(GROSS_INC,MEAN,NTMA,,45138,,,'')&lt;/Q&gt;&lt;R&gt;1&lt;/R&gt;&lt;C&gt;1&lt;/C&gt;&lt;D xsi:type="xsd:double"&gt;3903.2344&lt;/D&gt;&lt;/FQL&gt;&lt;FQL&gt;&lt;Q&gt;WGS^FE_ESTIMATE(GROSS_INC,MEAN,NTMA,,45138,,,'')&lt;/Q&gt;&lt;R&gt;1&lt;/R&gt;&lt;C&gt;1&lt;/C&gt;&lt;D xsi:type="xsd:double"&gt;96.18552&lt;/D&gt;&lt;/FQL&gt;&lt;FQL&gt;&lt;Q&gt;VCYT^FE_ESTIMATE(GROSS_INC,MEAN,NTMA,,45138,,,'')&lt;/Q&gt;&lt;R&gt;1&lt;/R&gt;&lt;C&gt;1&lt;/C&gt;&lt;D xsi:type="xsd:double"&gt;237.09427&lt;/D&gt;&lt;/FQL&gt;&lt;FQL&gt;&lt;Q&gt;EXAS^FE_ESTIMATE(GROSS_INC,MEAN,NTMA,,45138,,,'')&lt;/Q&gt;&lt;R&gt;1&lt;/R&gt;&lt;C&gt;1&lt;/C&gt;&lt;D xsi:type="xsd:double"&gt;1945.3486&lt;/D&gt;&lt;/FQL&gt;&lt;FQL&gt;&lt;Q&gt;NEO^FE_ESTIMATE(GROSS_INC,MEAN,NTMA,,45138,,,'')&lt;/Q&gt;&lt;R&gt;1&lt;/R&gt;&lt;C&gt;1&lt;/C&gt;&lt;D xsi:type="xsd:double"&gt;249.30524&lt;/D&gt;&lt;/FQL&gt;&lt;FQL&gt;&lt;Q&gt;CDNA^FE_ESTIMATE(GROSS_INC,MEAN,NTMA,,45138,,,'')&lt;/Q&gt;&lt;R&gt;1&lt;/R&gt;&lt;C&gt;1&lt;/C&gt;&lt;D xsi:type="xsd:double"&gt;158.97498&lt;/D&gt;&lt;/FQL&gt;&lt;FQL&gt;&lt;Q&gt;MYGN^FE_ESTIMATE(GROSS_INC,MEAN,NTMA,,45138,,,'')&lt;/Q&gt;&lt;R&gt;1&lt;/R&gt;&lt;C&gt;1&lt;/C&gt;&lt;D xsi:type="xsd:double"&gt;541.6019&lt;/D&gt;&lt;/FQL&gt;&lt;FQL&gt;&lt;Q&gt;PSNL^FE_ESTIMATE(GROSS_INC,MEAN,NTMA,,45138,,,'')&lt;/Q&gt;&lt;R&gt;1&lt;/R&gt;&lt;C&gt;1&lt;/C&gt;&lt;D xsi:type="xsd:double"&gt;15.875756&lt;/D&gt;&lt;/FQL&gt;&lt;FQL&gt;&lt;Q&gt;FLGT^FE_ESTIMATE(GROSS_INC,MEAN,NTMA,,45138,,,'')&lt;/Q&gt;&lt;R&gt;1&lt;/R&gt;&lt;C&gt;1&lt;/C&gt;&lt;D xsi:type="xsd:double"&gt;101.7578&lt;/D&gt;&lt;/FQL&gt;&lt;FQL&gt;&lt;Q&gt;CAI^FE_ESTIMATE(GROSS_INC,MEAN,NTMA,,45138,,,'')&lt;/Q&gt;&lt;R&gt;0&lt;/R&gt;&lt;C&gt;0&lt;/C&gt;&lt;/FQL&gt;&lt;FQL&gt;&lt;Q&gt;TEM^FE_ESTIMATE(GROSS_INC,MEAN,NTMA,,44773,,,'')&lt;/Q&gt;&lt;R&gt;0&lt;/R&gt;&lt;C&gt;0&lt;/C&gt;&lt;/FQL&gt;&lt;FQL&gt;&lt;Q&gt;GH^FE_ESTIMATE(GROSS_INC,MEAN,NTMA,,44773,,,'')&lt;/Q&gt;&lt;R&gt;1&lt;/R&gt;&lt;C&gt;1&lt;/C&gt;&lt;D xsi:type="xsd:double"&gt;370.2663&lt;/D&gt;&lt;/FQL&gt;&lt;FQL&gt;&lt;Q&gt;ADPT^FE_ESTIMATE(GROSS_INC,MEAN,NTMA,,44773,,,'')&lt;/Q&gt;&lt;R&gt;1&lt;/R&gt;&lt;C&gt;1&lt;/C&gt;&lt;D xsi:type="xsd:double"&gt;149.14383&lt;/D&gt;&lt;/FQL&gt;&lt;FQL&gt;&lt;Q&gt;GRAL^FE_ESTIMATE(GROSS_INC,MEAN,NTMA,,44773,,,'')&lt;/Q&gt;&lt;R&gt;0&lt;/R&gt;&lt;C&gt;0&lt;/C&gt;&lt;/FQL&gt;&lt;FQL&gt;&lt;Q&gt;DGX^FE_ESTIMATE(GROSS_INC,MEAN,NTMA,,44773,,,'')&lt;/Q&gt;&lt;R&gt;1&lt;/R&gt;&lt;C&gt;1&lt;/C&gt;&lt;D xsi:type="xsd:double"&gt;3232.2695&lt;/D&gt;&lt;/FQL&gt;&lt;FQL&gt;&lt;Q&gt;LH^FE_ESTIMATE(GROSS_INC,MEAN,NTMA,,44773,,,'')&lt;/Q&gt;&lt;R&gt;1&lt;/R&gt;&lt;C&gt;1&lt;/C&gt;&lt;D xsi:type="xsd:double"&gt;4428.223&lt;/D&gt;&lt;/FQL&gt;&lt;FQL&gt;&lt;Q&gt;WGS^FE_ESTIMATE(GROSS_INC,MEAN,NTMA,,44773,,,'')&lt;/Q&gt;&lt;R&gt;1&lt;/R&gt;&lt;C&gt;1&lt;/C&gt;&lt;D xsi:type="xsd:double"&gt;92.938354&lt;/D&gt;&lt;/FQL&gt;&lt;FQL&gt;&lt;Q&gt;VCYT^FE_ESTIMATE(GROSS_INC,MEAN,NTMA,,44773,,,'')&lt;/Q&gt;&lt;R&gt;1&lt;/R&gt;&lt;C&gt;1&lt;/C&gt;&lt;D xsi:type="xsd:double"&gt;193.502&lt;/D&gt;&lt;/FQL&gt;&lt;FQL&gt;&lt;Q&gt;EXAS^FE_ESTIMATE(GROSS_INC,MEAN,NTMA,,44773,,,'')&lt;/Q&gt;&lt;R&gt;1&lt;/R&gt;&lt;C&gt;1&lt;/C&gt;&lt;D xsi:type="xsd:double"&gt;1648.9205&lt;/D&gt;&lt;/FQL&gt;&lt;FQL&gt;&lt;Q&gt;NEO^FE_ESTIMATE(GROSS_INC,MEAN,NTMA,,44773,,,'')&lt;/Q&gt;&lt;R&gt;1&lt;/R&gt;&lt;C&gt;1&lt;/C&gt;&lt;D xsi:type="xsd:double"&gt;209.88637&lt;/D&gt;&lt;/FQL&gt;&lt;FQL&gt;&lt;Q&gt;CDNA^FE_ESTIMATE(GROSS_INC,MEAN,NTMA,,44773,,,'')&lt;/Q&gt;&lt;R&gt;1&lt;/R&gt;&lt;C&gt;1&lt;/C&gt;&lt;D xsi:type="xsd:double"&gt;246.82863&lt;/D&gt;&lt;/FQL&gt;&lt;FQL&gt;&lt;Q&gt;MYGN^FE_ESTIMATE(GROSS_INC,MEAN,NTMA,,44773,,,'')&lt;/Q&gt;&lt;R&gt;1&lt;/R&gt;&lt;C&gt;1&lt;/C&gt;&lt;D xsi:type="xsd:double"&gt;509.60037&lt;/D&gt;&lt;/FQL&gt;&lt;FQL&gt;&lt;Q&gt;PSNL^FE_ESTIMATE(GROSS_INC,MEAN,NTMA,,44773,,,'')&lt;/Q&gt;&lt;R&gt;1&lt;/R&gt;&lt;C&gt;1&lt;/C&gt;&lt;D xsi:type="xsd:double"&gt;24.138474&lt;/D&gt;&lt;/FQL&gt;&lt;FQL&gt;&lt;Q&gt;FLGT^FE_ESTIMATE(GROSS_INC,MEAN,NTMA,,44773,,,'')&lt;/Q&gt;&lt;R&gt;1&lt;/R&gt;&lt;C&gt;1&lt;/C&gt;&lt;D xsi:type="xsd:double"&gt;338.9726&lt;/D&gt;&lt;/FQL&gt;&lt;FQL&gt;&lt;Q&gt;CAI^FE_ESTIMATE(GROSS_INC,MEAN,NTMA,,44773,,,'')&lt;/Q&gt;&lt;R&gt;0&lt;/R&gt;&lt;C&gt;0&lt;/C&gt;&lt;/FQL&gt;&lt;FQL&gt;&lt;Q&gt;TEM^FE_ESTIMATE(GROSS_INC,MEAN,NTMA,,44408,,,'')&lt;/Q&gt;&lt;R&gt;0&lt;/R&gt;&lt;C&gt;0&lt;/C&gt;&lt;/FQL&gt;&lt;FQL&gt;&lt;Q&gt;GH^FE_ESTIMATE(GROSS_INC,MEAN,NTMA,,44408,,,'')&lt;/Q&gt;&lt;R&gt;1&lt;/R&gt;&lt;C&gt;1&lt;/C&gt;&lt;D xsi:type="xsd:double"&gt;303.74295&lt;/D&gt;&lt;/FQL&gt;&lt;FQL&gt;&lt;Q&gt;ADPT^FE_ESTIMATE(GROSS_INC,MEAN,NTMA,,44408,,,'')&lt;/Q&gt;&lt;R&gt;1&lt;/R&gt;&lt;C&gt;1&lt;/C&gt;&lt;D xsi:type="xsd:double"&gt;138.76054&lt;/D&gt;&lt;/FQL&gt;&lt;FQL&gt;&lt;Q&gt;GRAL^FE_ESTIMATE(GROSS_INC,MEAN,NTMA,,44408,,,'')&lt;/Q&gt;&lt;R&gt;0&lt;/R&gt;&lt;C&gt;0&lt;/C&gt;&lt;/FQL&gt;&lt;FQL&gt;&lt;Q&gt;DGX^FE_ESTIMATE(GROSS_INC,MEAN,NTMA,,44408,,,'')&lt;/Q&gt;&lt;R&gt;1&lt;/R&gt;&lt;C&gt;1&lt;/C&gt;&lt;D xsi:type="xsd:double"&gt;3298.3623&lt;/D&gt;&lt;/FQL&gt;&lt;FQL&gt;&lt;Q&gt;LH^FE_ESTIMATE(GROSS_INC,MEAN,NTMA,,44408,,,'')&lt;/Q&gt;&lt;R&gt;1&lt;/R&gt;&lt;C&gt;1&lt;/C&gt;&lt;D xsi:type="xsd:double"&gt;4377.4043&lt;/D&gt;&lt;/FQL&gt;&lt;FQL&gt;&lt;Q&gt;WGS^FE_ESTIMATE(GROSS_INC,MEAN,NTMA,,44408,,,'')&lt;/Q&gt;&lt;R&gt;0&lt;/R&gt;&lt;C&gt;0&lt;/C&gt;&lt;/FQL&gt;&lt;FQL&gt;&lt;Q&gt;VCYT^FE_ESTIMATE(GROSS_INC,MEAN,NTMA,,44408,,,'')&lt;/Q&gt;&lt;R&gt;1&lt;/R&gt;&lt;C&gt;1&lt;/C&gt;&lt;D xsi:type="xsd:double"&gt;157.71803&lt;/D&gt;&lt;/FQL&gt;&lt;FQL&gt;&lt;Q&gt;EXAS^FE_ESTIMATE(GROSS_INC,MEAN,NTMA,,44408,,,'')&lt;/Q&gt;&lt;R&gt;1&lt;/R&gt;&lt;C&gt;1&lt;/C&gt;&lt;D xsi:type="xsd:double"&gt;1480.9913&lt;/D&gt;&lt;/FQL&gt;&lt;FQL&gt;&lt;Q&gt;NEO^FE_ESTIMATE(GROSS_INC,MEAN,NTMA,,44408,,,'')&lt;/Q&gt;&lt;R&gt;1&lt;/R&gt;&lt;C&gt;1&lt;/C&gt;&lt;D xsi:type="xsd:double"&gt;241.10797&lt;/D&gt;&lt;/FQL&gt;&lt;FQL&gt;&lt;Q&gt;CDNA^FE_ESTIMATE(GROSS_INC,MEAN,NTMA,,44408,,,'')&lt;/Q&gt;&lt;R&gt;1&lt;/R&gt;&lt;C&gt;1&lt;/C&gt;&lt;D xsi:type="xsd:double"&gt;220.41006&lt;/D&gt;&lt;/FQL&gt;&lt;FQL&gt;&lt;Q&gt;MYGN^FE_ESTIMATE(GROSS_INC,MEAN,NTMA,,44408,,,'')&lt;/Q&gt;&lt;R&gt;1&lt;/R&gt;&lt;C&gt;1&lt;/C&gt;&lt;D xsi:type="xsd:double"&gt;475.33496&lt;/D&gt;&lt;/FQL&gt;&lt;FQL&gt;&lt;Q&gt;PSNL^FE_ESTIMATE(GROSS_INC,MEAN,NTMA,,44408,,,'')&lt;/Q&gt;&lt;R&gt;1&lt;/R&gt;&lt;C&gt;1&lt;/C&gt;&lt;D xsi:type="xsd:double"&gt;30.042967&lt;/D&gt;&lt;/FQL&gt;&lt;FQL&gt;&lt;Q&gt;FLGT^FE_ESTIMATE(GROSS_INC,MEAN,NTMA,,44408,,,'')&lt;/Q&gt;&lt;R&gt;1&lt;/R&gt;&lt;C&gt;1&lt;/C&gt;&lt;D xsi:type="xsd:double"&gt;408.4002&lt;/D&gt;&lt;/FQL&gt;&lt;FQL&gt;&lt;Q&gt;CAI^FE_ESTIMATE(GROSS_INC,MEAN,NTMA,,44408,,,'')&lt;/Q&gt;&lt;R&gt;0&lt;/R&gt;&lt;C&gt;0&lt;/C&gt;&lt;/FQL&gt;&lt;FQL&gt;&lt;Q&gt;TEM^FE_ESTIMATE(GROSS_INC,MEAN,NTMA,,44043,,,'')&lt;/Q&gt;&lt;R&gt;0&lt;/R&gt;&lt;C&gt;0&lt;/C&gt;&lt;/FQL&gt;&lt;FQL&gt;&lt;Q&gt;GH^FE_ESTIMATE(GROSS_INC,MEAN,NTMA,,44043,,,'')&lt;/Q&gt;&lt;R&gt;1&lt;/R&gt;&lt;C&gt;1&lt;/C&gt;&lt;D xsi:type="xsd:double"&gt;233.39998&lt;/D&gt;&lt;/FQL&gt;&lt;FQL&gt;&lt;Q&gt;ADPT^FE_ESTIMATE(GROSS_INC,MEAN,NTMA,,44043,,,'')&lt;/Q&gt;&lt;R&gt;1&lt;/R&gt;&lt;C&gt;1&lt;/C&gt;&lt;D xsi:type="xsd:double"&gt;101.23264&lt;/D&gt;&lt;/FQL&gt;&lt;FQL&gt;&lt;Q&gt;GRAL^FE_ESTIMATE(GROSS_INC,MEAN,NTMA,,44043,,,'')&lt;/Q&gt;&lt;R&gt;0&lt;/R&gt;&lt;C&gt;0&lt;/C&gt;&lt;/FQL&gt;&lt;FQL&gt;&lt;Q&gt;DGX^FE_ESTIMATE(GROSS_INC,MEAN,NTMA,,44043,,,'')&lt;/Q&gt;&lt;R&gt;1&lt;/R&gt;&lt;C&gt;1&lt;/C&gt;&lt;D xsi:type="xsd:double"&gt;3182.8787&lt;/D&gt;&lt;/FQL&gt;&lt;FQL&gt;&lt;Q&gt;LH^FE_ESTIMATE(GROSS_INC,MEAN,NTMA,,44043,,,'')&lt;/Q&gt;&lt;R&gt;1&lt;/R&gt;&lt;C&gt;1&lt;/C&gt;&lt;D xsi:type="xsd:double"&gt;3788.983&lt;/D&gt;&lt;/FQL&gt;&lt;FQL&gt;&lt;Q&gt;WGS^FE_ESTIMATE(GROSS_INC,MEAN,NTMA,,44043,,,'')&lt;/Q&gt;&lt;R&gt;0&lt;/R&gt;&lt;C&gt;0&lt;/C&gt;&lt;/FQL&gt;&lt;FQL&gt;&lt;Q&gt;VCYT^FE_ESTIMATE(GROSS_INC,MEAN,NTMA,,44043,,,'')&lt;/Q&gt;&lt;R&gt;1&lt;/R&gt;&lt;C&gt;1&lt;/C&gt;&lt;D xsi:type="xsd:double"&gt;86.58684&lt;/D&gt;&lt;/FQL&gt;&lt;FQL&gt;&lt;Q&gt;EXAS^FE_ESTIMATE(GROSS_INC,MEAN,NTMA,,44043,,,'')&lt;/Q&gt;&lt;R&gt;1&lt;/R&gt;&lt;C&gt;1&lt;/C&gt;&lt;D xsi:type="xsd:double"&gt;1208.2507&lt;/D&gt;&lt;/FQL&gt;&lt;FQL&gt;&lt;Q&gt;NEO^FE_ESTIMATE(GROSS_INC,MEAN,NTMA,,44043,,,'')&lt;/Q&gt;&lt;R&gt;1&lt;/R&gt;&lt;C&gt;1&lt;/C&gt;&lt;D xsi:type="xsd:double"&gt;228.38474&lt;/D&gt;&lt;/FQL&gt;&lt;FQL&gt;&lt;Q&gt;CDNA^FE_ESTIMATE(GROSS_INC,MEAN,NTMA,,44043,,,'')&lt;/Q&gt;&lt;R&gt;1&lt;/R&gt;&lt;C&gt;1&lt;/C&gt;&lt;D xsi:type="xsd:double"&gt;121.950645&lt;/D&gt;&lt;/FQL&gt;&lt;FQL&gt;&lt;Q&gt;MYGN^FE_ESTIMATE(GROSS_INC,MEAN,NTMA,,44043,,,'')&lt;/Q&gt;&lt;R&gt;1&lt;/R&gt;&lt;C&gt;1&lt;/C&gt;&lt;D xsi:type="xsd:double"&gt;512.464&lt;/D&gt;&lt;/FQL&gt;&lt;FQL&gt;&lt;Q&gt;PSNL^FE_ESTIMATE(GROSS_INC,MEAN,NTMA,,44043,,,'')&lt;/Q&gt;&lt;R&gt;1&lt;/R&gt;&lt;C&gt;1&lt;/C&gt;&lt;D xsi:type="xsd:double"&gt;22.025616&lt;/D&gt;&lt;/FQL&gt;&lt;FQL&gt;&lt;Q&gt;FLGT^FE_ESTIMATE(GROSS_INC,MEAN,NTMA,,44043,,,'')&lt;/Q&gt;&lt;R&gt;1&lt;/R&gt;&lt;C&gt;1&lt;/C&gt;&lt;D xsi:type="xsd:double"&gt;33.12688&lt;/D&gt;&lt;/FQL&gt;&lt;FQL&gt;&lt;Q&gt;CAI^FE_ESTIMATE(GROSS_INC,MEAN,NTMA,,44043,,,'')&lt;/Q&gt;&lt;R&gt;0&lt;/R&gt;&lt;C&gt;0&lt;/C&gt;&lt;/FQL&gt;&lt;FQL&gt;&lt;Q&gt;TEM^FE_ESTIMATE(GROSS_INC,MEAN,NTMA,,43678,,,'')&lt;/Q&gt;&lt;R&gt;0&lt;/R&gt;&lt;C&gt;0&lt;/C&gt;&lt;/FQL&gt;&lt;FQL&gt;&lt;Q&gt;GH^FE_ESTIMATE(GROSS_INC,MEAN,NTMA,,43678,,,'')&lt;/Q&gt;&lt;R&gt;1&lt;/R&gt;&lt;C&gt;1&lt;/C&gt;&lt;D xsi:type="xsd:double"&gt;110.59056&lt;/D&gt;&lt;/FQL&gt;&lt;FQL&gt;&lt;Q&gt;ADPT^FE_ESTIMATE(GROSS_INC,MEAN,NTMA,,43678,,,'')&lt;/Q&gt;&lt;R&gt;1&lt;/R&gt;&lt;C&gt;1&lt;/C&gt;&lt;D xsi:type="xsd:double"&gt;75.54649&lt;/D&gt;&lt;/FQL&gt;&lt;FQL&gt;&lt;Q&gt;GRAL^FE_ESTIMATE(GROSS_INC,MEAN,NTMA,,43678,,,'')&lt;/Q&gt;&lt;R&gt;0&lt;/R&gt;&lt;C&gt;0&lt;/C&gt;&lt;/FQL&gt;&lt;FQL&gt;&lt;Q&gt;DGX^FE_ESTIMATE(GROSS_INC,MEAN,NTMA,,43678,,,'')&lt;/Q&gt;&lt;R&gt;1&lt;/R&gt;&lt;C&gt;1&lt;/C&gt;&lt;D xsi:type="xsd:double"&gt;2751.1863&lt;/D&gt;&lt;/FQL&gt;&lt;FQL&gt;&lt;Q&gt;LH^FE_ESTIMATE(GROSS_INC,MEAN,NTMA,,43678,,,'')&lt;/Q&gt;&lt;R&gt;1&lt;/R&gt;&lt;C&gt;1&lt;/C&gt;&lt;D xsi:type="xsd:double"&gt;3276.9248&lt;/D&gt;&lt;/FQL&gt;&lt;FQL&gt;&lt;Q&gt;WGS^FE_ESTIMATE(GROSS_INC,MEAN,NTMA,,43678,,,'')&lt;/Q&gt;&lt;R&gt;0&lt;/R&gt;&lt;C&gt;0&lt;/C&gt;&lt;/FQL&gt;&lt;FQL&gt;&lt;Q&gt;VCYT^FE_ESTIMATE(GROSS_INC,MEAN,NTMA,,43678,,,'')&lt;/Q&gt;&lt;R&gt;1&lt;/R&gt;&lt;C&gt;1&lt;/C&gt;&lt;D xsi:type="xsd:double"&gt;87.68547&lt;/D&gt;&lt;/FQL&gt;&lt;FQL&gt;&lt;Q&gt;EXAS^FE_ESTIMATE(GROSS_INC,MEAN,NTMA,,43678,,,'')&lt;/Q&gt;&lt;R&gt;1&lt;/R&gt;&lt;C&gt;1&lt;/C&gt;&lt;D xsi:type="xsd:double"&gt;746.9132&lt;/D&gt;&lt;/FQL&gt;&lt;FQL&gt;&lt;Q&gt;NEO^FE_ESTIMATE(GROSS_INC,MEAN,NTMA,,43678,,,'')&lt;/Q&gt;&lt;R&gt;1&lt;/R&gt;&lt;C&gt;1&lt;/C&gt;&lt;D xsi:type="xsd:double"&gt;208.38928&lt;/D&gt;&lt;/FQL&gt;&lt;FQL&gt;&lt;Q&gt;CDNA^FE_ESTIMATE(GROSS_INC,MEAN,NTMA,,43678,,,'')&lt;/Q&gt;&lt;R&gt;1&lt;/R&gt;&lt;C&gt;1&lt;/C&gt;&lt;D xsi:type="xsd:double"&gt;93.34355&lt;/D&gt;&lt;/FQL&gt;&lt;FQL&gt;&lt;Q&gt;MYGN^FE_ESTIMATE(GROSS_INC,MEAN,NTMA,,43678,,,'')&lt;/Q&gt;&lt;R&gt;1&lt;/R&gt;&lt;C&gt;1&lt;/C&gt;&lt;D xsi:type="xsd:double"&gt;711.3013&lt;/D&gt;&lt;/FQL&gt;&lt;FQL&gt;&lt;Q&gt;PSNL^FE_ESTIMATE(GROSS_INC,MEAN,NTMA,,43678,,,'')&lt;/Q&gt;&lt;R&gt;1&lt;/R&gt;&lt;C&gt;1&lt;/C&gt;&lt;D xsi:type="xsd:double"&gt;24.64399&lt;/D&gt;&lt;/FQL&gt;&lt;FQL&gt;&lt;Q&gt;FLGT^FE_ESTIMATE(GROSS_INC,MEAN,NTMA,,43678,,,'')&lt;/Q&gt;&lt;R&gt;1&lt;/R&gt;&lt;C&gt;1&lt;/C&gt;&lt;D xsi:type="xsd:double"&gt;17.30222&lt;/D&gt;&lt;/FQL&gt;&lt;FQL&gt;&lt;Q&gt;CAI^FE_ESTIMATE(GROSS_INC,MEAN,NTMA,,43678,,,'')&lt;/Q&gt;&lt;R&gt;0&lt;/R&gt;&lt;C&gt;0&lt;/C&gt;&lt;/FQL&gt;&lt;FQL&gt;&lt;Q&gt;TEM^FE_ESTIMATE(GROSS_INC,MEAN,NTMA,,43313,,,'')&lt;/Q&gt;&lt;R&gt;0&lt;/R&gt;&lt;C&gt;0&lt;/C&gt;&lt;/FQL&gt;&lt;FQL&gt;&lt;Q&gt;GH^FE_ESTIMATE(GROSS_INC,MEAN,NTMA,,43313,,,'')&lt;/Q&gt;&lt;R&gt;0&lt;/R&gt;&lt;C&gt;0&lt;/C&gt;&lt;/FQL&gt;&lt;FQL&gt;&lt;Q&gt;ADPT^FE_ESTIMATE(GROSS_INC,MEAN,NTMA,,43313,,,'')&lt;/Q&gt;&lt;R&gt;0&lt;/R&gt;&lt;C&gt;0&lt;/C&gt;&lt;/FQL&gt;&lt;FQL&gt;&lt;Q&gt;GRAL^FE_ESTIMATE(GROSS_INC,MEAN,NTMA,,43313,,,'')&lt;/Q&gt;&lt;R&gt;0&lt;/R&gt;&lt;C&gt;0&lt;/C&gt;&lt;/FQL&gt;&lt;FQL&gt;&lt;Q&gt;DGX^FE_ESTIMATE(GROSS_INC,MEAN,NTMA,,43313,,,'')&lt;/Q&gt;&lt;R&gt;1&lt;/R&gt;&lt;C&gt;1&lt;/C&gt;&lt;D xsi:type="xsd:double"&gt;2814.0427&lt;/D&gt;&lt;/FQL&gt;&lt;FQL&gt;&lt;Q&gt;LH^FE_ESTIMATE(GROSS_INC,MEAN,NTMA,,43313,,,'')&lt;/Q&gt;&lt;R&gt;1&lt;/R&gt;&lt;C&gt;1&lt;/C&gt;&lt;D xsi:type="xsd:double"&gt;3349.446&lt;/D&gt;&lt;/FQL&gt;&lt;FQL&gt;&lt;Q&gt;WGS^FE_ESTIMATE(GROSS_INC,MEAN,NTMA,,43313,,,'')&lt;/Q&gt;&lt;R&gt;0&lt;/R&gt;&lt;C&gt;0&lt;/C&gt;&lt;/FQL&gt;&lt;FQL&gt;&lt;Q&gt;VCYT^FE_ESTIMATE(GROSS_INC,MEAN,NTMA,,43313,,,'')&lt;/Q&gt;&lt;R&gt;1&lt;/R&gt;&lt;C&gt;1&lt;/C&gt;&lt;D xsi:type="xsd:double"&gt;62.097775&lt;/D&gt;&lt;/FQL&gt;&lt;FQL&gt;&lt;Q&gt;EXAS^FE_ESTIMATE(GROSS_INC,MEAN,NTMA,,43313,,,'')&lt;/Q&gt;&lt;R&gt;1&lt;/R&gt;&lt;C&gt;1&lt;/C&gt;&lt;D xsi:type="xsd:double"&gt;397.01245&lt;/D&gt;&lt;/FQL&gt;&lt;FQL&gt;&lt;Q&gt;NEO^FE_ESTIMATE(GROSS_INC,MEAN,NTMA,,43313,,,'')&lt;/Q&gt;&lt;R&gt;1&lt;/R&gt;&lt;C&gt;1&lt;/C&gt;&lt;D xsi:type="xsd:double"&gt;128.1268&lt;/D&gt;&lt;/FQL&gt;&lt;FQL&gt;&lt;Q&gt;CDNA^FE_ESTIMATE(GROSS_INC,MEAN,NTMA,,43313,,,'')&lt;/Q&gt;&lt;R&gt;1&lt;/R&gt;&lt;C&gt;1&lt;/C&gt;&lt;D xsi:type="xsd:double"&gt;50.926422&lt;/D&gt;&lt;/FQL&gt;&lt;FQL&gt;&lt;Q&gt;MYGN^FE_ESTIMATE(GROSS_INC,MEAN,NTMA,,43313,,,'')&lt;/Q&gt;&lt;R&gt;1&lt;/R&gt;&lt;C&gt;1&lt;/C&gt;&lt;D xsi:type="xsd:double"&gt;620.6982&lt;/D&gt;&lt;/FQL&gt;&lt;FQL&gt;&lt;Q&gt;PSNL^FE_ESTIMATE(GROSS_INC,MEAN,NTMA,,43313,,,'')&lt;/Q&gt;&lt;R&gt;0&lt;/R&gt;&lt;C&gt;0&lt;/C&gt;&lt;/FQL&gt;&lt;FQL&gt;&lt;Q&gt;FLGT^FE_ESTIMATE(GROSS_INC,MEAN,NTMA,,43313,,,'')&lt;/Q&gt;&lt;R&gt;1&lt;/R&gt;&lt;C&gt;1&lt;/C&gt;&lt;D xsi:type="xsd:double"&gt;8.879485&lt;/D&gt;&lt;/FQL&gt;&lt;FQL&gt;&lt;Q&gt;CAI^FE_ESTIMATE(GROSS_INC,MEAN,NTMA,,43313,,,'')&lt;/Q&gt;&lt;R&gt;0&lt;/R&gt;&lt;C&gt;0&lt;/C&gt;&lt;/FQL&gt;&lt;FQL&gt;&lt;Q&gt;TEM^FE_ESTIMATE(GROSS_INC,MEAN,NTMA,,42948,,,'')&lt;/Q&gt;&lt;R&gt;0&lt;/R&gt;&lt;C&gt;0&lt;/C&gt;&lt;/FQL&gt;&lt;FQL&gt;&lt;Q&gt;GH^FE_ESTIMATE(GROSS_INC,MEAN,NTMA,,42948,,,'')&lt;/Q&gt;&lt;R&gt;0&lt;/R&gt;&lt;C&gt;0&lt;/C&gt;&lt;/FQL&gt;&lt;FQL&gt;&lt;Q&gt;ADPT^FE_ESTIMATE(GROSS_INC,MEAN,NTMA,,42948,,,'')&lt;/Q&gt;&lt;R&gt;0&lt;/R&gt;&lt;C&gt;0&lt;/C&gt;&lt;/FQL&gt;&lt;FQL&gt;&lt;Q&gt;GRAL^FE_ESTIMATE(GROSS_INC,MEAN,NTMA,,42948,,,'')&lt;/Q&gt;&lt;R&gt;0&lt;/R&gt;&lt;C&gt;0&lt;/C&gt;&lt;/FQL&gt;&lt;FQL&gt;&lt;Q&gt;DGX^FE_ESTIMATE(GROSS_INC,MEAN,NTMA,,42948,,,'')&lt;/Q&gt;&lt;R&gt;1&lt;/R&gt;&lt;C&gt;1&lt;/C&gt;&lt;D xsi:type="xsd:double"&gt;3080.7576&lt;/D&gt;&lt;/FQL&gt;&lt;FQL&gt;&lt;Q&gt;LH^FE_ESTIMATE(GROSS_INC,MEAN,NTMA,,42948,,,'')&lt;/Q&gt;&lt;R&gt;1&lt;/R&gt;&lt;C&gt;1&lt;/C&gt;&lt;D xsi:type="xsd:double"&gt;3479.3542&lt;/D&gt;&lt;/FQL&gt;&lt;FQL&gt;&lt;Q&gt;WGS^FE_ESTIMATE(GROSS_INC,MEAN,NTMA,,42948,,,'')&lt;/Q&gt;&lt;R&gt;0&lt;/R&gt;&lt;C&gt;0&lt;/C&gt;&lt;/FQL&gt;&lt;FQL&gt;&lt;Q&gt;VCYT^FE_ESTIMATE(GROSS_INC,MEAN,NTMA,,42948,,,'')&lt;/Q&gt;&lt;R&gt;1&lt;/R&gt;&lt;C&gt;1&lt;/C&gt;&lt;D xsi:type="xsd:double"&gt;54.7404&lt;/D&gt;&lt;/FQL&gt;&lt;FQL&gt;&lt;Q&gt;EXAS^FE_ESTIMATE(GROSS_INC,MEAN,NTMA,,42948,,,'')&lt;/Q&gt;&lt;R&gt;1&lt;/R&gt;&lt;C&gt;1&lt;/C&gt;&lt;D xsi:type="xsd:double"&gt;212.4548&lt;/D&gt;&lt;/FQL&gt;&lt;FQL&gt;&lt;Q&gt;NEO^FE_ESTIMATE(GROSS_INC,MEAN,NTMA,,42948,,,'')&lt;/Q&gt;&lt;R&gt;1&lt;/R&gt;&lt;C&gt;1&lt;/C&gt;&lt;D xsi:type="xsd:double"&gt;134.65842&lt;/D&gt;&lt;/FQL&gt;&lt;FQL&gt;&lt;Q&gt;CDNA^FE_ESTIMATE(GROSS_INC,MEAN,NTMA,,42948,,,'')&lt;/Q&gt;&lt;R&gt;1&lt;/R&gt;&lt;C&gt;1&lt;/C&gt;&lt;D xsi:type="xsd:double"&gt;30.5598&lt;/D&gt;&lt;/FQL&gt;&lt;FQL&gt;&lt;Q&gt;MYGN^FE_ESTIMATE(GROSS_INC,MEAN,NTMA,,42948,,,'')&lt;/Q&gt;&lt;R&gt;1&lt;/R&gt;&lt;C&gt;1&lt;/C&gt;&lt;D xsi:type="xsd:double"&gt;610.71875&lt;/D&gt;&lt;/FQL&gt;&lt;FQL&gt;&lt;Q&gt;PSNL^FE_ESTIMATE(GROSS_INC,MEAN,NTMA,,42948,,,'')&lt;/Q&gt;&lt;R&gt;0&lt;/R&gt;&lt;C&gt;0&lt;/C&gt;&lt;/FQL&gt;&lt;FQL&gt;&lt;Q&gt;FLGT^FE_ESTIMATE(GROSS_INC,MEAN,NTMA,,42948,,,'')&lt;/Q&gt;&lt;R&gt;1&lt;/R&gt;&lt;C&gt;1&lt;/C&gt;&lt;D xsi:type="xsd:double"&gt;22.04131&lt;/D&gt;&lt;/FQL&gt;&lt;FQL&gt;&lt;Q&gt;CAI^FE_ESTIMATE(GROSS_INC,MEAN,NTMA,,42948,,,'')&lt;/Q&gt;&lt;R&gt;0&lt;/R&gt;&lt;C&gt;0&lt;/C&gt;&lt;/FQL&gt;&lt;FQL&gt;&lt;Q&gt;TEM^FE_ESTIMATE(GROSS_INC,MEAN,NTMA,,42583,,,'')&lt;/Q&gt;&lt;R&gt;0&lt;/R&gt;&lt;C&gt;0&lt;/C&gt;&lt;/FQL&gt;&lt;FQL&gt;&lt;Q&gt;GH^FE_ESTIMATE(GROSS_INC,MEAN,NTMA,,42583,,,'')&lt;/Q&gt;&lt;R&gt;0&lt;/R&gt;&lt;C&gt;0&lt;/C&gt;&lt;/FQL&gt;&lt;FQL&gt;&lt;Q&gt;ADPT^FE_ESTIMATE(GROSS_INC,MEAN,NTMA,,42583,,,'')&lt;/Q&gt;&lt;R&gt;0&lt;/R&gt;&lt;C&gt;0&lt;/C&gt;&lt;/FQL&gt;&lt;FQL&gt;&lt;Q&gt;GRAL^FE_ESTIMATE(GROSS_INC,MEAN,NTMA,,42583,,,'')&lt;/Q&gt;&lt;R&gt;0&lt;/R&gt;&lt;C&gt;0&lt;/C&gt;&lt;/FQL&gt;&lt;FQL&gt;&lt;Q&gt;DGX^FE_ESTIMATE(GROSS_INC,MEAN,NTMA,,42583,,,'')&lt;/Q&gt;&lt;R&gt;1&lt;/R&gt;&lt;C&gt;1&lt;/C&gt;&lt;D xsi:type="xsd:double"&gt;3008.4238&lt;/D&gt;&lt;/FQL&gt;&lt;FQL&gt;&lt;Q&gt;LH^FE_ESTIMATE(GROSS_INC,MEAN,NTMA,,42583,,,'')&lt;/Q&gt;&lt;R&gt;1&lt;/R&gt;&lt;C&gt;1&lt;/C&gt;&lt;D xsi:type="xsd:double"&gt;3320.9607&lt;/D&gt;&lt;/FQL&gt;&lt;FQL&gt;&lt;Q&gt;WGS^FE_ESTIMATE(GROSS_INC,MEAN,NTMA,,42583,,,'')&lt;/Q&gt;&lt;R&gt;0&lt;/R&gt;&lt;C&gt;0&lt;/C&gt;&lt;/FQL&gt;&lt;FQL&gt;&lt;Q&gt;VCYT^FE_ESTIMATE(GROSS_INC,MEAN,NTMA,,42583,,,'')&lt;/Q&gt;&lt;R&gt;1&lt;/R&gt;&lt;C&gt;1&lt;/C&gt;&lt;D xsi:type="xsd:double"&gt;41.567814&lt;/D&gt;&lt;/FQL&gt;&lt;FQL&gt;&lt;Q&gt;EXAS^FE_ESTIMATE(GROSS_INC,MEAN,NTMA,,42583,,,'')&lt;/Q&gt;&lt;R&gt;1&lt;/R&gt;&lt;C&gt;1&lt;/C&gt;&lt;D xsi:type="xsd:double"&gt;67.950424&lt;/D&gt;&lt;/FQL&gt;&lt;FQL&gt;&lt;Q&gt;NEO^FE_ESTIMATE(GROSS_INC,MEAN,NTMA,,42583,,,'')&lt;/Q&gt;&lt;R&gt;1&lt;/R&gt;&lt;C&gt;1&lt;/C&gt;&lt;D xsi:type="xsd:double"&gt;124.5463&lt;/D&gt;&lt;/FQL&gt;&lt;FQL&gt;&lt;Q&gt;CDNA^FE_ESTIMATE(GROSS_INC,MEAN,NTMA,,42583,,,'')&lt;/Q&gt;&lt;R&gt;1&lt;/R&gt;&lt;C&gt;1&lt;/C&gt;&lt;D xsi:type="xsd:double"&gt;27.694906&lt;/D&gt;&lt;/FQL&gt;&lt;FQL&gt;&lt;Q&gt;MYGN^FE_ESTIMATE(GROSS_INC,MEAN,NTMA,,42583,,,'')&lt;/Q&gt;&lt;R&gt;1&lt;/R&gt;&lt;C&gt;1&lt;/C&gt;&lt;D xsi:type="xsd:double"&gt;638.32275&lt;/D&gt;&lt;/FQL&gt;&lt;FQL&gt;&lt;Q&gt;PSNL^FE_ESTIMATE(GROSS_INC,MEAN,NTMA,,42583,,,'')&lt;/Q&gt;&lt;R&gt;0&lt;/R&gt;&lt;C&gt;0&lt;/C&gt;&lt;/FQL&gt;&lt;FQL&gt;&lt;Q&gt;FLGT^FE_ESTIMATE(GROSS_INC,MEAN,NTMA,,42583,,,'')&lt;/Q&gt;&lt;R&gt;0&lt;/R&gt;&lt;C&gt;0&lt;/C&gt;&lt;/FQL&gt;&lt;FQL&gt;&lt;Q&gt;CAI^FE_ESTIMATE(GROSS_INC,MEAN,NTMA,,42583,,,'')&lt;/Q&gt;&lt;R&gt;0&lt;/R&gt;&lt;C&gt;0&lt;/C&gt;&lt;/FQL&gt;&lt;FQL&gt;&lt;Q&gt;TEM^FE_ESTIMATE(GROSS_INC,MEAN,NTMA,,42218,,,'')&lt;/Q&gt;&lt;R&gt;0&lt;/R&gt;&lt;C&gt;0&lt;/C&gt;&lt;/FQL&gt;&lt;FQL&gt;&lt;Q&gt;GH^FE_ESTIMATE(GROSS_INC,MEAN,NTMA,,42218,,,'')&lt;/Q&gt;&lt;R&gt;0&lt;/R&gt;&lt;C&gt;0&lt;/C&gt;&lt;/FQL&gt;&lt;FQL&gt;&lt;Q&gt;ADPT^FE_ESTIMATE(GROSS_INC,MEAN,NTMA,,42218,,,'')&lt;/Q&gt;&lt;R&gt;0&lt;/R&gt;&lt;C&gt;0&lt;/C&gt;&lt;/FQL&gt;&lt;FQL&gt;&lt;Q&gt;GRAL^FE_ESTIMATE(GROSS_INC,MEAN,NTMA,,42218,,,'')&lt;/Q&gt;&lt;R&gt;0&lt;/R&gt;&lt;C&gt;0&lt;/C&gt;&lt;/FQL&gt;&lt;FQL&gt;&lt;Q&gt;DGX^FE_ESTIMATE(GROSS_INC,MEAN,NTMA,,42218,,,'')&lt;/Q&gt;&lt;R&gt;1&lt;/R&gt;&lt;C&gt;1&lt;/C&gt;&lt;D xsi:type="xsd:double"&gt;2967.0586&lt;/D&gt;&lt;/FQL&gt;&lt;FQL&gt;&lt;Q&gt;LH^FE_ESTIMATE(GROSS_INC,MEAN,NTMA,,42218,,,'')&lt;/Q&gt;&lt;R&gt;1&lt;/R&gt;&lt;C&gt;1&lt;/C&gt;&lt;D xsi:type="xsd:double"&gt;3117.6128&lt;/D&gt;&lt;/FQL&gt;&lt;FQL&gt;&lt;Q&gt;WGS^FE_ESTIMATE(GROSS_INC,MEAN,NTMA,,42218,,,'')&lt;/Q&gt;&lt;R&gt;0&lt;/R&gt;&lt;C&gt;0&lt;/C&gt;&lt;/FQL&gt;&lt;FQL&gt;&lt;Q&gt;VCYT^FE_ESTIMATE(GROSS_INC,MEAN,NTMA,,42218,,,'')&lt;/Q&gt;&lt;R&gt;1&lt;/R&gt;&lt;C&gt;1&lt;/C&gt;&lt;D xsi:type="xsd:double"&gt;34.517895&lt;/D&gt;&lt;/FQL&gt;&lt;FQL&gt;&lt;Q&gt;EXAS^FE_ESTIMATE(GROSS_INC,MEAN,NTMA,,42218,,,'')&lt;/Q&gt;&lt;R&gt;1&lt;/R&gt;&lt;C&gt;1&lt;/C&gt;&lt;D xsi:type="xsd:double"&gt;51.819675&lt;/D&gt;&lt;/FQL&gt;&lt;FQL&gt;&lt;Q&gt;NEO^FE_ESTIMATE(GROSS_INC,MEAN,NTMA,,42218,,,'')&lt;/Q&gt;&lt;R&gt;1&lt;/R&gt;&lt;C&gt;1&lt;/C&gt;&lt;D xsi:type="xsd:double"&gt;50.142776&lt;/D&gt;&lt;/FQL&gt;&lt;FQL&gt;&lt;Q&gt;CDNA^FE_ESTIMATE(GROSS_INC,MEAN,NTMA,,42218,,,'')&lt;/Q&gt;&lt;R&gt;1&lt;/R&gt;&lt;C&gt;1&lt;/C&gt;&lt;D xsi:type="xsd:double"&gt;21.343994&lt;/D&gt;&lt;/FQL&gt;&lt;FQL&gt;&lt;Q&gt;MYGN^FE_ESTIMATE(GROSS_INC,MEAN,NTMA,,42218,,,'')&lt;/Q&gt;&lt;R&gt;1&lt;/R&gt;&lt;C&gt;1&lt;/C&gt;&lt;D xsi:type="xsd:double"&gt;617.1184&lt;/D&gt;&lt;/FQL&gt;&lt;FQL&gt;&lt;Q&gt;PSNL^FE_ESTIMATE(GROSS_INC,MEAN,NTMA,,42218,,,'')&lt;/Q&gt;&lt;R&gt;0&lt;/R&gt;&lt;C&gt;0&lt;/C&gt;&lt;/FQL&gt;&lt;FQL&gt;&lt;Q&gt;FLGT^FE_ESTIMATE(GROSS_INC,MEAN,NTMA,,42218,,,'')&lt;/Q&gt;&lt;R&gt;0&lt;/R&gt;&lt;C&gt;0&lt;/C&gt;&lt;/FQL&gt;&lt;FQL&gt;&lt;Q&gt;CAI^FE_ESTIMATE(GROSS_INC,MEAN,NTMA,,42218,,,'')&lt;/Q&gt;&lt;R&gt;0&lt;/R&gt;&lt;C&gt;0&lt;/C&gt;&lt;/FQL&gt;&lt;FQL&gt;&lt;Q&gt;NTRA-US^FG_PRICE(0)&lt;/Q&gt;&lt;R&gt;1&lt;/R&gt;&lt;C&gt;1&lt;/C&gt;&lt;D xsi:type="xsd:double"&gt;160.12&lt;/D&gt;&lt;/FQL&gt;&lt;FQL&gt;&lt;Q&gt;NTRA-US^FG_PRICE(1/1/2024)&lt;/Q&gt;&lt;R&gt;1&lt;/R&gt;&lt;C&gt;1&lt;/C&gt;&lt;D xsi:type="xsd:double"&gt;62.64&lt;/D&gt;&lt;/FQL&gt;&lt;FQL&gt;&lt;Q&gt;NTRA-US^FG_PRICE(1/1/2024,0)&lt;/Q&gt;&lt;R&gt;430&lt;/R&gt;&lt;C&gt;1&lt;/C&gt;&lt;D xsi:type="xsd:double"&gt;62.64&lt;/D&gt;&lt;D xsi:type="xsd:double"&gt;61.92&lt;/D&gt;&lt;D xsi:type="xsd:double"&gt;59.21&lt;/D&gt;&lt;D xsi:type="xsd:double"&gt;59.69&lt;/D&gt;&lt;D xsi:type="xsd:double"&gt;62.23&lt;/D&gt;&lt;D xsi:type="xsd:double"&gt;64.85&lt;/D&gt;&lt;D xsi:type="xsd:double"&gt;66.1&lt;/D&gt;&lt;D xsi:type="xsd:double"&gt;63.89&lt;/D&gt;&lt;D xsi:type="xsd:double"&gt;63.01&lt;/D&gt;&lt;D xsi:type="xsd:double"&gt;60.89&lt;/D&gt;&lt;D xsi:type="xsd:double"&gt;62.91&lt;/D&gt;&lt;D xsi:type="xsd:double"&gt;67.5&lt;/D&gt;&lt;D xsi:type="xsd:double"&gt;67.56&lt;/D&gt;&lt;D xsi:type="xsd:double"&gt;66.63&lt;/D&gt;&lt;D xsi:type="xsd:double"&gt;66.68&lt;/D&gt;&lt;D xsi:type="xsd:double"&gt;66.52&lt;/D&gt;&lt;D xsi:type="xsd:double"&gt;65.61&lt;/D&gt;&lt;D xsi:type="xsd:double"&gt;64.62&lt;/D&gt;&lt;D xsi:type="xsd:double"&gt;65.44&lt;/D&gt;&lt;D xsi:type="xsd:double"&gt;66.41&lt;/D&gt;&lt;D xsi:type="xsd:double"&gt;66&lt;/D&gt;&lt;D xsi:type="xsd:double"&gt;65.94&lt;/D&gt;&lt;D xsi:type="xsd:double"&gt;68.19&lt;/D&gt;&lt;D xsi:type="xsd:double"&gt;67.73&lt;/D&gt;&lt;D xsi:type="xsd:double"&gt;68.82&lt;/D&gt;&lt;D xsi:type="xsd:double"&gt;70.22&lt;/D&gt;&lt;D xsi:type="xsd:double"&gt;69.92&lt;/D&gt;&lt;D xsi:type="xsd:double"&gt;69.65&lt;/D&gt;&lt;D xsi:type="xsd:double"&gt;69.74&lt;/D&gt;&lt;D xsi:type="xsd:double"&gt;70.97&lt;/D&gt;&lt;D xsi:type="xsd:double"&gt;68.4&lt;/D&gt;&lt;D xsi:type="xsd:double"&gt;69.67&lt;/D&gt;&lt;D xsi:type="xsd:double"&gt;69.7&lt;/D&gt;&lt;D xsi:type="xsd:double"&gt;70.01&lt;/D&gt;&lt;D xsi:type="xsd:double"&gt;70.41&lt;/D&gt;&lt;D xsi:type="xsd:double"&gt;69.76&lt;/D&gt;&lt;D xsi:type="xsd:double"&gt;71.15&lt;/D&gt;&lt;D xsi:type="xsd:double"&gt;70.46&lt;/D&gt;&lt;D xsi:type="xsd:double"&gt;74.19&lt;/D&gt;&lt;D xsi:type="xsd:double"&gt;76.16&lt;/D&gt;&lt;D xsi:type="xsd:double"&gt;76.55&lt;/D&gt;&lt;D xsi:type="xsd:double"&gt;86.49&lt;/D&gt;&lt;D xsi:type="xsd:double"&gt;89.41&lt;/D&gt;&lt;D xsi:type="xsd:double"&gt;90.21&lt;/D&gt;&lt;D xsi:type="xsd:double"&gt;87.62&lt;/D&gt;&lt;D xsi:type="xsd:double"&gt;90.22&lt;/D&gt;&lt;D xsi:type="xsd:double"&gt;91.66&lt;/D&gt;&lt;D xsi:type="xsd:double"&gt;89.06&lt;/D&gt;&lt;D xsi:type="xsd:double"&gt;89.28&lt;/D&gt;&lt;D xsi:type="xsd:double"&gt;90.81&lt;/D&gt;&lt;D xsi:type="xsd:double"&gt;88.96&lt;/D&gt;&lt;D xsi:type="xsd:double"&gt;87.71&lt;/D&gt;&lt;D xsi:type="xsd:double"&gt;89.52&lt;/D&gt;&lt;D xsi:type="xsd:d</t>
        </r>
      </text>
    </comment>
    <comment ref="A5" authorId="0" shapeId="0" xr:uid="{9453DC06-D861-4267-8030-0A851B1294BA}">
      <text>
        <r>
          <rPr>
            <b/>
            <sz val="9"/>
            <color indexed="81"/>
            <rFont val="Tahoma"/>
            <charset val="1"/>
          </rPr>
          <t>ouble"&gt;90.12&lt;/D&gt;&lt;D xsi:type="xsd:double"&gt;91.26&lt;/D&gt;&lt;D xsi:type="xsd:double"&gt;92.9&lt;/D&gt;&lt;D xsi:type="xsd:double"&gt;91.87&lt;/D&gt;&lt;D xsi:type="xsd:double"&gt;92.32&lt;/D&gt;&lt;D xsi:type="xsd:double"&gt;91.39&lt;/D&gt;&lt;D xsi:type="xsd:double"&gt;90&lt;/D&gt;&lt;D xsi:type="xsd:double"&gt;90.46&lt;/D&gt;&lt;D xsi:type="xsd:double"&gt;91.46&lt;/D&gt;&lt;D xsi:type="xsd:double"&gt;92.96&lt;/D&gt;&lt;D xsi:type="xsd:double"&gt;91.91&lt;/D&gt;&lt;D xsi:type="xsd:double"&gt;92.61&lt;/D&gt;&lt;D xsi:type="xsd:double"&gt;92.36&lt;/D&gt;&lt;D xsi:type="xsd:double"&gt;96.75&lt;/D&gt;&lt;D xsi:type="xsd:double"&gt;95.43&lt;/D&gt;&lt;D xsi:type="xsd:double"&gt;97.48&lt;/D&gt;&lt;D xsi:type="xsd:double"&gt;96.5&lt;/D&gt;&lt;D xsi:type="xsd:double"&gt;96.71&lt;/D&gt;&lt;D xsi:type="xsd:double"&gt;94.47&lt;/D&gt;&lt;D xsi:type="xsd:double"&gt;90.42&lt;/D&gt;&lt;D xsi:type="xsd:double"&gt;90.32&lt;/D&gt;&lt;D xsi:type="xsd:double"&gt;90.33&lt;/D&gt;&lt;D xsi:type="xsd:double"&gt;87.28&lt;/D&gt;&lt;D xsi:type="xsd:double"&gt;85.28&lt;/D&gt;&lt;D xsi:type="xsd:double"&gt;88.61&lt;/D&gt;&lt;D xsi:type="xsd:double"&gt;91.04&lt;/D&gt;&lt;D xsi:type="xsd:double"&gt;91.5&lt;/D&gt;&lt;D xsi:type="xsd:double"&gt;91.28&lt;/D&gt;&lt;D xsi:type="xsd:double"&gt;91.66&lt;/D&gt;&lt;D xsi:type="xsd:double"&gt;94.04&lt;/D&gt;&lt;D xsi:type="xsd:double"&gt;92.88&lt;/D&gt;&lt;D xsi:type="xsd:double"&gt;94.15&lt;/D&gt;&lt;D xsi:type="xsd:double"&gt;93.72&lt;/D&gt;&lt;D xsi:type="xsd:double"&gt;96.98&lt;/D&gt;&lt;D xsi:type="xsd:double"&gt;97.21&lt;/D&gt;&lt;D xsi:type="xsd:double"&gt;97.15&lt;/D&gt;&lt;D xsi:type="xsd:double"&gt;95.66&lt;/D&gt;&lt;D xsi:type="xsd:double"&gt;95.55&lt;/D&gt;&lt;D xsi:type="xsd:double"&gt;105.29&lt;/D&gt;&lt;D xsi:type="xsd:double"&gt;103.33&lt;/D&gt;&lt;D xsi:type="xsd:double"&gt;105.52&lt;/D&gt;&lt;D xsi:type="xsd:double"&gt;107.31&lt;/D&gt;&lt;D xsi:type="xsd:double"&gt;108.5&lt;/D&gt;&lt;D xsi:type="xsd:double"&gt;106.46&lt;/D&gt;&lt;D xsi:type="xsd:double"&gt;106.31&lt;/D&gt;&lt;D xsi:type="xsd:double"&gt;108.26&lt;/D&gt;&lt;D xsi:type="xsd:double"&gt;108.51&lt;/D&gt;&lt;D xsi:type="xsd:double"&gt;107.51&lt;/D&gt;&lt;D xsi:type="xsd:double"&gt;109.51&lt;/D&gt;&lt;D xsi:type="xsd:double"&gt;109.57&lt;/D&gt;&lt;D xsi:type="xsd:double"&gt;109.82&lt;/D&gt;&lt;D xsi:type="xsd:double"&gt;110.12&lt;/D&gt;&lt;D xsi:type="xsd:double"&gt;106.53&lt;/D&gt;&lt;D xsi:type="xsd:double"&gt;108.31&lt;/D&gt;&lt;D xsi:type="xsd:double"&gt;105.94&lt;/D&gt;&lt;D xsi:type="xsd:double"&gt;110.79&lt;/D&gt;&lt;D xsi:type="xsd:double"&gt;109.22&lt;/D&gt;&lt;D xsi:type="xsd:double"&gt;111.19&lt;/D&gt;&lt;D xsi:type="xsd:double"&gt;111.66&lt;/D&gt;&lt;D xsi:type="xsd:double"&gt;112.47&lt;/D&gt;&lt;D xsi:type="xsd:double"&gt;112.6&lt;/D&gt;&lt;D xsi:type="xsd:double"&gt;110.79&lt;/D&gt;&lt;D xsi:type="xsd:double"&gt;110.2&lt;/D&gt;&lt;D xsi:type="xsd:double"&gt;110.42&lt;/D&gt;&lt;D xsi:type="xsd:double"&gt;107.99&lt;/D&gt;&lt;D xsi:type="xsd:double"&gt;107.2&lt;/D&gt;&lt;D xsi:type="xsd:double"&gt;107.11&lt;/D&gt;&lt;D xsi:type="xsd:double"&gt;107.41&lt;/D&gt;&lt;D xsi:type="xsd:double"&gt;111.35&lt;/D&gt;&lt;D xsi:type="xsd:double"&gt;111.39&lt;/D&gt;&lt;D xsi:type="xsd:double"&gt;110.01&lt;/D&gt;&lt;D xsi:type="xsd:double"&gt;108.29&lt;/D&gt;&lt;D xsi:type="xsd:double"&gt;107.81&lt;/D&gt;&lt;D xsi:type="xsd:double"&gt;110.7&lt;/D&gt;&lt;D xsi:type="xsd:double"&gt;111.64&lt;/D&gt;&lt;D xsi:type="xsd:double"&gt;112.74&lt;/D&gt;&lt;D xsi:type="xsd:double"&gt;109.52&lt;/D&gt;&lt;D xsi:type="xsd:double"&gt;109.43&lt;/D&gt;&lt;D xsi:type="xsd:double"&gt;111.58&lt;/D&gt;&lt;D xsi:type="xsd:double"&gt;110.81&lt;/D&gt;&lt;D xsi:type="xsd:double"&gt;111.6&lt;/D&gt;&lt;D xsi:type="xsd:double"&gt;112.66&lt;/D&gt;&lt;D xsi:type="xsd:double"&gt;114.44&lt;/D&gt;&lt;D xsi:type="xsd:double"&gt;110.37&lt;/D&gt;&lt;D xsi:type="xsd:double"&gt;101.15&lt;/D&gt;&lt;D xsi:type="xsd:double"&gt;105.98&lt;/D&gt;&lt;D xsi:type="xsd:double"&gt;105.51&lt;/D&gt;&lt;D xsi:type="xsd:double"&gt;106.52&lt;/D&gt;&lt;D xsi:type="xsd:double"&gt;106.1&lt;/D&gt;&lt;D xsi:type="xsd:double"&gt;102.15&lt;/D&gt;&lt;D xsi:type="xsd:double"&gt;102.67&lt;/D&gt;&lt;D xsi:type="xsd:double"&gt;103.77&lt;/D&gt;&lt;D xsi:type="xsd:double"&gt;97.75&lt;/D&gt;&lt;D xsi:type="xsd:double"&gt;102.39&lt;/D&gt;&lt;D xsi:type="xsd:double"&gt;103&lt;/D&gt;&lt;D xsi:type="xsd:double"&gt;99.62&lt;/D&gt;&lt;D xsi:type="xsd:double"&gt;97.91&lt;/D&gt;&lt;D xsi:type="xsd:double"&gt;100.92&lt;/D&gt;&lt;D xsi:type="xsd:double"&gt;100.36&lt;/D&gt;&lt;D xsi:type="xsd:double"&gt;107.7&lt;/D&gt;&lt;D xsi:type="xsd:double"&gt;114.57&lt;/D&gt;&lt;D xsi:type="xsd:double"&gt;115.25&lt;/D&gt;&lt;D xsi:type="xsd:double"&gt;119.02&lt;/D&gt;&lt;D xsi:type="xsd:double"&gt;118.5&lt;/D&gt;&lt;D xsi:type="xsd:double"&gt;122.25&lt;/D&gt;&lt;D xsi:type="xsd:double"&gt;123.98&lt;/D&gt;&lt;D xsi:type="xsd:double"&gt;123.78&lt;/D&gt;&lt;D xsi:type="xsd:double"&gt;118.45&lt;/D&gt;&lt;D xsi:type="xsd:double"&gt;121.91&lt;/D&gt;&lt;D xsi:type="xsd:double"&gt;122.61&lt;/D&gt;&lt;D xsi:type="xsd:double"&gt;122.71&lt;/D&gt;&lt;D xsi:type="xsd:double"&gt;118.11&lt;/D&gt;&lt;D xsi:type="xsd:double"&gt;120.27&lt;/D&gt;&lt;D xsi:type="xsd:double"&gt;118.81&lt;/D&gt;&lt;D xsi:type="xsd:double"&gt;116.25&lt;/D&gt;&lt;D xsi:type="xsd:double"&gt;118.26&lt;/D&gt;&lt;D xsi:type="xsd:double"&gt;113.98&lt;/D&gt;&lt;D xsi:type="xsd:double"&gt;113.24&lt;/D&gt;&lt;D xsi:type="xsd:double"&gt;117.5&lt;/D&gt;&lt;D xsi:type="xsd:double"&gt;112.9&lt;/D&gt;&lt;D xsi:type="xsd:double"&gt;117.66&lt;/D&gt;&lt;D xsi:type="xsd:double"&gt;118.73&lt;/D&gt;&lt;D xsi:type="xsd:double"&gt;123.83&lt;/D&gt;&lt;D xsi:type="xsd:double"&gt;125.12&lt;/D&gt;&lt;D xsi:type="xsd:double"&gt;126.51&lt;/D&gt;&lt;D xsi:type="xsd:double"&gt;129.67&lt;/D&gt;&lt;D xsi:type="xsd:double"&gt;127.21&lt;/D&gt;&lt;D xsi:type="xsd:double"&gt;127.1&lt;/D&gt;&lt;D xsi:type="xsd:double"&gt;127.13&lt;/D&gt;&lt;D xsi:type="xsd:double"&gt;127.78&lt;/D&gt;&lt;D xsi:type="xsd:double"&gt;123.54&lt;/D&gt;&lt;D xsi:type="xsd:double"&gt;123.08&lt;/D&gt;&lt;D xsi:type="xsd:double"&gt;124.99&lt;/D&gt;&lt;D xsi:type="xsd:double"&gt;123.85&lt;/D&gt;&lt;D xsi:type="xsd:double"&gt;125.72&lt;/D&gt;&lt;D xsi:type="xsd:double"&gt;126.95&lt;/D&gt;&lt;D xsi:type="xsd:double"&gt;127.19&lt;/D&gt;&lt;D xsi:type="xsd:double"&gt;131.11&lt;/D&gt;&lt;D xsi:type="xsd:double"&gt;126.3&lt;/D&gt;&lt;D xsi:type="xsd:double"&gt;129.84&lt;/D&gt;&lt;D xsi:type="xsd:double"&gt;128.2&lt;/D&gt;&lt;D xsi:type="xsd:double"&gt;131.93&lt;/D&gt;&lt;D xsi:type="xsd:double"&gt;127.48&lt;/D&gt;&lt;D xsi:type="xsd:double"&gt;125.75&lt;/D&gt;&lt;D xsi:type="xsd:double"&gt;130.06&lt;/D&gt;&lt;D xsi:type="xsd:double"&gt;131.86&lt;/D&gt;&lt;D xsi:type="xsd:double"&gt;129&lt;/D&gt;&lt;D xsi:type="xsd:double"&gt;126.77&lt;/D&gt;&lt;D xsi:type="xsd:double"&gt;122.35&lt;/D&gt;&lt;D xsi:type="xsd:double"&gt;122.4&lt;/D&gt;&lt;D xsi:type="xsd:double"&gt;120.5&lt;/D&gt;&lt;D xsi:type="xsd:double"&gt;119.95&lt;/D&gt;&lt;D xsi:type="xsd:double"&gt;118.65&lt;/D&gt;&lt;D xsi:type="xsd:double"&gt;119.17&lt;/D&gt;&lt;D xsi:type="xsd:double"&gt;117.67&lt;/D&gt;&lt;D xsi:type="xsd:double"&gt;120.71&lt;/D&gt;&lt;D xsi:type="xsd:double"&gt;124.74&lt;/D&gt;&lt;D xsi:type="xsd:double"&gt;126.73&lt;/D&gt;&lt;D xsi:type="xsd:double"&gt;120.96&lt;/D&gt;&lt;D xsi:type="xsd:double"&gt;124.16&lt;/D&gt;&lt;D xsi:type="xsd:double"&gt;123.44&lt;/D&gt;&lt;D xsi:type="xsd:double"&gt;124.39&lt;/D&gt;&lt;D xsi:type="xsd:double"&gt;126.97&lt;/D&gt;&lt;D xsi:type="xsd:double"&gt;130.39&lt;/D&gt;&lt;D xsi:type="xsd:double"&gt;134.11&lt;/D&gt;&lt;D xsi:type="xsd:double"&gt;133.97&lt;/D&gt;&lt;D xsi:type="xsd:double"&gt;135.12&lt;/D&gt;&lt;D xsi:type="xsd:double"&gt;160.97&lt;/D&gt;&lt;D xsi:type="xsd:double"&gt;151.11&lt;/D&gt;&lt;D xsi:type="xsd:double"&gt;146.06&lt;/D&gt;&lt;D xsi:type="xsd:double"&gt;153.42&lt;/D&gt;&lt;D xsi:type="xsd:double"&gt;162.1&lt;/D&gt;&lt;D xsi:type="xsd:double"&gt;167.88&lt;/D&gt;&lt;D xsi:type="xsd:double"&gt;169.36&lt;/D&gt;&lt;D xsi:type="xsd:double"&gt;167.26&lt;/D&gt;&lt;D xsi:type="xsd:double"&gt;164.39&lt;/D&gt;&lt;D xsi:type="xsd:double"&gt;168.32&lt;/D&gt;&lt;D xsi:type="xsd:double"&gt;168.45&lt;/D&gt;&lt;D xsi:type="xsd:double"&gt;167.78&lt;/D&gt;&lt;D xsi:type="xsd:double"&gt;169.82&lt;/D&gt;&lt;D xsi:type="xsd:double"&gt;169.17&lt;/D&gt;&lt;D xsi:type="xsd:double"&gt;174&lt;/D&gt;&lt;D xsi:type="xsd:double"&gt;169.02&lt;/D&gt;&lt;D xsi:type="xsd:double"&gt;171.65&lt;/D&gt;&lt;D xsi:type="xsd:double"&gt;167.8&lt;/D&gt;&lt;D xsi:type="xsd:double"&gt;166.45&lt;/D&gt;&lt;D xsi:type="xsd:double"&gt;167.12&lt;/D&gt;&lt;D xsi:type="xsd:double"&gt;166.45&lt;/D&gt;&lt;D xsi:type="xsd:double"&gt;166.55&lt;/D&gt;&lt;D xsi:type="xsd:double"&gt;170.8&lt;/D&gt;&lt;D xsi:type="xsd:double"&gt;168.21&lt;/D&gt;&lt;D xsi:type="xsd:double"&gt;155.2&lt;/D&gt;&lt;D xsi:type="xsd:double"&gt;158.09&lt;/D&gt;&lt;D xsi:type="xsd:double"&gt;161.88&lt;/D&gt;&lt;D xsi:type="xsd:double"&gt;161.99&lt;/D&gt;&lt;D xsi:type="xsd:double"&gt;162.39&lt;/D&gt;&lt;D xsi:type="xsd:double"&gt;159.64&lt;/D&gt;&lt;D xsi:type="xsd:double"&gt;160.26&lt;/D&gt;&lt;D xsi:type="xsd:double"&gt;158.55&lt;/D&gt;&lt;D xsi:type="xsd:double"&gt;158.3&lt;/D&gt;&lt;D xsi:type="xsd:double"&gt;160.6&lt;/D&gt;&lt;D xsi:type="xsd:double"&gt;167.6&lt;/D&gt;&lt;D xsi:type="xsd:double"&gt;172.26&lt;/D&gt;&lt;D xsi:type="xsd:double"&gt;170.4&lt;/D&gt;&lt;D xsi:type="xsd:double"&gt;176.61&lt;/D&gt;&lt;D xsi:type="xsd:double"&gt;175&lt;/D&gt;&lt;D xsi:type="xsd:double"&gt;169.3&lt;/D&gt;&lt;D xsi:type="xsd:double"&gt;165.76&lt;/D&gt;&lt;D xsi:type="xsd:double"&gt;170.35&lt;/D&gt;&lt;D xsi:type="xsd:double"&gt;168.5&lt;/D&gt;&lt;D xsi:type="xsd:double"&gt;158.36&lt;/D&gt;&lt;D xsi:type="xsd:double"&gt;167.46&lt;/D&gt;&lt;D xsi:type="xsd:double"&gt;171.93&lt;/D&gt;&lt;D xsi:type="xsd:double"&gt;171.82&lt;/D&gt;&lt;D xsi:type="xsd:double"&gt;167.61&lt;/D&gt;&lt;D xsi:type="xsd:double"&gt;165.26&lt;/D&gt;&lt;D xsi:type="xsd:double"&gt;168.08&lt;/D&gt;&lt;D xsi:type="xsd:double"&gt;168.22&lt;/D&gt;&lt;D xsi:type="xsd:double"&gt;176.27&lt;/D&gt;&lt;D xsi:type="xsd:double"&gt;176.92&lt;/D&gt;&lt;D xsi:type="xsd:double"&gt;176.56&lt;/D&gt;&lt;D xsi:type="xsd:double"&gt;174.24&lt;/D&gt;&lt;D xsi:type="xsd:double"&gt;177&lt;/D&gt;&lt;D xsi:type="xsd:double"&gt;175.14&lt;/D&gt;&lt;D xsi:type="xsd:double"&gt;172.82&lt;/D&gt;&lt;D xsi:type="xsd:double"&gt;172.19&lt;/D&gt;&lt;D xsi:type="xsd:double"&gt;169.71&lt;/D&gt;&lt;D xsi:type="xsd:double"&gt;171.95&lt;/D&gt;&lt;D xsi:type="xsd:double"&gt;170.73&lt;/D&gt;&lt;D xsi:type="xsd:double"&gt;173.39&lt;/D&gt;&lt;D xsi:type="xsd:double"&gt;169.38&lt;/D&gt;&lt;D xsi:type="xsd:double"&gt;172.61&lt;/D&gt;&lt;D xsi:type="xsd:double"&gt;168.19&lt;/D&gt;&lt;D xsi:type="xsd:double"&gt;162.31&lt;/D&gt;&lt;D xsi:type="xsd:double"&gt;158.37&lt;/D&gt;&lt;D xsi:type="xsd:double"&gt;156&lt;/D&gt;&lt;D xsi:type="xsd:double"&gt;160.56&lt;/D&gt;&lt;D xsi:type="xsd:double"&gt;156.61&lt;/D&gt;&lt;D xsi:type="xsd:double"&gt;155.59&lt;/D&gt;&lt;D xsi:type="xsd:double"&gt;143.11&lt;/D&gt;&lt;D xsi:type="xsd:double"&gt;142.35&lt;/D&gt;&lt;D xsi:type="xsd:double"&gt;147.92&lt;/D&gt;&lt;D xsi:type="xsd:double"&gt;141.5&lt;/D&gt;&lt;D xsi:type="xsd:double"&gt;140.66&lt;/D&gt;&lt;D xsi:type="xsd:double"&gt;132.63&lt;/D&gt;&lt;D xsi:type="xsd:double"&gt;140.02&lt;/D&gt;&lt;D xsi:type="xsd:double"&gt;144.5&lt;/D&gt;&lt;D xsi:type="xsd:double"&gt;142.51&lt;/D&gt;&lt;D xsi:type="xsd:double"&gt;148.22&lt;/D&gt;&lt;D xsi:type="xsd:double"&gt;149.25&lt;/D&gt;&lt;D xsi:type="xsd:double"&gt;146.28&lt;/D&gt;&lt;D xsi:type="xsd:double"&gt;150.87&lt;/D&gt;&lt;D xsi:type="xsd:double"&gt;149.63&lt;/D&gt;&lt;D xsi:type="xsd:double"&gt;151.15&lt;/D&gt;&lt;D xsi:type="xsd:double"&gt;153.83&lt;/D&gt;&lt;D xsi:type="xsd:double"&gt;154.58&lt;/D&gt;&lt;D xsi:type="xsd:double"&gt;149.84&lt;/D&gt;&lt;D xsi:type="xsd:double"&gt;148.3&lt;/D&gt;&lt;D xsi:type="xsd:double"&gt;143.94&lt;/D&gt;&lt;D xsi:type="xsd:double"&gt;141.41&lt;/D&gt;&lt;D xsi:type="xsd:double"&gt;140.65&lt;/D&gt;&lt;D xsi:type="xsd:double"&gt;143.2&lt;/D&gt;&lt;D xsi:type="xsd:double"&gt;138.71&lt;/D&gt;&lt;D xsi:type="xsd:double"&gt;133.87&lt;/D&gt;&lt;D xsi:type="xsd:double"&gt;138.26&lt;/D&gt;&lt;D xsi:type="xsd:double"&gt;132.23&lt;/D&gt;&lt;D xsi:type="xsd:double"&gt;151.97&lt;/D&gt;&lt;D xsi:type="xsd:double"&gt;143.28&lt;/D&gt;&lt;D xsi:type="xsd:double"&gt;148.04&lt;/D&gt;&lt;D xsi:type="xsd:double"&gt;148.45&lt;/D&gt;&lt;D xsi:type="xsd:double"&gt;151.74&lt;/D&gt;&lt;D xsi:type="xsd:double"&gt;150.17&lt;/D&gt;&lt;D xsi:type="xsd:double"&gt;148.08&lt;/D&gt;&lt;D xsi:type="xsd:double"&gt;142.23&lt;/D&gt;&lt;D xsi:type="xsd:double"&gt;144.62&lt;/D&gt;&lt;D xsi:type="xsd:double"&gt;148.56&lt;/D&gt;&lt;D xsi:type="xsd:double"&gt;154.48&lt;/D&gt;&lt;D xsi:type="xsd:double"&gt;153.79&lt;/D&gt;&lt;D xsi:type="xsd:double"&gt;152.99&lt;/D&gt;&lt;D xsi:type="xsd:double"&gt;154.89&lt;/D&gt;&lt;D xsi:type="xsd:double"&gt;150.93&lt;/D&gt;&lt;D xsi:type="xsd:double"&gt;151.36&lt;/D&gt;&lt;D xsi:type="xsd:double"&gt;156.66&lt;/D&gt;&lt;D xsi:type="xsd:double"&gt;157.38&lt;/D&gt;&lt;D xsi:type="xsd:double"&gt;155.5&lt;/D&gt;&lt;D xsi:type="xsd:double"&gt;160.1&lt;/D&gt;&lt;D xsi:type="xsd:double"&gt;162.57&lt;/D&gt;&lt;D xsi:type="xsd:double"&gt;151.95&lt;/D&gt;&lt;D xsi:type="xsd:double"&gt;157.29&lt;/D&gt;&lt;D xsi:type="xsd:double"&gt;152.28&lt;/D&gt;&lt;D xsi:type="xsd:double"&gt;151.34&lt;/D&gt;&lt;D xsi:type="xsd:double"&gt;149.4&lt;/D&gt;&lt;D xsi:type="xsd:double"&gt;152.59&lt;/D&gt;&lt;D xsi:type="xsd:double"&gt;153.27&lt;/D&gt;&lt;D xsi:type="xsd:double"&gt;154.53&lt;/D&gt;&lt;D xsi:type="xsd:double"&gt;151.09&lt;/D&gt;&lt;D xsi:type="xsd:double"&gt;152.48&lt;/D&gt;&lt;D xsi:type="xsd:double"&gt;153.32&lt;/D&gt;&lt;D xsi:type="xsd:double"&gt;157.16&lt;/D&gt;&lt;D xsi:type="xsd:double"&gt;161.21&lt;/D&gt;&lt;D xsi:type="xsd:double"&gt;158.05&lt;/D&gt;&lt;D xsi:type="xsd:double"&gt;157.73&lt;/D&gt;&lt;D xsi:type="xsd:double"&gt;160.69&lt;/D&gt;&lt;D xsi:type="xsd:double"&gt;160.15&lt;/D&gt;&lt;D xsi:type="xsd:double"&gt;167.22&lt;/D&gt;&lt;D xsi:type="xsd:double"&gt;165.51&lt;/D&gt;&lt;D xsi:type="xsd:double"&gt;163.76&lt;/D&gt;&lt;D xsi:type="xsd:double"&gt;164.19&lt;/D&gt;&lt;D xsi:type="xsd:double"&gt;165.22&lt;/D&gt;&lt;D xsi:type="xsd:double"&gt;166.76&lt;/D&gt;&lt;D xsi:type="xsd:double"&gt;164.35&lt;/D&gt;&lt;D xsi:type="xsd:double"&gt;165.34&lt;/D&gt;&lt;D xsi:type="xsd:double"&gt;168.25&lt;/D&gt;&lt;D xsi:type="xsd:double"&gt;167.55&lt;/D&gt;&lt;D xsi:type="xsd:double"&gt;170.98&lt;/D&gt;&lt;D xsi:type="xsd:double"&gt;171.86&lt;/D&gt;&lt;D xsi:type="xsd:double"&gt;170.37&lt;/D&gt;&lt;D xsi:type="xsd:double"&gt;171.87&lt;/D&gt;&lt;D xsi:type="xsd:double"&gt;164.16&lt;/D&gt;&lt;D xsi:type="xsd:double"&gt;168.17&lt;/D&gt;&lt;D xsi:type="xsd:double"&gt;167.96&lt;/D&gt;&lt;D xsi:type="xsd:double"&gt;168.94&lt;/D&gt;&lt;D xsi:type="xsd:double"&gt;160.72&lt;/D&gt;&lt;D xsi:type="xsd:double"&gt;161.57&lt;/D&gt;&lt;D xsi:type="xsd:double"&gt;161.76&lt;/D&gt;&lt;D xsi:type="xsd:double"&gt;158.69&lt;/D&gt;&lt;D xsi:type="xsd:double"&gt;158.48&lt;/D&gt;&lt;D xsi:type="xsd:double"&gt;161.75&lt;/D&gt;&lt;D xsi:type="xsd:double"&gt;163.36&lt;/D&gt;&lt;D xsi:type="xsd:double"&gt;160.43&lt;/D&gt;&lt;D xsi:type="xsd:double"&gt;158.18&lt;/D&gt;&lt;D xsi:type="xsd:double"&gt;149.85&lt;/D&gt;&lt;D xsi:type="xsd:double"&gt;148.4&lt;/D&gt;&lt;D xsi:type="xsd:double"&gt;143.38&lt;/D&gt;&lt;D xsi:type="xsd:double"&gt;138.9&lt;/D&gt;&lt;D xsi:type="xsd:double"&gt;140.63&lt;/D&gt;&lt;D xsi:type="xsd:double"&gt;139.92&lt;/D&gt;&lt;D xsi:type="xsd:double"&gt;137.82&lt;/D&gt;&lt;D xsi:type="xsd:double"&gt;141.065&lt;/D&gt;&lt;D xsi:type="xsd:double"&gt;138.9&lt;/D&gt;&lt;D xsi:type="xsd:double"&gt;138&lt;/D&gt;&lt;D xsi:type="xsd:double"&gt;135.84&lt;/D&gt;&lt;D xsi:type="xsd:double"&gt;140.96&lt;/D&gt;&lt;D xsi:type="xsd:double"&gt;133.66&lt;/D&gt;&lt;D xsi:type="xsd:double"&gt;134.58&lt;/D&gt;&lt;D xsi:type="xsd:double"&gt;136.57&lt;/D&gt;&lt;D xsi:type="xsd:double"&gt;140.12&lt;/D&gt;&lt;D xsi:type="xsd:double"&gt;138.13&lt;/D&gt;&lt;D xsi:type="xsd:double"&gt;141.08&lt;/D&gt;&lt;D xsi:type="xsd:double"&gt;151.95&lt;/D&gt;&lt;D xsi:type="xsd:double"&gt;157.04&lt;/D&gt;&lt;D xsi:type="xsd:double"&gt;159.81&lt;/D&gt;&lt;D xsi:type="xsd:double"&gt;157.7&lt;/D&gt;&lt;D xsi:type="xsd:double"&gt;158.44&lt;/D&gt;&lt;D xsi:type="xsd:double"&gt;163.02&lt;/D&gt;&lt;D xsi:type="xsd:double"&gt;161.15&lt;/D&gt;&lt;D xsi:type="xsd:double"&gt;160.12&lt;/D&gt;&lt;D xsi:type="xsd:double"&gt;160.64&lt;/D&gt;&lt;D xsi:type="xsd:double"&gt;161.95&lt;/D&gt;&lt;D xsi:type="xsd:double"&gt;165.6&lt;/D&gt;&lt;D xsi:type="xsd:double"&gt;162.47&lt;/D&gt;&lt;D xsi:type="xsd:double"&gt;165.71&lt;/D&gt;&lt;D xsi:type="xsd:double"&gt;163.04&lt;/D&gt;&lt;D xsi:type="xsd:double"&gt;167.88&lt;/D&gt;&lt;D xsi:type="xsd:double"&gt;168.25&lt;/D&gt;&lt;D xsi:type="xsd:double"&gt;169.34&lt;/D&gt;&lt;D xsi:type="xsd:double"&gt;167.53&lt;/D&gt;&lt;D xsi:type="xsd:double"&gt;166.56&lt;/D&gt;&lt;D xsi:type="xsd:double"&gt;168.02&lt;/D&gt;&lt;D xsi:type="xsd:double"&gt;167.39&lt;/D&gt;&lt;D xsi:type="xsd:double"&gt;176.37&lt;/D&gt;&lt;D xsi:type="xsd:double"&gt;169.79&lt;/D&gt;&lt;D xsi:type="xsd:double"&gt;173.81&lt;/D&gt;&lt;D xsi:type="xsd:double"&gt;168.51&lt;/D&gt;&lt;D xsi:type="xsd:double"&gt;172.16&lt;/D&gt;&lt;D xsi:type="xsd:double"&gt;175.01&lt;/D&gt;&lt;D xsi:type="xsd:double"&gt;175.43&lt;/D&gt;&lt;/FQL&gt;&lt;FQL&gt;&lt;Q&gt;NTRA-US^JULIAN(FG_PRICE(1/1/2024,0).DATES)&lt;/Q&gt;&lt;R&gt;430&lt;/R&gt;&lt;C&gt;1&lt;/C&gt;&lt;D xsi:type="xsd:long"&gt;45289&lt;/D&gt;&lt;D xsi:type="xsd:long"&gt;45293&lt;/D&gt;&lt;D xsi:type="xsd:long"&gt;45294&lt;/D&gt;&lt;D xsi:type="xsd:long"&gt;45295&lt;/D&gt;&lt;D xsi:type="xsd:long"&gt;45296&lt;/D&gt;&lt;D xsi:type="xsd:long"&gt;45299&lt;/D&gt;&lt;D xsi:type="xsd:long"&gt;45300&lt;/D&gt;&lt;D xsi:type="xsd:long"&gt;45301&lt;/D&gt;&lt;D xsi:type="xsd:long"&gt;45302&lt;/D&gt;&lt;D xsi:type="xsd:long"&gt;45303&lt;/D&gt;&lt;D xsi:type="xsd:long"&gt;45307&lt;/D&gt;&lt;D xsi:type="xsd:long"&gt;45308&lt;/D&gt;&lt;D xsi:type="xsd:long"&gt;45309&lt;/D&gt;&lt;D xsi:type="xsd:long"&gt;45310&lt;/D&gt;&lt;D xsi:type="xsd:long"&gt;45313&lt;/D&gt;&lt;D xsi:type="xsd:long"&gt;45314&lt;/D&gt;&lt;D xsi:type="xsd:long"&gt;45315&lt;/D&gt;&lt;D xsi:type="xsd:long"&gt;45316&lt;/D&gt;&lt;D xsi:type="xsd:long"&gt;45317&lt;/D&gt;&lt;D xsi:type="xsd:long"&gt;45320&lt;/D&gt;&lt;D xsi:type="xsd:long"&gt;45321&lt;/D&gt;&lt;D xsi:type="xsd:long"&gt;45322&lt;/D&gt;&lt;D xsi:type="xsd:long"&gt;45323&lt;/D&gt;&lt;D xsi:type="xsd:long"&gt;45324&lt;/D&gt;&lt;D xsi:type="xsd:long"&gt;45327&lt;/D&gt;&lt;D xsi:type="xsd:long"&gt;45328&lt;/D&gt;&lt;D xsi:type="xsd:long"&gt;45329&lt;/D&gt;&lt;D xsi:type="xsd:long"&gt;45330&lt;/D&gt;&lt;D xsi:type="xsd:long"&gt;45331&lt;/D&gt;&lt;D xsi:type="xsd:long"&gt;45334&lt;/D&gt;&lt;D xsi:type="xsd:long"&gt;45335&lt;/D&gt;&lt;D xsi:type="xsd:long"&gt;45336&lt;/D&gt;&lt;D xsi:type="xsd:long"&gt;45337&lt;/D&gt;&lt;D xsi:type="xsd:long"&gt;45338&lt;/D&gt;&lt;D xsi:type="xsd:long"&gt;45342&lt;/D&gt;&lt;D xsi:type="xsd:long"&gt;45343&lt;/D&gt;&lt;D xsi:type="xsd:long"&gt;45344&lt;/D&gt;&lt;D xsi:type="xsd:long"&gt;45345&lt;/D&gt;&lt;D xsi:type="xsd:long"&gt;45348&lt;/D&gt;&lt;D xsi:type="xsd:long"&gt;45349&lt;/D&gt;&lt;D xsi:type="xsd:long"&gt;45350&lt;/D&gt;&lt;D xsi:type="xsd:long"&gt;45351&lt;/D&gt;&lt;D xsi:type="xsd:long"&gt;45352&lt;/D&gt;&lt;D xsi:type="xsd:long"&gt;45355&lt;/D&gt;&lt;D xsi:type="xsd:long"&gt;45356&lt;/D&gt;&lt;D xsi:type="xsd:long"&gt;45357&lt;/D&gt;&lt;D xsi:type="xsd:long"&gt;45358&lt;/D&gt;&lt;D xsi:type="xsd:long"&gt;45359&lt;/D&gt;&lt;D xsi:type="xsd:long"&gt;45362&lt;/D&gt;&lt;D xsi:type="xsd:long"&gt;45363&lt;/D&gt;&lt;D xsi:type="xsd:long"&gt;45364&lt;/D&gt;&lt;D xsi:type="xsd:long"&gt;45365&lt;/D&gt;&lt;D xsi:type="xsd:long"&gt;45366&lt;/D&gt;&lt;D xsi:type="xsd:long"&gt;45369&lt;/D&gt;&lt;D xsi:type="xsd:long"&gt;45370&lt;/D&gt;&lt;D xsi:type="xsd:long"&gt;45371&lt;/D&gt;&lt;D xsi:type="xsd:long"&gt;45372&lt;/D&gt;&lt;D xsi:type="xsd:long"&gt;45373&lt;/D&gt;&lt;D xsi:type="xsd:long"&gt;45376&lt;/D&gt;&lt;D xsi:type="xsd:long"&gt;45377&lt;/D&gt;&lt;D xsi:type="xsd:long"&gt;45378&lt;/D&gt;&lt;D xsi:type="xsd:long"&gt;45379&lt;/D&gt;&lt;D xsi:type="xsd:long"&gt;45383&lt;/D&gt;&lt;D xsi:type="xsd:long"&gt;45384&lt;/D&gt;&lt;D xsi:type="xsd:long"&gt;45385&lt;/D&gt;&lt;D xsi:type="xsd:long"&gt;45386&lt;/D&gt;&lt;D xsi:type="xsd:long"&gt;45387&lt;/D&gt;&lt;D xsi:type="xsd:long"&gt;45390&lt;/D&gt;&lt;D xsi:type="xsd:long"&gt;45391&lt;/D&gt;&lt;D xsi:type="xsd:long"&gt;45392&lt;/D&gt;&lt;D xsi:type="xsd:long"&gt;45393&lt;/D&gt;&lt;D xsi:type="xsd:long"&gt;45394&lt;/D&gt;&lt;D xsi:type="xsd:long"&gt;45397&lt;/D&gt;&lt;D xsi:type="xsd:long"&gt;45398&lt;/D&gt;&lt;D xsi:type="xsd:long"&gt;45399&lt;/D&gt;&lt;D xsi:type="xsd:long"&gt;45400&lt;/D&gt;&lt;D xsi:type="xsd:long"&gt;45401&lt;/D&gt;&lt;D xsi:type="xsd:long"&gt;45404&lt;/D&gt;&lt;D xsi:type="xsd:long"&gt;45405&lt;/D&gt;&lt;D xsi:type="xsd:long"&gt;45406&lt;/D&gt;&lt;D xsi:type="xsd:long"&gt;45407&lt;/D&gt;&lt;D xsi:type="xsd:long"&gt;45408&lt;/D&gt;&lt;D xsi:type="xsd:long"&gt;45411&lt;/D&gt;&lt;D xsi:type="xsd:long"&gt;45412&lt;/D&gt;&lt;D xsi:type="xsd:long"&gt;45413&lt;/D&gt;&lt;D xsi:type="xsd:long"&gt;45414&lt;/D&gt;&lt;D xsi:type="xsd:long"&gt;45415&lt;/D&gt;&lt;D xsi:type="xsd:long"&gt;45418&lt;/D&gt;&lt;D xsi:type="xsd:long"&gt;45419&lt;/D&gt;&lt;D xsi:type="xsd:long"&gt;45420&lt;/D&gt;&lt;D xsi:type="xsd:long"&gt;45421&lt;/D&gt;&lt;D xsi:type="xsd:long"&gt;45422&lt;/D&gt;&lt;D xsi:type="xsd:long"&gt;45425&lt;/D&gt;&lt;D xsi:type="xsd:long"&gt;45426&lt;/D&gt;&lt;D xsi:type="xsd:long"&gt;45427&lt;/D&gt;&lt;D xsi:type="xsd:long"&gt;45428&lt;/D&gt;&lt;D xsi:type="xsd:long"&gt;45429&lt;/D&gt;&lt;D xsi:type="xsd:long"&gt;45432&lt;/D&gt;&lt;D xsi:type="xsd:long"&gt;45433&lt;/D&gt;&lt;D xsi:type="xsd:long"&gt;45434&lt;/D&gt;&lt;D xsi:type="xsd:long"&gt;45435&lt;/D&gt;&lt;D xsi:type="xsd:long"&gt;45436&lt;/D&gt;&lt;D xsi:type="xsd:long"&gt;45440&lt;/D&gt;&lt;D xsi:type="xsd:long"&gt;45441&lt;/D&gt;&lt;D xsi:type="xsd:long"&gt;45442&lt;/D&gt;&lt;D xsi:type="xsd:long"&gt;45443&lt;/D&gt;&lt;D xsi:type="xsd:long"&gt;45446&lt;/D&gt;&lt;D xsi:type="xsd:long"&gt;45447&lt;/D&gt;&lt;D xsi:type="xsd:long"&gt;45448&lt;/D&gt;&lt;D xsi:type="xsd:long"&gt;45449&lt;/D&gt;&lt;D xsi:type="xsd:long"&gt;45450&lt;/D&gt;&lt;D xsi:type="xsd:long"&gt;45453&lt;/D&gt;&lt;D xsi:type="xsd:long"&gt;45454&lt;/D&gt;&lt;D xsi:type="xsd:long"&gt;45455&lt;/D&gt;&lt;D xsi:type="xsd:long"&gt;45456&lt;/D&gt;&lt;D xsi:type="xsd:long"&gt;45457&lt;/D&gt;&lt;D xsi:type="xsd:long"&gt;45460&lt;/D&gt;&lt;D xsi:type="xsd:long"&gt;45461&lt;/D&gt;&lt;D xsi:type="xsd:long"&gt;45463&lt;/D&gt;&lt;D xsi:type="xsd:long"&gt;45464&lt;/D&gt;&lt;D xsi:type="xsd:long"&gt;45467&lt;/D&gt;&lt;D xsi:type="xsd:long"&gt;45468&lt;/D&gt;&lt;D xsi:type="xsd:long"&gt;45469&lt;/D&gt;&lt;D xsi:type="xsd:long"&gt;45470&lt;/D&gt;&lt;D xsi:type="xsd:long"&gt;45471&lt;/D&gt;&lt;D xsi:type="xsd:long"&gt;45474&lt;/D&gt;&lt;D xsi:type="xsd:long"&gt;45475&lt;/D&gt;&lt;D xsi:type="xsd:long"&gt;45476&lt;/D&gt;&lt;D xsi:type="xsd:long"&gt;45478&lt;/D&gt;&lt;D xsi:type="xsd:long"&gt;45481&lt;/D&gt;&lt;D xsi:type="xsd:long"&gt;45482&lt;/D&gt;&lt;D xsi:type="xsd:long"&gt;45483&lt;/D&gt;&lt;D xsi:type="xsd:long"&gt;45484&lt;/D&gt;&lt;D xsi:type="xsd:long"&gt;45485&lt;/D&gt;&lt;D xsi:type="xsd:long"&gt;45488&lt;/D&gt;&lt;D xsi:type="xsd:long"&gt;45489&lt;/D&gt;&lt;D xsi:type="xsd:long"&gt;45490&lt;/D&gt;&lt;D xsi:type="xsd:long"&gt;45491&lt;/D&gt;&lt;D xsi:type="xsd:long"&gt;45492&lt;/D&gt;&lt;D xsi:type="xsd:long"&gt;45495&lt;/D&gt;&lt;D xsi:type="xsd:long"&gt;45496&lt;/D&gt;&lt;D xsi:type="xsd:long"&gt;45497&lt;/D&gt;&lt;D xsi:type="xsd:long"&gt;45498&lt;/D&gt;&lt;D xsi:type="xsd:long"&gt;45499&lt;/D&gt;&lt;D xsi:type="xsd:long"&gt;45502&lt;/D&gt;&lt;D xsi:type="xsd:long"&gt;45503&lt;/D&gt;&lt;D xsi:type="xsd:long"&gt;45504&lt;/D&gt;&lt;D xsi:type="xsd:long"&gt;45505&lt;/D&gt;&lt;D xsi:type="xsd:long"&gt;45506&lt;/D&gt;&lt;D xsi:type="xsd:long"&gt;45509&lt;/D&gt;&lt;D xsi:type="xsd:long"&gt;45510&lt;/D&gt;&lt;D xsi:type="xsd:long"&gt;45511&lt;/D&gt;&lt;D xsi:type="xsd:long"&gt;45512&lt;/D&gt;&lt;D xsi:type="xsd:long"&gt;45513&lt;/D&gt;&lt;D xsi:type="xsd:long"&gt;45516&lt;/D&gt;&lt;D xsi:type="xsd:long"&gt;45517&lt;/D&gt;&lt;D xsi:type="xsd:long"&gt;45518&lt;/D&gt;&lt;D xsi:type="xsd:long"&gt;45519&lt;/D&gt;&lt;D xsi:type="xsd:long"&gt;45520&lt;/D&gt;&lt;D xsi:type="xsd:long"&gt;45523&lt;/D&gt;&lt;D xsi:type="xsd:long"&gt;45524&lt;/D&gt;&lt;D xsi:type="xsd:long"&gt;45525&lt;/D&gt;&lt;D xsi:type="xsd:long"&gt;45526&lt;/D&gt;&lt;D xsi:type="xsd:long"&gt;45527&lt;/D&gt;&lt;D xsi:type="xsd:long"&gt;45530&lt;/D&gt;&lt;D xsi:type="xsd:long"&gt;45531&lt;/D&gt;&lt;D xsi:type="xsd:long"&gt;45532&lt;/D&gt;&lt;D xsi:type="xsd:long"&gt;45533&lt;/D&gt;&lt;D xsi:type="xsd:long"&gt;45534&lt;/D&gt;&lt;D xsi:type="xsd:long"&gt;45538&lt;/D&gt;&lt;D xsi:type="xsd:long"&gt;45539&lt;/D&gt;&lt;D xsi:type="xsd:long"&gt;45540&lt;/D&gt;&lt;D xsi:type="xsd:long"&gt;45541&lt;/D&gt;&lt;D xsi:type="xsd:long"&gt;45544&lt;/D&gt;&lt;D xsi:type="xsd:long"&gt;45545&lt;/D&gt;&lt;D xsi:type="xsd:long"&gt;45546&lt;/D&gt;&lt;D xsi:type="xsd:long"&gt;45547&lt;/D&gt;&lt;D xsi:type="xsd:long"&gt;45548&lt;/D&gt;&lt;D xsi:type="xsd:long"&gt;45551&lt;/D&gt;&lt;D xsi:type="xsd:long"&gt;45552&lt;/D&gt;&lt;D xsi:type="xsd:long"&gt;45553&lt;/D&gt;&lt;D xsi:type="xsd:long"&gt;45554&lt;/D&gt;&lt;D xsi:type="xsd:long"&gt;45555&lt;/D&gt;&lt;D xsi:type="xsd:long"&gt;45558&lt;/D&gt;&lt;D xsi:type="xsd:long"&gt;45559&lt;/D&gt;&lt;D xsi:type="xsd:long"&gt;45560&lt;/D&gt;&lt;D xsi:type="xsd:long"&gt;45561&lt;/D&gt;&lt;D xsi:type="xsd:long"&gt;45562&lt;/D&gt;&lt;D xsi:type="xsd:long"&gt;45565&lt;/D&gt;&lt;D xsi:type="xsd:long"&gt;45566&lt;/D&gt;&lt;D xsi:type="xsd:long"&gt;45567&lt;/D&gt;&lt;D xsi:type="xsd:long"&gt;45568&lt;/D&gt;&lt;D xsi:type="xsd:long"&gt;45569&lt;/D&gt;&lt;D xsi:type="xsd:long"&gt;45572&lt;/D&gt;&lt;D xsi:type="xsd:long"&gt;45573&lt;/D&gt;&lt;D xsi:type="xsd:long"&gt;45574&lt;/D&gt;&lt;D xsi:type="xsd:long"&gt;45575&lt;/D&gt;&lt;D xsi:type="xsd:long"&gt;45576&lt;/D&gt;&lt;D xsi:type="xsd:long"&gt;45579&lt;/D&gt;&lt;D xsi:type="xsd:long"&gt;45580&lt;/D&gt;&lt;D xsi:type="xsd:long"&gt;45581&lt;/D&gt;&lt;D xsi:type="xsd:long"&gt;45582&lt;/D&gt;&lt;D xsi:type="xsd:long"&gt;45583&lt;/D&gt;&lt;D xsi:type="xsd:long"&gt;45586&lt;/D&gt;&lt;D xsi:type="xsd:long"&gt;45587&lt;/D&gt;&lt;D xsi:type="xsd:long"&gt;45588&lt;/D&gt;&lt;D xsi:type="xsd:long"&gt;45589&lt;/D&gt;&lt;D xsi:type="xsd:long"&gt;45590&lt;/D&gt;&lt;D xsi:type="xsd:long"&gt;45593&lt;/D&gt;&lt;D xsi:type="xsd:long"&gt;45594&lt;/D&gt;&lt;D xsi:type="xsd:long"&gt;45595&lt;/D&gt;&lt;D xsi:type="xsd:long"&gt;45596&lt;/D&gt;&lt;D xsi:type="xsd:long"&gt;45597&lt;/D&gt;&lt;D xsi:type="xsd:long"&gt;45600&lt;/D&gt;&lt;D xsi:type="xsd:long"&gt;45601&lt;/D&gt;&lt;D xsi:type="xsd:long"&gt;45602&lt;/D&gt;&lt;D xsi:type="xsd:long"&gt;45603&lt;/D&gt;&lt;D xsi:type="xsd:long"&gt;45604&lt;/D&gt;&lt;D xsi:type="xsd:long"&gt;45607&lt;/D&gt;&lt;D xsi:type="xsd:long"&gt;45608&lt;/D&gt;&lt;D xsi:type="xsd:long"&gt;45609&lt;/D&gt;&lt;D xsi:type="xsd:long"&gt;45610&lt;/D&gt;&lt;D xsi:type="xsd:long"&gt;45611&lt;/D&gt;&lt;D xsi:type="xsd:long"&gt;45614&lt;/D&gt;&lt;D xsi:type="xsd:long"&gt;45615&lt;/D&gt;&lt;D xsi:type="xsd:long"&gt;45616&lt;/D&gt;&lt;D xsi:type="xsd:long"&gt;45617&lt;/D&gt;&lt;D xsi:type="xsd:long"&gt;45618&lt;/D&gt;&lt;D xsi:type="xsd:long"&gt;45621&lt;/D&gt;&lt;D xsi:type="xsd:long"&gt;45622&lt;/D&gt;&lt;D xsi:type="xsd:long"&gt;45623&lt;/D&gt;&lt;D xsi:type="xsd:long"&gt;45625&lt;/D&gt;&lt;D xsi:type="xsd:long"&gt;45628&lt;/D&gt;&lt;D xsi:type="xsd:long"&gt;45629&lt;/D&gt;&lt;D xsi:type="xsd:long"&gt;45630&lt;/D&gt;&lt;D xsi:type="xsd:long"&gt;45631&lt;/D&gt;&lt;D xsi:type="xsd:long"&gt;45632&lt;/D&gt;&lt;D xsi:type="xsd:long"&gt;45635&lt;/D&gt;&lt;D xsi:type="xsd:long"&gt;45636&lt;/D&gt;&lt;D xsi:type="xsd:long"&gt;45637&lt;/D&gt;&lt;D xsi:type="xsd:long"&gt;45638&lt;/D&gt;&lt;D xsi:type="xsd:long"&gt;45639&lt;/D&gt;&lt;D xsi:type="xsd:long"&gt;45642&lt;/D&gt;&lt;D xsi:type="xsd:long"&gt;45643&lt;/D&gt;&lt;D xsi:type="xsd:long"&gt;45644&lt;/D&gt;&lt;D xsi:type="xsd:long"&gt;45645&lt;/D&gt;&lt;D xsi:type="xsd:long"&gt;45646&lt;/D&gt;&lt;D xsi:type="xsd:long"&gt;45649&lt;/D&gt;&lt;D xsi:type="xsd:long"&gt;45650&lt;/D&gt;&lt;D xsi:type="xsd:long"&gt;45652&lt;/D&gt;&lt;D xsi:type="xsd:long"&gt;45653&lt;/D&gt;&lt;D xsi:type="xsd:long"&gt;45656&lt;/D&gt;&lt;D xsi:type="xsd:long"&gt;45657&lt;/D&gt;&lt;D xsi:type="xsd:long"&gt;45659&lt;/D&gt;&lt;D xsi:type="xsd:long"&gt;45660&lt;/D&gt;&lt;D xsi:type="xsd:long"&gt;45663&lt;/D&gt;&lt;D xsi:type="xsd:long"&gt;45664&lt;/D&gt;&lt;D xsi:type="xsd:long"&gt;45665&lt;/D&gt;&lt;D xsi:type="xsd:long"&gt;45667&lt;/D&gt;&lt;D xsi:type="xsd:long"&gt;45670&lt;/D&gt;&lt;D xsi:type="xsd:long"&gt;45671&lt;/D&gt;&lt;D xsi:type="xsd:long"&gt;45672&lt;/D&gt;&lt;D xsi:type="xsd:long"&gt;45673&lt;/D&gt;&lt;D xsi:type="xsd:long"&gt;45674&lt;/D&gt;&lt;D xsi:type="xsd:long"&gt;45678&lt;/D&gt;&lt;D xsi:type="xsd:long"&gt;45679&lt;/D&gt;&lt;D xsi:type="xsd:long"&gt;45680&lt;/D&gt;&lt;D xsi:type="xsd:long"&gt;45681&lt;/D&gt;&lt;D xsi:type="xsd:long"&gt;45684&lt;/D&gt;&lt;D xsi:type="xsd:long"&gt;45685&lt;/D&gt;&lt;D xsi:type="xsd:long"&gt;45686&lt;/D&gt;&lt;D xsi:type="xsd:long"&gt;45687&lt;/D&gt;&lt;D xsi:type="xsd:long"&gt;45688&lt;/D&gt;&lt;D xsi:type="xsd:long"&gt;45691&lt;/D&gt;&lt;D xsi:type="xsd:long"&gt;45692&lt;/D&gt;&lt;D xsi:type="xsd:long"&gt;45693&lt;/D&gt;&lt;D xsi:type="xsd:long"&gt;45694&lt;/D&gt;&lt;D xsi:type="xsd:long"&gt;45695&lt;/D&gt;&lt;D xsi:type="xsd:long"&gt;45698&lt;/D&gt;&lt;D xsi:type="xsd:long"&gt;45699&lt;/D&gt;&lt;D xsi:type="xsd:long"&gt;45700&lt;/D&gt;&lt;D xsi:type="xsd:long"&gt;45701&lt;/D&gt;&lt;D xsi:type="xsd:long"&gt;45702&lt;/D&gt;&lt;D xsi:type="xsd:long"&gt;45706&lt;/D&gt;&lt;D xsi:type="xsd:long"&gt;45707&lt;/D&gt;&lt;D xsi:type="xsd:long"&gt;45708&lt;/D&gt;&lt;D xsi:type="xsd:long"&gt;45709&lt;/D&gt;&lt;D xsi:type="xsd:long"&gt;45712&lt;/D&gt;&lt;D xsi:type="xsd:long"&gt;45713&lt;/D&gt;&lt;D xsi:type="xsd:long"&gt;45714&lt;/D&gt;&lt;D xsi:type="xsd:long"&gt;45715&lt;/D&gt;&lt;D xsi:type="xsd:long"&gt;45716&lt;/D&gt;&lt;D xsi:type="xsd:long"&gt;45719&lt;/D&gt;&lt;D xsi:type="xsd:long"&gt;45720&lt;/D&gt;&lt;D xsi:type="xsd:long"&gt;45721&lt;/D&gt;&lt;D xsi:type="xsd:long"&gt;45722&lt;/D&gt;&lt;D xsi:type="xsd:long"&gt;45723&lt;/D&gt;&lt;D xsi:type="xsd:long"&gt;45726&lt;/D&gt;&lt;D xsi:type="xsd:long"&gt;45727&lt;/D&gt;&lt;D xsi:type="xsd:long"&gt;45728&lt;/D&gt;&lt;D xsi:type="xsd:long"&gt;45729&lt;/D&gt;&lt;D xsi:type="xsd:long"&gt;45730&lt;/D&gt;&lt;D xsi:type="xsd:long"&gt;45733&lt;/D&gt;&lt;D xsi:type="xsd:long"&gt;45734&lt;/D&gt;&lt;D xsi:type="xsd:long"&gt;45735&lt;/D&gt;&lt;D xsi:type="xsd:long"&gt;45736&lt;/D&gt;&lt;D xsi:type="xsd:long"&gt;45737&lt;/D&gt;&lt;D xsi:type="xsd:long"&gt;45740&lt;/D&gt;&lt;D xsi:type="xsd:long"&gt;45741&lt;/D&gt;&lt;D xsi:type="xsd:long"&gt;45742&lt;/D&gt;&lt;D xsi:type="xsd:long"&gt;45743&lt;/D&gt;&lt;D xsi:type="xsd:long"&gt;45744&lt;/D&gt;&lt;D xsi:type="xsd:long"&gt;45747&lt;/D&gt;&lt;D xsi:type="xsd:long"&gt;45748&lt;/D&gt;&lt;D xsi:type="xsd:long"&gt;45749&lt;/D&gt;&lt;D xsi:type="xsd:long"&gt;45750&lt;/D&gt;&lt;D xsi:type="xsd:long"&gt;45751&lt;/D&gt;&lt;D xsi:type="xsd:long"&gt;45754&lt;/D&gt;&lt;D xsi:type="xsd:long"&gt;45755&lt;/D&gt;&lt;D xsi:type="xsd:long"&gt;45756&lt;/D&gt;&lt;D xsi:type="xsd:long"&gt;45757&lt;/D&gt;&lt;D xsi:type="xsd:long"&gt;45758&lt;/D&gt;&lt;D xsi:type="xsd:long"&gt;45761&lt;/D&gt;&lt;D xsi:type="xsd:long"&gt;45762&lt;/D&gt;&lt;D xsi:type="xsd:long"&gt;45763&lt;/D&gt;&lt;D xsi:type="xsd:long"&gt;45764&lt;/D&gt;&lt;D xsi:type="xsd:long"&gt;45768&lt;/D&gt;&lt;D xsi:type="xsd:long"&gt;45769&lt;/D&gt;&lt;D xsi:type="xsd:long"&gt;45770&lt;/D&gt;&lt;D xsi:type="xsd:long"&gt;45771&lt;/D&gt;&lt;D xsi:type="xsd:long"&gt;45772&lt;/D&gt;&lt;D xsi:type="xsd:long"&gt;45775&lt;/D&gt;&lt;D xsi:type="xsd:long"&gt;45776&lt;/D&gt;&lt;D xsi:type="xsd:long"&gt;45777&lt;/D&gt;&lt;D xsi:type="xsd:long"&gt;45778&lt;/D&gt;&lt;D xsi:type="xsd:long"&gt;45779&lt;/D&gt;&lt;D xsi:type="xsd:long"&gt;45782&lt;/D&gt;&lt;D xsi:type="xsd:long"&gt;45783&lt;/D&gt;&lt;D xsi:type="xsd:long"&gt;45784&lt;/D&gt;&lt;D xsi:type="xsd:long"&gt;45785&lt;/D&gt;&lt;D xsi:type="xsd:long"&gt;45786&lt;/D&gt;&lt;D xsi:type="xsd:long"&gt;45789&lt;/D&gt;&lt;D xsi:type="xsd:long"&gt;45790&lt;/D&gt;&lt;D xsi:type="xsd:long"&gt;45791&lt;/D&gt;&lt;D xsi:type="xsd:long"&gt;45792&lt;/D&gt;&lt;D xsi:type="xsd:long"&gt;45793&lt;/D&gt;&lt;D xsi:type="xsd:long"&gt;45796&lt;/D&gt;&lt;D xsi:type="xsd:long"&gt;45797&lt;/D&gt;&lt;D xsi:type="xsd:long"&gt;45798&lt;/D&gt;&lt;D xsi:type="xsd:long"&gt;45799&lt;/D&gt;&lt;D xsi:type="xsd:long"&gt;45800&lt;/D&gt;&lt;D xsi:type="xsd:long"&gt;45804&lt;/D&gt;&lt;D xsi:type="xsd:long"&gt;45805&lt;/D&gt;&lt;D xsi:type="xsd:long"&gt;45806&lt;/D&gt;&lt;D xsi:type="xsd:long"&gt;45807&lt;/D&gt;&lt;D xsi:type="xsd:long"&gt;45810&lt;/D&gt;&lt;D xsi:type="xsd:long"&gt;45811&lt;/D&gt;&lt;D xsi:type="xsd:long"&gt;45812&lt;/D&gt;&lt;D xsi:type="xsd:long"&gt;45813&lt;/D&gt;&lt;D xsi:type="xsd:long"&gt;45814&lt;/D&gt;&lt;D xsi:type="xsd:long"&gt;45817&lt;/D&gt;&lt;D xsi:type="xsd:long"&gt;45818&lt;/D&gt;&lt;D xsi:type="xsd:long"&gt;45819&lt;/D&gt;&lt;D xsi:type="xsd:long"&gt;45820&lt;/D&gt;&lt;D xsi:type="xsd:long"&gt;45821&lt;/D&gt;&lt;D xsi:type="xsd:long"&gt;45824&lt;/D&gt;&lt;D xsi:type="xsd:long"&gt;45825&lt;/D&gt;&lt;D xsi:type="xsd:long"&gt;45826&lt;/D&gt;&lt;D xsi:type="xsd:long"&gt;45828&lt;/D&gt;&lt;D xsi:type="xsd:long"&gt;45831&lt;/D&gt;&lt;D xsi:type="xsd:long"&gt;45832&lt;/D&gt;&lt;D xsi:type="xsd:long"&gt;45833&lt;/D&gt;&lt;D xsi:type="xsd:long"&gt;45834&lt;/D&gt;&lt;D xsi:type="xsd:long"&gt;45835&lt;/D&gt;&lt;D xsi:type="xsd:long"&gt;45838&lt;/D&gt;&lt;D xsi:type="xsd:long"&gt;45839&lt;/D&gt;&lt;D xsi:type="xsd:long"&gt;45840&lt;/D&gt;&lt;D xsi:type="xsd:long"&gt;45841&lt;/D&gt;&lt;D xsi:type="xsd:long"&gt;45845&lt;/D&gt;&lt;D xsi:type="xsd:long"&gt;45846&lt;/D&gt;&lt;D xsi:type="xsd:long"&gt;45847&lt;/D&gt;&lt;D xsi:type="xsd:long"&gt;45848&lt;/D&gt;&lt;D xsi:type="xsd:long"&gt;45849&lt;/D&gt;&lt;D xsi:type="xsd:long"&gt;45852&lt;/D&gt;&lt;D xsi:type="xsd:long"&gt;45853&lt;/D&gt;&lt;D xsi:type="xsd:long"&gt;45854&lt;/D&gt;&lt;D xsi:type="xsd:long"&gt;45855&lt;/D&gt;&lt;D xsi:type="xsd:long"&gt;45856&lt;/D&gt;&lt;D xsi:type="xsd:long"&gt;45859&lt;/D&gt;&lt;D xsi:type="xsd:long"&gt;45860&lt;/D&gt;&lt;D xsi:type="xsd:long"&gt;45861&lt;/D&gt;&lt;D xsi:type="xsd:long"&gt;45862&lt;/D&gt;&lt;D xsi:type="xsd:long"&gt;45863&lt;/D&gt;&lt;D xsi:type="xsd:long"&gt;45866&lt;/D&gt;&lt;D xsi:type="xsd:long"&gt;45867&lt;/D&gt;&lt;D xsi:type="xsd:long"&gt;45868&lt;/D&gt;&lt;D xsi:type="xsd:long"&gt;45869&lt;/D&gt;&lt;D xsi:type="xsd:long"&gt;45870&lt;/D&gt;&lt;D xsi:type="xsd:long"&gt;45873&lt;/D&gt;&lt;D xsi:type="xsd:long"&gt;45874&lt;/D&gt;&lt;D xsi:type="xsd:long"&gt;45875&lt;/D&gt;&lt;D xsi:type="xsd:long"&gt;45876&lt;/D&gt;&lt;D xsi:type="xsd:long"&gt;45877&lt;/D&gt;&lt;D xsi:type="xsd:long"&gt;45880&lt;/D&gt;&lt;D xsi:type="xsd:long"&gt;45881&lt;/D&gt;&lt;D xsi:type="xsd:long"&gt;45882&lt;/D&gt;&lt;D xsi:type="xsd:long"&gt;45883&lt;/D&gt;&lt;D xsi:type="xsd:long"&gt;45884&lt;/D&gt;&lt;D xsi:type="xsd:long"&gt;45887&lt;/D&gt;&lt;D xsi:type="xsd:long"&gt;45888&lt;/D&gt;&lt;D xsi:type="xsd:long"&gt;45889&lt;/D&gt;&lt;D xsi:type="xsd:long"&gt;45890&lt;/D&gt;&lt;D xsi:type="xsd:long"&gt;45891&lt;/D&gt;&lt;D xsi:type="xsd:long"&gt;45894&lt;/D&gt;&lt;D xsi:type="xsd:long"&gt;45895&lt;/D&gt;&lt;D xsi:type="xsd:long"&gt;45896&lt;/D&gt;&lt;D xsi:type="xsd:long"&gt;45897&lt;/D&gt;&lt;D xsi:type="xsd:long"&gt;45898&lt;/D&gt;&lt;D xsi:type="xsd:long"&gt;45902&lt;/D&gt;&lt;D xsi:type="xsd:long"&gt;45903&lt;/D&gt;&lt;D xsi:type="xsd:long"&gt;45904&lt;/D&gt;&lt;D xsi:type="xsd:long"&gt;45905&lt;/D&gt;&lt;D xsi:type="xsd:long"&gt;45908&lt;/D&gt;&lt;D xsi:type="xsd:long"&gt;45909&lt;/D&gt;&lt;D xsi:type="xsd:long"&gt;45910&lt;/D&gt;&lt;D xsi:type="xsd:long"&gt;45911&lt;/D&gt;&lt;D xsi:type="xsd:long"&gt;45912&lt;/D&gt;&lt;D xsi:type="xsd:long"&gt;45915&lt;/D&gt;&lt;D xsi:type="xsd:long"&gt;45916&lt;/D&gt;&lt;D xsi:type="xsd:long"&gt;45917&lt;/D&gt;&lt;/FQL&gt;&lt;FQL&gt;&lt;Q&gt;NTRA-US^FG_COMPANY_NAME()&lt;/Q&gt;&lt;R&gt;1&lt;/R&gt;&lt;C&gt;1&lt;/C&gt;&lt;D xsi:type="xsd:string"&gt;Natera, Inc.&lt;/D&gt;&lt;/FQL&gt;&lt;FQL&gt;&lt;Q&gt;NTRA-US^FORMULA_DESCRIPTION("FG_PRICE")&lt;/Q&gt;&lt;R&gt;1&lt;/R&gt;&lt;C&gt;1&lt;/C&gt;&lt;D xsi:type="xsd:string"&gt;Price&lt;/D&gt;&lt;/FQL&gt;&lt;FQL&gt;&lt;Q&gt;NTRA-US^FE_ESTIMATE(EPS,MEAN,ANN_ROLL,+1,NOW,0,,'')&lt;/Q&gt;&lt;R&gt;2&lt;/R&gt;&lt;C&gt;1&lt;/C&gt;&lt;D xsi:type="xsd:double"&gt;-2.0445383&lt;/D&gt;&lt;D xsi:type="xsd:double"&gt;-2.0445383&lt;/D&gt;&lt;/FQL&gt;&lt;FQL&gt;&lt;Q&gt;NTRA-US^JULIAN(FE_ESTIMATE(EPS,MEAN,ANN_ROLL,+1,NOW,0,,'').DATES)&lt;/Q&gt;&lt;R&gt;2&lt;/R&gt;&lt;C&gt;1&lt;/C&gt;&lt;D xsi:type="xsd:long"&gt;45889&lt;/D&gt;&lt;D xsi:type="xsd:long"&gt;45888&lt;/D&gt;&lt;/FQL&gt;&lt;FQL&gt;&lt;Q&gt;NTRA-US^FORMULA_DESCRIPTION("FE_ESTIMATE")&lt;/Q&gt;&lt;R&gt;1&lt;/R&gt;&lt;C&gt;1&lt;/C&gt;&lt;D xsi:type="xsd:string"&gt;Consensus Estimate&lt;/D&gt;&lt;/FQL&gt;&lt;FQL&gt;&lt;Q&gt;NTRA-US^FE_ESTIMATE(SALES,MEAN,ANN_ROLL,+1,NOW,0,,'')&lt;/Q&gt;&lt;R&gt;2&lt;/R&gt;&lt;C&gt;1&lt;/C&gt;&lt;D xsi:type="xsd:double"&gt;2091.0076&lt;/D&gt;&lt;D xsi:type="xsd:double"&gt;2091.0076&lt;/D&gt;&lt;/FQL&gt;&lt;FQL&gt;&lt;Q&gt;NTRA-US^JULIAN(FE_ESTIMATE(SALES,MEAN,ANN_ROLL,+1,NOW,0,,'').DATES)&lt;/Q&gt;&lt;R&gt;2&lt;/R&gt;&lt;C&gt;1&lt;/C&gt;&lt;D xsi:type="xsd:long"&gt;45889&lt;/D&gt;&lt;D xsi:type="xsd:long"&gt;45888&lt;/D&gt;&lt;/FQL&gt;&lt;FQL&gt;&lt;Q&gt;NTRA-US^FE_ESTIMATE(SALES,MEAN,ANN_ROLL,+1,1/1/2024,0,,'')&lt;/Q&gt;&lt;R&gt;410&lt;/R&gt;&lt;C&gt;1&lt;/C&gt;&lt;D xsi:type="xsd:double"&gt;1047.5074&lt;/D&gt;&lt;D xsi:type="xsd:double"&gt;1047.5074&lt;/D&gt;&lt;D xsi:type="xsd:double"&gt;1047.581&lt;/D&gt;&lt;D xsi:type="xsd:double"&gt;1047.581&lt;/D&gt;&lt;D xsi:type="xsd:double"&gt;1047.581&lt;/D&gt;&lt;D xsi:type="xsd:double"&gt;1047.581&lt;/D&gt;&lt;D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xsi:type="xsd:double"&gt;1334.5596&lt;/D&gt;&lt;D xsi:type="xsd:double"&gt;1340.3125&lt;/D&gt;&lt;D xsi:type="xsd:double"&gt;1339.653&lt;/D&gt;&lt;D xsi:type="xsd:double"&gt;1339.653&lt;/D&gt;&lt;D xsi:type="xsd:double"&gt;1339.653&lt;/D&gt;&lt;D xsi:type="xsd:double"&gt;1339.645&lt;/D&gt;&lt;D xsi:type="xsd:double"&gt;1339.645&lt;/D&gt;&lt;D xsi:type="xsd:double"&gt;1339.645&lt;/D&gt;&lt;D xsi:type="xsd:double"&gt;1339.645&lt;/D&gt;&lt;D xsi:type="xsd:double"&gt;1339.5247&lt;/D&gt;&lt;D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xsi:type="xsd:double"&gt;1339.5251&lt;/D&gt;&lt;D xsi:type="xsd:double"&gt;1339.5251&lt;/D&gt;&lt;D xsi:type="xsd:double"&gt;1339.5251&lt;/D&gt;&lt;D xsi:type="xsd:double"&gt;1339.5251&lt;/D&gt;&lt;D xsi:type="xsd:double"&gt;1339.5251&lt;/D&gt;&lt;D xsi:type="xsd:double"&gt;1340.0115&lt;/D&gt;&lt;D xsi:type="xsd:double"&gt;1340.5226&lt;/D&gt;&lt;D xsi:type="xsd:double"&gt;1340.5393&lt;/D&gt;&lt;D xsi:type="xsd:double"&gt;1340.5393&lt;/D&gt;&lt;D xsi:type="xsd:double"&gt;1340.5393&lt;/D&gt;&lt;D xsi:type="xsd:double"&gt;1341.0416&lt;/D&gt;&lt;D xsi:type="xsd:double"&gt;1341.0416&lt;/D&gt;&lt;D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xsi:type="xsd:double"&gt;1426.3672&lt;/D&gt;&lt;D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xsi:type="xsd:double"&gt;1433.329&lt;/D&gt;&lt;D xsi:type="xsd:double"&gt;1433.329&lt;/D&gt;&lt;D xsi:type="xsd:double"&gt;1435.0511&lt;/D&gt;&lt;D xsi:type="xsd:double"&gt;1435.0511&lt;/D&gt;&lt;D xsi:type="xsd:double"&gt;1435.0511&lt;/D&gt;&lt;D xsi:type="xsd:double"&gt;1440.6398&lt;/D&gt;&lt;D xsi:type="xsd:double"&gt;1440.6398&lt;/D&gt;&lt;D xsi:type="xsd:double"&gt;1440.6398&lt;/D&gt;&lt;D xsi:type="xsd:double"&gt;1440.6398&lt;/D&gt;&lt;D xsi:type="xsd:double"&gt;1441.0043&lt;/D&gt;&lt;D xsi:type="xsd:double"&gt;1</t>
        </r>
      </text>
    </comment>
    <comment ref="A6" authorId="0" shapeId="0" xr:uid="{D063164B-B892-4730-99F4-584B170898ED}">
      <text>
        <r>
          <rPr>
            <b/>
            <sz val="9"/>
            <color indexed="81"/>
            <rFont val="Tahoma"/>
            <charset val="1"/>
          </rPr>
          <t>441.0043&lt;/D&gt;&lt;D xsi:type="xsd:double"&gt;1441.0043&lt;/D&gt;&lt;D xsi:type="xsd:double"&gt;1441.0043&lt;/D&gt;&lt;D xsi:type="xsd:double"&gt;1441.1709&lt;/D&gt;&lt;D xsi:type="xsd:double"&gt;1441.1709&lt;/D&gt;&lt;D xsi:type="xsd:double"&gt;1441.1543&lt;/D&gt;&lt;D xsi:type="xsd:double"&gt;1441.1482&lt;/D&gt;&lt;D xsi:type="xsd:double"&gt;1441.1475&lt;/D&gt;&lt;D xsi:type="xsd:double"&gt;1441.1581&lt;/D&gt;&lt;D xsi:type="xsd:double"&gt;1441.1581&lt;/D&gt;&lt;D xsi:type="xsd:double"&gt;1441.1581&lt;/D&gt;&lt;D xsi:type="xsd:double"&gt;1441.1581&lt;/D&gt;&lt;D xsi:type="xsd:double"&gt;1441.1581&lt;/D&gt;&lt;D xsi:type="xsd:double"&gt;1441.1589&lt;/D&gt;&lt;D xsi:type="xsd:double"&gt;1441.1589&lt;/D&gt;&lt;D xsi:type="xsd:double"&gt;1441.1589&lt;/D&gt;&lt;D xsi:type="xsd:double"&gt;1441.1589&lt;/D&gt;&lt;D xsi:type="xsd:double"&gt;1441.1589&lt;/D&gt;&lt;D xsi:type="xsd:double"&gt;1441.1755&lt;/D&gt;&lt;D xsi:type="xsd:double"&gt;1441.1755&lt;/D&gt;&lt;D xsi:type="xsd:double"&gt;1441.1755&lt;/D&gt;&lt;D xsi:type="xsd:double"&gt;1441.1755&lt;/D&gt;&lt;D xsi:type="xsd:double"&gt;1441.1755&lt;/D&gt;&lt;D xsi:type="xsd:double"&gt;1504.8861&lt;/D&gt;&lt;D xsi:type="xsd:double"&gt;1513.6127&lt;/D&gt;&lt;D xsi:type="xsd:double"&gt;1513.6127&lt;/D&gt;&lt;D xsi:type="xsd:double"&gt;1513.6127&lt;/D&gt;&lt;D xsi:type="xsd:double"&gt;1513.6127&lt;/D&gt;&lt;D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xsi:type="xsd:double"&gt;1517.89&lt;/D&gt;&lt;D xsi:type="xsd:double"&gt;1517.89&lt;/D&gt;&lt;D xsi:type="xsd:double"&gt;1517.9623&lt;/D&gt;&lt;D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xsi:type="xsd:double"&gt;1517.979&lt;/D&gt;&lt;D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xsi:type="xsd:double"&gt;1518.0345&lt;/D&gt;&lt;D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xsi:type="xsd:double"&gt;1518.108&lt;/D&gt;&lt;D xsi:type="xsd:double"&gt;1518.108&lt;/D&gt;&lt;D xsi:type="xsd:double"&gt;1518.108&lt;/D&gt;&lt;D xsi:type="xsd:double"&gt;1518.0802&lt;/D&gt;&lt;D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xsi:type="xsd:double"&gt;1612.552&lt;/D&gt;&lt;D xsi:type="xsd:double"&gt;1612.552&lt;/D&gt;&lt;D xsi:type="xsd:double"&gt;1618.7352&lt;/D&gt;&lt;D xsi:type="xsd:double"&gt;1624.9918&lt;/D&gt;&lt;D xsi:type="xsd:double"&gt;1624.9918&lt;/D&gt;&lt;D xsi:type="xsd:double"&gt;1624.9918&lt;/D&gt;&lt;D xsi:type="xsd:double"&gt;1624.9661&lt;/D&gt;&lt;D xsi:type="xsd:double"&gt;1624.9886&lt;/D&gt;&lt;D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xsi:type="xsd:double"&gt;1631.0104&lt;/D&gt;&lt;D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xsi:type="xsd:double"&gt;1631.0219&lt;/D&gt;&lt;D xsi:type="xsd:double"&gt;1634.7739&lt;/D&gt;&lt;D xsi:type="xsd:double"&gt;1639.0509&lt;/D&gt;&lt;D xsi:type="xsd:double"&gt;1639.2245&lt;/D&gt;&lt;D xsi:type="xsd:double"&gt;1642.6688&lt;/D&gt;&lt;D xsi:type="xsd:double"&gt;1642.6688&lt;/D&gt;&lt;D xsi:type="xsd:double"&gt;1646.1613&lt;/D&gt;&lt;D xsi:type="xsd:double"&gt;1646.1613&lt;/D&gt;&lt;D xsi:type="xsd:double"&gt;1646.1613&lt;/D&gt;&lt;D xsi:type="xsd:double"&gt;1646.1613&lt;/D&gt;&lt;D xsi:type="xsd:double"&gt;1646.1674&lt;/D&gt;&lt;D xsi:type="xsd:double"&gt;1652.0438&lt;/D&gt;&lt;D xsi:type="xsd:double"&gt;1652.0438&lt;/D&gt;&lt;D xsi:type="xsd:double"&gt;1652.0438&lt;/D&gt;&lt;D xsi:type="xsd:double"&gt;1652.0438&lt;/D&gt;&lt;D xsi:type="xsd:double"&gt;1651.8855&lt;/D&gt;&lt;D xsi:type="xsd:double"&gt;1651.8855&lt;/D&gt;&lt;D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xsi:type="xsd:double"&gt;1914.1147&lt;/D&gt;&lt;D xsi:type="xsd:double"&gt;1914.1147&lt;/D&gt;&lt;D xsi:type="xsd:double"&gt;1914.1147&lt;/D&gt;&lt;D xsi:type="xsd:double"&gt;1914.7681&lt;/D&gt;&lt;D xsi:type="xsd:double"&gt;1914.7681&lt;/D&gt;&lt;D xsi:type="xsd:double"&gt;1914.7681&lt;/D&gt;&lt;D xsi:type="xsd:double"&gt;1914.7681&lt;/D&gt;&lt;D xsi:type="xsd:double"&gt;1916.0592&lt;/D&gt;&lt;D xsi:type="xsd:double"&gt;1916.0592&lt;/D&gt;&lt;D xsi:type="xsd:double"&gt;1916.0592&lt;/D&gt;&lt;D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xsi:type="xsd:double"&gt;1919.3271&lt;/D&gt;&lt;D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xsi:type="xsd:double"&gt;1920.7539&lt;/D&gt;&lt;D xsi:type="xsd:double"&gt;1920.7539&lt;/D&gt;&lt;D xsi:type="xsd:double"&gt;1920.7539&lt;/D&gt;&lt;D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xsi:type="xsd:double"&gt;1920.6467&lt;/D&gt;&lt;D xsi:type="xsd:double"&gt;1980.6135&lt;/D&gt;&lt;D xsi:type="xsd:double"&gt;1980.6135&lt;/D&gt;&lt;D xsi:type="xsd:double"&gt;1980.6135&lt;/D&gt;&lt;D xsi:type="xsd:double"&gt;1988.4552&lt;/D&gt;&lt;D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xsi:type="xsd:double"&gt;1993.3856&lt;/D&gt;&lt;D xsi:type="xsd:double"&gt;1993.3856&lt;/D&gt;&lt;D xsi:type="xsd:double"&gt;1993.3856&lt;/D&gt;&lt;D xsi:type="xsd:double"&gt;1993.1705&lt;/D&gt;&lt;D xsi:type="xsd:double"&gt;1993.1705&lt;/D&gt;&lt;D xsi:type="xsd:double"&gt;1996.7877&lt;/D&gt;&lt;D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xsi:type="xsd:double"&gt;1996.9489&lt;/D&gt;&lt;D xsi:type="xsd:double"&gt;1996.9502&lt;/D&gt;&lt;D xsi:type="xsd:double"&gt;1996.9517&lt;/D&gt;&lt;D xsi:type="xsd:double"&gt;1996.9517&lt;/D&gt;&lt;D xsi:type="xsd:double"&gt;1996.9517&lt;/D&gt;&lt;D xsi:type="xsd:double"&gt;1996.9517&lt;/D&gt;&lt;D xsi:type="xsd:double"&gt;1996.9517&lt;/D&gt;&lt;D xsi:type="xsd:double"&gt;1996.9517&lt;/D&gt;&lt;D xsi:type="xsd:double"&gt;1997.7794&lt;/D&gt;&lt;D xsi:type="xsd:double"&gt;1998.0017&lt;/D&gt;&lt;D xsi:type="xsd:double"&gt;1998.0017&lt;/D&gt;&lt;D xsi:type="xsd:double"&gt;1998.0017&lt;/D&gt;&lt;D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xsi:type="xsd:double"&gt;2085.947&lt;/D&gt;&lt;D xsi:type="xsd:double"&gt;2085.947&lt;/D&gt;&lt;D xsi:type="xsd:double"&gt;2085.947&lt;/D&gt;&lt;D xsi:type="xsd:double"&gt;2090.8591&lt;/D&gt;&lt;D xsi:type="xsd:double"&gt;2090.867&lt;/D&gt;&lt;D xsi:type="xsd:double"&gt;2091.0076&lt;/D&gt;&lt;D xsi:type="xsd:double"&gt;2091.0076&lt;/D&gt;&lt;D xsi:type="xsd:double"&gt;2091.0076&lt;/D&gt;&lt;/FQL&gt;&lt;FQL&gt;&lt;Q&gt;NTRA-US^JULIAN(FE_ESTIMATE(SALES,MEAN,ANN_ROLL,+1,1/1/2024,0,,'').DATES)&lt;/Q&gt;&lt;R&gt;410&lt;/R&gt;&lt;C&gt;1&lt;/C&gt;&lt;D xsi:type="xsd:long"&gt;45289&lt;/D&gt;&lt;D xsi:type="xsd:long"&gt;45293&lt;/D&gt;&lt;D xsi:type="xsd:long"&gt;45294&lt;/D&gt;&lt;D xsi:type="xsd:long"&gt;45295&lt;/D&gt;&lt;D xsi:type="xsd:long"&gt;45296&lt;/D&gt;&lt;D xsi:type="xsd:long"&gt;45299&lt;/D&gt;&lt;D xsi:type="xsd:long"&gt;45300&lt;/D&gt;&lt;D xsi:type="xsd:long"&gt;45301&lt;/D&gt;&lt;D xsi:type="xsd:long"&gt;45302&lt;/D&gt;&lt;D xsi:type="xsd:long"&gt;45303&lt;/D&gt;&lt;D xsi:type="xsd:long"&gt;45307&lt;/D&gt;&lt;D xsi:type="xsd:long"&gt;45308&lt;/D&gt;&lt;D xsi:type="xsd:long"&gt;45309&lt;/D&gt;&lt;D xsi:type="xsd:long"&gt;45310&lt;/D&gt;&lt;D xsi:type="xsd:long"&gt;45313&lt;/D&gt;&lt;D xsi:type="xsd:long"&gt;45314&lt;/D&gt;&lt;D xsi:type="xsd:long"&gt;45315&lt;/D&gt;&lt;D xsi:type="xsd:long"&gt;45316&lt;/D&gt;&lt;D xsi:type="xsd:long"&gt;45317&lt;/D&gt;&lt;D xsi:type="xsd:long"&gt;45320&lt;/D&gt;&lt;D xsi:type="xsd:long"&gt;45321&lt;/D&gt;&lt;D xsi:type="xsd:long"&gt;45322&lt;/D&gt;&lt;D xsi:type="xsd:long"&gt;45323&lt;/D&gt;&lt;D xsi:type="xsd:long"&gt;45324&lt;/D&gt;&lt;D xsi:type="xsd:long"&gt;45327&lt;/D&gt;&lt;D xsi:type="xsd:long"&gt;45328&lt;/D&gt;&lt;D xsi:type="xsd:long"&gt;45329&lt;/D&gt;&lt;D xsi:type="xsd:long"&gt;45330&lt;/D&gt;&lt;D xsi:type="xsd:long"&gt;45331&lt;/D&gt;&lt;D xsi:type="xsd:long"&gt;45334&lt;/D&gt;&lt;D xsi:type="xsd:long"&gt;45335&lt;/D&gt;&lt;D xsi:type="xsd:long"&gt;45336&lt;/D&gt;&lt;D xsi:type="xsd:long"&gt;45337&lt;/D&gt;&lt;D xsi:type="xsd:long"&gt;45338&lt;/D&gt;&lt;D xsi:type="xsd:long"&gt;45342&lt;/D&gt;&lt;D xsi:type="xsd:long"&gt;45343&lt;/D&gt;&lt;D xsi:type="xsd:long"&gt;45344&lt;/D&gt;&lt;D xsi:type="xsd:long"&gt;45345&lt;/D&gt;&lt;D xsi:type="xsd:long"&gt;45348&lt;/D&gt;&lt;D xsi:type="xsd:long"&gt;45349&lt;/D&gt;&lt;D xsi:type="xsd:long"&gt;45350&lt;/D&gt;&lt;D xsi:type="xsd:long"&gt;45351&lt;/D&gt;&lt;D xsi:type="xsd:long"&gt;45352&lt;/D&gt;&lt;D xsi:type="xsd:long"&gt;45355&lt;/D&gt;&lt;D xsi:type="xsd:long"&gt;45356&lt;/D&gt;&lt;D xsi:type="xsd:long"&gt;45357&lt;/D&gt;&lt;D xsi:type="xsd:long"&gt;45358&lt;/D&gt;&lt;D xsi:type="xsd:long"&gt;45359&lt;/D&gt;&lt;D xsi:type="xsd:long"&gt;45362&lt;/D&gt;&lt;D xsi:type="xsd:long"&gt;45363&lt;/D&gt;&lt;D xsi:type="xsd:long"&gt;45364&lt;/D&gt;&lt;D xsi:type="xsd:long"&gt;45365&lt;/D&gt;&lt;D xsi:type="xsd:long"&gt;45366&lt;/D&gt;&lt;D xsi:type="xsd:long"&gt;45369&lt;/D&gt;&lt;D xsi:type="xsd:long"&gt;45370&lt;/D&gt;&lt;D xsi:type="xsd:long"&gt;45371&lt;/D&gt;&lt;D xsi:type="xsd:long"&gt;45372&lt;/D&gt;&lt;D xsi:type="xsd:long"&gt;45373&lt;/D&gt;&lt;D xsi:type="xsd:long"&gt;45376&lt;/D&gt;&lt;D xsi:type="xsd:long"&gt;45377&lt;/D&gt;&lt;D xsi:type="xsd:long"&gt;45378&lt;/D&gt;&lt;D xsi:type="xsd:long"&gt;45379&lt;/D&gt;&lt;D xsi:type="xsd:long"&gt;45383&lt;/D&gt;&lt;D xsi:type="xsd:long"&gt;45384&lt;/D&gt;&lt;D xsi:type="xsd:long"&gt;45385&lt;/D&gt;&lt;D xsi:type="xsd:long"&gt;45386&lt;/D&gt;&lt;D xsi:type="xsd:long"&gt;45387&lt;/D&gt;&lt;D xsi:type="xsd:long"&gt;45390&lt;/D&gt;&lt;D xsi:type="xsd:long"&gt;45391&lt;/D&gt;&lt;D xsi:type="xsd:long"&gt;45392&lt;/D&gt;&lt;D xsi:type="xsd:long"&gt;45393&lt;/D&gt;&lt;D xsi:type="xsd:long"&gt;45394&lt;/D&gt;&lt;D xsi:type="xsd:long"&gt;45397&lt;/D&gt;&lt;D xsi:type="xsd:long"&gt;45398&lt;/D&gt;&lt;D xsi:type="xsd:long"&gt;45399&lt;/D&gt;&lt;D xsi:type="xsd:long"&gt;45400&lt;/D&gt;&lt;D xsi:type="xsd:long"&gt;45401&lt;/D&gt;&lt;D xsi:type="xsd:long"&gt;45404&lt;/D&gt;&lt;D xsi:type="xsd:long"&gt;45405&lt;/D&gt;&lt;D xsi:type="xsd:long"&gt;45406&lt;/D&gt;&lt;D xsi:type="xsd:long"&gt;45407&lt;/D&gt;&lt;D xsi:type="xsd:long"&gt;45408&lt;/D&gt;&lt;D xsi:type="xsd:long"&gt;45411&lt;/D&gt;&lt;D xsi:type="xsd:long"&gt;45412&lt;/D&gt;&lt;D xsi:type="xsd:long"&gt;45413&lt;/D&gt;&lt;D xsi:type="xsd:long"&gt;45414&lt;/D&gt;&lt;D xsi:type="xsd:long"&gt;45415&lt;/D&gt;&lt;D xsi:type="xsd:long"&gt;45418&lt;/D&gt;&lt;D xsi:type="xsd:long"&gt;45419&lt;/D&gt;&lt;D xsi:type="xsd:long"&gt;45420&lt;/D&gt;&lt;D xsi:type="xsd:long"&gt;45421&lt;/D&gt;&lt;D xsi:type="xsd:long"&gt;45422&lt;/D&gt;&lt;D xsi:type="xsd:long"&gt;45425&lt;/D&gt;&lt;D xsi:type="xsd:long"&gt;45426&lt;/D&gt;&lt;D xsi:type="xsd:long"&gt;45427&lt;/D&gt;&lt;D xsi:type="xsd:long"&gt;45428&lt;/D&gt;&lt;D xsi:type="xsd:long"&gt;45429&lt;/D&gt;&lt;D xsi:type="xsd:long"&gt;45432&lt;/D&gt;&lt;D xsi:type="xsd:long"&gt;45433&lt;/D&gt;&lt;D xsi:type="xsd:long"&gt;45434&lt;/D&gt;&lt;D xsi:type="xsd:long"&gt;45435&lt;/D&gt;&lt;D xsi:type="xsd:long"&gt;45436&lt;/D&gt;&lt;D xsi:type="xsd:long"&gt;45440&lt;/D&gt;&lt;D xsi:type="xsd:long"&gt;45441&lt;/D&gt;&lt;D xsi:type="xsd:long"&gt;45442&lt;/D&gt;&lt;D xsi:type="xsd:long"&gt;45443&lt;/D&gt;&lt;D xsi:type="xsd:long"&gt;45446&lt;/D&gt;&lt;D xsi:type="xsd:long"&gt;45447&lt;/D&gt;&lt;D xsi:type="xsd:long"&gt;45448&lt;/D&gt;&lt;D xsi:type="xsd:long"&gt;45449&lt;/D&gt;&lt;D xsi:type="xsd:long"&gt;45450&lt;/D&gt;&lt;D xsi:type="xsd:long"&gt;45453&lt;/D&gt;&lt;D xsi:type="xsd:long"&gt;45454&lt;/D&gt;&lt;D xsi:type="xsd:long"&gt;45455&lt;/D&gt;&lt;D xsi:type="xsd:long"&gt;45456&lt;/D&gt;&lt;D xsi:type="xsd:long"&gt;45457&lt;/D&gt;&lt;D xsi:type="xsd:long"&gt;45460&lt;/D&gt;&lt;D xsi:type="xsd:long"&gt;45461&lt;/D&gt;&lt;D xsi:type="xsd:long"&gt;45463&lt;/D&gt;&lt;D xsi:type="xsd:long"&gt;45464&lt;/D&gt;&lt;D xsi:type="xsd:long"&gt;45467&lt;/D&gt;&lt;D xsi:type="xsd:long"&gt;45468&lt;/D&gt;&lt;D xsi:type="xsd:long"&gt;45469&lt;/D&gt;&lt;D xsi:type="xsd:long"&gt;45470&lt;/D&gt;&lt;D xsi:type="xsd:long"&gt;45471&lt;/D&gt;&lt;D xsi:type="xsd:long"&gt;45474&lt;/D&gt;&lt;D xsi:type="xsd:long"&gt;45475&lt;/D&gt;&lt;D xsi:type="xsd:long"&gt;45476&lt;/D&gt;&lt;D xsi:type="xsd:long"&gt;45478&lt;/D&gt;&lt;D xsi:type="xsd:long"&gt;45481&lt;/D&gt;&lt;D xsi:type="xsd:long"&gt;45482&lt;/D&gt;&lt;D xsi:type="xsd:long"&gt;45483&lt;/D&gt;&lt;D xsi:type="xsd:long"&gt;45484&lt;/D&gt;&lt;D xsi:type="xsd:long"&gt;45485&lt;/D&gt;&lt;D xsi:type="xsd:long"&gt;45488&lt;/D&gt;&lt;D xsi:type="xsd:long"&gt;45489&lt;/D&gt;&lt;D xsi:type="xsd:long"&gt;45490&lt;/D&gt;&lt;D xsi:type="xsd:long"&gt;45491&lt;/D&gt;&lt;D xsi:type="xsd:long"&gt;45492&lt;/D&gt;&lt;D xsi:type="xsd:long"&gt;45495&lt;/D&gt;&lt;D xsi:type="xsd:long"&gt;45496&lt;/D&gt;&lt;D xsi:type="xsd:long"&gt;45497&lt;/D&gt;&lt;D xsi:type="xsd:long"&gt;45498&lt;/D&gt;&lt;D xsi:type="xsd:long"&gt;45499&lt;/D&gt;&lt;D xsi:type="xsd:long"&gt;45502&lt;/D&gt;&lt;D xsi:type="xsd:long"&gt;45503&lt;/D&gt;&lt;D xsi:type="xsd:long"&gt;45504&lt;/D&gt;&lt;D xsi:type="xsd:long"&gt;45505&lt;/D&gt;&lt;D xsi:type="xsd:long"&gt;45506&lt;/D&gt;&lt;D xsi:type="xsd:long"&gt;45509&lt;/D&gt;&lt;D xsi:type="xsd:long"&gt;45510&lt;/D&gt;&lt;D xsi:type="xsd:long"&gt;45511&lt;/D&gt;&lt;D xsi:type="xsd:long"&gt;45512&lt;/D&gt;&lt;D xsi:type="xsd:long"&gt;45513&lt;/D&gt;&lt;D xsi:type="xsd:long"&gt;45516&lt;/D&gt;&lt;D xsi:type="xsd:long"&gt;45517&lt;/D&gt;&lt;D xsi:type="xsd:long"&gt;45518&lt;/D&gt;&lt;D xsi:type="xsd:long"&gt;45519&lt;/D&gt;&lt;D xsi:type="xsd:long"&gt;45520&lt;/D&gt;&lt;D xsi:type="xsd:long"&gt;45523&lt;/D&gt;&lt;D xsi:type="xsd:long"&gt;45524&lt;/D&gt;&lt;D xsi:type="xsd:long"&gt;45525&lt;/D&gt;&lt;D xsi:type="xsd:long"&gt;45526&lt;/D&gt;&lt;D xsi:type="xsd:long"&gt;45527&lt;/D&gt;&lt;D xsi:type="xsd:long"&gt;45530&lt;/D&gt;&lt;D xsi:type="xsd:long"&gt;45531&lt;/D&gt;&lt;D xsi:type="xsd:long"&gt;45532&lt;/D&gt;&lt;D xsi:type="xsd:long"&gt;45533&lt;/D&gt;&lt;D xsi:type="xsd:long"&gt;45534&lt;/D&gt;&lt;D xsi:type="xsd:long"&gt;45538&lt;/D&gt;&lt;D xsi:type="xsd:long"&gt;45539&lt;/D&gt;&lt;D xsi:type="xsd:long"&gt;45540&lt;/D&gt;&lt;D xsi:type="xsd:long"&gt;45541&lt;/D&gt;&lt;D xsi:type="xsd:long"&gt;45544&lt;/D&gt;&lt;D xsi:type="xsd:long"&gt;45545&lt;/D&gt;&lt;D xsi:type="xsd:long"&gt;45546&lt;/D&gt;&lt;D xsi:type="xsd:long"&gt;45547&lt;/D&gt;&lt;D xsi:type="xsd:long"&gt;45548&lt;/D&gt;&lt;D xsi:type="xsd:long"&gt;45551&lt;/D&gt;&lt;D xsi:type="xsd:long"&gt;45552&lt;/D&gt;&lt;D xsi:type="xsd:long"&gt;45553&lt;/D&gt;&lt;D xsi:type="xsd:long"&gt;45554&lt;/D&gt;&lt;D xsi:type="xsd:long"&gt;45555&lt;/D&gt;&lt;D xsi:type="xsd:long"&gt;45558&lt;/D&gt;&lt;D xsi:type="xsd:long"&gt;45559&lt;/D&gt;&lt;D xsi:type="xsd:long"&gt;45560&lt;/D&gt;&lt;D xsi:type="xsd:long"&gt;45561&lt;/D&gt;&lt;D xsi:type="xsd:long"&gt;45562&lt;/D&gt;&lt;D xsi:type="xsd:long"&gt;45565&lt;/D&gt;&lt;D xsi:type="xsd:long"&gt;45566&lt;/D&gt;&lt;D xsi:type="xsd:long"&gt;45567&lt;/D&gt;&lt;D xsi:type="xsd:long"&gt;45568&lt;/D&gt;&lt;D xsi:type="xsd:long"&gt;45569&lt;/D&gt;&lt;D xsi:type="xsd:long"&gt;45572&lt;/D&gt;&lt;D xsi:type="xsd:long"&gt;45573&lt;/D&gt;&lt;D xsi:type="xsd:long"&gt;45574&lt;/D&gt;&lt;D xsi:type="xsd:long"&gt;45575&lt;/D&gt;&lt;D xsi:type="xsd:long"&gt;45576&lt;/D&gt;&lt;D xsi:type="xsd:long"&gt;45579&lt;/D&gt;&lt;D xsi:type="xsd:long"&gt;45580&lt;/D&gt;&lt;D xsi:type="xsd:long"&gt;45581&lt;/D&gt;&lt;D xsi:type="xsd:long"&gt;45582&lt;/D&gt;&lt;D xsi:type="xsd:long"&gt;45583&lt;/D&gt;&lt;D xsi:type="xsd:long"&gt;45586&lt;/D&gt;&lt;D xsi:type="xsd:long"&gt;45587&lt;/D&gt;&lt;D xsi:type="xsd:long"&gt;45588&lt;/D&gt;&lt;D xsi:type="xsd:long"&gt;45589&lt;/D&gt;&lt;D xsi:type="xsd:long"&gt;45590&lt;/D&gt;&lt;D xsi:type="xsd:long"&gt;45593&lt;/D&gt;&lt;D xsi:type="xsd:long"&gt;45594&lt;/D&gt;&lt;D xsi:type="xsd:long"&gt;45595&lt;/D&gt;&lt;D xsi:type="xsd:long"&gt;45596&lt;/D&gt;&lt;D xsi:type="xsd:long"&gt;45597&lt;/D&gt;&lt;D xsi:type="xsd:long"&gt;45600&lt;/D&gt;&lt;D xsi:type="xsd:long"&gt;45601&lt;/D&gt;&lt;D xsi:type="xsd:long"&gt;45602&lt;/D&gt;&lt;D xsi:type="xsd:long"&gt;45603&lt;/D&gt;&lt;D xsi:type="xsd:long"&gt;45604&lt;/D&gt;&lt;D xsi:type="xsd:long"&gt;45607&lt;/D&gt;&lt;D xsi:type="xsd:long"&gt;45608&lt;/D&gt;&lt;D xsi:type="xsd:long"&gt;45609&lt;/D&gt;&lt;D xsi:type="xsd:long"&gt;45610&lt;/D&gt;&lt;D xsi:type="xsd:long"&gt;45611&lt;/D&gt;&lt;D xsi:type="xsd:long"&gt;45614&lt;/D&gt;&lt;D xsi:type="xsd:long"&gt;45615&lt;/D&gt;&lt;D xsi:type="xsd:long"&gt;45616&lt;/D&gt;&lt;D xsi:type="xsd:long"&gt;45617&lt;/D&gt;&lt;D xsi:type="xsd:long"&gt;45618&lt;/D&gt;&lt;D xsi:type="xsd:long"&gt;45621&lt;/D&gt;&lt;D xsi:type="xsd:long"&gt;45622&lt;/D&gt;&lt;D xsi:type="xsd:long"&gt;45623&lt;/D&gt;&lt;D xsi:type="xsd:long"&gt;45625&lt;/D&gt;&lt;D xsi:type="xsd:long"&gt;45628&lt;/D&gt;&lt;D xsi:type="xsd:long"&gt;45629&lt;/D&gt;&lt;D xsi:type="xsd:long"&gt;45630&lt;/D&gt;&lt;D xsi:type="xsd:long"&gt;45631&lt;/D&gt;&lt;D xsi:type="xsd:long"&gt;45632&lt;/D&gt;&lt;D xsi:type="xsd:long"&gt;45635&lt;/D&gt;&lt;D xsi:type="xsd:long"&gt;45636&lt;/D&gt;&lt;D xsi:type="xsd:long"&gt;45637&lt;/D&gt;&lt;D xsi:type="xsd:long"&gt;45638&lt;/D&gt;&lt;D xsi:type="xsd:long"&gt;45639&lt;/D&gt;&lt;D xsi:type="xsd:long"&gt;45642&lt;/D&gt;&lt;D xsi:type="xsd:long"&gt;45643&lt;/D&gt;&lt;D xsi:type="xsd:long"&gt;45644&lt;/D&gt;&lt;D xsi:type="xsd:long"&gt;45645&lt;/D&gt;&lt;D xsi:type="xsd:long"&gt;45646&lt;/D&gt;&lt;D xsi:type="xsd:long"&gt;45649&lt;/D&gt;&lt;D xsi:type="xsd:long"&gt;45650&lt;/D&gt;&lt;D xsi:type="xsd:long"&gt;45652&lt;/D&gt;&lt;D xsi:type="xsd:long"&gt;45653&lt;/D&gt;&lt;D xsi:type="xsd:long"&gt;45656&lt;/D&gt;&lt;D xsi:type="xsd:long"&gt;45657&lt;/D&gt;&lt;D xsi:type="xsd:long"&gt;45659&lt;/D&gt;&lt;D xsi:type="xsd:long"&gt;45660&lt;/D&gt;&lt;D xsi:type="xsd:long"&gt;45663&lt;/D&gt;&lt;D xsi:type="xsd:long"&gt;45664&lt;/D&gt;&lt;D xsi:type="xsd:long"&gt;45665&lt;/D&gt;&lt;D xsi:type="xsd:long"&gt;45667&lt;/D&gt;&lt;D xsi:type="xsd:long"&gt;45670&lt;/D&gt;&lt;D xsi:type="xsd:long"&gt;45671&lt;/D&gt;&lt;D xsi:type="xsd:long"&gt;45672&lt;/D&gt;&lt;D xsi:type="xsd:long"&gt;45673&lt;/D&gt;&lt;D xsi:type="xsd:long"&gt;45674&lt;/D&gt;&lt;D xsi:type="xsd:long"&gt;45678&lt;/D&gt;&lt;D xsi:type="xsd:long"&gt;45679&lt;/D&gt;&lt;D xsi:type="xsd:long"&gt;45680&lt;/D&gt;&lt;D xsi:type="xsd:long"&gt;45681&lt;/D&gt;&lt;D xsi:type="xsd:long"&gt;45684&lt;/D&gt;&lt;D xsi:type="xsd:long"&gt;45685&lt;/D&gt;&lt;D xsi:type="xsd:long"&gt;45686&lt;/D&gt;&lt;D xsi:type="xsd:long"&gt;45687&lt;/D&gt;&lt;D xsi:type="xsd:long"&gt;45688&lt;/D&gt;&lt;D xsi:type="xsd:long"&gt;45691&lt;/D&gt;&lt;D xsi:type="xsd:long"&gt;45692&lt;/D&gt;&lt;D xsi:type="xsd:long"&gt;45693&lt;/D&gt;&lt;D xsi:type="xsd:long"&gt;45694&lt;/D&gt;&lt;D xsi:type="xsd:long"&gt;45695&lt;/D&gt;&lt;D xsi:type="xsd:long"&gt;45698&lt;/D&gt;&lt;D xsi:type="xsd:long"&gt;45699&lt;/D&gt;&lt;D xsi:type="xsd:long"&gt;45700&lt;/D&gt;&lt;D xsi:type="xsd:long"&gt;45701&lt;/D&gt;&lt;D xsi:type="xsd:long"&gt;45702&lt;/D&gt;&lt;D xsi:type="xsd:long"&gt;45706&lt;/D&gt;&lt;D xsi:type="xsd:long"&gt;45707&lt;/D&gt;&lt;D xsi:type="xsd:long"&gt;45708&lt;/D&gt;&lt;D xsi:type="xsd:long"&gt;45709&lt;/D&gt;&lt;D xsi:type="xsd:long"&gt;45712&lt;/D&gt;&lt;D xsi:type="xsd:long"&gt;45713&lt;/D&gt;&lt;D xsi:type="xsd:long"&gt;45714&lt;/D&gt;&lt;D xsi:type="xsd:long"&gt;45715&lt;/D&gt;&lt;D xsi:type="xsd:long"&gt;45716&lt;/D&gt;&lt;D xsi:type="xsd:long"&gt;45719&lt;/D&gt;&lt;D xsi:type="xsd:long"&gt;45720&lt;/D&gt;&lt;D xsi:type="xsd:long"&gt;45721&lt;/D&gt;&lt;D xsi:type="xsd:long"&gt;45722&lt;/D&gt;&lt;D xsi:type="xsd:long"&gt;45723&lt;/D&gt;&lt;D xsi:type="xsd:long"&gt;45726&lt;/D&gt;&lt;D xsi:type="xsd:long"&gt;45727&lt;/D&gt;&lt;D xsi:type="xsd:long"&gt;45728&lt;/D&gt;&lt;D xsi:type="xsd:long"&gt;45729&lt;/D&gt;&lt;D xsi:type="xsd:long"&gt;45730&lt;/D&gt;&lt;D xsi:type="xsd:long"&gt;45733&lt;/D&gt;&lt;D xsi:type="xsd:long"&gt;45734&lt;/D&gt;&lt;D xsi:type="xsd:long"&gt;45735&lt;/D&gt;&lt;D xsi:type="xsd:long"&gt;45736&lt;/D&gt;&lt;D xsi:type="xsd:long"&gt;45737&lt;/D&gt;&lt;D xsi:type="xsd:long"&gt;45740&lt;/D&gt;&lt;D xsi:type="xsd:long"&gt;45741&lt;/D&gt;&lt;D xsi:type="xsd:long"&gt;45742&lt;/D&gt;&lt;D xsi:type="xsd:long"&gt;45743&lt;/D&gt;&lt;D xsi:type="xsd:long"&gt;45744&lt;/D&gt;&lt;D xsi:type="xsd:long"&gt;45747&lt;/D&gt;&lt;D xsi:type="xsd:long"&gt;45748&lt;/D&gt;&lt;D xsi:type="xsd:long"&gt;45749&lt;/D&gt;&lt;D xsi:type="xsd:long"&gt;45750&lt;/D&gt;&lt;D xsi:type="xsd:long"&gt;45751&lt;/D&gt;&lt;D xsi:type="xsd:long"&gt;45754&lt;/D&gt;&lt;D xsi:type="xsd:long"&gt;45755&lt;/D&gt;&lt;D xsi:type="xsd:long"&gt;45756&lt;/D&gt;&lt;D xsi:type="xsd:long"&gt;45757&lt;/D&gt;&lt;D xsi:type="xsd:long"&gt;45758&lt;/D&gt;&lt;D xsi:type="xsd:long"&gt;45761&lt;/D&gt;&lt;D xsi:type="xsd:long"&gt;45762&lt;/D&gt;&lt;D xsi:type="xsd:long"&gt;45763&lt;/D&gt;&lt;D xsi:type="xsd:long"&gt;45764&lt;/D&gt;&lt;D xsi:type="xsd:long"&gt;45768&lt;/D&gt;&lt;D xsi:type="xsd:long"&gt;45769&lt;/D&gt;&lt;D xsi:type="xsd:long"&gt;45770&lt;/D&gt;&lt;D xsi:type="xsd:long"&gt;45771&lt;/D&gt;&lt;D xsi:type="xsd:long"&gt;45772&lt;/D&gt;&lt;D xsi:type="xsd:long"&gt;45775&lt;/D&gt;&lt;D xsi:type="xsd:long"&gt;45776&lt;/D&gt;&lt;D xsi:type="xsd:long"&gt;45777&lt;/D&gt;&lt;D xsi:type="xsd:long"&gt;45778&lt;/D&gt;&lt;D xsi:type="xsd:long"&gt;45779&lt;/D&gt;&lt;D xsi:type="xsd:long"&gt;45782&lt;/D&gt;&lt;D xsi:type="xsd:long"&gt;45783&lt;/D&gt;&lt;D xsi:type="xsd:long"&gt;45784&lt;/D&gt;&lt;D xsi:type="xsd:long"&gt;45785&lt;/D&gt;&lt;D xsi:type="xsd:long"&gt;45786&lt;/D&gt;&lt;D xsi:type="xsd:long"&gt;45789&lt;/D&gt;&lt;D xsi:type="xsd:long"&gt;45790&lt;/D&gt;&lt;D xsi:type="xsd:long"&gt;45791&lt;/D&gt;&lt;D xsi:type="xsd:long"&gt;45792&lt;/D&gt;&lt;D xsi:type="xsd:long"&gt;45793&lt;/D&gt;&lt;D xsi:type="xsd:long"&gt;45796&lt;/D&gt;&lt;D xsi:type="xsd:long"&gt;45797&lt;/D&gt;&lt;D xsi:type="xsd:long"&gt;45798&lt;/D&gt;&lt;D xsi:type="xsd:long"&gt;45799&lt;/D&gt;&lt;D xsi:type="xsd:long"&gt;45800&lt;/D&gt;&lt;D xsi:type="xsd:long"&gt;45804&lt;/D&gt;&lt;D xsi:type="xsd:long"&gt;45805&lt;/D&gt;&lt;D xsi:type="xsd:long"&gt;45806&lt;/D&gt;&lt;D xsi:type="xsd:long"&gt;45807&lt;/D&gt;&lt;D xsi:type="xsd:long"&gt;45810&lt;/D&gt;&lt;D xsi:type="xsd:long"&gt;45811&lt;/D&gt;&lt;D xsi:type="xsd:long"&gt;45812&lt;/D&gt;&lt;D xsi:type="xsd:long"&gt;45813&lt;/D&gt;&lt;D xsi:type="xsd:long"&gt;45814&lt;/D&gt;&lt;D xsi:type="xsd:long"&gt;45817&lt;/D&gt;&lt;D xsi:type="xsd:long"&gt;45818&lt;/D&gt;&lt;D xsi:type="xsd:long"&gt;45819&lt;/D&gt;&lt;D xsi:type="xsd:long"&gt;45820&lt;/D&gt;&lt;D xsi:type="xsd:long"&gt;45821&lt;/D&gt;&lt;D xsi:type="xsd:long"&gt;45824&lt;/D&gt;&lt;D xsi:type="xsd:long"&gt;45825&lt;/D&gt;&lt;D xsi:type="xsd:long"&gt;45826&lt;/D&gt;&lt;D xsi:type="xsd:long"&gt;45828&lt;/D&gt;&lt;D xsi:type="xsd:long"&gt;45831&lt;/D&gt;&lt;D xsi:type="xsd:long"&gt;45832&lt;/D&gt;&lt;D xsi:type="xsd:long"&gt;45833&lt;/D&gt;&lt;D xsi:type="xsd:long"&gt;45834&lt;/D&gt;&lt;D xsi:type="xsd:long"&gt;45835&lt;/D&gt;&lt;D xsi:type="xsd:long"&gt;45838&lt;/D&gt;&lt;D xsi:type="xsd:long"&gt;45839&lt;/D&gt;&lt;D xsi:type="xsd:long"&gt;45840&lt;/D&gt;&lt;D xsi:type="xsd:long"&gt;45841&lt;/D&gt;&lt;D xsi:type="xsd:long"&gt;45845&lt;/D&gt;&lt;D xsi:type="xsd:long"&gt;45846&lt;/D&gt;&lt;D xsi:type="xsd:long"&gt;45847&lt;/D&gt;&lt;D xsi:type="xsd:long"&gt;45848&lt;/D&gt;&lt;D xsi:type="xsd:long"&gt;45849&lt;/D&gt;&lt;D xsi:type="xsd:long"&gt;45852&lt;/D&gt;&lt;D xsi:type="xsd:long"&gt;45853&lt;/D&gt;&lt;D xsi:type="xsd:long"&gt;45854&lt;/D&gt;&lt;D xsi:type="xsd:long"&gt;45855&lt;/D&gt;&lt;D xsi:type="xsd:long"&gt;45856&lt;/D&gt;&lt;D xsi:type="xsd:long"&gt;45859&lt;/D&gt;&lt;D xsi:type="xsd:long"&gt;45860&lt;/D&gt;&lt;D xsi:type="xsd:long"&gt;45861&lt;/D&gt;&lt;D xsi:type="xsd:long"&gt;45862&lt;/D&gt;&lt;D xsi:type="xsd:long"&gt;45863&lt;/D&gt;&lt;D xsi:type="xsd:long"&gt;45866&lt;/D&gt;&lt;D xsi:type="xsd:long"&gt;45867&lt;/D&gt;&lt;D xsi:type="xsd:long"&gt;45868&lt;/D&gt;&lt;D xsi:type="xsd:long"&gt;45869&lt;/D&gt;&lt;D xsi:type="xsd:long"&gt;45870&lt;/D&gt;&lt;D xsi:type="xsd:long"&gt;45873&lt;/D&gt;&lt;D xsi:type="xsd:long"&gt;45874&lt;/D&gt;&lt;D xsi:type="xsd:long"&gt;45875&lt;/D&gt;&lt;D xsi:type="xsd:long"&gt;45876&lt;/D&gt;&lt;D xsi:type="xsd:long"&gt;45877&lt;/D&gt;&lt;D xsi:type="xsd:long"&gt;45880&lt;/D&gt;&lt;D xsi:type="xsd:long"&gt;45881&lt;/D&gt;&lt;D xsi:type="xsd:long"&gt;45882&lt;/D&gt;&lt;D xsi:type="xsd:long"&gt;45883&lt;/D&gt;&lt;D xsi:type="xsd:long"&gt;45884&lt;/D&gt;&lt;D xsi:type="xsd:long"&gt;45887&lt;/D&gt;&lt;D xsi:type="xsd:long"&gt;45888&lt;/D&gt;&lt;/FQL&gt;&lt;FQL&gt;&lt;Q&gt;NTRA-US^FE_ESTIMATE(SALES,MEAN,ANN_ROLL,+1,1/1/2024,NOW,,'')&lt;/Q&gt;&lt;R&gt;411&lt;/R&gt;&lt;C&gt;1&lt;/C&gt;&lt;D xsi:type="xsd:double"&gt;1047.5074&lt;/D&gt;&lt;D xsi:type="xsd:double"&gt;1047.5074&lt;/D&gt;&lt;D xsi:type="xsd:double"&gt;1047.581&lt;/D&gt;&lt;D xsi:type="xsd:double"&gt;1047.581&lt;/D&gt;&lt;D xsi:type="xsd:double"&gt;1047.581&lt;/D&gt;&lt;D xsi:type="xsd:double"&gt;1047.581&lt;/D&gt;&lt;D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xsi:type="xsd:double"&gt;1070&lt;/D&gt;&lt;D xsi:type="xsd:double"&gt;1334.5596&lt;/D&gt;&lt;D xsi:type="xsd:double"&gt;1340.3125&lt;/D&gt;&lt;D xsi:type="xsd:double"&gt;1339.653&lt;/D&gt;&lt;D xsi:type="xsd:double"&gt;1339.653&lt;/D&gt;&lt;D xsi:type="xsd:double"&gt;1339.653&lt;/D&gt;&lt;D xsi:type="xsd:double"&gt;1339.645&lt;/D&gt;&lt;D xsi:type="xsd:double"&gt;1339.645&lt;/D&gt;&lt;D xsi:type="xsd:double"&gt;1339.645&lt;/D&gt;&lt;D xsi:type="xsd:double"&gt;1339.645&lt;/D&gt;&lt;D xsi:type="xsd:double"&gt;1339.5247&lt;/D&gt;&lt;D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xsi:type="xsd:double"&gt;1339.5251&lt;/D&gt;&lt;D xsi:type="xsd:double"&gt;1339.5251&lt;/D&gt;&lt;D xsi:type="xsd:double"&gt;1339.5251&lt;/D&gt;&lt;D xsi:type="xsd:double"&gt;1339.5251&lt;/D&gt;&lt;D xsi:type="xsd:double"&gt;1339.5251&lt;/D&gt;&lt;D xsi:type="xsd:double"&gt;1340.0115&lt;/D&gt;&lt;D xsi:type="xsd:double"&gt;1340.5226&lt;/D&gt;&lt;D xsi:type="xsd:double"&gt;1340.5393&lt;/D&gt;&lt;D xsi:type="xsd:double"&gt;1340.5393&lt;/D&gt;&lt;D xsi:type="xsd:double"&gt;1340.5393&lt;/D&gt;&lt;D xsi:type="xsd:double"&gt;1341.0416&lt;/D&gt;&lt;D xsi:type="xsd:double"&gt;1341.0416&lt;/D&gt;&lt;D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xsi:type="xsd:double"&gt;1426.3672&lt;/D&gt;&lt;D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xsi:type="xsd:double"&gt;1433.329&lt;/D&gt;&lt;D xsi:type="xsd:double"&gt;1433.329&lt;/D&gt;&lt;D xsi:type="xsd:double"&gt;1435.0511&lt;/D&gt;&lt;D xsi:type="xsd:double"&gt;1435.0511&lt;/D&gt;&lt;D xsi:type="xsd:double"&gt;1435.0511&lt;/D&gt;&lt;D xsi:type="xsd:double"&gt;1440.6398&lt;/D&gt;&lt;D xsi:type="xsd:double"&gt;1440.6398&lt;/D&gt;&lt;D xsi:type="xsd:double"&gt;1440.6398&lt;/D&gt;&lt;D xsi:type="xsd:double"&gt;1440.6398&lt;/D&gt;&lt;D xsi:type="xsd:double"&gt;1441.0043&lt;/D&gt;&lt;D xsi:type="xsd:double"&gt;1441.0043&lt;/D&gt;&lt;D xsi:type="xsd:double"&gt;1441.0043&lt;/D&gt;&lt;D xsi:type="xsd:double"&gt;1441.0043&lt;/D&gt;&lt;D xsi:type="xsd:double"&gt;1441.1709&lt;/D&gt;&lt;D xsi:type="xsd:double"&gt;1441.1709&lt;/D&gt;&lt;D xsi:type="xsd:double"&gt;1441.1543&lt;/D&gt;&lt;D xsi:type="xsd:double"&gt;1441.1482&lt;/D&gt;&lt;D xsi:type="xsd:double"&gt;1441.1475&lt;/D&gt;&lt;D xsi:type="xsd:double"&gt;1441.1581&lt;/D&gt;&lt;D xsi:type="xsd:double"&gt;1441.1581&lt;/D&gt;&lt;D xsi:type="xsd:double"&gt;1441.1581&lt;/D&gt;&lt;D xsi:type="xsd:double"&gt;1441.1581&lt;/D&gt;&lt;D xsi:type="xsd:double"&gt;1441.1581&lt;/D&gt;&lt;D xsi:type="xsd:double"&gt;1441.1589&lt;/D&gt;&lt;D xsi:type="xsd:double"&gt;1441.1589&lt;/D&gt;&lt;D xsi:type="xsd:double"&gt;1441.1589&lt;/D&gt;&lt;D xsi:type="xsd:double"&gt;1441.1589&lt;/D&gt;&lt;D xsi:type="xsd:double"&gt;1441.1589&lt;/D&gt;&lt;D xsi:type="xsd:double"&gt;1441.1755&lt;/D&gt;&lt;D xsi:type="xsd:double"&gt;1441.1755&lt;/D&gt;&lt;D xsi:type="xsd:double"&gt;1441.1755&lt;/D&gt;&lt;D xsi:type="xsd:double"&gt;1441.1755&lt;/D&gt;&lt;D xsi:type="xsd:double"&gt;1441.1755&lt;/D&gt;&lt;D xsi:type="xsd:double"&gt;1504.8861&lt;/D&gt;&lt;D xsi:type="xsd:double"&gt;1513.6127&lt;/D&gt;&lt;D xsi:type="xsd:double"&gt;1513.6127&lt;/D&gt;&lt;D xsi:type="xsd:double"&gt;1513.6127&lt;/D&gt;&lt;D xsi:type="xsd:double"&gt;1513.6127&lt;/D&gt;&lt;D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xsi:type="xsd:double"&gt;1517.89&lt;/D&gt;&lt;D xsi:type="xsd:double"&gt;1517.89&lt;/D&gt;&lt;D xsi:type="xsd:double"&gt;1517.9623&lt;/D&gt;&lt;D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xsi:type="xsd:double"&gt;1517.979&lt;/D&gt;&lt;D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xsi:type="xsd:double"&gt;1518.0345&lt;/D&gt;&lt;D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xsi:type="xsd:double"&gt;1518.108&lt;/D&gt;&lt;D xsi:type="xsd:double"&gt;1518.108&lt;/D&gt;&lt;D xsi:type="xsd:double"&gt;1518.108&lt;/D&gt;&lt;D xsi:type="xsd:double"&gt;1518.0802&lt;/D&gt;&lt;D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xsi:type="xsd:double"&gt;1612.552&lt;/D&gt;&lt;D xsi:type="xsd:double"&gt;1612.552&lt;/D&gt;&lt;D xsi:type="xsd:double"&gt;1618.7352&lt;/D&gt;&lt;D xsi:type="xsd:double"&gt;1624.9918&lt;/D&gt;&lt;D xsi:type="xsd:double"&gt;1624.9918&lt;/D&gt;&lt;D xsi:type="xsd:double"&gt;1624.9918&lt;/D&gt;&lt;D xsi:type="xsd:double"&gt;1624.9661&lt;/D&gt;&lt;D xsi:type="xsd:double"&gt;1624.9886&lt;/D&gt;&lt;D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</t>
        </r>
      </text>
    </comment>
    <comment ref="A7" authorId="0" shapeId="0" xr:uid="{FFA18737-C20C-4F27-8001-37019E26F175}">
      <text>
        <r>
          <rPr>
            <b/>
            <sz val="9"/>
            <color indexed="81"/>
            <rFont val="Tahoma"/>
            <charset val="1"/>
          </rPr>
          <t>.9985&lt;/D&gt;&lt;D xsi:type="xsd:double"&gt;1630.9985&lt;/D&gt;&lt;D xsi:type="xsd:double"&gt;1631.0104&lt;/D&gt;&lt;D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xsi:type="xsd:double"&gt;1631.0219&lt;/D&gt;&lt;D xsi:type="xsd:double"&gt;1634.7739&lt;/D&gt;&lt;D xsi:type="xsd:double"&gt;1639.0509&lt;/D&gt;&lt;D xsi:type="xsd:double"&gt;1639.2245&lt;/D&gt;&lt;D xsi:type="xsd:double"&gt;1642.6688&lt;/D&gt;&lt;D xsi:type="xsd:double"&gt;1642.6688&lt;/D&gt;&lt;D xsi:type="xsd:double"&gt;1646.1613&lt;/D&gt;&lt;D xsi:type="xsd:double"&gt;1646.1613&lt;/D&gt;&lt;D xsi:type="xsd:double"&gt;1646.1613&lt;/D&gt;&lt;D xsi:type="xsd:double"&gt;1646.1613&lt;/D&gt;&lt;D xsi:type="xsd:double"&gt;1646.1674&lt;/D&gt;&lt;D xsi:type="xsd:double"&gt;1652.0438&lt;/D&gt;&lt;D xsi:type="xsd:double"&gt;1652.0438&lt;/D&gt;&lt;D xsi:type="xsd:double"&gt;1652.0438&lt;/D&gt;&lt;D xsi:type="xsd:double"&gt;1652.0438&lt;/D&gt;&lt;D xsi:type="xsd:double"&gt;1651.8855&lt;/D&gt;&lt;D xsi:type="xsd:double"&gt;1651.8855&lt;/D&gt;&lt;D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xsi:type="xsd:double"&gt;1914.1147&lt;/D&gt;&lt;D xsi:type="xsd:double"&gt;1914.1147&lt;/D&gt;&lt;D xsi:type="xsd:double"&gt;1914.1147&lt;/D&gt;&lt;D xsi:type="xsd:double"&gt;1914.7681&lt;/D&gt;&lt;D xsi:type="xsd:double"&gt;1914.7681&lt;/D&gt;&lt;D xsi:type="xsd:double"&gt;1914.7681&lt;/D&gt;&lt;D xsi:type="xsd:double"&gt;1914.7681&lt;/D&gt;&lt;D xsi:type="xsd:double"&gt;1916.0592&lt;/D&gt;&lt;D xsi:type="xsd:double"&gt;1916.0592&lt;/D&gt;&lt;D xsi:type="xsd:double"&gt;1916.0592&lt;/D&gt;&lt;D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xsi:type="xsd:double"&gt;1919.3271&lt;/D&gt;&lt;D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xsi:type="xsd:double"&gt;1920.7539&lt;/D&gt;&lt;D xsi:type="xsd:double"&gt;1920.7539&lt;/D&gt;&lt;D xsi:type="xsd:double"&gt;1920.7539&lt;/D&gt;&lt;D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xsi:type="xsd:double"&gt;1920.6467&lt;/D&gt;&lt;D xsi:type="xsd:double"&gt;1980.6135&lt;/D&gt;&lt;D xsi:type="xsd:double"&gt;1980.6135&lt;/D&gt;&lt;D xsi:type="xsd:double"&gt;1980.6135&lt;/D&gt;&lt;D xsi:type="xsd:double"&gt;1988.4552&lt;/D&gt;&lt;D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xsi:type="xsd:double"&gt;1993.3856&lt;/D&gt;&lt;D xsi:type="xsd:double"&gt;1993.3856&lt;/D&gt;&lt;D xsi:type="xsd:double"&gt;1993.3856&lt;/D&gt;&lt;D xsi:type="xsd:double"&gt;1993.1705&lt;/D&gt;&lt;D xsi:type="xsd:double"&gt;1993.1705&lt;/D&gt;&lt;D xsi:type="xsd:double"&gt;1996.7877&lt;/D&gt;&lt;D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xsi:type="xsd:double"&gt;1996.9489&lt;/D&gt;&lt;D xsi:type="xsd:double"&gt;1996.9502&lt;/D&gt;&lt;D xsi:type="xsd:double"&gt;1996.9517&lt;/D&gt;&lt;D xsi:type="xsd:double"&gt;1996.9517&lt;/D&gt;&lt;D xsi:type="xsd:double"&gt;1996.9517&lt;/D&gt;&lt;D xsi:type="xsd:double"&gt;1996.9517&lt;/D&gt;&lt;D xsi:type="xsd:double"&gt;1996.9517&lt;/D&gt;&lt;D xsi:type="xsd:double"&gt;1996.9517&lt;/D&gt;&lt;D xsi:type="xsd:double"&gt;1997.7794&lt;/D&gt;&lt;D xsi:type="xsd:double"&gt;1998.0017&lt;/D&gt;&lt;D xsi:type="xsd:double"&gt;1998.0017&lt;/D&gt;&lt;D xsi:type="xsd:double"&gt;1998.0017&lt;/D&gt;&lt;D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xsi:type="xsd:double"&gt;2085.947&lt;/D&gt;&lt;D xsi:type="xsd:double"&gt;2085.947&lt;/D&gt;&lt;D xsi:type="xsd:double"&gt;2085.947&lt;/D&gt;&lt;D xsi:type="xsd:double"&gt;2090.8591&lt;/D&gt;&lt;D xsi:type="xsd:double"&gt;2090.867&lt;/D&gt;&lt;D xsi:type="xsd:double"&gt;2091.0076&lt;/D&gt;&lt;D xsi:type="xsd:double"&gt;2091.0076&lt;/D&gt;&lt;D xsi:type="xsd:double"&gt;2091.0076&lt;/D&gt;&lt;D xsi:type="xsd:double"&gt;2091.0076&lt;/D&gt;&lt;/FQL&gt;&lt;FQL&gt;&lt;Q&gt;NTRA-US^JULIAN(FE_ESTIMATE(SALES,MEAN,ANN_ROLL,+1,1/1/2024,NOW,,'').DATES)&lt;/Q&gt;&lt;R&gt;411&lt;/R&gt;&lt;C&gt;1&lt;/C&gt;&lt;D xsi:type="xsd:long"&gt;45289&lt;/D&gt;&lt;D xsi:type="xsd:long"&gt;45293&lt;/D&gt;&lt;D xsi:type="xsd:long"&gt;45294&lt;/D&gt;&lt;D xsi:type="xsd:long"&gt;45295&lt;/D&gt;&lt;D xsi:type="xsd:long"&gt;45296&lt;/D&gt;&lt;D xsi:type="xsd:long"&gt;45299&lt;/D&gt;&lt;D xsi:type="xsd:long"&gt;45300&lt;/D&gt;&lt;D xsi:type="xsd:long"&gt;45301&lt;/D&gt;&lt;D xsi:type="xsd:long"&gt;45302&lt;/D&gt;&lt;D xsi:type="xsd:long"&gt;45303&lt;/D&gt;&lt;D xsi:type="xsd:long"&gt;45307&lt;/D&gt;&lt;D xsi:type="xsd:long"&gt;45308&lt;/D&gt;&lt;D xsi:type="xsd:long"&gt;45309&lt;/D&gt;&lt;D xsi:type="xsd:long"&gt;45310&lt;/D&gt;&lt;D xsi:type="xsd:long"&gt;45313&lt;/D&gt;&lt;D xsi:type="xsd:long"&gt;45314&lt;/D&gt;&lt;D xsi:type="xsd:long"&gt;45315&lt;/D&gt;&lt;D xsi:type="xsd:long"&gt;45316&lt;/D&gt;&lt;D xsi:type="xsd:long"&gt;45317&lt;/D&gt;&lt;D xsi:type="xsd:long"&gt;45320&lt;/D&gt;&lt;D xsi:type="xsd:long"&gt;45321&lt;/D&gt;&lt;D xsi:type="xsd:long"&gt;45322&lt;/D&gt;&lt;D xsi:type="xsd:long"&gt;45323&lt;/D&gt;&lt;D xsi:type="xsd:long"&gt;45324&lt;/D&gt;&lt;D xsi:type="xsd:long"&gt;45327&lt;/D&gt;&lt;D xsi:type="xsd:long"&gt;45328&lt;/D&gt;&lt;D xsi:type="xsd:long"&gt;45329&lt;/D&gt;&lt;D xsi:type="xsd:long"&gt;45330&lt;/D&gt;&lt;D xsi:type="xsd:long"&gt;45331&lt;/D&gt;&lt;D xsi:type="xsd:long"&gt;45334&lt;/D&gt;&lt;D xsi:type="xsd:long"&gt;45335&lt;/D&gt;&lt;D xsi:type="xsd:long"&gt;45336&lt;/D&gt;&lt;D xsi:type="xsd:long"&gt;45337&lt;/D&gt;&lt;D xsi:type="xsd:long"&gt;45338&lt;/D&gt;&lt;D xsi:type="xsd:long"&gt;45342&lt;/D&gt;&lt;D xsi:type="xsd:long"&gt;45343&lt;/D&gt;&lt;D xsi:type="xsd:long"&gt;45344&lt;/D&gt;&lt;D xsi:type="xsd:long"&gt;45345&lt;/D&gt;&lt;D xsi:type="xsd:long"&gt;45348&lt;/D&gt;&lt;D xsi:type="xsd:long"&gt;45349&lt;/D&gt;&lt;D xsi:type="xsd:long"&gt;45350&lt;/D&gt;&lt;D xsi:type="xsd:long"&gt;45351&lt;/D&gt;&lt;D xsi:type="xsd:long"&gt;45352&lt;/D&gt;&lt;D xsi:type="xsd:long"&gt;45355&lt;/D&gt;&lt;D xsi:type="xsd:long"&gt;45356&lt;/D&gt;&lt;D xsi:type="xsd:long"&gt;45357&lt;/D&gt;&lt;D xsi:type="xsd:long"&gt;45358&lt;/D&gt;&lt;D xsi:type="xsd:long"&gt;45359&lt;/D&gt;&lt;D xsi:type="xsd:long"&gt;45362&lt;/D&gt;&lt;D xsi:type="xsd:long"&gt;45363&lt;/D&gt;&lt;D xsi:type="xsd:long"&gt;45364&lt;/D&gt;&lt;D xsi:type="xsd:long"&gt;45365&lt;/D&gt;&lt;D xsi:type="xsd:long"&gt;45366&lt;/D&gt;&lt;D xsi:type="xsd:long"&gt;45369&lt;/D&gt;&lt;D xsi:type="xsd:long"&gt;45370&lt;/D&gt;&lt;D xsi:type="xsd:long"&gt;45371&lt;/D&gt;&lt;D xsi:type="xsd:long"&gt;45372&lt;/D&gt;&lt;D xsi:type="xsd:long"&gt;45373&lt;/D&gt;&lt;D xsi:type="xsd:long"&gt;45376&lt;/D&gt;&lt;D xsi:type="xsd:long"&gt;45377&lt;/D&gt;&lt;D xsi:type="xsd:long"&gt;45378&lt;/D&gt;&lt;D xsi:type="xsd:long"&gt;45379&lt;/D&gt;&lt;D xsi:type="xsd:long"&gt;45383&lt;/D&gt;&lt;D xsi:type="xsd:long"&gt;45384&lt;/D&gt;&lt;D xsi:type="xsd:long"&gt;45385&lt;/D&gt;&lt;D xsi:type="xsd:long"&gt;45386&lt;/D&gt;&lt;D xsi:type="xsd:long"&gt;45387&lt;/D&gt;&lt;D xsi:type="xsd:long"&gt;45390&lt;/D&gt;&lt;D xsi:type="xsd:long"&gt;45391&lt;/D&gt;&lt;D xsi:type="xsd:long"&gt;45392&lt;/D&gt;&lt;D xsi:type="xsd:long"&gt;45393&lt;/D&gt;&lt;D xsi:type="xsd:long"&gt;45394&lt;/D&gt;&lt;D xsi:type="xsd:long"&gt;45397&lt;/D&gt;&lt;D xsi:type="xsd:long"&gt;45398&lt;/D&gt;&lt;D xsi:type="xsd:long"&gt;45399&lt;/D&gt;&lt;D xsi:type="xsd:long"&gt;45400&lt;/D&gt;&lt;D xsi:type="xsd:long"&gt;45401&lt;/D&gt;&lt;D xsi:type="xsd:long"&gt;45404&lt;/D&gt;&lt;D xsi:type="xsd:long"&gt;45405&lt;/D&gt;&lt;D xsi:type="xsd:long"&gt;45406&lt;/D&gt;&lt;D xsi:type="xsd:long"&gt;45407&lt;/D&gt;&lt;D xsi:type="xsd:long"&gt;45408&lt;/D&gt;&lt;D xsi:type="xsd:long"&gt;45411&lt;/D&gt;&lt;D xsi:type="xsd:long"&gt;45412&lt;/D&gt;&lt;D xsi:type="xsd:long"&gt;45413&lt;/D&gt;&lt;D xsi:type="xsd:long"&gt;45414&lt;/D&gt;&lt;D xsi:type="xsd:long"&gt;45415&lt;/D&gt;&lt;D xsi:type="xsd:long"&gt;45418&lt;/D&gt;&lt;D xsi:type="xsd:long"&gt;45419&lt;/D&gt;&lt;D xsi:type="xsd:long"&gt;45420&lt;/D&gt;&lt;D xsi:type="xsd:long"&gt;45421&lt;/D&gt;&lt;D xsi:type="xsd:long"&gt;45422&lt;/D&gt;&lt;D xsi:type="xsd:long"&gt;45425&lt;/D&gt;&lt;D xsi:type="xsd:long"&gt;45426&lt;/D&gt;&lt;D xsi:type="xsd:long"&gt;45427&lt;/D&gt;&lt;D xsi:type="xsd:long"&gt;45428&lt;/D&gt;&lt;D xsi:type="xsd:long"&gt;45429&lt;/D&gt;&lt;D xsi:type="xsd:long"&gt;45432&lt;/D&gt;&lt;D xsi:type="xsd:long"&gt;45433&lt;/D&gt;&lt;D xsi:type="xsd:long"&gt;45434&lt;/D&gt;&lt;D xsi:type="xsd:long"&gt;45435&lt;/D&gt;&lt;D xsi:type="xsd:long"&gt;45436&lt;/D&gt;&lt;D xsi:type="xsd:long"&gt;45440&lt;/D&gt;&lt;D xsi:type="xsd:long"&gt;45441&lt;/D&gt;&lt;D xsi:type="xsd:long"&gt;45442&lt;/D&gt;&lt;D xsi:type="xsd:long"&gt;45443&lt;/D&gt;&lt;D xsi:type="xsd:long"&gt;45446&lt;/D&gt;&lt;D xsi:type="xsd:long"&gt;45447&lt;/D&gt;&lt;D xsi:type="xsd:long"&gt;45448&lt;/D&gt;&lt;D xsi:type="xsd:long"&gt;45449&lt;/D&gt;&lt;D xsi:type="xsd:long"&gt;45450&lt;/D&gt;&lt;D xsi:type="xsd:long"&gt;45453&lt;/D&gt;&lt;D xsi:type="xsd:long"&gt;45454&lt;/D&gt;&lt;D xsi:type="xsd:long"&gt;45455&lt;/D&gt;&lt;D xsi:type="xsd:long"&gt;45456&lt;/D&gt;&lt;D xsi:type="xsd:long"&gt;45457&lt;/D&gt;&lt;D xsi:type="xsd:long"&gt;45460&lt;/D&gt;&lt;D xsi:type="xsd:long"&gt;45461&lt;/D&gt;&lt;D xsi:type="xsd:long"&gt;45463&lt;/D&gt;&lt;D xsi:type="xsd:long"&gt;45464&lt;/D&gt;&lt;D xsi:type="xsd:long"&gt;45467&lt;/D&gt;&lt;D xsi:type="xsd:long"&gt;45468&lt;/D&gt;&lt;D xsi:type="xsd:long"&gt;45469&lt;/D&gt;&lt;D xsi:type="xsd:long"&gt;45470&lt;/D&gt;&lt;D xsi:type="xsd:long"&gt;45471&lt;/D&gt;&lt;D xsi:type="xsd:long"&gt;45474&lt;/D&gt;&lt;D xsi:type="xsd:long"&gt;45475&lt;/D&gt;&lt;D xsi:type="xsd:long"&gt;45476&lt;/D&gt;&lt;D xsi:type="xsd:long"&gt;45478&lt;/D&gt;&lt;D xsi:type="xsd:long"&gt;45481&lt;/D&gt;&lt;D xsi:type="xsd:long"&gt;45482&lt;/D&gt;&lt;D xsi:type="xsd:long"&gt;45483&lt;/D&gt;&lt;D xsi:type="xsd:long"&gt;45484&lt;/D&gt;&lt;D xsi:type="xsd:long"&gt;45485&lt;/D&gt;&lt;D xsi:type="xsd:long"&gt;45488&lt;/D&gt;&lt;D xsi:type="xsd:long"&gt;45489&lt;/D&gt;&lt;D xsi:type="xsd:long"&gt;45490&lt;/D&gt;&lt;D xsi:type="xsd:long"&gt;45491&lt;/D&gt;&lt;D xsi:type="xsd:long"&gt;45492&lt;/D&gt;&lt;D xsi:type="xsd:long"&gt;45495&lt;/D&gt;&lt;D xsi:type="xsd:long"&gt;45496&lt;/D&gt;&lt;D xsi:type="xsd:long"&gt;45497&lt;/D&gt;&lt;D xsi:type="xsd:long"&gt;45498&lt;/D&gt;&lt;D xsi:type="xsd:long"&gt;45499&lt;/D&gt;&lt;D xsi:type="xsd:long"&gt;45502&lt;/D&gt;&lt;D xsi:type="xsd:long"&gt;45503&lt;/D&gt;&lt;D xsi:type="xsd:long"&gt;45504&lt;/D&gt;&lt;D xsi:type="xsd:long"&gt;45505&lt;/D&gt;&lt;D xsi:type="xsd:long"&gt;45506&lt;/D&gt;&lt;D xsi:type="xsd:long"&gt;45509&lt;/D&gt;&lt;D xsi:type="xsd:long"&gt;45510&lt;/D&gt;&lt;D xsi:type="xsd:long"&gt;45511&lt;/D&gt;&lt;D xsi:type="xsd:long"&gt;45512&lt;/D&gt;&lt;D xsi:type="xsd:long"&gt;45513&lt;/D&gt;&lt;D xsi:type="xsd:long"&gt;45516&lt;/D&gt;&lt;D xsi:type="xsd:long"&gt;45517&lt;/D&gt;&lt;D xsi:type="xsd:long"&gt;45518&lt;/D&gt;&lt;D xsi:type="xsd:long"&gt;45519&lt;/D&gt;&lt;D xsi:type="xsd:long"&gt;45520&lt;/D&gt;&lt;D xsi:type="xsd:long"&gt;45523&lt;/D&gt;&lt;D xsi:type="xsd:long"&gt;45524&lt;/D&gt;&lt;D xsi:type="xsd:long"&gt;45525&lt;/D&gt;&lt;D xsi:type="xsd:long"&gt;45526&lt;/D&gt;&lt;D xsi:type="xsd:long"&gt;45527&lt;/D&gt;&lt;D xsi:type="xsd:long"&gt;45530&lt;/D&gt;&lt;D xsi:type="xsd:long"&gt;45531&lt;/D&gt;&lt;D xsi:type="xsd:long"&gt;45532&lt;/D&gt;&lt;D xsi:type="xsd:long"&gt;45533&lt;/D&gt;&lt;D xsi:type="xsd:long"&gt;45534&lt;/D&gt;&lt;D xsi:type="xsd:long"&gt;45538&lt;/D&gt;&lt;D xsi:type="xsd:long"&gt;45539&lt;/D&gt;&lt;D xsi:type="xsd:long"&gt;45540&lt;/D&gt;&lt;D xsi:type="xsd:long"&gt;45541&lt;/D&gt;&lt;D xsi:type="xsd:long"&gt;45544&lt;/D&gt;&lt;D xsi:type="xsd:long"&gt;45545&lt;/D&gt;&lt;D xsi:type="xsd:long"&gt;45546&lt;/D&gt;&lt;D xsi:type="xsd:long"&gt;45547&lt;/D&gt;&lt;D xsi:type="xsd:long"&gt;45548&lt;/D&gt;&lt;D xsi:type="xsd:long"&gt;45551&lt;/D&gt;&lt;D xsi:type="xsd:long"&gt;45552&lt;/D&gt;&lt;D xsi:type="xsd:long"&gt;45553&lt;/D&gt;&lt;D xsi:type="xsd:long"&gt;45554&lt;/D&gt;&lt;D xsi:type="xsd:long"&gt;45555&lt;/D&gt;&lt;D xsi:type="xsd:long"&gt;45558&lt;/D&gt;&lt;D xsi:type="xsd:long"&gt;45559&lt;/D&gt;&lt;D xsi:type="xsd:long"&gt;45560&lt;/D&gt;&lt;D xsi:type="xsd:long"&gt;45561&lt;/D&gt;&lt;D xsi:type="xsd:long"&gt;45562&lt;/D&gt;&lt;D xsi:type="xsd:long"&gt;45565&lt;/D&gt;&lt;D xsi:type="xsd:long"&gt;45566&lt;/D&gt;&lt;D xsi:type="xsd:long"&gt;45567&lt;/D&gt;&lt;D xsi:type="xsd:long"&gt;45568&lt;/D&gt;&lt;D xsi:type="xsd:long"&gt;45569&lt;/D&gt;&lt;D xsi:type="xsd:long"&gt;45572&lt;/D&gt;&lt;D xsi:type="xsd:long"&gt;45573&lt;/D&gt;&lt;D xsi:type="xsd:long"&gt;45574&lt;/D&gt;&lt;D xsi:type="xsd:long"&gt;45575&lt;/D&gt;&lt;D xsi:type="xsd:long"&gt;45576&lt;/D&gt;&lt;D xsi:type="xsd:long"&gt;45579&lt;/D&gt;&lt;D xsi:type="xsd:long"&gt;45580&lt;/D&gt;&lt;D xsi:type="xsd:long"&gt;45581&lt;/D&gt;&lt;D xsi:type="xsd:long"&gt;45582&lt;/D&gt;&lt;D xsi:type="xsd:long"&gt;45583&lt;/D&gt;&lt;D xsi:type="xsd:long"&gt;45586&lt;/D&gt;&lt;D xsi:type="xsd:long"&gt;45587&lt;/D&gt;&lt;D xsi:type="xsd:long"&gt;45588&lt;/D&gt;&lt;D xsi:type="xsd:long"&gt;45589&lt;/D&gt;&lt;D xsi:type="xsd:long"&gt;45590&lt;/D&gt;&lt;D xsi:type="xsd:long"&gt;45593&lt;/D&gt;&lt;D xsi:type="xsd:long"&gt;45594&lt;/D&gt;&lt;D xsi:type="xsd:long"&gt;45595&lt;/D&gt;&lt;D xsi:type="xsd:long"&gt;45596&lt;/D&gt;&lt;D xsi:type="xsd:long"&gt;45597&lt;/D&gt;&lt;D xsi:type="xsd:long"&gt;45600&lt;/D&gt;&lt;D xsi:type="xsd:long"&gt;45601&lt;/D&gt;&lt;D xsi:type="xsd:long"&gt;45602&lt;/D&gt;&lt;D xsi:type="xsd:long"&gt;45603&lt;/D&gt;&lt;D xsi:type="xsd:long"&gt;45604&lt;/D&gt;&lt;D xsi:type="xsd:long"&gt;45607&lt;/D&gt;&lt;D xsi:type="xsd:long"&gt;45608&lt;/D&gt;&lt;D xsi:type="xsd:long"&gt;45609&lt;/D&gt;&lt;D xsi:type="xsd:long"&gt;45610&lt;/D&gt;&lt;D xsi:type="xsd:long"&gt;45611&lt;/D&gt;&lt;D xsi:type="xsd:long"&gt;45614&lt;/D&gt;&lt;D xsi:type="xsd:long"&gt;45615&lt;/D&gt;&lt;D xsi:type="xsd:long"&gt;45616&lt;/D&gt;&lt;D xsi:type="xsd:long"&gt;45617&lt;/D&gt;&lt;D xsi:type="xsd:long"&gt;45618&lt;/D&gt;&lt;D xsi:type="xsd:long"&gt;45621&lt;/D&gt;&lt;D xsi:type="xsd:long"&gt;45622&lt;/D&gt;&lt;D xsi:type="xsd:long"&gt;45623&lt;/D&gt;&lt;D xsi:type="xsd:long"&gt;45625&lt;/D&gt;&lt;D xsi:type="xsd:long"&gt;45628&lt;/D&gt;&lt;D xsi:type="xsd:long"&gt;45629&lt;/D&gt;&lt;D xsi:type="xsd:long"&gt;45630&lt;/D&gt;&lt;D xsi:type="xsd:long"&gt;45631&lt;/D&gt;&lt;D xsi:type="xsd:long"&gt;45632&lt;/D&gt;&lt;D xsi:type="xsd:long"&gt;45635&lt;/D&gt;&lt;D xsi:type="xsd:long"&gt;45636&lt;/D&gt;&lt;D xsi:type="xsd:long"&gt;45637&lt;/D&gt;&lt;D xsi:type="xsd:long"&gt;45638&lt;/D&gt;&lt;D xsi:type="xsd:long"&gt;45639&lt;/D&gt;&lt;D xsi:type="xsd:long"&gt;45642&lt;/D&gt;&lt;D xsi:type="xsd:long"&gt;45643&lt;/D&gt;&lt;D xsi:type="xsd:long"&gt;45644&lt;/D&gt;&lt;D xsi:type="xsd:long"&gt;45645&lt;/D&gt;&lt;D xsi:type="xsd:long"&gt;45646&lt;/D&gt;&lt;D xsi:type="xsd:long"&gt;45649&lt;/D&gt;&lt;D xsi:type="xsd:long"&gt;45650&lt;/D&gt;&lt;D xsi:type="xsd:long"&gt;45652&lt;/D&gt;&lt;D xsi:type="xsd:long"&gt;45653&lt;/D&gt;&lt;D xsi:type="xsd:long"&gt;45656&lt;/D&gt;&lt;D xsi:type="xsd:long"&gt;45657&lt;/D&gt;&lt;D xsi:type="xsd:long"&gt;45659&lt;/D&gt;&lt;D xsi:type="xsd:long"&gt;45660&lt;/D&gt;&lt;D xsi:type="xsd:long"&gt;45663&lt;/D&gt;&lt;D xsi:type="xsd:long"&gt;45664&lt;/D&gt;&lt;D xsi:type="xsd:long"&gt;45665&lt;/D&gt;&lt;D xsi:type="xsd:long"&gt;45667&lt;/D&gt;&lt;D xsi:type="xsd:long"&gt;45670&lt;/D&gt;&lt;D xsi:type="xsd:long"&gt;45671&lt;/D&gt;&lt;D xsi:type="xsd:long"&gt;45672&lt;/D&gt;&lt;D xsi:type="xsd:long"&gt;45673&lt;/D&gt;&lt;D xsi:type="xsd:long"&gt;45674&lt;/D&gt;&lt;D xsi:type="xsd:long"&gt;45678&lt;/D&gt;&lt;D xsi:type="xsd:long"&gt;45679&lt;/D&gt;&lt;D xsi:type="xsd:long"&gt;45680&lt;/D&gt;&lt;D xsi:type="xsd:long"&gt;45681&lt;/D&gt;&lt;D xsi:type="xsd:long"&gt;45684&lt;/D&gt;&lt;D xsi:type="xsd:long"&gt;45685&lt;/D&gt;&lt;D xsi:type="xsd:long"&gt;45686&lt;/D&gt;&lt;D xsi:type="xsd:long"&gt;45687&lt;/D&gt;&lt;D xsi:type="xsd:long"&gt;45688&lt;/D&gt;&lt;D xsi:type="xsd:long"&gt;45691&lt;/D&gt;&lt;D xsi:type="xsd:long"&gt;45692&lt;/D&gt;&lt;D xsi:type="xsd:long"&gt;45693&lt;/D&gt;&lt;D xsi:type="xsd:long"&gt;45694&lt;/D&gt;&lt;D xsi:type="xsd:long"&gt;45695&lt;/D&gt;&lt;D xsi:type="xsd:long"&gt;45698&lt;/D&gt;&lt;D xsi:type="xsd:long"&gt;45699&lt;/D&gt;&lt;D xsi:type="xsd:long"&gt;45700&lt;/D&gt;&lt;D xsi:type="xsd:long"&gt;45701&lt;/D&gt;&lt;D xsi:type="xsd:long"&gt;45702&lt;/D&gt;&lt;D xsi:type="xsd:long"&gt;45706&lt;/D&gt;&lt;D xsi:type="xsd:long"&gt;45707&lt;/D&gt;&lt;D xsi:type="xsd:long"&gt;45708&lt;/D&gt;&lt;D xsi:type="xsd:long"&gt;45709&lt;/D&gt;&lt;D xsi:type="xsd:long"&gt;45712&lt;/D&gt;&lt;D xsi:type="xsd:long"&gt;45713&lt;/D&gt;&lt;D xsi:type="xsd:long"&gt;45714&lt;/D&gt;&lt;D xsi:type="xsd:long"&gt;45715&lt;/D&gt;&lt;D xsi:type="xsd:long"&gt;45716&lt;/D&gt;&lt;D xsi:type="xsd:long"&gt;45719&lt;/D&gt;&lt;D xsi:type="xsd:long"&gt;45720&lt;/D&gt;&lt;D xsi:type="xsd:long"&gt;45721&lt;/D&gt;&lt;D xsi:type="xsd:long"&gt;45722&lt;/D&gt;&lt;D xsi:type="xsd:long"&gt;45723&lt;/D&gt;&lt;D xsi:type="xsd:long"&gt;45726&lt;/D&gt;&lt;D xsi:type="xsd:long"&gt;45727&lt;/D&gt;&lt;D xsi:type="xsd:long"&gt;45728&lt;/D&gt;&lt;D xsi:type="xsd:long"&gt;45729&lt;/D&gt;&lt;D xsi:type="xsd:long"&gt;45730&lt;/D&gt;&lt;D xsi:type="xsd:long"&gt;45733&lt;/D&gt;&lt;D xsi:type="xsd:long"&gt;45734&lt;/D&gt;&lt;D xsi:type="xsd:long"&gt;45735&lt;/D&gt;&lt;D xsi:type="xsd:long"&gt;45736&lt;/D&gt;&lt;D xsi:type="xsd:long"&gt;45737&lt;/D&gt;&lt;D xsi:type="xsd:long"&gt;45740&lt;/D&gt;&lt;D xsi:type="xsd:long"&gt;45741&lt;/D&gt;&lt;D xsi:type="xsd:long"&gt;45742&lt;/D&gt;&lt;D xsi:type="xsd:long"&gt;45743&lt;/D&gt;&lt;D xsi:type="xsd:long"&gt;45744&lt;/D&gt;&lt;D xsi:type="xsd:long"&gt;45747&lt;/D&gt;&lt;D xsi:type="xsd:long"&gt;45748&lt;/D&gt;&lt;D xsi:type="xsd:long"&gt;45749&lt;/D&gt;&lt;D xsi:type="xsd:long"&gt;45750&lt;/D&gt;&lt;D xsi:type="xsd:long"&gt;45751&lt;/D&gt;&lt;D xsi:type="xsd:long"&gt;45754&lt;/D&gt;&lt;D xsi:type="xsd:long"&gt;45755&lt;/D&gt;&lt;D xsi:type="xsd:long"&gt;45756&lt;/D&gt;&lt;D xsi:type="xsd:long"&gt;45757&lt;/D&gt;&lt;D xsi:type="xsd:long"&gt;45758&lt;/D&gt;&lt;D xsi:type="xsd:long"&gt;45761&lt;/D&gt;&lt;D xsi:type="xsd:long"&gt;45762&lt;/D&gt;&lt;D xsi:type="xsd:long"&gt;45763&lt;/D&gt;&lt;D xsi:type="xsd:long"&gt;45764&lt;/D&gt;&lt;D xsi:type="xsd:long"&gt;45768&lt;/D&gt;&lt;D xsi:type="xsd:long"&gt;45769&lt;/D&gt;&lt;D xsi:type="xsd:long"&gt;45770&lt;/D&gt;&lt;D xsi:type="xsd:long"&gt;45771&lt;/D&gt;&lt;D xsi:type="xsd:long"&gt;45772&lt;/D&gt;&lt;D xsi:type="xsd:long"&gt;45775&lt;/D&gt;&lt;D xsi:type="xsd:long"&gt;45776&lt;/D&gt;&lt;D xsi:type="xsd:long"&gt;45777&lt;/D&gt;&lt;D xsi:type="xsd:long"&gt;45778&lt;/D&gt;&lt;D xsi:type="xsd:long"&gt;45779&lt;/D&gt;&lt;D xsi:type="xsd:long"&gt;45782&lt;/D&gt;&lt;D xsi:type="xsd:long"&gt;45783&lt;/D&gt;&lt;D xsi:type="xsd:long"&gt;45784&lt;/D&gt;&lt;D xsi:type="xsd:long"&gt;45785&lt;/D&gt;&lt;D xsi:type="xsd:long"&gt;45786&lt;/D&gt;&lt;D xsi:type="xsd:long"&gt;45789&lt;/D&gt;&lt;D xsi:type="xsd:long"&gt;45790&lt;/D&gt;&lt;D xsi:type="xsd:long"&gt;45791&lt;/D&gt;&lt;D xsi:type="xsd:long"&gt;45792&lt;/D&gt;&lt;D xsi:type="xsd:long"&gt;45793&lt;/D&gt;&lt;D xsi:type="xsd:long"&gt;45796&lt;/D&gt;&lt;D xsi:type="xsd:long"&gt;45797&lt;/D&gt;&lt;D xsi:type="xsd:long"&gt;45798&lt;/D&gt;&lt;D xsi:type="xsd:long"&gt;45799&lt;/D&gt;&lt;D xsi:type="xsd:long"&gt;45800&lt;/D&gt;&lt;D xsi:type="xsd:long"&gt;45804&lt;/D&gt;&lt;D xsi:type="xsd:long"&gt;45805&lt;/D&gt;&lt;D xsi:type="xsd:long"&gt;45806&lt;/D&gt;&lt;D xsi:type="xsd:long"&gt;45807&lt;/D&gt;&lt;D xsi:type="xsd:long"&gt;45810&lt;/D&gt;&lt;D xsi:type="xsd:long"&gt;45811&lt;/D&gt;&lt;D xsi:type="xsd:long"&gt;45812&lt;/D&gt;&lt;D xsi:type="xsd:long"&gt;45813&lt;/D&gt;&lt;D xsi:type="xsd:long"&gt;45814&lt;/D&gt;&lt;D xsi:type="xsd:long"&gt;45817&lt;/D&gt;&lt;D xsi:type="xsd:long"&gt;45818&lt;/D&gt;&lt;D xsi:type="xsd:long"&gt;45819&lt;/D&gt;&lt;D xsi:type="xsd:long"&gt;45820&lt;/D&gt;&lt;D xsi:type="xsd:long"&gt;45821&lt;/D&gt;&lt;D xsi:type="xsd:long"&gt;45824&lt;/D&gt;&lt;D xsi:type="xsd:long"&gt;45825&lt;/D&gt;&lt;D xsi:type="xsd:long"&gt;45826&lt;/D&gt;&lt;D xsi:type="xsd:long"&gt;45828&lt;/D&gt;&lt;D xsi:type="xsd:long"&gt;45831&lt;/D&gt;&lt;D xsi:type="xsd:long"&gt;45832&lt;/D&gt;&lt;D xsi:type="xsd:long"&gt;45833&lt;/D&gt;&lt;D xsi:type="xsd:long"&gt;45834&lt;/D&gt;&lt;D xsi:type="xsd:long"&gt;45835&lt;/D&gt;&lt;D xsi:type="xsd:long"&gt;45838&lt;/D&gt;&lt;D xsi:type="xsd:long"&gt;45839&lt;/D&gt;&lt;D xsi:type="xsd:long"&gt;45840&lt;/D&gt;&lt;D xsi:type="xsd:long"&gt;45841&lt;/D&gt;&lt;D xsi:type="xsd:long"&gt;45845&lt;/D&gt;&lt;D xsi:type="xsd:long"&gt;45846&lt;/D&gt;&lt;D xsi:type="xsd:long"&gt;45847&lt;/D&gt;&lt;D xsi:type="xsd:long"&gt;45848&lt;/D&gt;&lt;D xsi:type="xsd:long"&gt;45849&lt;/D&gt;&lt;D xsi:type="xsd:long"&gt;45852&lt;/D&gt;&lt;D xsi:type="xsd:long"&gt;45853&lt;/D&gt;&lt;D xsi:type="xsd:long"&gt;45854&lt;/D&gt;&lt;D xsi:type="xsd:long"&gt;45855&lt;/D&gt;&lt;D xsi:type="xsd:long"&gt;45856&lt;/D&gt;&lt;D xsi:type="xsd:long"&gt;45859&lt;/D&gt;&lt;D xsi:type="xsd:long"&gt;45860&lt;/D&gt;&lt;D xsi:type="xsd:long"&gt;45861&lt;/D&gt;&lt;D xsi:type="xsd:long"&gt;45862&lt;/D&gt;&lt;D xsi:type="xsd:long"&gt;45863&lt;/D&gt;&lt;D xsi:type="xsd:long"&gt;45866&lt;/D&gt;&lt;D xsi:type="xsd:long"&gt;45867&lt;/D&gt;&lt;D xsi:type="xsd:long"&gt;45868&lt;/D&gt;&lt;D xsi:type="xsd:long"&gt;45869&lt;/D&gt;&lt;D xsi:type="xsd:long"&gt;45870&lt;/D&gt;&lt;D xsi:type="xsd:long"&gt;45873&lt;/D&gt;&lt;D xsi:type="xsd:long"&gt;45874&lt;/D&gt;&lt;D xsi:type="xsd:long"&gt;45875&lt;/D&gt;&lt;D xsi:type="xsd:long"&gt;45876&lt;/D&gt;&lt;D xsi:type="xsd:long"&gt;45877&lt;/D&gt;&lt;D xsi:type="xsd:long"&gt;45880&lt;/D&gt;&lt;D xsi:type="xsd:long"&gt;45881&lt;/D&gt;&lt;D xsi:type="xsd:long"&gt;45882&lt;/D&gt;&lt;D xsi:type="xsd:long"&gt;45883&lt;/D&gt;&lt;D xsi:type="xsd:long"&gt;45884&lt;/D&gt;&lt;D xsi:type="xsd:long"&gt;45887&lt;/D&gt;&lt;D xsi:type="xsd:long"&gt;45888&lt;/D&gt;&lt;D xsi:type="xsd:long"&gt;45889&lt;/D&gt;&lt;/FQL&gt;&lt;FQL&gt;&lt;Q&gt;NTRA-US^FE_ESTIMATE(SALES,MEAN,ANN_ROLL,2024,1/1/2024,NOW,,'')&lt;/Q&gt;&lt;R&gt;431&lt;/R&gt;&lt;C&gt;1&lt;/C&gt;&lt;D xsi:type="xsd:double"&gt;1266.3805&lt;/D&gt;&lt;D xsi:type="xsd:double"&gt;1266.3805&lt;/D&gt;&lt;D xsi:type="xsd:double"&gt;1267.4559&lt;/D&gt;&lt;D xsi:type="xsd:double"&gt;1267.4685&lt;/D&gt;&lt;D xsi:type="xsd:double"&gt;1267.4685&lt;/D&gt;&lt;D xsi:type="xsd:double"&gt;1267.4685&lt;/D&gt;&lt;D xsi:type="xsd:double"&gt;1268.4847&lt;/D&gt;&lt;D xsi:type="xsd:double"&gt;1268.4847&lt;/D&gt;&lt;D xsi:type="xsd:double"&gt;1268.4847&lt;/D&gt;&lt;D xsi:type="xsd:double"&gt;1268.0881&lt;/D&gt;&lt;D xsi:type="xsd:double"&gt;1268.6014&lt;/D&gt;&lt;D xsi:type="xsd:double"&gt;1268.6014&lt;/D&gt;&lt;D xsi:type="xsd:double"&gt;1268.6014&lt;/D&gt;&lt;D xsi:type="xsd:double"&gt;1268.5889&lt;/D&gt;&lt;D xsi:type="xsd:double"&gt;1268.5889&lt;/D&gt;&lt;D xsi:type="xsd:double"&gt;1268.5889&lt;/D&gt;&lt;D xsi:type="xsd:double"&gt;1268.5889&lt;/D&gt;&lt;D xsi:type="xsd:double"&gt;1268.5889&lt;/D&gt;&lt;D xsi:type="xsd:double"&gt;1269.9512&lt;/D&gt;&lt;D xsi:type="xsd:double"&gt;1269.9512&lt;/D&gt;&lt;D xsi:type="xsd:double"&gt;1270.5393&lt;/D&gt;&lt;D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xsi:type="xsd:double"&gt;1273.3864&lt;/D&gt;&lt;D xsi:type="xsd:double"&gt;1273.3861&lt;/D&gt;&lt;D xsi:type="xsd:double"&gt;1273.3861&lt;/D&gt;&lt;D xsi:type="xsd:double"&gt;1273.3861&lt;/D&gt;&lt;D xsi:type="xsd:double"&gt;1334.5596&lt;/D&gt;&lt;D xsi:type="xsd:double"&gt;1340.3125&lt;/D&gt;&lt;D xsi:type="xsd:double"&gt;1339.653&lt;/D&gt;&lt;D xsi:type="xsd:double"&gt;1339.653&lt;/D&gt;&lt;D xsi:type="xsd:double"&gt;1339.653&lt;/D&gt;&lt;D xsi:type="xsd:double"&gt;1339.645&lt;/D&gt;&lt;D xsi:type="xsd:double"&gt;1339.645&lt;/D&gt;&lt;D xsi:type="xsd:double"&gt;1339.645&lt;/D&gt;&lt;D xsi:type="xsd:double"&gt;1339.645&lt;/D&gt;&lt;D xsi:type="xsd:double"&gt;1339.5247&lt;/D&gt;&lt;D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xsi:type="xsd:double"&gt;1339.5326&lt;/D&gt;&lt;D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xsi:type="xsd:double"&gt;1339.5562&lt;/D&gt;&lt;D xsi:type="xsd:double"&gt;1339.5251&lt;/D&gt;&lt;D xsi:type="xsd:double"&gt;1339.5251&lt;/D&gt;&lt;D xsi:type="xsd:double"&gt;1339.5251&lt;/D&gt;&lt;D xsi:type="xsd:double"&gt;1339.5251&lt;/D&gt;&lt;D xsi:type="xsd:double"&gt;1339.5251&lt;/D&gt;&lt;D xsi:type="xsd:double"&gt;1340.0115&lt;/D&gt;&lt;D xsi:type="xsd:double"&gt;1340.5226&lt;/D&gt;&lt;D xsi:type="xsd:double"&gt;1340.5393&lt;/D&gt;&lt;D xsi:type="xsd:double"&gt;1340.5393&lt;/D&gt;&lt;D xsi:type="xsd:double"&gt;1340.5393&lt;/D&gt;&lt;D xsi:type="xsd:double"&gt;1341.0416&lt;/D&gt;&lt;D xsi:type="xsd:double"&gt;1341.0416&lt;/D&gt;&lt;D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xsi:type="xsd:double"&gt;1341.0623&lt;/D&gt;&lt;D xsi:type="xsd:double"&gt;1426.3672&lt;/D&gt;&lt;D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xsi:type="xsd:double"&gt;1432.7894&lt;/D&gt;&lt;D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xsi:type="xsd:double"&gt;1433.7623&lt;/D&gt;&lt;D xsi:type="xsd:double"&gt;1433.329&lt;/D&gt;&lt;D xsi:type="xsd:double"&gt;1433.329&lt;/D&gt;&lt;D xsi:type="xsd:double"&gt;1435.0511&lt;/D&gt;&lt;D xsi:type="xsd:double"&gt;1435.0511&lt;/D&gt;&lt;D xsi:type="xsd:double"&gt;1435.0511&lt;/D&gt;&lt;D xsi:type="xsd:double"&gt;1440.6398&lt;/D&gt;&lt;D xsi:type="xsd:double"&gt;1440.6398&lt;/D&gt;&lt;D xsi:type="xsd:double"&gt;1440.6398&lt;/D&gt;&lt;D xsi:type="xsd:double"&gt;1440.6398&lt;/D&gt;&lt;D xsi:type="xsd:double"&gt;1441.0043&lt;/D&gt;&lt;D xsi:type="xsd:double"&gt;1441.0043&lt;/D&gt;&lt;D xsi:type="xsd:double"&gt;1441.0043&lt;/D&gt;&lt;D xsi:type="xsd:double"&gt;1441.0043&lt;/D&gt;&lt;D xsi:type="xsd:double"&gt;1441.1709&lt;/D&gt;&lt;D xsi:type="xsd:double"&gt;1441.1709&lt;/D&gt;&lt;D xsi:type="xsd:double"&gt;1441.1543&lt;/D&gt;&lt;D xsi:type="xsd:double"&gt;1441.1482&lt;/D&gt;&lt;D xsi:type="xsd:double"&gt;1441.1475&lt;/D&gt;&lt;D xsi:type="xsd:double"&gt;1441.1581&lt;/D&gt;&lt;D xsi:type="xsd:double"&gt;1441.1581&lt;/D&gt;&lt;D xsi:type="xsd:double"&gt;1441.1581&lt;/D&gt;&lt;D xsi:type="xsd:double"&gt;1441.1581&lt;/D&gt;&lt;D xsi:type="xsd:double"&gt;1441.1581&lt;/D&gt;&lt;D xsi:type="xsd:double"&gt;1441.1589&lt;/D&gt;&lt;D xsi:type="xsd:double"&gt;1441.1589&lt;/D&gt;&lt;D xsi:type="xsd:double"&gt;1441.1589&lt;/D&gt;&lt;D xsi:type="xsd:double"&gt;1441.1589&lt;/D&gt;&lt;D xsi:type="xsd:double"&gt;1441.1589&lt;/D&gt;&lt;D xsi:type="xsd:double"&gt;1441.1755&lt;/D&gt;&lt;D xsi:type="xsd:double"&gt;1441.1755&lt;/D&gt;&lt;D xsi:type="xsd:double"&gt;1441.1755&lt;/D&gt;&lt;D xsi:type="xsd:double"&gt;1441.1755&lt;/D&gt;&lt;D xsi:type="xsd:double"&gt;1441.1755&lt;/D&gt;&lt;D xsi:type="xsd:double"&gt;1504.8861&lt;/D&gt;&lt;D xsi:type="xsd:double"&gt;1513.6127&lt;/D&gt;&lt;D xsi:type="xsd:double"&gt;1513.6127&lt;/D&gt;&lt;D xsi:type="xsd:double"&gt;1513.6127&lt;/D&gt;&lt;D xsi:type="xsd:double"&gt;1513.6127&lt;/D&gt;&lt;D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xsi:type="xsd:double"&gt;1517.8893&lt;/D&gt;&lt;D xsi:type="xsd:double"&gt;1517.89&lt;/D&gt;&lt;D xsi:type="xsd:double"&gt;1517.89&lt;/D&gt;&lt;D xsi:type="xsd:double"&gt;1517.9623&lt;/D&gt;&lt;D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xsi:type="xsd:double"&gt;1517.9893&lt;/D&gt;&lt;D xsi:type="xsd:double"&gt;1517.979&lt;/D&gt;&lt;D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xsi:type="xsd:double"&gt;1518.0901&lt;/D&gt;&lt;D xsi:type="xsd:double"&gt;1518.0345&lt;/D&gt;&lt;D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xsi:type="xsd:double"&gt;1518.1246&lt;/D&gt;&lt;D xsi:type="xsd:double"&gt;1518.108&lt;/D&gt;&lt;D xsi:type="xsd:double"&gt;1518.108&lt;/D&gt;&lt;D xsi:type="xsd:double"&gt;1518.108&lt;/D&gt;&lt;D xsi:type="xsd:double"&gt;1518.0802&lt;/D&gt;&lt;D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xsi:type="xsd:double"&gt;1518.0905&lt;/D&gt;&lt;D xsi:type="xsd:double"&gt;1612.552&lt;/D&gt;&lt;D xsi:type="xsd:double"&gt;1612.552&lt;/D&gt;&lt;D xsi:type="xsd:double"&gt;1618.7352&lt;/D&gt;&lt;D xsi:type="xsd:double"&gt;1624.9918&lt;/D&gt;&lt;D xsi:type="xsd:double"&gt;1624.9918&lt;/D&gt;&lt;D xsi:type="xsd:double"&gt;1624.9918&lt;/D&gt;&lt;D xsi:type="xsd:double"&gt;1624.9661&lt;/D&gt;&lt;D xsi:type="xsd:double"&gt;1624.9886&lt;/D&gt;&lt;D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xsi:type="xsd:double"&gt;1630.9985&lt;/D&gt;&lt;D xsi:type="xsd:double"&gt;1631.0104&lt;/D&gt;&lt;D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xsi:type="xsd:double"&gt;1631.0361&lt;/D&gt;&lt;D xsi:type="xsd:double"&gt;1631.0219&lt;/D&gt;&lt;D xsi:type="xsd:double"&gt;1634.7739&lt;/D&gt;&lt;D xsi:type="xsd:double"&gt;1639.0509&lt;/D&gt;&lt;D xsi:type="xsd:double"&gt;1639.2245&lt;/D&gt;&lt;D xsi:type="xsd:double"&gt;1642.6688&lt;/D&gt;&lt;D xsi:type="xsd:double"&gt;1642.6688&lt;/D&gt;&lt;D xsi:type="xsd:double"&gt;1646.1613&lt;/D&gt;&lt;D xsi:type="xsd:double"&gt;1646.1613&lt;/D&gt;&lt;D xsi:type="xsd:double"&gt;1646.1613&lt;/D&gt;&lt;D xsi:type="xsd:double"&gt;1646.1613&lt;/D&gt;&lt;D xsi:type="xsd:double"&gt;1646.1674&lt;/D&gt;&lt;D xsi:type="xsd:double"&gt;1652.0438&lt;/D&gt;&lt;D xsi:type="xsd:double"&gt;1652.0438&lt;/D&gt;&lt;D xsi:type="xsd:double"&gt;1652.0438&lt;/D&gt;&lt;D xsi:type="xsd:double"&gt;1652.0438&lt;/D&gt;&lt;D xsi:type="xsd:double"&gt;1651.8855&lt;/D&gt;&lt;D xsi:type="xsd:double"&gt;1651.8855&lt;/D&gt;&lt;D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xsi:type="xsd:double"&gt;1651.8793&lt;/D&gt;&lt;D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</t>
        </r>
      </text>
    </comment>
    <comment ref="A8" authorId="0" shapeId="0" xr:uid="{8814E69F-BBAD-48CB-83D2-383F2ADBBBC8}">
      <text>
        <r>
          <rPr>
            <b/>
            <sz val="9"/>
            <color indexed="81"/>
            <rFont val="Tahoma"/>
            <charset val="1"/>
          </rPr>
          <t>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xsi:type="xsd:double"&gt;1696.911&lt;/D&gt;&lt;D xsi:type="xsd:double"&gt;1696.911&lt;/D&gt;&lt;/FQL&gt;&lt;FQL&gt;&lt;Q&gt;NTRA-US^JULIAN(FE_ESTIMATE(SALES,MEAN,ANN_ROLL,2024,1/1/2024,NOW,,'').DATES)&lt;/Q&gt;&lt;R&gt;411&lt;/R&gt;&lt;C&gt;1&lt;/C&gt;&lt;D xsi:type="xsd:long"&gt;45289&lt;/D&gt;&lt;D xsi:type="xsd:long"&gt;45293&lt;/D&gt;&lt;D xsi:type="xsd:long"&gt;45294&lt;/D&gt;&lt;D xsi:type="xsd:long"&gt;45295&lt;/D&gt;&lt;D xsi:type="xsd:long"&gt;45296&lt;/D&gt;&lt;D xsi:type="xsd:long"&gt;45299&lt;/D&gt;&lt;D xsi:type="xsd:long"&gt;45300&lt;/D&gt;&lt;D xsi:type="xsd:long"&gt;45301&lt;/D&gt;&lt;D xsi:type="xsd:long"&gt;45302&lt;/D&gt;&lt;D xsi:type="xsd:long"&gt;45303&lt;/D&gt;&lt;D xsi:type="xsd:long"&gt;45307&lt;/D&gt;&lt;D xsi:type="xsd:long"&gt;45308&lt;/D&gt;&lt;D xsi:type="xsd:long"&gt;45309&lt;/D&gt;&lt;D xsi:type="xsd:long"&gt;45310&lt;/D&gt;&lt;D xsi:type="xsd:long"&gt;45313&lt;/D&gt;&lt;D xsi:type="xsd:long"&gt;45314&lt;/D&gt;&lt;D xsi:type="xsd:long"&gt;45315&lt;/D&gt;&lt;D xsi:type="xsd:long"&gt;45316&lt;/D&gt;&lt;D xsi:type="xsd:long"&gt;45317&lt;/D&gt;&lt;D xsi:type="xsd:long"&gt;45320&lt;/D&gt;&lt;D xsi:type="xsd:long"&gt;45321&lt;/D&gt;&lt;D xsi:type="xsd:long"&gt;45322&lt;/D&gt;&lt;D xsi:type="xsd:long"&gt;45323&lt;/D&gt;&lt;D xsi:type="xsd:long"&gt;45324&lt;/D&gt;&lt;D xsi:type="xsd:long"&gt;45327&lt;/D&gt;&lt;D xsi:type="xsd:long"&gt;45328&lt;/D&gt;&lt;D xsi:type="xsd:long"&gt;45329&lt;/D&gt;&lt;D xsi:type="xsd:long"&gt;45330&lt;/D&gt;&lt;D xsi:type="xsd:long"&gt;45331&lt;/D&gt;&lt;D xsi:type="xsd:long"&gt;45334&lt;/D&gt;&lt;D xsi:type="xsd:long"&gt;45335&lt;/D&gt;&lt;D xsi:type="xsd:long"&gt;45336&lt;/D&gt;&lt;D xsi:type="xsd:long"&gt;45337&lt;/D&gt;&lt;D xsi:type="xsd:long"&gt;45338&lt;/D&gt;&lt;D xsi:type="xsd:long"&gt;45342&lt;/D&gt;&lt;D xsi:type="xsd:long"&gt;45343&lt;/D&gt;&lt;D xsi:type="xsd:long"&gt;45344&lt;/D&gt;&lt;D xsi:type="xsd:long"&gt;45345&lt;/D&gt;&lt;D xsi:type="xsd:long"&gt;45348&lt;/D&gt;&lt;D xsi:type="xsd:long"&gt;45349&lt;/D&gt;&lt;D xsi:type="xsd:long"&gt;45350&lt;/D&gt;&lt;D xsi:type="xsd:long"&gt;45351&lt;/D&gt;&lt;D xsi:type="xsd:long"&gt;45352&lt;/D&gt;&lt;D xsi:type="xsd:long"&gt;45355&lt;/D&gt;&lt;D xsi:type="xsd:long"&gt;45356&lt;/D&gt;&lt;D xsi:type="xsd:long"&gt;45357&lt;/D&gt;&lt;D xsi:type="xsd:long"&gt;45358&lt;/D&gt;&lt;D xsi:type="xsd:long"&gt;45359&lt;/D&gt;&lt;D xsi:type="xsd:long"&gt;45362&lt;/D&gt;&lt;D xsi:type="xsd:long"&gt;45363&lt;/D&gt;&lt;D xsi:type="xsd:long"&gt;45364&lt;/D&gt;&lt;D xsi:type="xsd:long"&gt;45365&lt;/D&gt;&lt;D xsi:type="xsd:long"&gt;45366&lt;/D&gt;&lt;D xsi:type="xsd:long"&gt;45369&lt;/D&gt;&lt;D xsi:type="xsd:long"&gt;45370&lt;/D&gt;&lt;D xsi:type="xsd:long"&gt;45371&lt;/D&gt;&lt;D xsi:type="xsd:long"&gt;45372&lt;/D&gt;&lt;D xsi:type="xsd:long"&gt;45373&lt;/D&gt;&lt;D xsi:type="xsd:long"&gt;45376&lt;/D&gt;&lt;D xsi:type="xsd:long"&gt;45377&lt;/D&gt;&lt;D xsi:type="xsd:long"&gt;45378&lt;/D&gt;&lt;D xsi:type="xsd:long"&gt;45379&lt;/D&gt;&lt;D xsi:type="xsd:long"&gt;45383&lt;/D&gt;&lt;D xsi:type="xsd:long"&gt;45384&lt;/D&gt;&lt;D xsi:type="xsd:long"&gt;45385&lt;/D&gt;&lt;D xsi:type="xsd:long"&gt;45386&lt;/D&gt;&lt;D xsi:type="xsd:long"&gt;45387&lt;/D&gt;&lt;D xsi:type="xsd:long"&gt;45390&lt;/D&gt;&lt;D xsi:type="xsd:long"&gt;45391&lt;/D&gt;&lt;D xsi:type="xsd:long"&gt;45392&lt;/D&gt;&lt;D xsi:type="xsd:long"&gt;45393&lt;/D&gt;&lt;D xsi:type="xsd:long"&gt;45394&lt;/D&gt;&lt;D xsi:type="xsd:long"&gt;45397&lt;/D&gt;&lt;D xsi:type="xsd:long"&gt;45398&lt;/D&gt;&lt;D xsi:type="xsd:long"&gt;45399&lt;/D&gt;&lt;D xsi:type="xsd:long"&gt;45400&lt;/D&gt;&lt;D xsi:type="xsd:long"&gt;45401&lt;/D&gt;&lt;D xsi:type="xsd:long"&gt;45404&lt;/D&gt;&lt;D xsi:type="xsd:long"&gt;45405&lt;/D&gt;&lt;D xsi:type="xsd:long"&gt;45406&lt;/D&gt;&lt;D xsi:type="xsd:long"&gt;45407&lt;/D&gt;&lt;D xsi:type="xsd:long"&gt;45408&lt;/D&gt;&lt;D xsi:type="xsd:long"&gt;45411&lt;/D&gt;&lt;D xsi:type="xsd:long"&gt;45412&lt;/D&gt;&lt;D xsi:type="xsd:long"&gt;45413&lt;/D&gt;&lt;D xsi:type="xsd:long"&gt;45414&lt;/D&gt;&lt;D xsi:type="xsd:long"&gt;45415&lt;/D&gt;&lt;D xsi:type="xsd:long"&gt;45418&lt;/D&gt;&lt;D xsi:type="xsd:long"&gt;45419&lt;/D&gt;&lt;D xsi:type="xsd:long"&gt;45420&lt;/D&gt;&lt;D xsi:type="xsd:long"&gt;45421&lt;/D&gt;&lt;D xsi:type="xsd:long"&gt;45422&lt;/D&gt;&lt;D xsi:type="xsd:long"&gt;45425&lt;/D&gt;&lt;D xsi:type="xsd:long"&gt;45426&lt;/D&gt;&lt;D xsi:type="xsd:long"&gt;45427&lt;/D&gt;&lt;D xsi:type="xsd:long"&gt;45428&lt;/D&gt;&lt;D xsi:type="xsd:long"&gt;45429&lt;/D&gt;&lt;D xsi:type="xsd:long"&gt;45432&lt;/D&gt;&lt;D xsi:type="xsd:long"&gt;45433&lt;/D&gt;&lt;D xsi:type="xsd:long"&gt;45434&lt;/D&gt;&lt;D xsi:type="xsd:long"&gt;45435&lt;/D&gt;&lt;D xsi:type="xsd:long"&gt;45436&lt;/D&gt;&lt;D xsi:type="xsd:long"&gt;45440&lt;/D&gt;&lt;D xsi:type="xsd:long"&gt;45441&lt;/D&gt;&lt;D xsi:type="xsd:long"&gt;45442&lt;/D&gt;&lt;D xsi:type="xsd:long"&gt;45443&lt;/D&gt;&lt;D xsi:type="xsd:long"&gt;45446&lt;/D&gt;&lt;D xsi:type="xsd:long"&gt;45447&lt;/D&gt;&lt;D xsi:type="xsd:long"&gt;45448&lt;/D&gt;&lt;D xsi:type="xsd:long"&gt;45449&lt;/D&gt;&lt;D xsi:type="xsd:long"&gt;45450&lt;/D&gt;&lt;D xsi:type="xsd:long"&gt;45453&lt;/D&gt;&lt;D xsi:type="xsd:long"&gt;45454&lt;/D&gt;&lt;D xsi:type="xsd:long"&gt;45455&lt;/D&gt;&lt;D xsi:type="xsd:long"&gt;45456&lt;/D&gt;&lt;D xsi:type="xsd:long"&gt;45457&lt;/D&gt;&lt;D xsi:type="xsd:long"&gt;45460&lt;/D&gt;&lt;D xsi:type="xsd:long"&gt;45461&lt;/D&gt;&lt;D xsi:type="xsd:long"&gt;45463&lt;/D&gt;&lt;D xsi:type="xsd:long"&gt;45464&lt;/D&gt;&lt;D xsi:type="xsd:long"&gt;45467&lt;/D&gt;&lt;D xsi:type="xsd:long"&gt;45468&lt;/D&gt;&lt;D xsi:type="xsd:long"&gt;45469&lt;/D&gt;&lt;D xsi:type="xsd:long"&gt;45470&lt;/D&gt;&lt;D xsi:type="xsd:long"&gt;45471&lt;/D&gt;&lt;D xsi:type="xsd:long"&gt;45474&lt;/D&gt;&lt;D xsi:type="xsd:long"&gt;45475&lt;/D&gt;&lt;D xsi:type="xsd:long"&gt;45476&lt;/D&gt;&lt;D xsi:type="xsd:long"&gt;45478&lt;/D&gt;&lt;D xsi:type="xsd:long"&gt;45481&lt;/D&gt;&lt;D xsi:type="xsd:long"&gt;45482&lt;/D&gt;&lt;D xsi:type="xsd:long"&gt;45483&lt;/D&gt;&lt;D xsi:type="xsd:long"&gt;45484&lt;/D&gt;&lt;D xsi:type="xsd:long"&gt;45485&lt;/D&gt;&lt;D xsi:type="xsd:long"&gt;45488&lt;/D&gt;&lt;D xsi:type="xsd:long"&gt;45489&lt;/D&gt;&lt;D xsi:type="xsd:long"&gt;45490&lt;/D&gt;&lt;D xsi:type="xsd:long"&gt;45491&lt;/D&gt;&lt;D xsi:type="xsd:long"&gt;45492&lt;/D&gt;&lt;D xsi:type="xsd:long"&gt;45495&lt;/D&gt;&lt;D xsi:type="xsd:long"&gt;45496&lt;/D&gt;&lt;D xsi:type="xsd:long"&gt;45497&lt;/D&gt;&lt;D xsi:type="xsd:long"&gt;45498&lt;/D&gt;&lt;D xsi:type="xsd:long"&gt;45499&lt;/D&gt;&lt;D xsi:type="xsd:long"&gt;45502&lt;/D&gt;&lt;D xsi:type="xsd:long"&gt;45503&lt;/D&gt;&lt;D xsi:type="xsd:long"&gt;45504&lt;/D&gt;&lt;D xsi:type="xsd:long"&gt;45505&lt;/D&gt;&lt;D xsi:type="xsd:long"&gt;45506&lt;/D&gt;&lt;D xsi:type="xsd:long"&gt;45509&lt;/D&gt;&lt;D xsi:type="xsd:long"&gt;45510&lt;/D&gt;&lt;D xsi:type="xsd:long"&gt;45511&lt;/D&gt;&lt;D xsi:type="xsd:long"&gt;45512&lt;/D&gt;&lt;D xsi:type="xsd:long"&gt;45513&lt;/D&gt;&lt;D xsi:type="xsd:long"&gt;45516&lt;/D&gt;&lt;D xsi:type="xsd:long"&gt;45517&lt;/D&gt;&lt;D xsi:type="xsd:long"&gt;45518&lt;/D&gt;&lt;D xsi:type="xsd:long"&gt;45519&lt;/D&gt;&lt;D xsi:type="xsd:long"&gt;45520&lt;/D&gt;&lt;D xsi:type="xsd:long"&gt;45523&lt;/D&gt;&lt;D xsi:type="xsd:long"&gt;45524&lt;/D&gt;&lt;D xsi:type="xsd:long"&gt;45525&lt;/D&gt;&lt;D xsi:type="xsd:long"&gt;45526&lt;/D&gt;&lt;D xsi:type="xsd:long"&gt;45527&lt;/D&gt;&lt;D xsi:type="xsd:long"&gt;45530&lt;/D&gt;&lt;D xsi:type="xsd:long"&gt;45531&lt;/D&gt;&lt;D xsi:type="xsd:long"&gt;45532&lt;/D&gt;&lt;D xsi:type="xsd:long"&gt;45533&lt;/D&gt;&lt;D xsi:type="xsd:long"&gt;45534&lt;/D&gt;&lt;D xsi:type="xsd:long"&gt;45538&lt;/D&gt;&lt;D xsi:type="xsd:long"&gt;45539&lt;/D&gt;&lt;D xsi:type="xsd:long"&gt;45540&lt;/D&gt;&lt;D xsi:type="xsd:long"&gt;45541&lt;/D&gt;&lt;D xsi:type="xsd:long"&gt;45544&lt;/D&gt;&lt;D xsi:type="xsd:long"&gt;45545&lt;/D&gt;&lt;D xsi:type="xsd:long"&gt;45546&lt;/D&gt;&lt;D xsi:type="xsd:long"&gt;45547&lt;/D&gt;&lt;D xsi:type="xsd:long"&gt;45548&lt;/D&gt;&lt;D xsi:type="xsd:long"&gt;45551&lt;/D&gt;&lt;D xsi:type="xsd:long"&gt;45552&lt;/D&gt;&lt;D xsi:type="xsd:long"&gt;45553&lt;/D&gt;&lt;D xsi:type="xsd:long"&gt;45554&lt;/D&gt;&lt;D xsi:type="xsd:long"&gt;45555&lt;/D&gt;&lt;D xsi:type="xsd:long"&gt;45558&lt;/D&gt;&lt;D xsi:type="xsd:long"&gt;45559&lt;/D&gt;&lt;D xsi:type="xsd:long"&gt;45560&lt;/D&gt;&lt;D xsi:type="xsd:long"&gt;45561&lt;/D&gt;&lt;D xsi:type="xsd:long"&gt;45562&lt;/D&gt;&lt;D xsi:type="xsd:long"&gt;45565&lt;/D&gt;&lt;D xsi:type="xsd:long"&gt;45566&lt;/D&gt;&lt;D xsi:type="xsd:long"&gt;45567&lt;/D&gt;&lt;D xsi:type="xsd:long"&gt;45568&lt;/D&gt;&lt;D xsi:type="xsd:long"&gt;45569&lt;/D&gt;&lt;D xsi:type="xsd:long"&gt;45572&lt;/D&gt;&lt;D xsi:type="xsd:long"&gt;45573&lt;/D&gt;&lt;D xsi:type="xsd:long"&gt;45574&lt;/D&gt;&lt;D xsi:type="xsd:long"&gt;45575&lt;/D&gt;&lt;D xsi:type="xsd:long"&gt;45576&lt;/D&gt;&lt;D xsi:type="xsd:long"&gt;45579&lt;/D&gt;&lt;D xsi:type="xsd:long"&gt;45580&lt;/D&gt;&lt;D xsi:type="xsd:long"&gt;45581&lt;/D&gt;&lt;D xsi:type="xsd:long"&gt;45582&lt;/D&gt;&lt;D xsi:type="xsd:long"&gt;45583&lt;/D&gt;&lt;D xsi:type="xsd:long"&gt;45586&lt;/D&gt;&lt;D xsi:type="xsd:long"&gt;45587&lt;/D&gt;&lt;D xsi:type="xsd:long"&gt;45588&lt;/D&gt;&lt;D xsi:type="xsd:long"&gt;45589&lt;/D&gt;&lt;D xsi:type="xsd:long"&gt;45590&lt;/D&gt;&lt;D xsi:type="xsd:long"&gt;45593&lt;/D&gt;&lt;D xsi:type="xsd:long"&gt;45594&lt;/D&gt;&lt;D xsi:type="xsd:long"&gt;45595&lt;/D&gt;&lt;D xsi:type="xsd:long"&gt;45596&lt;/D&gt;&lt;D xsi:type="xsd:long"&gt;45597&lt;/D&gt;&lt;D xsi:type="xsd:long"&gt;45600&lt;/D&gt;&lt;D xsi:type="xsd:long"&gt;45601&lt;/D&gt;&lt;D xsi:type="xsd:long"&gt;45602&lt;/D&gt;&lt;D xsi:type="xsd:long"&gt;45603&lt;/D&gt;&lt;D xsi:type="xsd:long"&gt;45604&lt;/D&gt;&lt;D xsi:type="xsd:long"&gt;45607&lt;/D&gt;&lt;D xsi:type="xsd:long"&gt;45608&lt;/D&gt;&lt;D xsi:type="xsd:long"&gt;45609&lt;/D&gt;&lt;D xsi:type="xsd:long"&gt;45610&lt;/D&gt;&lt;D xsi:type="xsd:long"&gt;45611&lt;/D&gt;&lt;D xsi:type="xsd:long"&gt;45614&lt;/D&gt;&lt;D xsi:type="xsd:long"&gt;45615&lt;/D&gt;&lt;D xsi:type="xsd:long"&gt;45616&lt;/D&gt;&lt;D xsi:type="xsd:long"&gt;45617&lt;/D&gt;&lt;D xsi:type="xsd:long"&gt;45618&lt;/D&gt;&lt;D xsi:type="xsd:long"&gt;45621&lt;/D&gt;&lt;D xsi:type="xsd:long"&gt;45622&lt;/D&gt;&lt;D xsi:type="xsd:long"&gt;45623&lt;/D&gt;&lt;D xsi:type="xsd:long"&gt;45625&lt;/D&gt;&lt;D xsi:type="xsd:long"&gt;45628&lt;/D&gt;&lt;D xsi:type="xsd:long"&gt;45629&lt;/D&gt;&lt;D xsi:type="xsd:long"&gt;45630&lt;/D&gt;&lt;D xsi:type="xsd:long"&gt;45631&lt;/D&gt;&lt;D xsi:type="xsd:long"&gt;45632&lt;/D&gt;&lt;D xsi:type="xsd:long"&gt;45635&lt;/D&gt;&lt;D xsi:type="xsd:long"&gt;45636&lt;/D&gt;&lt;D xsi:type="xsd:long"&gt;45637&lt;/D&gt;&lt;D xsi:type="xsd:long"&gt;45638&lt;/D&gt;&lt;D xsi:type="xsd:long"&gt;45639&lt;/D&gt;&lt;D xsi:type="xsd:long"&gt;45642&lt;/D&gt;&lt;D xsi:type="xsd:long"&gt;45643&lt;/D&gt;&lt;D xsi:type="xsd:long"&gt;45644&lt;/D&gt;&lt;D xsi:type="xsd:long"&gt;45645&lt;/D&gt;&lt;D xsi:type="xsd:long"&gt;45646&lt;/D&gt;&lt;D xsi:type="xsd:long"&gt;45649&lt;/D&gt;&lt;D xsi:type="xsd:long"&gt;45650&lt;/D&gt;&lt;D xsi:type="xsd:long"&gt;45652&lt;/D&gt;&lt;D xsi:type="xsd:long"&gt;45653&lt;/D&gt;&lt;D xsi:type="xsd:long"&gt;45656&lt;/D&gt;&lt;D xsi:type="xsd:long"&gt;45657&lt;/D&gt;&lt;D xsi:type="xsd:long"&gt;45659&lt;/D&gt;&lt;D xsi:type="xsd:long"&gt;45660&lt;/D&gt;&lt;D xsi:type="xsd:long"&gt;45663&lt;/D&gt;&lt;D xsi:type="xsd:long"&gt;45664&lt;/D&gt;&lt;D xsi:type="xsd:long"&gt;45665&lt;/D&gt;&lt;D xsi:type="xsd:long"&gt;45667&lt;/D&gt;&lt;D xsi:type="xsd:long"&gt;45670&lt;/D&gt;&lt;D xsi:type="xsd:long"&gt;45671&lt;/D&gt;&lt;D xsi:type="xsd:long"&gt;45672&lt;/D&gt;&lt;D xsi:type="xsd:long"&gt;45673&lt;/D&gt;&lt;D xsi:type="xsd:long"&gt;45674&lt;/D&gt;&lt;D xsi:type="xsd:long"&gt;45678&lt;/D&gt;&lt;D xsi:type="xsd:long"&gt;45679&lt;/D&gt;&lt;D xsi:type="xsd:long"&gt;45680&lt;/D&gt;&lt;D xsi:type="xsd:long"&gt;45681&lt;/D&gt;&lt;D xsi:type="xsd:long"&gt;45684&lt;/D&gt;&lt;D xsi:type="xsd:long"&gt;45685&lt;/D&gt;&lt;D xsi:type="xsd:long"&gt;45686&lt;/D&gt;&lt;D xsi:type="xsd:long"&gt;45687&lt;/D&gt;&lt;D xsi:type="xsd:long"&gt;45688&lt;/D&gt;&lt;D xsi:type="xsd:long"&gt;45691&lt;/D&gt;&lt;D xsi:type="xsd:long"&gt;45692&lt;/D&gt;&lt;D xsi:type="xsd:long"&gt;45693&lt;/D&gt;&lt;D xsi:type="xsd:long"&gt;45694&lt;/D&gt;&lt;D xsi:type="xsd:long"&gt;45695&lt;/D&gt;&lt;D xsi:type="xsd:long"&gt;45698&lt;/D&gt;&lt;D xsi:type="xsd:long"&gt;45699&lt;/D&gt;&lt;D xsi:type="xsd:long"&gt;45700&lt;/D&gt;&lt;D xsi:type="xsd:long"&gt;45701&lt;/D&gt;&lt;D xsi:type="xsd:long"&gt;45702&lt;/D&gt;&lt;D xsi:type="xsd:long"&gt;45706&lt;/D&gt;&lt;D xsi:type="xsd:long"&gt;45707&lt;/D&gt;&lt;D xsi:type="xsd:long"&gt;45708&lt;/D&gt;&lt;D xsi:type="xsd:long"&gt;45709&lt;/D&gt;&lt;D xsi:type="xsd:long"&gt;45712&lt;/D&gt;&lt;D xsi:type="xsd:long"&gt;45713&lt;/D&gt;&lt;D xsi:type="xsd:long"&gt;45714&lt;/D&gt;&lt;D xsi:type="xsd:long"&gt;45715&lt;/D&gt;&lt;D xsi:type="xsd:long"&gt;45716&lt;/D&gt;&lt;D xsi:type="xsd:long"&gt;45719&lt;/D&gt;&lt;D xsi:type="xsd:long"&gt;45720&lt;/D&gt;&lt;D xsi:type="xsd:long"&gt;45721&lt;/D&gt;&lt;D xsi:type="xsd:long"&gt;45722&lt;/D&gt;&lt;D xsi:type="xsd:long"&gt;45723&lt;/D&gt;&lt;D xsi:type="xsd:long"&gt;45726&lt;/D&gt;&lt;D xsi:type="xsd:long"&gt;45727&lt;/D&gt;&lt;D xsi:type="xsd:long"&gt;45728&lt;/D&gt;&lt;D xsi:type="xsd:long"&gt;45729&lt;/D&gt;&lt;D xsi:type="xsd:long"&gt;45730&lt;/D&gt;&lt;D xsi:type="xsd:long"&gt;45733&lt;/D&gt;&lt;D xsi:type="xsd:long"&gt;45734&lt;/D&gt;&lt;D xsi:type="xsd:long"&gt;45735&lt;/D&gt;&lt;D xsi:type="xsd:long"&gt;45736&lt;/D&gt;&lt;D xsi:type="xsd:long"&gt;45737&lt;/D&gt;&lt;D xsi:type="xsd:long"&gt;45740&lt;/D&gt;&lt;D xsi:type="xsd:long"&gt;45741&lt;/D&gt;&lt;D xsi:type="xsd:long"&gt;45742&lt;/D&gt;&lt;D xsi:type="xsd:long"&gt;45743&lt;/D&gt;&lt;D xsi:type="xsd:long"&gt;45744&lt;/D&gt;&lt;D xsi:type="xsd:long"&gt;45747&lt;/D&gt;&lt;D xsi:type="xsd:long"&gt;45748&lt;/D&gt;&lt;D xsi:type="xsd:long"&gt;45749&lt;/D&gt;&lt;D xsi:type="xsd:long"&gt;45750&lt;/D&gt;&lt;D xsi:type="xsd:long"&gt;45751&lt;/D&gt;&lt;D xsi:type="xsd:long"&gt;45754&lt;/D&gt;&lt;D xsi:type="xsd:long"&gt;45755&lt;/D&gt;&lt;D xsi:type="xsd:long"&gt;45756&lt;/D&gt;&lt;D xsi:type="xsd:long"&gt;45757&lt;/D&gt;&lt;D xsi:type="xsd:long"&gt;45758&lt;/D&gt;&lt;D xsi:type="xsd:long"&gt;45761&lt;/D&gt;&lt;D xsi:type="xsd:long"&gt;45762&lt;/D&gt;&lt;D xsi:type="xsd:long"&gt;45763&lt;/D&gt;&lt;D xsi:type="xsd:long"&gt;45764&lt;/D&gt;&lt;D xsi:type="xsd:long"&gt;45768&lt;/D&gt;&lt;D xsi:type="xsd:long"&gt;45769&lt;/D&gt;&lt;D xsi:type="xsd:long"&gt;45770&lt;/D&gt;&lt;D xsi:type="xsd:long"&gt;45771&lt;/D&gt;&lt;D xsi:type="xsd:long"&gt;45772&lt;/D&gt;&lt;D xsi:type="xsd:long"&gt;45775&lt;/D&gt;&lt;D xsi:type="xsd:long"&gt;45776&lt;/D&gt;&lt;D xsi:type="xsd:long"&gt;45777&lt;/D&gt;&lt;D xsi:type="xsd:long"&gt;45778&lt;/D&gt;&lt;D xsi:type="xsd:long"&gt;45779&lt;/D&gt;&lt;D xsi:type="xsd:long"&gt;45782&lt;/D&gt;&lt;D xsi:type="xsd:long"&gt;45783&lt;/D&gt;&lt;D xsi:type="xsd:long"&gt;45784&lt;/D&gt;&lt;D xsi:type="xsd:long"&gt;45785&lt;/D&gt;&lt;D xsi:type="xsd:long"&gt;45786&lt;/D&gt;&lt;D xsi:type="xsd:long"&gt;45789&lt;/D&gt;&lt;D xsi:type="xsd:long"&gt;45790&lt;/D&gt;&lt;D xsi:type="xsd:long"&gt;45791&lt;/D&gt;&lt;D xsi:type="xsd:long"&gt;45792&lt;/D&gt;&lt;D xsi:type="xsd:long"&gt;45793&lt;/D&gt;&lt;D xsi:type="xsd:long"&gt;45796&lt;/D&gt;&lt;D xsi:type="xsd:long"&gt;45797&lt;/D&gt;&lt;D xsi:type="xsd:long"&gt;45798&lt;/D&gt;&lt;D xsi:type="xsd:long"&gt;45799&lt;/D&gt;&lt;D xsi:type="xsd:long"&gt;45800&lt;/D&gt;&lt;D xsi:type="xsd:long"&gt;45804&lt;/D&gt;&lt;D xsi:type="xsd:long"&gt;45805&lt;/D&gt;&lt;D xsi:type="xsd:long"&gt;45806&lt;/D&gt;&lt;D xsi:type="xsd:long"&gt;45807&lt;/D&gt;&lt;D xsi:type="xsd:long"&gt;45810&lt;/D&gt;&lt;D xsi:type="xsd:long"&gt;45811&lt;/D&gt;&lt;D xsi:type="xsd:long"&gt;45812&lt;/D&gt;&lt;D xsi:type="xsd:long"&gt;45813&lt;/D&gt;&lt;D xsi:type="xsd:long"&gt;45814&lt;/D&gt;&lt;D xsi:type="xsd:long"&gt;45817&lt;/D&gt;&lt;D xsi:type="xsd:long"&gt;45818&lt;/D&gt;&lt;D xsi:type="xsd:long"&gt;45819&lt;/D&gt;&lt;D xsi:type="xsd:long"&gt;45820&lt;/D&gt;&lt;D xsi:type="xsd:long"&gt;45821&lt;/D&gt;&lt;D xsi:type="xsd:long"&gt;45824&lt;/D&gt;&lt;D xsi:type="xsd:long"&gt;45825&lt;/D&gt;&lt;D xsi:type="xsd:long"&gt;45826&lt;/D&gt;&lt;D xsi:type="xsd:long"&gt;45828&lt;/D&gt;&lt;D xsi:type="xsd:long"&gt;45831&lt;/D&gt;&lt;D xsi:type="xsd:long"&gt;45832&lt;/D&gt;&lt;D xsi:type="xsd:long"&gt;45833&lt;/D&gt;&lt;D xsi:type="xsd:long"&gt;45834&lt;/D&gt;&lt;D xsi:type="xsd:long"&gt;45835&lt;/D&gt;&lt;D xsi:type="xsd:long"&gt;45838&lt;/D&gt;&lt;D xsi:type="xsd:long"&gt;45839&lt;/D&gt;&lt;D xsi:type="xsd:long"&gt;45840&lt;/D&gt;&lt;D xsi:type="xsd:long"&gt;45841&lt;/D&gt;&lt;D xsi:type="xsd:long"&gt;45845&lt;/D&gt;&lt;D xsi:type="xsd:long"&gt;45846&lt;/D&gt;&lt;D xsi:type="xsd:long"&gt;45847&lt;/D&gt;&lt;D xsi:type="xsd:long"&gt;45848&lt;/D&gt;&lt;D xsi:type="xsd:long"&gt;45849&lt;/D&gt;&lt;D xsi:type="xsd:long"&gt;45852&lt;/D&gt;&lt;D xsi:type="xsd:long"&gt;45853&lt;/D&gt;&lt;D xsi:type="xsd:long"&gt;45854&lt;/D&gt;&lt;D xsi:type="xsd:long"&gt;45855&lt;/D&gt;&lt;D xsi:type="xsd:long"&gt;45856&lt;/D&gt;&lt;D xsi:type="xsd:long"&gt;45859&lt;/D&gt;&lt;D xsi:type="xsd:long"&gt;45860&lt;/D&gt;&lt;D xsi:type="xsd:long"&gt;45861&lt;/D&gt;&lt;D xsi:type="xsd:long"&gt;45862&lt;/D&gt;&lt;D xsi:type="xsd:long"&gt;45863&lt;/D&gt;&lt;D xsi:type="xsd:long"&gt;45866&lt;/D&gt;&lt;D xsi:type="xsd:long"&gt;45867&lt;/D&gt;&lt;D xsi:type="xsd:long"&gt;45868&lt;/D&gt;&lt;D xsi:type="xsd:long"&gt;45869&lt;/D&gt;&lt;D xsi:type="xsd:long"&gt;45870&lt;/D&gt;&lt;D xsi:type="xsd:long"&gt;45873&lt;/D&gt;&lt;D xsi:type="xsd:long"&gt;45874&lt;/D&gt;&lt;D xsi:type="xsd:long"&gt;45875&lt;/D&gt;&lt;D xsi:type="xsd:long"&gt;45876&lt;/D&gt;&lt;D xsi:type="xsd:long"&gt;45877&lt;/D&gt;&lt;D xsi:type="xsd:long"&gt;45880&lt;/D&gt;&lt;D xsi:type="xsd:long"&gt;45881&lt;/D&gt;&lt;D xsi:type="xsd:long"&gt;45882&lt;/D&gt;&lt;D xsi:type="xsd:long"&gt;45883&lt;/D&gt;&lt;D xsi:type="xsd:long"&gt;45884&lt;/D&gt;&lt;D xsi:type="xsd:long"&gt;45887&lt;/D&gt;&lt;D xsi:type="xsd:long"&gt;45888&lt;/D&gt;&lt;D xsi:type="xsd:long"&gt;45889&lt;/D&gt;&lt;/FQL&gt;&lt;FQL&gt;&lt;Q&gt;NTRA-US^FE_ESTIMATE(SALES,MEAN,ANN_ROLL,2025,1/1/2024,NOW,,'')&lt;/Q&gt;&lt;R&gt;431&lt;/R&gt;&lt;C&gt;1&lt;/C&gt;&lt;D xsi:type="xsd:double"&gt;1544.7797&lt;/D&gt;&lt;D xsi:type="xsd:double"&gt;1544.7797&lt;/D&gt;&lt;D xsi:type="xsd:double"&gt;1547.1495&lt;/D&gt;&lt;D xsi:type="xsd:double"&gt;1547.1354&lt;/D&gt;&lt;D xsi:type="xsd:double"&gt;1547.1354&lt;/D&gt;&lt;D xsi:type="xsd:double"&gt;1547.1354&lt;/D&gt;&lt;D xsi:type="xsd:double"&gt;1546.3647&lt;/D&gt;&lt;D xsi:type="xsd:double"&gt;1546.3647&lt;/D&gt;&lt;D xsi:type="xsd:double"&gt;1546.3647&lt;/D&gt;&lt;D xsi:type="xsd:double"&gt;1545.7169&lt;/D&gt;&lt;D xsi:type="xsd:double"&gt;1547.9182&lt;/D&gt;&lt;D xsi:type="xsd:double"&gt;1547.9182&lt;/D&gt;&lt;D xsi:type="xsd:double"&gt;1547.9182&lt;/D&gt;&lt;D xsi:type="xsd:double"&gt;1547.9182&lt;/D&gt;&lt;D xsi:type="xsd:double"&gt;1547.9182&lt;/D&gt;&lt;D xsi:type="xsd:double"&gt;1547.9182&lt;/D&gt;&lt;D xsi:type="xsd:double"&gt;1547.9182&lt;/D&gt;&lt;D xsi:type="xsd:double"&gt;1547.9182&lt;/D&gt;&lt;D xsi:type="xsd:double"&gt;1550.4418&lt;/D&gt;&lt;D xsi:type="xsd:double"&gt;1550.4418&lt;/D&gt;&lt;D xsi:type="xsd:double"&gt;1547.3829&lt;/D&gt;&lt;D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xsi:type="xsd:double"&gt;1547.6653&lt;/D&gt;&lt;D xsi:type="xsd:double"&gt;1580.3477&lt;/D&gt;&lt;D xsi:type="xsd:double"&gt;1582.4065&lt;/D&gt;&lt;D xsi:type="xsd:double"&gt;1582.8296&lt;/D&gt;&lt;D xsi:type="xsd:double"&gt;1582.8296&lt;/D&gt;&lt;D xsi:type="xsd:double"&gt;1582.8296&lt;/D&gt;&lt;D xsi:type="xsd:double"&gt;1582.818&lt;/D&gt;&lt;D xsi:type="xsd:double"&gt;1582.818&lt;/D&gt;&lt;D xsi:type="xsd:double"&gt;1582.818&lt;/D&gt;&lt;D xsi:type="xsd:double"&gt;1582.818&lt;/D&gt;&lt;D xsi:type="xsd:double"&gt;1582.6449&lt;/D&gt;&lt;D xsi:type="xsd:double"&gt;1582.6566&lt;/D&gt;&lt;D xsi:type="xsd:double"&gt;1582.6566&lt;/D&gt;&lt;D xsi:type="xsd:double"&gt;1582.6566&lt;/D&gt;&lt;D xsi:type="xsd:double"&gt;1582.6566&lt;/D&gt;&lt;D xsi:type="xsd:double"&gt;1582.6566&lt;/D&gt;&lt;D xsi:type="xsd:double"&gt;1582.6566&lt;/D&gt;&lt;D xsi:type="xsd:double"&gt;1582.6566&lt;/D&gt;&lt;D xsi:type="xsd:double"&gt;1582.6508&lt;/D&gt;&lt;D xsi:type="xsd:double"&gt;1582.6508&lt;/D&gt;&lt;D xsi:type="xsd:double"&gt;1582.6508&lt;/D&gt;&lt;D xsi:type="xsd:double"&gt;1582.6508&lt;/D&gt;&lt;D xsi:type="xsd:double"&gt;1582.6508&lt;/D&gt;&lt;D xsi:type="xsd:double"&gt;1582.3566&lt;/D&gt;&lt;D xsi:type="xsd:double"&gt;1582.3566&lt;/D&gt;&lt;D xsi:type="xsd:double"&gt;1579.0034&lt;/D&gt;&lt;D xsi:type="xsd:double"&gt;1579.0034&lt;/D&gt;&lt;D xsi:type="xsd:double"&gt;1579.0034&lt;/D&gt;&lt;D xsi:type="xsd:double"&gt;1579.0034&lt;/D&gt;&lt;D xsi:type="xsd:double"&gt;1579.0034&lt;/D&gt;&lt;D xsi:type="xsd:double"&gt;1579.7177&lt;/D&gt;&lt;D xsi:type="xsd:double"&gt;1582.3788&lt;/D&gt;&lt;D xsi:type="xsd:double"&gt;1582.5066&lt;/D&gt;&lt;D xsi:type="xsd:double"&gt;1582.5066&lt;/D&gt;&lt;D xsi:type="xsd:double"&gt;1582.5066&lt;/D&gt;&lt;D xsi:type="xsd:double"&gt;1581.7128&lt;/D&gt;&lt;D xsi:type="xsd:double"&gt;1581.7128&lt;/D&gt;&lt;D xsi:type="xsd:double"&gt;1581.7798&lt;/D&gt;&lt;D xsi:type="xsd:double"&gt;1581.7798&lt;/D&gt;&lt;D xsi:type="xsd:double"&gt;1581.7798&lt;/D&gt;&lt;D xsi:type="xsd:double"&gt;1581.7798&lt;/D&gt;&lt;D xsi:type="xsd:double"&gt;1582.0563&lt;/D&gt;&lt;D xsi:type="xsd:double"&gt;1582.0563&lt;/D&gt;&lt;D xsi:type="xsd:double"&gt;1582.0563&lt;/D&gt;&lt;D xsi:type="xsd:double"&gt;1582.0563&lt;/D&gt;&lt;D xsi:type="xsd:double"&gt;1582.0563&lt;/D&gt;&lt;D xsi:type="xsd:double"&gt;1582.0563&lt;/D&gt;&lt;D xsi:type="xsd:double"&gt;1582.0563&lt;/D&gt;&lt;D xsi:type="xsd:double"&gt;1582.0563&lt;/D&gt;&lt;D xsi:type="xsd:double"&gt;1582.0563&lt;/D&gt;&lt;D xsi:type="xsd:double"&gt;1582.0563&lt;/D&gt;&lt;D xsi:type="xsd:double"&gt;1670.2681&lt;/D&gt;&lt;D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xsi:type="xsd:double"&gt;1677.1401&lt;/D&gt;&lt;D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xsi:type="xsd:double"&gt;1678.1268&lt;/D&gt;&lt;D xsi:type="xsd:double"&gt;1678.549&lt;/D&gt;&lt;D xsi:type="xsd:double"&gt;1678.549&lt;/D&gt;&lt;D xsi:type="xsd:double"&gt;1681.3823&lt;/D&gt;&lt;D xsi:type="xsd:double"&gt;1681.3823&lt;/D&gt;&lt;D xsi:type="xsd:double"&gt;1681.3823&lt;/D&gt;&lt;D xsi:type="xsd:double"&gt;1687.1694&lt;/D&gt;&lt;D xsi:type="xsd:double"&gt;1687.1694&lt;/D&gt;&lt;D xsi:type="xsd:double"&gt;1687.1694&lt;/D&gt;&lt;D xsi:type="xsd:double"&gt;1687.1694&lt;/D&gt;&lt;D xsi:type="xsd:double"&gt;1689.3822&lt;/D&gt;&lt;D xsi:type="xsd:double"&gt;1689.3822&lt;/D&gt;&lt;D xsi:type="xsd:double"&gt;1689.3822&lt;/D&gt;&lt;D xsi:type="xsd:double"&gt;1689.3822&lt;/D&gt;&lt;D xsi:type="xsd:double"&gt;1689.51&lt;/D&gt;&lt;D xsi:type="xsd:double"&gt;1689.51&lt;/D&gt;&lt;D xsi:type="xsd:double"&gt;1689.5889&lt;/D&gt;&lt;D xsi:type="xsd:double"&gt;1691.1514&lt;/D&gt;&lt;D xsi:type="xsd:double"&gt;1691.1538&lt;/D&gt;&lt;D xsi:type="xsd:double"&gt;1691.9724&lt;/D&gt;&lt;D xsi:type="xsd:double"&gt;1691.9724&lt;/D&gt;&lt;D xsi:type="xsd:double"&gt;1691.9724&lt;/D&gt;&lt;D xsi:type="xsd:double"&gt;1691.9724&lt;/D&gt;&lt;D xsi:type="xsd:double"&gt;1691.9724&lt;/D&gt;&lt;D xsi:type="xsd:double"&gt;1691.9724&lt;/D&gt;&lt;D xsi:type="xsd:double"&gt;1691.9724&lt;/D&gt;&lt;D xsi:type="xsd:double"&gt;1691.9724&lt;/D&gt;&lt;D xsi:type="xsd:double"&gt;1691.9724&lt;/D&gt;&lt;D xsi:type="xsd:double"&gt;1691.9724&lt;/D&gt;&lt;D xsi:type="xsd:double"&gt;1691.9502&lt;/D&gt;&lt;D xsi:type="xsd:double"&gt;1691.9502&lt;/D&gt;&lt;D xsi:type="xsd:double"&gt;1691.9502&lt;/D&gt;&lt;D xsi:type="xsd:double"&gt;1691.9502&lt;/D&gt;&lt;D xsi:type="xsd:double"&gt;1691.9502&lt;/D&gt;&lt;D xsi:type="xsd:double"&gt;1713.1716&lt;/D&gt;&lt;D xsi:type="xsd:double"&gt;1714.9325&lt;/D&gt;&lt;D xsi:type="xsd:double"&gt;1714.9325&lt;/D&gt;&lt;D xsi:type="xsd:double"&gt;1714.9325&lt;/D&gt;&lt;D xsi:type="xsd:double"&gt;1714.9325&lt;/D&gt;&lt;D xsi:type="xsd:double"&gt;1716.3285&lt;/D&gt;&lt;D xsi:type="xsd:double"&gt;1716.3285&lt;/D&gt;&lt;D xsi:type="xsd:double"&gt;1716.3285&lt;/D&gt;&lt;D xsi:type="xsd:double"&gt;1716.3285&lt;/D&gt;&lt;D xsi:type="xsd:double"&gt;1716.3285&lt;/D&gt;&lt;D xsi:type="xsd:double"&gt;1716.3285&lt;/D&gt;&lt;D xsi:type="xsd:double"&gt;1716.3285&lt;/D&gt;&lt;D xsi:type="xsd:double"&gt;1716.3285&lt;/D&gt;&lt;D xsi:type="xsd:double"&gt;1716.3285&lt;/D&gt;&lt;D xsi:type="xsd:double"&gt;1716.3285&lt;/D&gt;&lt;D xsi:type="xsd:double"&gt;1716.3285&lt;/D&gt;&lt;D xsi:type="xsd:double"&gt;1716.3285&lt;/D&gt;&lt;D xsi:type="xsd:double"&gt;1716.3296&lt;/D&gt;&lt;D xsi:type="xsd:double"&gt;1716.3296&lt;/D&gt;&lt;D xsi:type="xsd:double"&gt;1716.2837&lt;/D&gt;&lt;D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xsi:type="xsd:double"&gt;1716.2604&lt;/D&gt;&lt;D xsi:type="xsd:double"&gt;1716.2697&lt;/D&gt;&lt;D xsi:type="xsd:double"&gt;1714.8474&lt;/D&gt;&lt;D xsi:type="xsd:double"&gt;1714.8474&lt;/D&gt;&lt;D xsi:type="xsd:double"&gt;1714.8474&lt;/D&gt;&lt;D xsi:type="xsd:double"&gt;1714.8474&lt;/D&gt;&lt;D xsi:type="xsd:double"&gt;1714.8474&lt;/D&gt;&lt;D xsi:type="xsd:double"&gt;1714.8474&lt;/D&gt;&lt;D xsi:type="xsd:double"&gt;1714.8474&lt;/D&gt;&lt;D xsi:type="xsd:double"&gt;1714.8474&lt;/D&gt;&lt;D xsi:type="xsd:double"&gt;1714.8474&lt;/D&gt;&lt;D xsi:type="xsd:double"&gt;1714.903&lt;/D&gt;&lt;D xsi:type="xsd:double"&gt;1719.0594&lt;/D&gt;&lt;D xsi:type="xsd:double"&gt;1719.0594&lt;/D&gt;&lt;D xsi:type="xsd:double"&gt;1719.6602&lt;/D&gt;&lt;D xsi:type="xsd:double"&gt;1719.6602&lt;/D&gt;&lt;D xsi:type="xsd:double"&gt;1719.6879&lt;/D&gt;&lt;D xsi:type="xsd:double"&gt;1719.6879&lt;/D&gt;&lt;D xsi:type="xsd:double"&gt;1719.6879&lt;/D&gt;&lt;D xsi:type="xsd:double"&gt;1719.6783&lt;/D&gt;&lt;D xsi:type="xsd:double"&gt;1719.6783&lt;/D&gt;&lt;D xsi:type="xsd:double"&gt;1719.6783&lt;/D&gt;&lt;D xsi:type="xsd:double"&gt;1719.7006&lt;/D&gt;&lt;D xsi:type="xsd:double"&gt;1719.6913&lt;/D&gt;&lt;D xsi:type="xsd:double"&gt;1719.6913&lt;/D&gt;&lt;D xsi:type="xsd:double"&gt;1719.6913&lt;/D&gt;&lt;D xsi:type="xsd:double"&gt;1719.6913&lt;/D&gt;&lt;D xsi:type="xsd:double"&gt;1719.6913&lt;/D&gt;&lt;D xsi:type="xsd:double"&gt;1719.6913&lt;/D&gt;&lt;D xsi:type="xsd:double"&gt;1719.6913&lt;/D&gt;&lt;D xsi:type="xsd:double"&gt;1719.6913&lt;/D&gt;&lt;D xsi:type="xsd:double"&gt;1719.6913&lt;/D&gt;&lt;D xsi:type="xsd:double"&gt;1719.6913&lt;/D&gt;&lt;D xsi:type="xsd:double"&gt;1719.6913&lt;/D&gt;&lt;D xsi:type="xsd:double"&gt;1796.1888&lt;/D&gt;&lt;D xsi:type="xsd:double"&gt;1796.1888&lt;/D&gt;&lt;D xsi:type="xsd:double"&gt;1794.6166&lt;/D&gt;&lt;D xsi:type="xsd:double"&gt;1803.9097&lt;/D&gt;&lt;D xsi:type="xsd:double"&gt;1803.9097&lt;/D&gt;&lt;D xsi:type="xsd:double"&gt;1803.9097&lt;/D&gt;&lt;D xsi:type="xsd:double"&gt;1803.8927&lt;/D&gt;&lt;D xsi:type="xsd:double"&gt;1803.9109&lt;/D&gt;&lt;D xsi:type="xsd:double"&gt;1809.2994&lt;/D&gt;&lt;D xsi:type="xsd:double"&gt;1809.2994&lt;/D&gt;&lt;D xsi:type="xsd:double"&gt;1809.2994&lt;/D&gt;&lt;D xsi:type="xsd:double"&gt;1809.2994&lt;/D&gt;&lt;D xsi:type="xsd:double"&gt;1809.2994&lt;/D&gt;&lt;D xsi:type="xsd:double"&gt;1809.2994&lt;/D&gt;&lt;D xsi:type="xsd:double"&gt;1809.2994&lt;/D&gt;&lt;D xsi:type="xsd:double"&gt;1809.2994&lt;/D&gt;&lt;D xsi:type="xsd:double"&gt;1809.2994&lt;/D&gt;&lt;D xsi:type="xsd:double"&gt;1809.2994&lt;/D&gt;&lt;D xsi:type="xsd:double"&gt;1809.2994&lt;/D&gt;&lt;D xsi:type="xsd:double"&gt;1809.2994&lt;/D&gt;&lt;D xsi:type="xsd:double"&gt;1811.2365&lt;/D&gt;&lt;D xsi:type="xsd:double"&gt;1812.0367&lt;/D&gt;&lt;D xsi:type="xsd:double"&gt;1812.0367&lt;/D&gt;&lt;D xsi:type="xsd:double"&gt;1812.0367&lt;/D&gt;&lt;D xsi:type="xsd:double"&gt;1812.0367&lt;/D&gt;&lt;D xsi:type="xsd:double"&gt;1805.5643&lt;/D&gt;&lt;D xsi:type="xsd:double"&gt;1805.5643&lt;/D&gt;&lt;D xsi:type="xsd:double"&gt;1805.5643&lt;/D&gt;&lt;D xsi:type="xsd:double"&gt;1805.5643&lt;/D&gt;&lt;D xsi:type="xsd:double"&gt;1805.5643&lt;/D&gt;&lt;D xsi:type="xsd:double"&gt;1805.5643&lt;/D&gt;&lt;D xsi:type="xsd:double"&gt;1805.5643&lt;/D&gt;&lt;D xsi:type="xsd:double"&gt;1805.5643&lt;/D&gt;&lt;D xsi:type="xsd:double"&gt;1805.5643&lt;/D&gt;&lt;D xsi:type="xsd:double"&gt;1805.5643&lt;/D&gt;&lt;D xsi:type="xsd:double"&gt;1805.5643&lt;/D&gt;&lt;D xsi:type="xsd:double"&gt;1805.5643&lt;/D&gt;&lt;D xsi:type="xsd:double"&gt;1805.5424&lt;/D&gt;&lt;D xsi:type="xsd:double"&gt;1807.6985&lt;/D&gt;&lt;D xsi:type="xsd:double"&gt;1811.9271&lt;/D&gt;&lt;D xsi:type="xsd:double"&gt;1812.0482&lt;/D&gt;&lt;D xsi:type="xsd:double"&gt;1813.3816&lt;/D&gt;&lt;D xsi:type="xsd:double"&gt;1813.3816&lt;/D&gt;&lt;D xsi:type="xsd:double"&gt;1813.5319&lt;/D&gt;&lt;D xsi:type="xsd:double"&gt;1813.5319&lt;/D&gt;&lt;D xsi:type="xsd:double"&gt;1813.5319&lt;/D&gt;&lt;D xsi:type="xsd:double"&gt;1813.5319&lt;/D&gt;&lt;D xsi:type="xsd:double"&gt;1813.5172&lt;/D&gt;&lt;D xsi:type="xsd:double"&gt;1818.7222&lt;/D&gt;&lt;D xsi:type="xsd:double"&gt;1818.7222&lt;/D&gt;&lt;D xsi:type="xsd:double"&gt;1818.7222&lt;/D&gt;&lt;D xsi:type="xsd:double"&gt;1818.7222&lt;/D&gt;&lt;D xsi:type="xsd:double"&gt;1818.823&lt;/D&gt;&lt;D xsi:type="xsd:double"&gt;1818.823&lt;/D&gt;&lt;D xsi:type="xsd:double"&gt;1818.8492&lt;/D&gt;&lt;D xsi:type="xsd:double"&gt;1818.8492&lt;/D&gt;&lt;D xsi:type="xsd:double"&gt;1818.8492&lt;/D&gt;&lt;D xsi:type="xsd:double"&gt;1818.8376&lt;/D&gt;&lt;D xsi:type="xsd:double"&gt;1818.8376&lt;/D&gt;&lt;D xsi:type="xsd:double"&gt;1818.8376&lt;/D&gt;&lt;D xsi:type="xsd:double"&gt;1818.8376&lt;/D&gt;&lt;D xsi:type="xsd:double"&gt;1818.8376&lt;/D&gt;&lt;D xsi:type="xsd:double"&gt;1818.8376&lt;/D&gt;&lt;D xsi:type="xsd:double"&gt;1818.8376&lt;/D&gt;&lt;D xsi:type="xsd:double"&gt;1818.8376&lt;/D&gt;&lt;D xsi:type="xsd:double"&gt;1818.8376&lt;/D&gt;&lt;D xsi:type="xsd:double"&gt;1818.8376&lt;/D&gt;&lt;D xsi:type="xsd:double"&gt;1818.8492&lt;/D&gt;&lt;D xsi:type="xsd:double"&gt;1818.8492&lt;/D&gt;&lt;D xsi:type="xsd:double"&gt;1818.8492&lt;/D&gt;&lt;D xsi:type="xsd:double"&gt;1818.8492&lt;/D&gt;&lt;D xsi:type="xsd:double"&gt;1914.1147&lt;/D&gt;&lt;D xsi:type="xsd:double"&gt;1914.1147&lt;/D&gt;&lt;D xsi:type="xsd:double"&gt;1914.1147&lt;/D&gt;&lt;D xsi:type="xsd:double"&gt;1914.7681&lt;/D&gt;&lt;D xsi:type="xsd:double"&gt;1914.7681&lt;/D&gt;&lt;D xsi:type="xsd:double"&gt;1914.7681&lt;/D&gt;&lt;D xsi:type="xsd:double"&gt;1914.7681&lt;/D&gt;&lt;D xsi:type="xsd:double"&gt;1916.0592&lt;/D&gt;&lt;D xsi:type="xsd:double"&gt;1916.0592&lt;/D&gt;&lt;D xsi:type="xsd:double"&gt;1916.0592&lt;/D&gt;&lt;D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xsi:type="xsd:double"&gt;1919.3219&lt;/D&gt;&lt;D xsi:type="xsd:double"&gt;1919.3271&lt;/D&gt;&lt;D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xsi:type="xsd:double"&gt;1920.7534&lt;/D&gt;&lt;D xsi:type="xsd:double"&gt;1920.7539&lt;/D&gt;&lt;D xsi:type="xsd:double"&gt;1920.7539&lt;/D&gt;&lt;D xsi:type="xsd:double"&gt;1920.7539&lt;/D&gt;&lt;D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xsi:type="xsd:double"&gt;1920.6487&lt;/D&gt;&lt;D xsi:type="xsd:double"&gt;1920.6467&lt;/D&gt;&lt;D xsi:type="xsd:double"&gt;1980.6135&lt;/D&gt;&lt;D xsi:type="xsd:double"&gt;1980.6135&lt;/D&gt;&lt;D xsi:type="xsd:double"&gt;1980.6135&lt;/D&gt;&lt;D xsi:type="xsd:double"&gt;1988.4552&lt;/D&gt;&lt;D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xsi:type="xsd:double"&gt;1993.387&lt;/D&gt;&lt;D xsi:type="xsd:double"&gt;1993.3856&lt;/D&gt;&lt;D xsi:type="xsd:double"&gt;1993.3856&lt;/D&gt;&lt;D xsi:type="xsd:double"&gt;1993.3856&lt;/D&gt;&lt;D xsi:type="xsd:double"&gt;1993.1705&lt;/D&gt;&lt;D xsi:type="xsd:double"&gt;1993.1705&lt;/D&gt;&lt;D xsi:type="xsd:double"&gt;1996.7877&lt;/D&gt;&lt;D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xsi:type="xsd:double"&gt;1994.671&lt;/D&gt;&lt;D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xsi:type="xsd:double"&gt;1996.9711&lt;/D&gt;&lt;D xsi:type="xsd:double"&gt;1996.9489&lt;/D&gt;&lt;D xsi:type="xsd:double"&gt;1996.9502&lt;/D&gt;&lt;D xsi:type="xsd:double"&gt;1996.9517&lt;/D&gt;&lt;D xsi:type="xsd:double"&gt;1996.9517&lt;/D&gt;&lt;D xsi:type="xsd:double"&gt;1996.9517&lt;/D&gt;&lt;D xsi:type="xsd:double"&gt;1996.9517&lt;/D&gt;&lt;D xsi:type="xsd:double"&gt;1996.9517&lt;/D&gt;&lt;D xsi:type="xsd:double"&gt;1996.9517&lt;/D&gt;&lt;D xsi:type="xsd:double"&gt;1997.7794&lt;/D&gt;&lt;D xsi:type="xsd:double"&gt;1998.0017&lt;/D&gt;&lt;D xsi:type="xsd:double"&gt;1998.0017&lt;/D&gt;&lt;D xsi:type="xsd:double"&gt;1998.0017&lt;/D&gt;&lt;D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xsi:type="xsd:double"&gt;1998.691&lt;/D&gt;&lt;D xsi:type="xsd:double"&gt;2085.947&lt;/D&gt;&lt;D xsi:type="xsd:double"&gt;2085.947&lt;/D&gt;&lt;D xsi:type="xsd:double"&gt;2085.947&lt;/D&gt;&lt;D xsi:type="xsd:double"&gt;2090.8591&lt;/D&gt;&lt;D xsi:type="xsd:double"&gt;2090.867&lt;/D&gt;&lt;D xsi:type="xsd:double"&gt;2091.0076&lt;/D&gt;&lt;D xsi:type="xsd:double"&gt;2091.0076&lt;/D&gt;&lt;D xsi:type="xsd:double"&gt;2091.0076&lt;/D&gt;&lt;D xsi:type="xsd:double"&gt;2091.0076&lt;/D&gt;&lt;D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xsi:type="xsd:double"&gt;2091.0337&lt;/D&gt;&lt;D xsi:type="xsd:doub</t>
        </r>
      </text>
    </comment>
    <comment ref="A9" authorId="0" shapeId="0" xr:uid="{FE805162-22A1-4071-86E0-7474E478763C}">
      <text>
        <r>
          <rPr>
            <b/>
            <sz val="9"/>
            <color indexed="81"/>
            <rFont val="Tahoma"/>
            <charset val="1"/>
          </rPr>
          <t>le"&gt;2091.0337&lt;/D&gt;&lt;D xsi:type="xsd:double"&gt;2091.0337&lt;/D&gt;&lt;D xsi:type="xsd:double"&gt;2091.0337&lt;/D&gt;&lt;D xsi:type="xsd:double"&gt;2091.0337&lt;/D&gt;&lt;D xsi:type="xsd:double"&gt;2091.0337&lt;/D&gt;&lt;D xsi:type="xsd:double"&gt;2091.0256&lt;/D&gt;&lt;D xsi:type="xsd:double"&gt;2091.0256&lt;/D&gt;&lt;/FQL&gt;&lt;FQL&gt;&lt;Q&gt;NTRA-US^FE_ESTIMATE(SALES,MEAN,ANN_ROLL,2026,1/1/2024,NOW,,'')&lt;/Q&gt;&lt;R&gt;431&lt;/R&gt;&lt;C&gt;1&lt;/C&gt;&lt;D xsi:type="xsd:double"&gt;1822.5167&lt;/D&gt;&lt;D xsi:type="xsd:double"&gt;1822.5167&lt;/D&gt;&lt;D xsi:type="xsd:double"&gt;1822.5167&lt;/D&gt;&lt;D xsi:type="xsd:double"&gt;1822.5167&lt;/D&gt;&lt;D xsi:type="xsd:double"&gt;1822.5167&lt;/D&gt;&lt;D xsi:type="xsd:double"&gt;1822.5167&lt;/D&gt;&lt;D xsi:type="xsd:double"&gt;1818.1333&lt;/D&gt;&lt;D xsi:type="xsd:double"&gt;1818.1333&lt;/D&gt;&lt;D xsi:type="xsd:double"&gt;1818.1333&lt;/D&gt;&lt;D xsi:type="xsd:double"&gt;1818.1333&lt;/D&gt;&lt;D xsi:type="xsd:double"&gt;1818.1333&lt;/D&gt;&lt;D xsi:type="xsd:double"&gt;1818.1333&lt;/D&gt;&lt;D xsi:type="xsd:double"&gt;1818.1333&lt;/D&gt;&lt;D xsi:type="xsd:double"&gt;1818.1333&lt;/D&gt;&lt;D xsi:type="xsd:double"&gt;1818.1333&lt;/D&gt;&lt;D xsi:type="xsd:double"&gt;1818.1333&lt;/D&gt;&lt;D xsi:type="xsd:double"&gt;1818.1333&lt;/D&gt;&lt;D xsi:type="xsd:double"&gt;1818.1333&lt;/D&gt;&lt;D xsi:type="xsd:double"&gt;1837.3063&lt;/D&gt;&lt;D xsi:type="xsd:double"&gt;1837.3063&lt;/D&gt;&lt;D xsi:type="xsd:double"&gt;1837.3063&lt;/D&gt;&lt;D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xsi:type="xsd:double"&gt;1843.5349&lt;/D&gt;&lt;D xsi:type="xsd:double"&gt;1833.484&lt;/D&gt;&lt;D xsi:type="xsd:double"&gt;1833.484&lt;/D&gt;&lt;D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xsi:type="xsd:double"&gt;1836.7687&lt;/D&gt;&lt;D xsi:type="xsd:double"&gt;1836.7937&lt;/D&gt;&lt;D xsi:type="xsd:double"&gt;1836.7937&lt;/D&gt;&lt;D xsi:type="xsd:double"&gt;1836.7937&lt;/D&gt;&lt;D xsi:type="xsd:double"&gt;1836.7937&lt;/D&gt;&lt;D xsi:type="xsd:double"&gt;1836.7937&lt;/D&gt;&lt;D xsi:type="xsd:double"&gt;1836.7937&lt;/D&gt;&lt;D xsi:type="xsd:double"&gt;1836.7937&lt;/D&gt;&lt;D xsi:type="xsd:double"&gt;1827.3951&lt;/D&gt;&lt;D xsi:type="xsd:double"&gt;1827.3951&lt;/D&gt;&lt;D xsi:type="xsd:double"&gt;1827.3951&lt;/D&gt;&lt;D xsi:type="xsd:double"&gt;1827.3951&lt;/D&gt;&lt;D xsi:type="xsd:double"&gt;1827.3951&lt;/D&gt;&lt;D xsi:type="xsd:double"&gt;1827.3951&lt;/D&gt;&lt;D xsi:type="xsd:double"&gt;1830.0643&lt;/D&gt;&lt;D xsi:type="xsd:double"&gt;1830.2952&lt;/D&gt;&lt;D xsi:type="xsd:double"&gt;1830.2952&lt;/D&gt;&lt;D xsi:type="xsd:double"&gt;1830.2952&lt;/D&gt;&lt;D xsi:type="xsd:double"&gt;1828.1531&lt;/D&gt;&lt;D xsi:type="xsd:double"&gt;1828.1531&lt;/D&gt;&lt;D xsi:type="xsd:double"&gt;1828.1531&lt;/D&gt;&lt;D xsi:type="xsd:double"&gt;1828.1531&lt;/D&gt;&lt;D xsi:type="xsd:double"&gt;1828.1531&lt;/D&gt;&lt;D xsi:type="xsd:double"&gt;1828.1531&lt;/D&gt;&lt;D xsi:type="xsd:double"&gt;1828.1697&lt;/D&gt;&lt;D xsi:type="xsd:double"&gt;1828.1697&lt;/D&gt;&lt;D xsi:type="xsd:double"&gt;1828.1697&lt;/D&gt;&lt;D xsi:type="xsd:double"&gt;1828.1697&lt;/D&gt;&lt;D xsi:type="xsd:double"&gt;1828.1697&lt;/D&gt;&lt;D xsi:type="xsd:double"&gt;1828.1697&lt;/D&gt;&lt;D xsi:type="xsd:double"&gt;1828.1697&lt;/D&gt;&lt;D xsi:type="xsd:double"&gt;1828.1697&lt;/D&gt;&lt;D xsi:type="xsd:double"&gt;1828.1697&lt;/D&gt;&lt;D xsi:type="xsd:double"&gt;1828.1697&lt;/D&gt;&lt;D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xsi:type="xsd:double"&gt;1961.1615&lt;/D&gt;&lt;D xsi:type="xsd:double"&gt;1949.3922&lt;/D&gt;&lt;D xsi:type="xsd:double"&gt;1949.3922&lt;/D&gt;&lt;D xsi:type="xsd:double"&gt;1949.3922&lt;/D&gt;&lt;D xsi:type="xsd:double"&gt;1957.6749&lt;/D&gt;&lt;D xsi:type="xsd:double"&gt;1957.6749&lt;/D&gt;&lt;D xsi:type="xsd:double"&gt;1957.6749&lt;/D&gt;&lt;D xsi:type="xsd:double"&gt;1957.6749&lt;/D&gt;&lt;D xsi:type="xsd:double"&gt;1964.3076&lt;/D&gt;&lt;D xsi:type="xsd:double"&gt;1964.3076&lt;/D&gt;&lt;D xsi:type="xsd:double"&gt;1964.3076&lt;/D&gt;&lt;D xsi:type="xsd:double"&gt;1964.3076&lt;/D&gt;&lt;D xsi:type="xsd:double"&gt;1964.3076&lt;/D&gt;&lt;D xsi:type="xsd:double"&gt;1964.3076&lt;/D&gt;&lt;D xsi:type="xsd:double"&gt;1964.3606&lt;/D&gt;&lt;D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xsi:type="xsd:double"&gt;1964.2064&lt;/D&gt;&lt;D xsi:type="xsd:double"&gt;2013.492&lt;/D&gt;&lt;D xsi:type="xsd:double"&gt;2016.2113&lt;/D&gt;&lt;D xsi:type="xsd:double"&gt;2016.2113&lt;/D&gt;&lt;D xsi:type="xsd:double"&gt;2016.2113&lt;/D&gt;&lt;D xsi:type="xsd:double"&gt;2016.2113&lt;/D&gt;&lt;D xsi:type="xsd:double"&gt;2016.2113&lt;/D&gt;&lt;D xsi:type="xsd:double"&gt;2016.2113&lt;/D&gt;&lt;D xsi:type="xsd:double"&gt;2016.2113&lt;/D&gt;&lt;D xsi:type="xsd:double"&gt;2016.2113&lt;/D&gt;&lt;D xsi:type="xsd:double"&gt;2016.2113&lt;/D&gt;&lt;D xsi:type="xsd:double"&gt;2016.2122&lt;/D&gt;&lt;D xsi:type="xsd:double"&gt;2016.2122&lt;/D&gt;&lt;D xsi:type="xsd:double"&gt;2016.2122&lt;/D&gt;&lt;D xsi:type="xsd:double"&gt;2016.2122&lt;/D&gt;&lt;D xsi:type="xsd:double"&gt;2016.2122&lt;/D&gt;&lt;D xsi:type="xsd:double"&gt;2016.2122&lt;/D&gt;&lt;D xsi:type="xsd:double"&gt;2016.2122&lt;/D&gt;&lt;D xsi:type="xsd:double"&gt;2016.2122&lt;/D&gt;&lt;D xsi:type="xsd:double"&gt;2016.2122&lt;/D&gt;&lt;D xsi:type="xsd:double"&gt;2016.2122&lt;/D&gt;&lt;D xsi:type="xsd:double"&gt;2016.2122&lt;/D&gt;&lt;D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xsi:type="xsd:double"&gt;2016.1921&lt;/D&gt;&lt;D xsi:type="xsd:double"&gt;2016.2112&lt;/D&gt;&lt;D xsi:type="xsd:double"&gt;2016.2112&lt;/D&gt;&lt;D xsi:type="xsd:double"&gt;2016.2112&lt;/D&gt;&lt;D xsi:type="xsd:double"&gt;2016.2112&lt;/D&gt;&lt;D xsi:type="xsd:double"&gt;2016.2112&lt;/D&gt;&lt;D xsi:type="xsd:double"&gt;2016.2112&lt;/D&gt;&lt;D xsi:type="xsd:double"&gt;2016.2112&lt;/D&gt;&lt;D xsi:type="xsd:double"&gt;2016.2112&lt;/D&gt;&lt;D xsi:type="xsd:double"&gt;2016.2112&lt;/D&gt;&lt;D xsi:type="xsd:double"&gt;2016.2112&lt;/D&gt;&lt;D xsi:type="xsd:double"&gt;2016.2112&lt;/D&gt;&lt;D xsi:type="xsd:double"&gt;2026.2434&lt;/D&gt;&lt;D xsi:type="xsd:double"&gt;2026.2434&lt;/D&gt;&lt;D xsi:type="xsd:double"&gt;2025.1597&lt;/D&gt;&lt;D xsi:type="xsd:double"&gt;2025.1597&lt;/D&gt;&lt;D xsi:type="xsd:double"&gt;2025.1597&lt;/D&gt;&lt;D xsi:type="xsd:double"&gt;2025.1597&lt;/D&gt;&lt;D xsi:type="xsd:double"&gt;2025.1597&lt;/D&gt;&lt;D xsi:type="xsd:double"&gt;2020.0974&lt;/D&gt;&lt;D xsi:type="xsd:double"&gt;2020.0974&lt;/D&gt;&lt;D xsi:type="xsd:double"&gt;2020.0974&lt;/D&gt;&lt;D xsi:type="xsd:double"&gt;2020.0974&lt;/D&gt;&lt;D xsi:type="xsd:double"&gt;2020.0999&lt;/D&gt;&lt;D xsi:type="xsd:double"&gt;2020.0999&lt;/D&gt;&lt;D xsi:type="xsd:double"&gt;2020.0999&lt;/D&gt;&lt;D xsi:type="xsd:double"&gt;2020.0999&lt;/D&gt;&lt;D xsi:type="xsd:double"&gt;2020.0999&lt;/D&gt;&lt;D xsi:type="xsd:double"&gt;2020.0999&lt;/D&gt;&lt;D xsi:type="xsd:double"&gt;2020.0999&lt;/D&gt;&lt;D xsi:type="xsd:double"&gt;2020.0999&lt;/D&gt;&lt;D xsi:type="xsd:double"&gt;2020.0999&lt;/D&gt;&lt;D xsi:type="xsd:double"&gt;2020.0999&lt;/D&gt;&lt;D xsi:type="xsd:double"&gt;2020.0999&lt;/D&gt;&lt;D xsi:type="xsd:double"&gt;2100.9692&lt;/D&gt;&lt;D xsi:type="xsd:double"&gt;2100.9692&lt;/D&gt;&lt;D xsi:type="xsd:double"&gt;2096.9104&lt;/D&gt;&lt;D xsi:type="xsd:double"&gt;2122.9722&lt;/D&gt;&lt;D xsi:type="xsd:double"&gt;2122.9722&lt;/D&gt;&lt;D xsi:type="xsd:double"&gt;2122.9722&lt;/D&gt;&lt;D xsi:type="xsd:double"&gt;2122.9949&lt;/D&gt;&lt;D xsi:type="xsd:double"&gt;2122.9668&lt;/D&gt;&lt;D xsi:type="xsd:double"&gt;2130.185&lt;/D&gt;&lt;D xsi:type="xsd:double"&gt;2130.185&lt;/D&gt;&lt;D xsi:type="xsd:double"&gt;2130.185&lt;/D&gt;&lt;D xsi:type="xsd:double"&gt;2130.185&lt;/D&gt;&lt;D xsi:type="xsd:double"&gt;2130.185&lt;/D&gt;&lt;D xsi:type="xsd:double"&gt;2130.185&lt;/D&gt;&lt;D xsi:type="xsd:double"&gt;2130.185&lt;/D&gt;&lt;D xsi:type="xsd:double"&gt;2130.185&lt;/D&gt;&lt;D xsi:type="xsd:double"&gt;2130.185&lt;/D&gt;&lt;D xsi:type="xsd:double"&gt;2130.185&lt;/D&gt;&lt;D xsi:type="xsd:double"&gt;2130.185&lt;/D&gt;&lt;D xsi:type="xsd:double"&gt;2130.185&lt;/D&gt;&lt;D xsi:type="xsd:double"&gt;2132.3325&lt;/D&gt;&lt;D xsi:type="xsd:double"&gt;2135.8088&lt;/D&gt;&lt;D xsi:type="xsd:double"&gt;2135.8088&lt;/D&gt;&lt;D xsi:type="xsd:double"&gt;2135.8088&lt;/D&gt;&lt;D xsi:type="xsd:double"&gt;2135.8088&lt;/D&gt;&lt;D xsi:type="xsd:double"&gt;2126.721&lt;/D&gt;&lt;D xsi:type="xsd:double"&gt;2126.721&lt;/D&gt;&lt;D xsi:type="xsd:double"&gt;2126.721&lt;/D&gt;&lt;D xsi:type="xsd:double"&gt;2126.721&lt;/D&gt;&lt;D xsi:type="xsd:double"&gt;2126.721&lt;/D&gt;&lt;D xsi:type="xsd:double"&gt;2126.721&lt;/D&gt;&lt;D xsi:type="xsd:double"&gt;2126.721&lt;/D&gt;&lt;D xsi:type="xsd:double"&gt;2126.721&lt;/D&gt;&lt;D xsi:type="xsd:double"&gt;2126.7327&lt;/D&gt;&lt;D xsi:type="xsd:double"&gt;2128.1807&lt;/D&gt;&lt;D xsi:type="xsd:double"&gt;2128.1807&lt;/D&gt;&lt;D xsi:type="xsd:double"&gt;2128.1807&lt;/D&gt;&lt;D xsi:type="xsd:double"&gt;2128.2087&lt;/D&gt;&lt;D xsi:type="xsd:double"&gt;2130.4673&lt;/D&gt;&lt;D xsi:type="xsd:double"&gt;2137.8108&lt;/D&gt;&lt;D xsi:type="xsd:double"&gt;2137.8108&lt;/D&gt;&lt;D xsi:type="xsd:double"&gt;2137.8108&lt;/D&gt;&lt;D xsi:type="xsd:double"&gt;2137.8108&lt;/D&gt;&lt;D xsi:type="xsd:double"&gt;2138.1003&lt;/D&gt;&lt;D xsi:type="xsd:double"&gt;2138.1003&lt;/D&gt;&lt;D xsi:type="xsd:double"&gt;2138.1003&lt;/D&gt;&lt;D xsi:type="xsd:double"&gt;2138.1003&lt;/D&gt;&lt;D xsi:type="xsd:double"&gt;2138.106&lt;/D&gt;&lt;D xsi:type="xsd:double"&gt;2143.5469&lt;/D&gt;&lt;D xsi:type="xsd:double"&gt;2143.5469&lt;/D&gt;&lt;D xsi:type="xsd:double"&gt;2143.5469&lt;/D&gt;&lt;D xsi:type="xsd:double"&gt;2143.5469&lt;/D&gt;&lt;D xsi:type="xsd:double"&gt;2143.5469&lt;/D&gt;&lt;D xsi:type="xsd:double"&gt;2143.5469&lt;/D&gt;&lt;D xsi:type="xsd:double"&gt;2143.5469&lt;/D&gt;&lt;D xsi:type="xsd:double"&gt;2143.5469&lt;/D&gt;&lt;D xsi:type="xsd:double"&gt;2143.5469&lt;/D&gt;&lt;D xsi:type="xsd:double"&gt;2143.541&lt;/D&gt;&lt;D xsi:type="xsd:double"&gt;2143.541&lt;/D&gt;&lt;D xsi:type="xsd:double"&gt;2143.541&lt;/D&gt;&lt;D xsi:type="xsd:double"&gt;2143.541&lt;/D&gt;&lt;D xsi:type="xsd:double"&gt;2143.541&lt;/D&gt;&lt;D xsi:type="xsd:double"&gt;2143.541&lt;/D&gt;&lt;D xsi:type="xsd:double"&gt;2143.541&lt;/D&gt;&lt;D xsi:type="xsd:double"&gt;2143.541&lt;/D&gt;&lt;D xsi:type="xsd:double"&gt;2143.541&lt;/D&gt;&lt;D xsi:type="xsd:double"&gt;2143.541&lt;/D&gt;&lt;D xsi:type="xsd:double"&gt;2143.5469&lt;/D&gt;&lt;D xsi:type="xsd:double"&gt;2143.5469&lt;/D&gt;&lt;D xsi:type="xsd:double"&gt;2143.5469&lt;/D&gt;&lt;D xsi:type="xsd:double"&gt;2143.5469&lt;/D&gt;&lt;D xsi:type="xsd:double"&gt;2270.6133&lt;/D&gt;&lt;D xsi:type="xsd:double"&gt;2270.6133&lt;/D&gt;&lt;D xsi:type="xsd:double"&gt;2270.6133&lt;/D&gt;&lt;D xsi:type="xsd:double"&gt;2268.7048&lt;/D&gt;&lt;D xsi:type="xsd:double"&gt;2268.7048&lt;/D&gt;&lt;D xsi:type="xsd:double"&gt;2268.7048&lt;/D&gt;&lt;D xsi:type="xsd:double"&gt;2268.7048&lt;/D&gt;&lt;D xsi:type="xsd:double"&gt;2270.8362&lt;/D&gt;&lt;D xsi:type="xsd:double"&gt;2270.8362&lt;/D&gt;&lt;D xsi:type="xsd:double"&gt;2270.8362&lt;/D&gt;&lt;D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xsi:type="xsd:double"&gt;2277.1519&lt;/D&gt;&lt;D xsi:type="xsd:double"&gt;2277.1401&lt;/D&gt;&lt;D xsi:type="xsd:double"&gt;2277.1401&lt;/D&gt;&lt;D xsi:type="xsd:double"&gt;2277.1401&lt;/D&gt;&lt;D xsi:type="xsd:double"&gt;2277.1401&lt;/D&gt;&lt;D xsi:type="xsd:double"&gt;2277.114&lt;/D&gt;&lt;D xsi:type="xsd:double"&gt;2278.2327&lt;/D&gt;&lt;D xsi:type="xsd:double"&gt;2278.2327&lt;/D&gt;&lt;D xsi:type="xsd:double"&gt;2278.2656&lt;/D&gt;&lt;D xsi:type="xsd:double"&gt;2278.2656&lt;/D&gt;&lt;D xsi:type="xsd:double"&gt;2278.2656&lt;/D&gt;&lt;D xsi:type="xsd:double"&gt;2278.213&lt;/D&gt;&lt;D xsi:type="xsd:double"&gt;2278.213&lt;/D&gt;&lt;D xsi:type="xsd:double"&gt;2278.213&lt;/D&gt;&lt;D xsi:type="xsd:double"&gt;2278.213&lt;/D&gt;&lt;D xsi:type="xsd:double"&gt;2278.213&lt;/D&gt;&lt;D xsi:type="xsd:double"&gt;2278.213&lt;/D&gt;&lt;D xsi:type="xsd:double"&gt;2278.213&lt;/D&gt;&lt;D xsi:type="xsd:double"&gt;2278.213&lt;/D&gt;&lt;D xsi:type="xsd:double"&gt;2278.213&lt;/D&gt;&lt;D xsi:type="xsd:double"&gt;2278.213&lt;/D&gt;&lt;D xsi:type="xsd:double"&gt;2278.213&lt;/D&gt;&lt;D xsi:type="xsd:double"&gt;2278.2131&lt;/D&gt;&lt;D xsi:type="xsd:double"&gt;2310.4233&lt;/D&gt;&lt;D xsi:type="xsd:double"&gt;2310.4233&lt;/D&gt;&lt;D xsi:type="xsd:double"&gt;2310.4233&lt;/D&gt;&lt;D xsi:type="xsd:double"&gt;2313.9692&lt;/D&gt;&lt;D xsi:type="xsd:double"&gt;2317.0352&lt;/D&gt;&lt;D xsi:type="xsd:double"&gt;2317.0352&lt;/D&gt;&lt;D xsi:type="xsd:double"&gt;2317.0352&lt;/D&gt;&lt;D xsi:type="xsd:double"&gt;2317.0352&lt;/D&gt;&lt;D xsi:type="xsd:double"&gt;2317.0352&lt;/D&gt;&lt;D xsi:type="xsd:double"&gt;2317.0352&lt;/D&gt;&lt;D xsi:type="xsd:double"&gt;2317.0457&lt;/D&gt;&lt;D xsi:type="xsd:double"&gt;2317.0366&lt;/D&gt;&lt;D xsi:type="xsd:double"&gt;2317.0366&lt;/D&gt;&lt;D xsi:type="xsd:double"&gt;2317.0366&lt;/D&gt;&lt;D xsi:type="xsd:double"&gt;2317.1292&lt;/D&gt;&lt;D xsi:type="xsd:double"&gt;2317.1292&lt;/D&gt;&lt;D xsi:type="xsd:double"&gt;2319.2932&lt;/D&gt;&lt;D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xsi:type="xsd:double"&gt;2317.171&lt;/D&gt;&lt;D xsi:type="xsd:double"&gt;2320.971&lt;/D&gt;&lt;D xsi:type="xsd:double"&gt;2320.971&lt;/D&gt;&lt;D xsi:type="xsd:double"&gt;2320.971&lt;/D&gt;&lt;D xsi:type="xsd:double"&gt;2320.971&lt;/D&gt;&lt;D xsi:type="xsd:double"&gt;2320.971&lt;/D&gt;&lt;D xsi:type="xsd:double"&gt;2320.971&lt;/D&gt;&lt;D xsi:type="xsd:double"&gt;2320.971&lt;/D&gt;&lt;D xsi:type="xsd:double"&gt;2323.629&lt;/D&gt;&lt;D xsi:type="xsd:double"&gt;2323.6382&lt;/D&gt;&lt;D xsi:type="xsd:double"&gt;2323.6497&lt;/D&gt;&lt;D xsi:type="xsd:double"&gt;2323.6497&lt;/D&gt;&lt;D xsi:type="xsd:double"&gt;2323.6497&lt;/D&gt;&lt;D xsi:type="xsd:double"&gt;2323.6497&lt;/D&gt;&lt;D xsi:type="xsd:double"&gt;2323.6497&lt;/D&gt;&lt;D xsi:type="xsd:double"&gt;2323.6497&lt;/D&gt;&lt;D xsi:type="xsd:double"&gt;2324.8171&lt;/D&gt;&lt;D xsi:type="xsd:double"&gt;2324.706&lt;/D&gt;&lt;D xsi:type="xsd:double"&gt;2324.706&lt;/D&gt;&lt;D xsi:type="xsd:double"&gt;2324.706&lt;/D&gt;&lt;D xsi:type="xsd:double"&gt;2326.0164&lt;/D&gt;&lt;D xsi:type="xsd:double"&gt;2326.0164&lt;/D&gt;&lt;D xsi:type="xsd:double"&gt;2326.0164&lt;/D&gt;&lt;D xsi:type="xsd:double"&gt;2326.0164&lt;/D&gt;&lt;D xsi:type="xsd:double"&gt;2326.0164&lt;/D&gt;&lt;D xsi:type="xsd:double"&gt;2326.0164&lt;/D&gt;&lt;D xsi:type="xsd:double"&gt;2326.0164&lt;/D&gt;&lt;D xsi:type="xsd:double"&gt;2326.0164&lt;/D&gt;&lt;D xsi:type="xsd:double"&gt;2326.0164&lt;/D&gt;&lt;D xsi:type="xsd:double"&gt;2326.0164&lt;/D&gt;&lt;D xsi:type="xsd:double"&gt;2326.0164&lt;/D&gt;&lt;D xsi:type="xsd:double"&gt;2408.4749&lt;/D&gt;&lt;D xsi:type="xsd:double"&gt;2408.4749&lt;/D&gt;&lt;D xsi:type="xsd:double"&gt;2408.4749&lt;/D&gt;&lt;D xsi:type="xsd:double"&gt;2412.7932&lt;/D&gt;&lt;D xsi:type="xsd:double"&gt;2412.818&lt;/D&gt;&lt;D xsi:type="xsd:double"&gt;2412.7944&lt;/D&gt;&lt;D xsi:type="xsd:double"&gt;2412.7944&lt;/D&gt;&lt;D xsi:type="xsd:double"&gt;2412.7944&lt;/D&gt;&lt;D xsi:type="xsd:double"&gt;2412.7944&lt;/D&gt;&lt;D xsi:type="xsd:double"&gt;2412.7917&lt;/D&gt;&lt;D xsi:type="xsd:double"&gt;2412.7917&lt;/D&gt;&lt;D xsi:type="xsd:double"&gt;2412.7917&lt;/D&gt;&lt;D xsi:type="xsd:double"&gt;2412.7917&lt;/D&gt;&lt;D xsi:type="xsd:double"&gt;2412.7917&lt;/D&gt;&lt;D xsi:type="xsd:double"&gt;2412.7917&lt;/D&gt;&lt;D xsi:type="xsd:double"&gt;2417.7654&lt;/D&gt;&lt;D xsi:type="xsd:double"&gt;2417.7654&lt;/D&gt;&lt;D xsi:type="xsd:double"&gt;2417.7654&lt;/D&gt;&lt;D xsi:type="xsd:double"&gt;2417.7654&lt;/D&gt;&lt;D xsi:type="xsd:double"&gt;2417.7654&lt;/D&gt;&lt;D xsi:type="xsd:double"&gt;2417.7654&lt;/D&gt;&lt;D xsi:type="xsd:double"&gt;2417.7654&lt;/D&gt;&lt;D xsi:type="xsd:double"&gt;2417.7654&lt;/D&gt;&lt;D xsi:type="xsd:double"&gt;2417.7654&lt;/D&gt;&lt;D xsi:type="xsd:double"&gt;2417.7654&lt;/D&gt;&lt;D xsi:type="xsd:double"&gt;2417.7654&lt;/D&gt;&lt;D xsi:type="xsd:double"&gt;2417.7654&lt;/D&gt;&lt;D xsi:type="xsd:double"&gt;2417.7395&lt;/D&gt;&lt;D xsi:type="xsd:double"&gt;2417.7395&lt;/D&gt;&lt;/FQL&gt;&lt;FQL&gt;&lt;Q&gt;NTRA-US^FE_ESTIMATE(FCF,MEAN,ANN_ROLL,2026,1/1/2024,NOW,,'')&lt;/Q&gt;&lt;R&gt;411&lt;/R&gt;&lt;C&gt;1&lt;/C&gt;&lt;D xsi:type="xsd:double"&gt;180.17&lt;/D&gt;&lt;D xsi:type="xsd:double"&gt;180.17&lt;/D&gt;&lt;D xsi:type="xsd:double"&gt;180.17&lt;/D&gt;&lt;D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xsi:type="xsd:double"&gt;225.17&lt;/D&gt;&lt;D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xsi:type="xsd:double"&gt;230.86234&lt;/D&gt;&lt;D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xsi:type="xsd:double"&gt;206.696&lt;/D&gt;&lt;D xsi:type="xsd:double"&gt;210.022&lt;/D&gt;&lt;D xsi:type="xsd:double"&gt;210.022&lt;/D&gt;&lt;D xsi:type="xsd:double"&gt;210.022&lt;/D&gt;&lt;D xsi:type="xsd:double"&gt;210.022&lt;/D&gt;&lt;D xsi:type="xsd:double"&gt;210.022&lt;/D&gt;&lt;D xsi:type="xsd:double"&gt;210.022&lt;/D&gt;&lt;D xsi:type="xsd:double"&gt;210.022&lt;/D&gt;&lt;D xsi:type="xsd:double"&gt;210.022&lt;/D&gt;&lt;D xsi:type="xsd:double"&gt;210.022&lt;/D&gt;&lt;D xsi:type="xsd:double"&gt;210.022&lt;/D&gt;&lt;D xsi:type="xsd:double"&gt;245.916&lt;/D&gt;&lt;D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xsi:type="xsd:double"&gt;239.94167&lt;/D&gt;&lt;D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xsi:type="xsd:double"&gt;261.243&lt;/D&gt;&lt;D xsi:type="xsd:double"&gt;255.8645&lt;/D&gt;&lt;D xsi:type="xsd:double"&gt;255.8645&lt;/D&gt;&lt;D xsi:type="xsd:double"&gt;255.8645&lt;/D&gt;&lt;D xsi:type="xsd:double"&gt;255.8645&lt;/D&gt;&lt;D xsi:type="xsd:double"&gt;255.8645&lt;/D&gt;&lt;D xsi:type="xsd:double"&gt;255.8645&lt;/D&gt;&lt;D xsi:type="xsd:double"&gt;255.8645&lt;/D&gt;&lt;D xsi:type="xsd:double"&gt;255.8645&lt;/D&gt;&lt;D xsi:type="xsd:double"&gt;255.8645&lt;/D&gt;&lt;D xsi:type="xsd:double"&gt;255.8645&lt;/D&gt;&lt;D xsi:type="xsd:double"&gt;255.8645&lt;/D&gt;&lt;D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xsi:type="xsd:double"&gt;257.3645&lt;/D&gt;&lt;D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xsi:type="xsd:double"&gt;240.48&lt;/D&gt;&lt;D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xsi:type="xsd:double"&gt;240.5684&lt;/D&gt;&lt;D xsi:type="xsd:double"&gt;223.0123&lt;/D&gt;&lt;D xsi:type="xsd:double"&gt;223.0123&lt;/D&gt;&lt;D xsi:type="xsd:double"&gt;223.0123&lt;/D&gt;&lt;D xsi:type="xsd:double"&gt;223.0123&lt;/D&gt;&lt;D xsi:type="xsd:double"&gt;223.0123&lt;/D&gt;&lt;D xsi:type="xsd:double"&gt;223.0123&lt;/D&gt;&lt;D xsi:type="xsd:double"&gt;223.0123&lt;/D&gt;&lt;D xsi:type="xsd:double"&gt;223.0123&lt;/D&gt;&lt;D xsi:type="xsd:double"&gt;223.0123&lt;/D&gt;&lt;D xsi:type="xsd:double"&gt;234.5123&lt;/D&gt;&lt;D xsi:type="xsd:double"&gt;234.5123&lt;/D&gt;&lt;D xsi:type="xsd:double"&gt;234.5123&lt;/D&gt;&lt;D xsi:type="xsd:double"&gt;234.5123&lt;/D&gt;&lt;D xsi:type="xsd:double"&gt;234.5123&lt;/D&gt;&lt;D xsi:type="xsd:double"&gt;234.5123&lt;/D&gt;&lt;D xsi:type="xsd:double"&gt;234.5123&lt;/D&gt;&lt;D xsi:type="xsd:double"&gt;234.5123&lt;/D&gt;&lt;D xsi:type="xsd:double"&gt;234.5123&lt;/D&gt;&lt;D xsi:type="xsd:double"&gt;234.5123&lt;/D&gt;&lt;D xsi:type="xsd:double"&gt;234.5123&lt;/D&gt;&lt;D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xsi:type="xsd:double"&gt;228.2695&lt;/D&gt;&lt;D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xsi:type="xsd:double"&gt;232.73813&lt;/D&gt;&lt;D xsi:type="xsd:double"&gt;229.23813&lt;/D&gt;&lt;D xsi:type="xsd:double"&gt;229.23813&lt;/D&gt;&lt;D xsi:type="xsd:double"&gt;253.20912&lt;/D&gt;&lt;D xsi:type="xsd:double"&gt;253.20912&lt;/D&gt;&lt;D xsi:type="xsd:double"&gt;253.20912&lt;/D&gt;&lt;D xsi:type="xsd:double"&gt;253.20912&lt;/D&gt;&lt;D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xsi:type="xsd:double"&gt;253.36612&lt;/D&gt;&lt;D xsi:type="xsd:double"&gt;168.53&lt;/D&gt;&lt;D xsi:type="xsd:double"&gt;168.53&lt;/D&gt;&lt;D xsi:type="xsd:double"&gt;168.53&lt;/D&gt;&lt;D xsi:type="xsd:double"&gt;168.53&lt;/D&gt;&lt;D xsi:type="xsd:double"&gt;168.53&lt;/D&gt;&lt;D xsi:type="xsd:double"&gt;168.53&lt;/D&gt;&lt;D xsi:type="xsd:double"&gt;168.53&lt;/D&gt;&lt;D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xsi:type="xsd:double"&gt;182.944&lt;/D&gt;&lt;D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xsi:type="xsd:double"&gt;183.0654&lt;/D&gt;&lt;D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xsi:type="xsd:double"&gt;148.8482&lt;/D&gt;&lt;D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xsi:type="xsd:double"&gt;125.91025&lt;/D&gt;&lt;D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xsi:type="xsd:double"&gt;126.04775&lt;/D&gt;&lt;D xsi:type="xsd:double"&gt;225.60875&lt;/D&gt;&lt;D xsi:type="xsd:double"&gt;225.60875&lt;/D&gt;&lt;D xsi:type="xsd:double"&gt;225.60875&lt;/D&gt;&lt;D xsi:type="xsd:double"&gt;225.60875&lt;/D&gt;&lt;D xsi:type="xsd:double"&gt;225.60875&lt;/D&gt;&lt;D xsi:type="xsd:double"&gt;225.60875&lt;/D&gt;&lt;D xsi:type="xsd:double"&gt;225.60875&lt;/D&gt;&lt;D xsi:type="xsd:double"&gt;225.60875&lt;/D&gt;&lt;D xsi:type="xsd:double"&gt;225.60875&lt;/D&gt;&lt;/FQL&gt;&lt;FQL&gt;&lt;Q&gt;NTRA-US^FE_ESTIMATE(FCF,MEAN,ANN_ROLL,2024,1/1/2024,NOW,,'')&lt;/Q&gt;&lt;R&gt;431&lt;/R&gt;&lt;C&gt;1&lt;/C&gt;&lt;D xsi:type="xsd:double"&gt;-183.5702&lt;/D&gt;&lt;D xsi:type="xsd:double"&gt;-183.5702&lt;/D&gt;&lt;D xsi:type="xsd:double"&gt;-180.3954&lt;/D&gt;&lt;D xsi:type="xsd:double"&gt;-165.5954&lt;/D&gt;&lt;D xsi:type="xsd:double"&gt;-165.5954&lt;/D&gt;&lt;D xsi:type="xsd:double"&gt;-165.5954&lt;/D&gt;&lt;D xsi:type="xsd:double"&gt;-165.6034&lt;/D&gt;&lt;D xsi:type="xsd:double"&gt;-165.6034&lt;/D&gt;&lt;D xsi:type="xsd:double"&gt;-165.6034&lt;/D&gt;&lt;D xsi:type="xsd:double"&gt;-158.9118&lt;/D&gt;&lt;D xsi:type="xsd:double"&gt;-158.9118&lt;/D&gt;&lt;D xsi:type="xsd:double"&gt;-158.9118&lt;/D&gt;&lt;D xsi:type="xsd:double"&gt;-158.9118&lt;/D&gt;&lt;D xsi:type="xsd:double"&gt;-158.9118&lt;/D&gt;&lt;D xsi:type="xsd:double"&gt;-158.9118&lt;/D&gt;&lt;D xsi:type="xsd:double"&gt;-158.9118&lt;/D&gt;&lt;D xsi:type="xsd:double"&gt;-158.9118&lt;/D&gt;&lt;D xsi:type="xsd:double"&gt;-158.9118&lt;/D&gt;&lt;D xsi:type="xsd:double"&gt;-158.0444&lt;/D&gt;&lt;D xsi:type="xsd:double"&gt;-158.0444&lt;/D&gt;&lt;D xsi:type</t>
        </r>
      </text>
    </comment>
    <comment ref="A10" authorId="0" shapeId="0" xr:uid="{F8C6F08F-6B82-4956-97B1-B30D8532A2F5}">
      <text>
        <r>
          <rPr>
            <b/>
            <sz val="9"/>
            <color indexed="81"/>
            <rFont val="Tahoma"/>
            <charset val="1"/>
          </rPr>
          <t>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xsi:type="xsd:double"&gt;-158.0444&lt;/D&gt;&lt;D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xsi:type="xsd:double"&gt;-137.1752&lt;/D&gt;&lt;D xsi:type="xsd:double"&gt;-137.2566&lt;/D&gt;&lt;D xsi:type="xsd:double"&gt;-137.2566&lt;/D&gt;&lt;D xsi:type="xsd:double"&gt;-137.2566&lt;/D&gt;&lt;D xsi:type="xsd:double"&gt;-137.2566&lt;/D&gt;&lt;D xsi:type="xsd:double"&gt;-123.547165&lt;/D&gt;&lt;D xsi:type="xsd:double"&gt;-123.547165&lt;/D&gt;&lt;D xsi:type="xsd:double"&gt;-123.547165&lt;/D&gt;&lt;D xsi:type="xsd:double"&gt;-123.547165&lt;/D&gt;&lt;D xsi:type="xsd:double"&gt;-123.547165&lt;/D&gt;&lt;D xsi:type="xsd:double"&gt;-123.08417&lt;/D&gt;&lt;D xsi:type="xsd:double"&gt;-123.08417&lt;/D&gt;&lt;D xsi:type="xsd:double"&gt;-123.08417&lt;/D&gt;&lt;D xsi:type="xsd:double"&gt;-123.08417&lt;/D&gt;&lt;D xsi:type="xsd:double"&gt;-123.08417&lt;/D&gt;&lt;D xsi:type="xsd:double"&gt;-115.693&lt;/D&gt;&lt;D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xsi:type="xsd:double"&gt;-118.4642&lt;/D&gt;&lt;D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xsi:type="xsd:double"&gt;-120.6706&lt;/D&gt;&lt;D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xsi:type="xsd:double"&gt;-97.355&lt;/D&gt;&lt;D xsi:type="xsd:double"&gt;-109.19375&lt;/D&gt;&lt;D xsi:type="xsd:double"&gt;-109.19375&lt;/D&gt;&lt;D xsi:type="xsd:double"&gt;-109.19375&lt;/D&gt;&lt;D xsi:type="xsd:double"&gt;-109.19375&lt;/D&gt;&lt;D xsi:type="xsd:double"&gt;-109.19375&lt;/D&gt;&lt;D xsi:type="xsd:double"&gt;-109.19375&lt;/D&gt;&lt;D xsi:type="xsd:double"&gt;-109.19375&lt;/D&gt;&lt;D xsi:type="xsd:double"&gt;-109.19375&lt;/D&gt;&lt;D xsi:type="xsd:double"&gt;-109.19375&lt;/D&gt;&lt;D xsi:type="xsd:double"&gt;-109.19375&lt;/D&gt;&lt;D xsi:type="xsd:double"&gt;-109.19375&lt;/D&gt;&lt;D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xsi:type="xsd:double"&gt;-91.035&lt;/D&gt;&lt;D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xsi:type="xsd:double"&gt;-70.8395&lt;/D&gt;&lt;D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xsi:type="xsd:double"&gt;-70.78071&lt;/D&gt;&lt;D xsi:type="xsd:double"&gt;-69.15471&lt;/D&gt;&lt;D xsi:type="xsd:double"&gt;-69.15471&lt;/D&gt;&lt;D xsi:type="xsd:double"&gt;-69.15471&lt;/D&gt;&lt;D xsi:type="xsd:double"&gt;-69.15471&lt;/D&gt;&lt;D xsi:type="xsd:double"&gt;-69.15471&lt;/D&gt;&lt;D xsi:type="xsd:double"&gt;-69.15471&lt;/D&gt;&lt;D xsi:type="xsd:double"&gt;-69.15471&lt;/D&gt;&lt;D xsi:type="xsd:double"&gt;-69.15471&lt;/D&gt;&lt;D xsi:type="xsd:double"&gt;-69.15471&lt;/D&gt;&lt;D xsi:type="xsd:double"&gt;-67.15471&lt;/D&gt;&lt;D xsi:type="xsd:double"&gt;-67.15471&lt;/D&gt;&lt;D xsi:type="xsd:double"&gt;-67.15471&lt;/D&gt;&lt;D xsi:type="xsd:double"&gt;-67.15471&lt;/D&gt;&lt;D xsi:type="xsd:double"&gt;-67.15471&lt;/D&gt;&lt;D xsi:type="xsd:double"&gt;-67.15471&lt;/D&gt;&lt;D xsi:type="xsd:double"&gt;-67.15471&lt;/D&gt;&lt;D xsi:type="xsd:double"&gt;-67.15471&lt;/D&gt;&lt;D xsi:type="xsd:double"&gt;-67.15471&lt;/D&gt;&lt;D xsi:type="xsd:double"&gt;-67.15471&lt;/D&gt;&lt;D xsi:type="xsd:double"&gt;-67.15471&lt;/D&gt;&lt;D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xsi:type="xsd:double"&gt;-23.99925&lt;/D&gt;&lt;D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xsi:type="xsd:double"&gt;-21.791817&lt;/D&gt;&lt;D xsi:type="xsd:double"&gt;-22.291817&lt;/D&gt;&lt;D xsi:type="xsd:double"&gt;-22.291817&lt;/D&gt;&lt;D xsi:type="xsd:double"&gt;-10.479318&lt;/D&gt;&lt;D xsi:type="xsd:double"&gt;-10.479318&lt;/D&gt;&lt;D xsi:type="xsd:double"&gt;-10.479318&lt;/D&gt;&lt;D xsi:type="xsd:double"&gt;-10.479318&lt;/D&gt;&lt;D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xsi:type="xsd:double"&gt;-3.8868177&lt;/D&gt;&lt;D xsi:type="xsd:double"&gt;-20.971&lt;/D&gt;&lt;D xsi:type="xsd:double"&gt;-20.971&lt;/D&gt;&lt;D xsi:type="xsd:double"&gt;-20.971&lt;/D&gt;&lt;D xsi:type="xsd:double"&gt;-20.971&lt;/D&gt;&lt;D xsi:type="xsd:double"&gt;-20.971&lt;/D&gt;&lt;D xsi:type="xsd:double"&gt;-20.971&lt;/D&gt;&lt;D xsi:type="xsd:double"&gt;-20.971&lt;/D&gt;&lt;D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xsi:type="xsd:double"&gt;-2.9368&lt;/D&gt;&lt;D xsi:type="xsd:double"&gt;-2.9368&lt;/D&gt;&lt;/FQL&gt;&lt;FQL&gt;&lt;Q&gt;NTRA-US^FE_ESTIMATE(FCF,MEAN,ANN_ROLL,2025,1/1/2024,NOW,,'')&lt;/Q&gt;&lt;R&gt;431&lt;/R&gt;&lt;C&gt;1&lt;/C&gt;&lt;D xsi:type="xsd:double"&gt;-4.0436&lt;/D&gt;&lt;D xsi:type="xsd:double"&gt;-4.0436&lt;/D&gt;&lt;D xsi:type="xsd:double"&gt;-2.8544&lt;/D&gt;&lt;D xsi:type="xsd:double"&gt;12.7456&lt;/D&gt;&lt;D xsi:type="xsd:double"&gt;12.7456&lt;/D&gt;&lt;D xsi:type="xsd:double"&gt;12.7456&lt;/D&gt;&lt;D xsi:type="xsd:double"&gt;12.7456&lt;/D&gt;&lt;D xsi:type="xsd:double"&gt;12.7456&lt;/D&gt;&lt;D xsi:type="xsd:double"&gt;12.7456&lt;/D&gt;&lt;D xsi:type="xsd:double"&gt;14.9996&lt;/D&gt;&lt;D xsi:type="xsd:double"&gt;14.9996&lt;/D&gt;&lt;D xsi:type="xsd:double"&gt;14.9996&lt;/D&gt;&lt;D xsi:type="xsd:double"&gt;14.9996&lt;/D&gt;&lt;D xsi:type="xsd:double"&gt;14.9996&lt;/D&gt;&lt;D xsi:type="xsd:double"&gt;14.9996&lt;/D&gt;&lt;D xsi:type="xsd:double"&gt;14.9996&lt;/D&gt;&lt;D xsi:type="xsd:double"&gt;14.9996&lt;/D&gt;&lt;D xsi:type="xsd:double"&gt;14.9996&lt;/D&gt;&lt;D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xsi:type="xsd:double"&gt;15.1414&lt;/D&gt;&lt;D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xsi:type="xsd:double"&gt;31.2442&lt;/D&gt;&lt;D xsi:type="xsd:double"&gt;31.7544&lt;/D&gt;&lt;D xsi:type="xsd:double"&gt;31.7544&lt;/D&gt;&lt;D xsi:type="xsd:double"&gt;31.7544&lt;/D&gt;&lt;D xsi:type="xsd:double"&gt;31.7544&lt;/D&gt;&lt;D xsi:type="xsd:double"&gt;34.628666&lt;/D&gt;&lt;D xsi:type="xsd:double"&gt;34.628666&lt;/D&gt;&lt;D xsi:type="xsd:double"&gt;34.628666&lt;/D&gt;&lt;D xsi:type="xsd:double"&gt;34.628666&lt;/D&gt;&lt;D xsi:type="xsd:double"&gt;34.628666&lt;/D&gt;&lt;D xsi:type="xsd:double"&gt;34.153168&lt;/D&gt;&lt;D xsi:type="xsd:double"&gt;34.153168&lt;/D&gt;&lt;D xsi:type="xsd:double"&gt;34.153168&lt;/D&gt;&lt;D xsi:type="xsd:double"&gt;34.153168&lt;/D&gt;&lt;D xsi:type="xsd:double"&gt;34.153168&lt;/D&gt;&lt;D xsi:type="xsd:double"&gt;44.3298&lt;/D&gt;&lt;D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xsi:type="xsd:double"&gt;41.1544&lt;/D&gt;&lt;D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xsi:type="xsd:double"&gt;40.246&lt;/D&gt;&lt;D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xsi:type="xsd:double"&gt;38.978&lt;/D&gt;&lt;D xsi:type="xsd:double"&gt;31.9725&lt;/D&gt;&lt;D xsi:type="xsd:double"&gt;31.9725&lt;/D&gt;&lt;D xsi:type="xsd:double"&gt;31.9725&lt;/D&gt;&lt;D xsi:type="xsd:double"&gt;31.9725&lt;/D&gt;&lt;D xsi:type="xsd:double"&gt;31.9725&lt;/D&gt;&lt;D xsi:type="xsd:double"&gt;31.9725&lt;/D&gt;&lt;D xsi:type="xsd:double"&gt;31.9725&lt;/D&gt;&lt;D xsi:type="xsd:double"&gt;31.9725&lt;/D&gt;&lt;D xsi:type="xsd:double"&gt;31.9725&lt;/D&gt;&lt;D xsi:type="xsd:double"&gt;31.9725&lt;/D&gt;&lt;D xsi:type="xsd:double"&gt;31.9725&lt;/D&gt;&lt;D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xsi:type="xsd:double"&gt;28.05875&lt;/D&gt;&lt;D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xsi:type="xsd:double"&gt;27.16975&lt;/D&gt;&lt;D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xsi:type="xsd:double"&gt;27.080832&lt;/D&gt;&lt;D xsi:type="xsd:double"&gt;39.24133&lt;/D&gt;&lt;D xsi:type="xsd:double"&gt;39.24133&lt;/D&gt;&lt;D xsi:type="xsd:double"&gt;39.24133&lt;/D&gt;&lt;D xsi:type="xsd:double"&gt;39.24133&lt;/D&gt;&lt;D xsi:type="xsd:double"&gt;39.24133&lt;/D&gt;&lt;D xsi:type="xsd:double"&gt;39.24133&lt;/D&gt;&lt;D xsi:type="xsd:double"&gt;39.24133&lt;/D&gt;&lt;D xsi:type="xsd:double"&gt;39.24133&lt;/D&gt;&lt;D xsi:type="xsd:double"&gt;39.24133&lt;/D&gt;&lt;D xsi:type="xsd:double"&gt;48.74133&lt;/D&gt;&lt;D xsi:type="xsd:double"&gt;48.74133&lt;/D&gt;&lt;D xsi:type="xsd:double"&gt;48.74133&lt;/D&gt;&lt;D xsi:type="xsd:double"&gt;48.74133&lt;/D&gt;&lt;D xsi:type="xsd:double"&gt;48.74133&lt;/D&gt;&lt;D xsi:type="xsd:double"&gt;48.74133&lt;/D&gt;&lt;D xsi:type="xsd:double"&gt;48.74133&lt;/D&gt;&lt;D xsi:type="xsd:double"&gt;48.74133&lt;/D&gt;&lt;D xsi:type="xsd:double"&gt;48.74133&lt;/D&gt;&lt;D xsi:type="xsd:double"&gt;48.74133&lt;/D&gt;&lt;D xsi:type="xsd:double"&gt;48.74133&lt;/D&gt;&lt;D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xsi:type="xsd:double"&gt;2.86475&lt;/D&gt;&lt;D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xsi:type="xsd:double"&gt;6.0316954&lt;/D&gt;&lt;D xsi:type="xsd:double"&gt;2.5316954&lt;/D&gt;&lt;D xsi:type="xsd:double"&gt;2.5316954&lt;/D&gt;&lt;D xsi:type="xsd:double"&gt;21.911446&lt;/D&gt;&lt;D xsi:type="xsd:double"&gt;21.911446&lt;/D&gt;&lt;D xsi:type="xsd:double"&gt;21.911446&lt;/D&gt;&lt;D xsi:type="xsd:double"&gt;21.911446&lt;/D&gt;&lt;D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xsi:type="xsd:double"&gt;29.423195&lt;/D&gt;&lt;D xsi:type="xsd:double"&gt;-80.94425&lt;/D&gt;&lt;D xsi:type="xsd:double"&gt;-80.94425&lt;/D&gt;&lt;D xsi:type="xsd:double"&gt;-80.94425&lt;/D&gt;&lt;D xsi:type="xsd:double"&gt;-80.94425&lt;/D&gt;&lt;D xsi:type="xsd:double"&gt;-80.94425&lt;/D&gt;&lt;D xsi:type="xsd:double"&gt;-80.94425&lt;/D&gt;&lt;D xsi:type="xsd:double"&gt;-80.94425&lt;/D&gt;&lt;D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xsi:type="xsd:double"&gt;-78.2354&lt;/D&gt;&lt;D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xsi:type="xsd:double"&gt;-78.1222&lt;/D&gt;&lt;D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xsi:type="xsd:double"&gt;-66.9984&lt;/D&gt;&lt;D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xsi:type="xsd:double"&gt;-66.898&lt;/D&gt;&lt;D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xsi:type="xsd:double"&gt;-66.78075&lt;/D&gt;&lt;D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xsi:type="xsd:double"&gt;-35.06975&lt;/D&gt;&lt;D xsi:type="xsd:double"&gt;-35.02037&lt;/D&gt;&lt;D xsi:type="xsd:double"&gt;-35.02037&lt;/D&gt;&lt;/FQL&gt;&lt;/Schema&gt;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Tong, Nelson</author>
    <author>Mercado, Christopher</author>
    <author>Brandon Couillard</author>
  </authors>
  <commentList>
    <comment ref="BD7" authorId="0" shapeId="0" xr:uid="{E33D497A-7F64-4BA8-BFE9-18C16F78A5DB}">
      <text>
        <r>
          <rPr>
            <b/>
            <sz val="8"/>
            <color indexed="81"/>
            <rFont val="Tahoma"/>
            <family val="2"/>
          </rPr>
          <t>3Q24: $1.61 billion to $1.64 billion
$1.51 billion to $1.54 billion organic (ex-true-ups)
(w/ $40 million  Invitae contribution)
"even ex-true-up, increased guide more than the beat"
2Q24: $1.49 billion to $1.52 billion (w/ $40 million  Invitae contribution)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1Q24: $1.42 billion to $1.45 billion (w/ $25 million  Invitae contribution)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4Q23: $1.32 billion to $1.35 billion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7" authorId="1" shapeId="0" xr:uid="{23FC47D4-54BD-48EC-AEEB-C3E469D84B9B}">
      <text>
        <r>
          <rPr>
            <b/>
            <sz val="9"/>
            <color indexed="81"/>
            <rFont val="Tahoma"/>
            <family val="2"/>
          </rPr>
          <t>'26 JPM: $660M</t>
        </r>
      </text>
    </comment>
    <comment ref="BI7" authorId="0" shapeId="0" xr:uid="{7AFDB1D6-7001-441D-B98B-9E297A09D471}">
      <text>
        <r>
          <rPr>
            <b/>
            <sz val="8"/>
            <color indexed="81"/>
            <rFont val="Tahoma"/>
            <family val="2"/>
          </rPr>
          <t xml:space="preserve">3Q25: $2.18 billion to $2.26 billion
2Q25: $2.02 billion to $2.10 billion
1Q25: $1.94 billion to $2.02 billion
4Q24: $1.87 billion to $1.95 billion
3Q24: '25 guide is based on growth from revenue baseline of $1.51 billion to $1.54 billion
</t>
        </r>
      </text>
    </comment>
    <comment ref="BN7" authorId="1" shapeId="0" xr:uid="{33B79860-FF47-4FD5-BC71-A3E225200C31}">
      <text>
        <r>
          <rPr>
            <b/>
            <sz val="8"/>
            <color indexed="81"/>
            <rFont val="Tahoma"/>
            <family val="2"/>
          </rPr>
          <t>4Q25: $2,620M- $2,700M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10" authorId="0" shapeId="0" xr:uid="{43356A5D-204D-425D-B11E-DECDD2808E3C}">
      <text>
        <r>
          <rPr>
            <b/>
            <sz val="8"/>
            <color indexed="81"/>
            <rFont val="Tahoma"/>
            <family val="2"/>
          </rPr>
          <t>11/19/2024: $20 million more R&amp;D spend in 4Q vs. 3Q</t>
        </r>
      </text>
    </comment>
    <comment ref="BD10" authorId="0" shapeId="0" xr:uid="{A94953C9-EF73-47BF-AD1A-FC563376AEC3}">
      <text>
        <r>
          <rPr>
            <b/>
            <sz val="8"/>
            <color indexed="81"/>
            <rFont val="Tahoma"/>
            <family val="2"/>
          </rPr>
          <t>3Q24: $375 million to $400 million
2Q24: $350 million to $375 million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1Q24: $350 million to $375 million
4Q23: $325 million to $345 million
</t>
        </r>
      </text>
    </comment>
    <comment ref="BI10" authorId="0" shapeId="0" xr:uid="{E40565EF-6B79-4005-A722-62F21AC27301}">
      <text>
        <r>
          <rPr>
            <b/>
            <sz val="8"/>
            <color indexed="81"/>
            <rFont val="Tahoma"/>
            <family val="2"/>
          </rPr>
          <t xml:space="preserve">3Q25: $575 million to $625 million
2Q25: $550 million to $590 million
1Q25: $550 million to $590 million 
4Q24: $525 million to $550 million, y/y increase to deliver clinical trial results
</t>
        </r>
      </text>
    </comment>
    <comment ref="BN10" authorId="1" shapeId="0" xr:uid="{5608B9C1-26E9-46DE-9C9E-1406DC9DD50B}">
      <text>
        <r>
          <rPr>
            <b/>
            <sz val="8"/>
            <color indexed="81"/>
            <rFont val="Tahoma"/>
            <family val="2"/>
          </rPr>
          <t>4Q25: $750M- $850M</t>
        </r>
      </text>
    </comment>
    <comment ref="BB11" authorId="0" shapeId="0" xr:uid="{B194B642-58D6-436F-B3BD-5CBF3833851C}">
      <text>
        <r>
          <rPr>
            <b/>
            <sz val="8"/>
            <color indexed="81"/>
            <rFont val="Tahoma"/>
            <family val="2"/>
          </rPr>
          <t>3Q24: step-up from 2Q primarily driven by 
(+) litigation expenses and non-cash stock-based comp
(+) addition of Invitae's WH sales team
(+) expanding commerical team for Signatera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1" authorId="0" shapeId="0" xr:uid="{EB5FDFF6-6F6A-4EC2-9498-0A8CF8CBDF84}">
      <text>
        <r>
          <rPr>
            <b/>
            <sz val="8"/>
            <color indexed="81"/>
            <rFont val="Tahoma"/>
            <family val="2"/>
          </rPr>
          <t>3Q24: $775 million to $825 million
2Q24: $700 million to $750 million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1Q24: $700 million to $750 million
4Q23: $630 million to $650 million
</t>
        </r>
      </text>
    </comment>
    <comment ref="BH11" authorId="1" shapeId="0" xr:uid="{9F4C2D69-2C6B-46CB-AC7F-95C353B7A310}">
      <text>
        <r>
          <rPr>
            <b/>
            <sz val="9"/>
            <color indexed="81"/>
            <rFont val="Tahoma"/>
            <family val="2"/>
          </rPr>
          <t>4Q25: $1.7M amort of acq intangible</t>
        </r>
      </text>
    </comment>
    <comment ref="BI11" authorId="0" shapeId="0" xr:uid="{9D1E4BD4-2998-4361-AB35-DB8E435FD54C}">
      <text>
        <r>
          <rPr>
            <b/>
            <sz val="8"/>
            <color indexed="81"/>
            <rFont val="Tahoma"/>
            <family val="2"/>
          </rPr>
          <t xml:space="preserve">3Q25 callback: go to the high end 
3Q25: $1,075 million to $1,175 million
2Q25: $975 million to $1,050 million
1Q25: $975 million to $1,050 million
4Q24: $950 million to $975 million, y/y increase to invest in customer service
</t>
        </r>
      </text>
    </comment>
    <comment ref="BN11" authorId="1" shapeId="0" xr:uid="{6CA54B10-BC71-4A2B-99B8-09BD1114CA0C}">
      <text>
        <r>
          <rPr>
            <b/>
            <sz val="8"/>
            <color indexed="81"/>
            <rFont val="Tahoma"/>
            <family val="2"/>
          </rPr>
          <t>4Q25: $1,125M- $1,225M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13" authorId="2" shapeId="0" xr:uid="{235C79FD-67FB-4D69-B719-44E7EF7E9C42}">
      <text>
        <r>
          <rPr>
            <b/>
            <sz val="8"/>
            <color indexed="81"/>
            <rFont val="Tahoma"/>
            <family val="2"/>
          </rPr>
          <t>CFO, 9/17/25: 
~$50M non-cash accruals booked in 1H25; Implying ~$20M in 1Q25</t>
        </r>
      </text>
    </comment>
    <comment ref="BF13" authorId="2" shapeId="0" xr:uid="{A0D361C6-25C1-425D-825C-E617298B2768}">
      <text>
        <r>
          <rPr>
            <b/>
            <sz val="8"/>
            <color indexed="81"/>
            <rFont val="Tahoma"/>
            <family val="2"/>
          </rPr>
          <t>2Q25: Includes ~$30 million non-cash SBC and legal expense accrual</t>
        </r>
      </text>
    </comment>
    <comment ref="BN13" authorId="1" shapeId="0" xr:uid="{45E5FC21-AD50-40A9-B9B0-3BBA64C368A8}">
      <text>
        <r>
          <rPr>
            <b/>
            <sz val="8"/>
            <color indexed="81"/>
            <rFont val="Tahoma"/>
            <family val="2"/>
          </rPr>
          <t>4Q25: $1,875M- $2,075M
4Q25 post call: Foresight deal adds ~+$30 million to y/y opex growth
3Q25 callback: +10- 12%
3Q25: 10% y/y mainly from R&amp;D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34" authorId="1" shapeId="0" xr:uid="{9DDE98BB-98B4-4C3B-94A0-9CBB67293EA5}">
      <text>
        <r>
          <rPr>
            <b/>
            <sz val="8"/>
            <color indexed="81"/>
            <rFont val="Tahoma"/>
            <family val="2"/>
          </rPr>
          <t>3Q25 callback: ~+16% rev growth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36" authorId="0" shapeId="0" xr:uid="{34C0E4F6-F3BC-4090-8B8D-3C82F0FBF86C}">
      <text>
        <r>
          <rPr>
            <b/>
            <sz val="8"/>
            <color indexed="81"/>
            <rFont val="Tahoma"/>
            <family val="2"/>
          </rPr>
          <t>3Q24: additional R&amp;D expenses for clinical trials, innovation</t>
        </r>
      </text>
    </comment>
    <comment ref="BD37" authorId="0" shapeId="0" xr:uid="{6C747096-E472-4752-A29B-43E7DC4D5811}">
      <text>
        <r>
          <rPr>
            <b/>
            <sz val="8"/>
            <color indexed="81"/>
            <rFont val="Tahoma"/>
            <family val="2"/>
          </rPr>
          <t>3Q24: expanded SG&amp;A for customer service, new patient portals, EMR connectivity, marketing, sales team.</t>
        </r>
      </text>
    </comment>
    <comment ref="BN38" authorId="1" shapeId="0" xr:uid="{DCE6863A-4D20-4DC3-9AC5-1A95988D9771}">
      <text>
        <r>
          <rPr>
            <b/>
            <sz val="8"/>
            <color indexed="81"/>
            <rFont val="Tahoma"/>
            <family val="2"/>
          </rPr>
          <t>4Q25 callback: 10- 12%
3Q25: 10% y/y mainly R&amp;D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48" authorId="2" shapeId="0" xr:uid="{972E4131-4D6A-42C1-A1B9-30BBA67C9CE0}">
      <text>
        <r>
          <rPr>
            <b/>
            <sz val="8"/>
            <color indexed="81"/>
            <rFont val="Tahoma"/>
            <family val="2"/>
          </rPr>
          <t>1Q25: +110bps Q/Q ex true-ups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48" authorId="2" shapeId="0" xr:uid="{280C69BE-AF07-40DE-9D8D-4F8A696DA369}">
      <text>
        <r>
          <rPr>
            <b/>
            <sz val="8"/>
            <color indexed="81"/>
            <rFont val="Tahoma"/>
            <family val="2"/>
          </rPr>
          <t>3Q25: 62% to 64%
2Q25: 61% to 64%
1Q25: 60% to 64%</t>
        </r>
      </text>
    </comment>
    <comment ref="BN48" authorId="1" shapeId="0" xr:uid="{8B4E25E3-74E8-46DF-AAA4-FD0BE2E9D682}">
      <text>
        <r>
          <rPr>
            <b/>
            <sz val="8"/>
            <color indexed="81"/>
            <rFont val="Tahoma"/>
            <family val="2"/>
          </rPr>
          <t>4Q25: 63% to 65%; start below guide and move up
3Q25: ~+100bps y/y ex-true ups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Couillard</author>
    <author>Mercado, Christopher</author>
    <author>Tong, Nelson</author>
    <author>Stampler, Evan S.</author>
    <author>Couillard, Brandon</author>
  </authors>
  <commentList>
    <comment ref="AK13" authorId="0" shapeId="0" xr:uid="{2793F117-67A1-4AB7-A5DD-7434F43DE57D}">
      <text>
        <r>
          <rPr>
            <b/>
            <sz val="8"/>
            <color indexed="81"/>
            <rFont val="Tahoma"/>
            <family val="2"/>
          </rPr>
          <t>1Q21: Recognized $28.6 million of previously deferred revs from QGEN arrangement</t>
        </r>
      </text>
    </comment>
    <comment ref="BH17" authorId="1" shapeId="0" xr:uid="{07E21189-6CD9-4FCF-8009-9FE3FEC84B57}">
      <text>
        <r>
          <rPr>
            <b/>
            <sz val="8"/>
            <color indexed="81"/>
            <rFont val="Tahoma"/>
            <family val="2"/>
          </rPr>
          <t>'26 JPM: $660M; at least &gt;$600M ex true ups</t>
        </r>
      </text>
    </comment>
    <comment ref="BI17" authorId="2" shapeId="0" xr:uid="{00DA30F0-B6D0-4165-BCDA-34A0E1C05E33}">
      <text>
        <r>
          <rPr>
            <b/>
            <sz val="8"/>
            <color indexed="81"/>
            <rFont val="Tahoma"/>
            <family val="2"/>
          </rPr>
          <t xml:space="preserve">JMP '26: $2.3 billion
3Q25: $2.18 billion to $2.26 billion
2Q25: $2.02 billion to $2.10 billion
1Q25: $1.94 billion to $2.02 billion
4Q24: $1.87 billion to $1.95 billion
3Q24: '25 guide is based on growth from revenue baseline of $1.51 billion to $1.54 billion
</t>
        </r>
      </text>
    </comment>
    <comment ref="BN17" authorId="1" shapeId="0" xr:uid="{602E0D5E-7600-49EB-B25F-18F47A352763}">
      <text>
        <r>
          <rPr>
            <b/>
            <sz val="8"/>
            <color indexed="81"/>
            <rFont val="Tahoma"/>
            <family val="2"/>
          </rPr>
          <t>4Q25: $2,620- $2,700M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18" authorId="1" shapeId="0" xr:uid="{8D399B34-B55E-49C9-A6FB-5CA895022CBF}">
      <text>
        <r>
          <rPr>
            <b/>
            <sz val="8"/>
            <color indexed="81"/>
            <rFont val="Tahoma"/>
            <family val="2"/>
          </rPr>
          <t>3Q25 callback: ~+16% rev growth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23" authorId="1" shapeId="0" xr:uid="{47BF0A2B-EB42-4620-ABAE-E9D3A5670D83}">
      <text>
        <r>
          <rPr>
            <b/>
            <sz val="8"/>
            <color indexed="81"/>
            <rFont val="Tahoma"/>
            <family val="2"/>
          </rPr>
          <t>'26 JPM: 923,600</t>
        </r>
      </text>
    </comment>
    <comment ref="BI23" authorId="1" shapeId="0" xr:uid="{42F07544-208D-4FEA-8ED7-70118E135511}">
      <text>
        <r>
          <rPr>
            <b/>
            <sz val="8"/>
            <color indexed="81"/>
            <rFont val="Tahoma"/>
            <family val="2"/>
          </rPr>
          <t>JPM '26: 3,525,500</t>
        </r>
      </text>
    </comment>
    <comment ref="AZ52" authorId="3" shapeId="0" xr:uid="{C2C10FAB-FB5E-40D8-B15A-F0FB4D094C85}">
      <text>
        <r>
          <rPr>
            <b/>
            <sz val="9"/>
            <color indexed="81"/>
            <rFont val="Tahoma"/>
            <family val="2"/>
          </rPr>
          <t>+85k seq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52" authorId="3" shapeId="0" xr:uid="{ACC194BA-18F9-4B92-9412-9F6D655C5009}">
      <text>
        <r>
          <rPr>
            <b/>
            <sz val="9"/>
            <color indexed="81"/>
            <rFont val="Tahoma"/>
            <family val="2"/>
          </rPr>
          <t>women's health counterseasonally grew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52" authorId="2" shapeId="0" xr:uid="{CA8476AF-DB30-4E6B-BAF7-D2E007BBEC66}">
      <text>
        <r>
          <rPr>
            <b/>
            <sz val="8"/>
            <color indexed="81"/>
            <rFont val="Tahoma"/>
            <family val="2"/>
          </rPr>
          <t>4Q24: consensus 2,300,408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52" authorId="3" shapeId="0" xr:uid="{2912431C-D9D4-4438-96B6-AE9941A87898}">
      <text>
        <r>
          <rPr>
            <b/>
            <sz val="8"/>
            <color indexed="81"/>
            <rFont val="Tahoma"/>
            <family val="2"/>
          </rPr>
          <t>1Q25: +40k Q/Q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N52" authorId="1" shapeId="0" xr:uid="{7D13EE24-A05F-49C2-A6E6-D4608620516E}">
      <text>
        <r>
          <rPr>
            <b/>
            <sz val="8"/>
            <color indexed="81"/>
            <rFont val="Tahoma"/>
            <family val="2"/>
          </rPr>
          <t>3Q25: similar unit growth to FY25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53" authorId="1" shapeId="0" xr:uid="{9ED5D867-C952-472C-B9C1-8621164A1152}">
      <text>
        <r>
          <rPr>
            <b/>
            <sz val="8"/>
            <color indexed="81"/>
            <rFont val="Tahoma"/>
            <family val="2"/>
          </rPr>
          <t xml:space="preserve">4Q25 post call: 
Volume: +LSD/MSD
Revs: +MSD/HSD
</t>
        </r>
      </text>
    </comment>
    <comment ref="BA57" authorId="3" shapeId="0" xr:uid="{AC1D7840-600C-4BC2-8F95-766FC5A7B95E}">
      <text>
        <r>
          <rPr>
            <b/>
            <sz val="9"/>
            <color indexed="81"/>
            <rFont val="Tahoma"/>
            <family val="2"/>
          </rPr>
          <t>strong again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57" authorId="1" shapeId="0" xr:uid="{6DEAF903-3500-4ACF-9BD7-D278D72CF870}">
      <text>
        <r>
          <rPr>
            <b/>
            <sz val="8"/>
            <color indexed="81"/>
            <rFont val="Tahoma"/>
            <family val="2"/>
          </rPr>
          <t>3Q25: ASP stable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61" authorId="0" shapeId="0" xr:uid="{EA4A5D9A-3619-463F-B37E-BF8937CA8F7F}">
      <text>
        <r>
          <rPr>
            <b/>
            <sz val="8"/>
            <color indexed="81"/>
            <rFont val="Tahoma"/>
            <family val="2"/>
          </rPr>
          <t>CFO, 9/17/25: 
~$1 billion in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61" authorId="0" shapeId="0" xr:uid="{CDE24AAC-6E2B-4993-91A9-C2F0754B5BC2}">
      <text>
        <r>
          <rPr>
            <b/>
            <sz val="8"/>
            <color indexed="81"/>
            <rFont val="Tahoma"/>
            <family val="2"/>
          </rPr>
          <t>CFO, 9/17/25: 
~$1.1 billion in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62" authorId="1" shapeId="0" xr:uid="{ED6B53BC-8845-498F-8AA5-8598CA796FC6}">
      <text>
        <r>
          <rPr>
            <b/>
            <sz val="8"/>
            <color indexed="81"/>
            <rFont val="Tahoma"/>
            <family val="2"/>
          </rPr>
          <t xml:space="preserve">4Q25 post call: 
Volume: +LSD/MSD
Revs: +MSD/HSD
</t>
        </r>
      </text>
    </comment>
    <comment ref="BH67" authorId="4" shapeId="0" xr:uid="{0A794312-0E58-4B48-817A-79C29AC18D6A}">
      <text>
        <r>
          <rPr>
            <b/>
            <sz val="8"/>
            <color indexed="81"/>
            <rFont val="Tahoma"/>
            <family val="2"/>
          </rPr>
          <t>4Q25 post call:
NIPT: ~360,000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71" authorId="0" shapeId="0" xr:uid="{26854CF9-D65E-4314-A301-C0EA634E83B5}">
      <text>
        <r>
          <rPr>
            <b/>
            <sz val="8"/>
            <color indexed="81"/>
            <rFont val="Tahoma"/>
            <family val="2"/>
          </rPr>
          <t>CFO, 9/17/25: 
NIPT ASP: ~$375-400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75" authorId="4" shapeId="0" xr:uid="{547565A2-2111-4E1D-B35C-56F0BDFF68A7}">
      <text>
        <r>
          <rPr>
            <b/>
            <sz val="8"/>
            <color indexed="81"/>
            <rFont val="Tahoma"/>
            <family val="2"/>
          </rPr>
          <t xml:space="preserve">4Q25 post call:
NIPT: ~$145 million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160" authorId="4" shapeId="0" xr:uid="{6956DAA1-C2FD-41BA-8DB5-1D9272FD5D42}">
      <text>
        <r>
          <rPr>
            <b/>
            <sz val="8"/>
            <color indexed="81"/>
            <rFont val="Tahoma"/>
            <family val="2"/>
          </rPr>
          <t>4Q25 post call:
Carrier: ~215,000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165" authorId="0" shapeId="0" xr:uid="{D5B0CE70-E733-41E2-9F28-D9410F75F996}">
      <text>
        <r>
          <rPr>
            <b/>
            <sz val="8"/>
            <color indexed="81"/>
            <rFont val="Tahoma"/>
            <family val="2"/>
          </rPr>
          <t>CFO, 9/17/25: 
Carrier Screening ASP: ~$500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169" authorId="4" shapeId="0" xr:uid="{7FA27079-24CC-405A-979D-4DED314E9AE0}">
      <text>
        <r>
          <rPr>
            <b/>
            <sz val="8"/>
            <color indexed="81"/>
            <rFont val="Tahoma"/>
            <family val="2"/>
          </rPr>
          <t>4Q25 post call:
Carrier: ~$145 million (similar to NIPT, but much higher ASP)</t>
        </r>
      </text>
    </comment>
    <comment ref="BD187" authorId="2" shapeId="0" xr:uid="{B4C078A4-9EE5-46E3-9C33-1305F1046AA6}">
      <text>
        <r>
          <rPr>
            <b/>
            <sz val="8"/>
            <color indexed="81"/>
            <rFont val="Tahoma"/>
            <family val="2"/>
          </rPr>
          <t>4Q24: consensus 118,944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187" authorId="2" shapeId="0" xr:uid="{87C59230-A015-4FA5-BA54-CF472429A7E4}">
      <text>
        <r>
          <rPr>
            <b/>
            <sz val="8"/>
            <color indexed="81"/>
            <rFont val="Tahoma"/>
            <family val="2"/>
          </rPr>
          <t>+50% yoy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188" authorId="3" shapeId="0" xr:uid="{1A0D1E60-0200-4BE0-AC1C-950DA5FA031A}">
      <text>
        <r>
          <rPr>
            <b/>
            <sz val="9"/>
            <color indexed="81"/>
            <rFont val="Tahoma"/>
            <family val="2"/>
          </rPr>
          <t>up nearly 50%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188" authorId="2" shapeId="0" xr:uid="{93DC8F15-2849-44C8-A97C-F201C6CB4B99}">
      <text>
        <r>
          <rPr>
            <b/>
            <sz val="8"/>
            <color indexed="81"/>
            <rFont val="Tahoma"/>
            <family val="2"/>
          </rPr>
          <t>+50% yoy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95" authorId="0" shapeId="0" xr:uid="{2FBEFC30-AE86-48C7-8B56-892F5743BFAC}">
      <text>
        <r>
          <rPr>
            <b/>
            <sz val="8"/>
            <color indexed="81"/>
            <rFont val="Tahoma"/>
            <family val="2"/>
          </rPr>
          <t>CFO, 9/17/25: 
~$100 million in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195" authorId="4" shapeId="0" xr:uid="{2F8792F2-BFD7-466D-916D-E907DDD03BD3}">
      <text>
        <r>
          <rPr>
            <b/>
            <sz val="8"/>
            <color indexed="81"/>
            <rFont val="Tahoma"/>
            <family val="2"/>
          </rPr>
          <t>4Q25 post-call:
Organ: ~$60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195" authorId="0" shapeId="0" xr:uid="{DBFDD7B3-4791-4C0E-9A46-7B58B414A62F}">
      <text>
        <r>
          <rPr>
            <b/>
            <sz val="8"/>
            <color indexed="81"/>
            <rFont val="Tahoma"/>
            <family val="2"/>
          </rPr>
          <t>CFO, 9/17/25: 
~$160 million in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201" authorId="4" shapeId="0" xr:uid="{132C0435-85CF-4A9F-B949-1BAA6AFEC11D}">
      <text>
        <r>
          <rPr>
            <b/>
            <sz val="8"/>
            <color indexed="81"/>
            <rFont val="Tahoma"/>
            <family val="2"/>
          </rPr>
          <t>4Q25 post call:
Prospera: ~25K</t>
        </r>
      </text>
    </comment>
    <comment ref="BI205" authorId="0" shapeId="0" xr:uid="{D087F68D-A0EF-4221-91B3-D8CEB73418CB}">
      <text>
        <r>
          <rPr>
            <b/>
            <sz val="8"/>
            <color indexed="81"/>
            <rFont val="Tahoma"/>
            <family val="2"/>
          </rPr>
          <t>CFO, 9/17/25: 
Prospera ASP: ~$1,250 to $1,300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208" authorId="4" shapeId="0" xr:uid="{B0CF2E0B-ADBC-4C0C-926F-9580CD1F6DAD}">
      <text>
        <r>
          <rPr>
            <b/>
            <sz val="8"/>
            <color indexed="81"/>
            <rFont val="Tahoma"/>
            <family val="2"/>
          </rPr>
          <t>4Q25 post call: 
Prospera: ~$40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291" authorId="4" shapeId="0" xr:uid="{450ABA1E-4EEC-4D29-8C1B-303F65B6E7BC}">
      <text>
        <r>
          <rPr>
            <b/>
            <sz val="8"/>
            <color indexed="81"/>
            <rFont val="Tahoma"/>
            <family val="2"/>
          </rPr>
          <t>4Q25 post call:
Renasight: ~28K</t>
        </r>
      </text>
    </comment>
    <comment ref="BI295" authorId="0" shapeId="0" xr:uid="{4597750F-3A00-4191-8854-5DB3B27B8024}">
      <text>
        <r>
          <rPr>
            <b/>
            <sz val="8"/>
            <color indexed="81"/>
            <rFont val="Tahoma"/>
            <family val="2"/>
          </rPr>
          <t>CFO, 9/17/25: 
Renasight ASP: mid-$600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298" authorId="4" shapeId="0" xr:uid="{20AB1F86-6F0F-4187-BDF7-09C89CD9A24D}">
      <text>
        <r>
          <rPr>
            <b/>
            <sz val="8"/>
            <color indexed="81"/>
            <rFont val="Tahoma"/>
            <family val="2"/>
          </rPr>
          <t>4Q25 post call:
Renasight: ~$20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298" authorId="0" shapeId="0" xr:uid="{6505AC9B-1203-49E7-AE0D-D657852F80F4}">
      <text>
        <r>
          <rPr>
            <b/>
            <sz val="8"/>
            <color indexed="81"/>
            <rFont val="Tahoma"/>
            <family val="2"/>
          </rPr>
          <t>CFO, 9/17/25: 
Renasight: ~$15 million revs/qtr now</t>
        </r>
      </text>
    </comment>
    <comment ref="AJ303" authorId="3" shapeId="0" xr:uid="{77618972-C8BC-4562-A62D-E796C26F07C5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~18k</t>
        </r>
      </text>
    </comment>
    <comment ref="AO303" authorId="3" shapeId="0" xr:uid="{73EBCB5C-0A54-4D72-A84D-9D40338F6F74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~76k</t>
        </r>
      </text>
    </comment>
    <comment ref="AT303" authorId="3" shapeId="0" xr:uid="{1D44D387-1631-4A91-A705-8E91859B702C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~190k</t>
        </r>
      </text>
    </comment>
    <comment ref="AX303" authorId="0" shapeId="0" xr:uid="{621DA27C-731A-4D8F-8F89-E573BEF16074}">
      <text>
        <r>
          <rPr>
            <b/>
            <sz val="8"/>
            <color indexed="81"/>
            <rFont val="Tahoma"/>
            <family val="2"/>
          </rPr>
          <t>4Q24: 
Oncology vol: 98,000 in 4Q23</t>
        </r>
      </text>
    </comment>
    <comment ref="AY303" authorId="2" shapeId="0" xr:uid="{2C3CD34A-A4C4-49FE-86C5-A930A27D5015}">
      <text>
        <r>
          <rPr>
            <b/>
            <sz val="8"/>
            <color indexed="81"/>
            <rFont val="Tahoma"/>
            <family val="2"/>
          </rPr>
          <t xml:space="preserve">4Q24: reported 341,000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303" authorId="1" shapeId="0" xr:uid="{10964D4D-56A2-496A-9FD3-5785451E197D}">
      <text>
        <r>
          <rPr>
            <b/>
            <sz val="8"/>
            <color indexed="81"/>
            <rFont val="Tahoma"/>
            <family val="2"/>
          </rPr>
          <t>'26 JPM: 233,300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303" authorId="1" shapeId="0" xr:uid="{0C47B73F-75A1-4C00-AA8B-876F56646F10}">
      <text>
        <r>
          <rPr>
            <b/>
            <sz val="8"/>
            <color indexed="81"/>
            <rFont val="Tahoma"/>
            <family val="2"/>
          </rPr>
          <t>JPM '26: 800,000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308" authorId="3" shapeId="0" xr:uid="{4274DF64-6731-4FE6-93ED-EA59AD575836}">
      <text>
        <r>
          <rPr>
            <b/>
            <sz val="9"/>
            <color indexed="81"/>
            <rFont val="Tahoma"/>
            <family val="2"/>
          </rPr>
          <t>over $1,000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08" authorId="3" shapeId="0" xr:uid="{DA56D1ED-C40F-404C-AF87-93479B433918}">
      <text>
        <r>
          <rPr>
            <b/>
            <sz val="9"/>
            <color indexed="81"/>
            <rFont val="Tahoma"/>
            <family val="2"/>
          </rPr>
          <t>up a little sequentially; expect continued momentum from Medicare Advantage and biomarkers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08" authorId="2" shapeId="0" xr:uid="{F6AB669B-13E9-46F7-8FA4-262B500E7C15}">
      <text>
        <r>
          <rPr>
            <sz val="9"/>
            <color indexed="81"/>
            <rFont val="Tahoma"/>
            <family val="2"/>
          </rPr>
          <t xml:space="preserve">&gt;$1,100
</t>
        </r>
      </text>
    </comment>
    <comment ref="BG308" authorId="0" shapeId="0" xr:uid="{695DB000-588F-4234-AC8F-446A45B3FA16}">
      <text>
        <r>
          <rPr>
            <b/>
            <sz val="8"/>
            <color indexed="81"/>
            <rFont val="Tahoma"/>
            <family val="2"/>
          </rPr>
          <t>3Q25: ~$1,200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308" authorId="0" shapeId="0" xr:uid="{899385BA-B254-46F3-B716-675FDCF360DD}">
      <text>
        <r>
          <rPr>
            <b/>
            <sz val="8"/>
            <color indexed="81"/>
            <rFont val="Tahoma"/>
            <family val="2"/>
          </rPr>
          <t>3Q25: ~+$50/test in 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18" authorId="0" shapeId="0" xr:uid="{C14B2C3D-816D-4667-8AB9-D0C1479DED58}">
      <text>
        <r>
          <rPr>
            <b/>
            <sz val="8"/>
            <color indexed="81"/>
            <rFont val="Tahoma"/>
            <family val="2"/>
          </rPr>
          <t>2Q25: 
Signatera clinical units: +20,000 Q/Q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18" authorId="1" shapeId="0" xr:uid="{37D3943F-E0B0-418F-BF13-3486542B3038}">
      <text>
        <r>
          <rPr>
            <b/>
            <sz val="8"/>
            <color indexed="81"/>
            <rFont val="Tahoma"/>
            <family val="2"/>
          </rPr>
          <t>3Q25: 21.5K q/q clinical units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22" authorId="2" shapeId="0" xr:uid="{15BBED54-DAD6-4965-9E86-F4267AC19DE3}">
      <text>
        <r>
          <rPr>
            <b/>
            <sz val="8"/>
            <color indexed="81"/>
            <rFont val="Tahoma"/>
            <family val="2"/>
          </rPr>
          <t>1Q25: ASP of Signatera &gt;$1,100</t>
        </r>
      </text>
    </comment>
    <comment ref="BS322" authorId="2" shapeId="0" xr:uid="{98BB4340-5AC1-410A-9402-38417D628990}">
      <text>
        <r>
          <rPr>
            <b/>
            <sz val="8"/>
            <color indexed="81"/>
            <rFont val="Tahoma"/>
            <family val="2"/>
          </rPr>
          <t>1Q25: ASP of Signatera has potential to move above $2,000 per test</t>
        </r>
      </text>
    </comment>
    <comment ref="AZ337" authorId="0" shapeId="0" xr:uid="{43513348-D18D-4AB1-9272-103D09AFD180}">
      <text>
        <r>
          <rPr>
            <b/>
            <sz val="8"/>
            <color indexed="81"/>
            <rFont val="Tahoma"/>
            <family val="2"/>
          </rPr>
          <t>1Q24: Clinical Oncology units: 106,000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37" authorId="3" shapeId="0" xr:uid="{3DF182EA-E6E7-4666-8FC1-77C641C43148}">
      <text>
        <r>
          <rPr>
            <b/>
            <sz val="9"/>
            <color indexed="81"/>
            <rFont val="Tahoma"/>
            <family val="2"/>
          </rPr>
          <t>+13k seq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37" authorId="3" shapeId="0" xr:uid="{3703FD1A-9D28-403D-B2AF-240F403A1559}">
      <text>
        <r>
          <rPr>
            <b/>
            <sz val="9"/>
            <color indexed="81"/>
            <rFont val="Tahoma"/>
            <family val="2"/>
          </rPr>
          <t>130k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337" authorId="3" shapeId="0" xr:uid="{9FC00A4B-52D1-4C37-921B-89427ADAF4EE}">
      <text>
        <r>
          <rPr>
            <b/>
            <sz val="9"/>
            <color indexed="81"/>
            <rFont val="Tahoma"/>
            <family val="2"/>
          </rPr>
          <t>145k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37" authorId="3" shapeId="0" xr:uid="{27EA536C-63A6-41AC-AB70-059EBA138A0F}">
      <text>
        <r>
          <rPr>
            <b/>
            <sz val="9"/>
            <color indexed="81"/>
            <rFont val="Tahoma"/>
            <family val="2"/>
          </rPr>
          <t>161k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37" authorId="0" shapeId="0" xr:uid="{B83DFF0F-824F-4978-9EB8-BACCBB0D7492}">
      <text>
        <r>
          <rPr>
            <b/>
            <sz val="8"/>
            <color indexed="81"/>
            <rFont val="Tahoma"/>
            <family val="2"/>
          </rPr>
          <t>2Q25: 
Signatera clinical units: 
181,000 tests
+20,000 Q/Q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37" authorId="1" shapeId="0" xr:uid="{52C0BDA8-742F-4CCB-A08D-D7A9025E969D}">
      <text>
        <r>
          <rPr>
            <b/>
            <sz val="8"/>
            <color indexed="81"/>
            <rFont val="Tahoma"/>
            <family val="2"/>
          </rPr>
          <t>3Q25: 
Clinical MRD units:
202,000
+21,500 Q/Q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337" authorId="1" shapeId="0" xr:uid="{A0F96829-46B0-4937-8219-6F1932EDD040}">
      <text>
        <r>
          <rPr>
            <b/>
            <sz val="9"/>
            <color indexed="81"/>
            <rFont val="Tahoma"/>
            <family val="2"/>
          </rPr>
          <t>'26 JPM: 225,300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337" authorId="1" shapeId="0" xr:uid="{9D55613A-4173-4D9F-AEC9-D62D557CC46A}">
      <text>
        <r>
          <rPr>
            <b/>
            <sz val="8"/>
            <color indexed="81"/>
            <rFont val="Tahoma"/>
            <family val="2"/>
          </rPr>
          <t>JPM '26: 769,700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E340" authorId="0" shapeId="0" xr:uid="{8CAEABBE-4E0E-4BD7-B149-DC95F657DF1F}">
      <text>
        <r>
          <rPr>
            <b/>
            <sz val="8"/>
            <color indexed="81"/>
            <rFont val="Tahoma"/>
            <family val="2"/>
          </rPr>
          <t>1Q25: 
Signatera Clinical vols: ~+16,500 units Q/Q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340" authorId="1" shapeId="0" xr:uid="{D0AFA368-6D93-4078-8032-0A9DA027DDDE}">
      <text>
        <r>
          <rPr>
            <b/>
            <sz val="8"/>
            <color indexed="81"/>
            <rFont val="Tahoma"/>
            <family val="2"/>
          </rPr>
          <t>4Q25: ~20K q/q
3Q25: Average ~+18,000 Q/Q</t>
        </r>
      </text>
    </comment>
    <comment ref="BC342" authorId="3" shapeId="0" xr:uid="{90E6BDBB-B486-483E-A3EB-CD9CFEA25F15}">
      <text>
        <r>
          <rPr>
            <b/>
            <sz val="9"/>
            <color indexed="81"/>
            <rFont val="Tahoma"/>
            <family val="2"/>
          </rPr>
          <t>~$1,100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42" authorId="0" shapeId="0" xr:uid="{DA9E096B-8F16-4C2F-9C5C-329BE3DA9261}">
      <text>
        <r>
          <rPr>
            <b/>
            <sz val="8"/>
            <color indexed="81"/>
            <rFont val="Tahoma"/>
            <family val="2"/>
          </rPr>
          <t>1Q25: No formal comment; referenced ~$1,100</t>
        </r>
      </text>
    </comment>
    <comment ref="BF342" authorId="0" shapeId="0" xr:uid="{08824184-7068-4AC2-8E81-EA736E2D75A7}">
      <text>
        <r>
          <rPr>
            <b/>
            <sz val="8"/>
            <color indexed="81"/>
            <rFont val="Tahoma"/>
            <family val="2"/>
          </rPr>
          <t>2Q25: 
Signatera ASP: ~$1,175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42" authorId="1" shapeId="0" xr:uid="{E42D41C4-5F56-4828-838C-2BD6C7E7DA74}">
      <text>
        <r>
          <rPr>
            <b/>
            <sz val="8"/>
            <color indexed="81"/>
            <rFont val="Tahoma"/>
            <family val="2"/>
          </rPr>
          <t>3Q25: ~$1,200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342" authorId="1" shapeId="0" xr:uid="{DF0C3FDE-7226-4776-A214-B4168BCBCC51}">
      <text>
        <r>
          <rPr>
            <b/>
            <sz val="8"/>
            <color indexed="81"/>
            <rFont val="Tahoma"/>
            <family val="2"/>
          </rPr>
          <t>3Q25: ~$1,200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342" authorId="4" shapeId="0" xr:uid="{E1CD5070-B7AB-45F1-A161-E3A5D0810CEF}">
      <text>
        <r>
          <rPr>
            <b/>
            <sz val="8"/>
            <color indexed="81"/>
            <rFont val="Tahoma"/>
            <family val="2"/>
          </rPr>
          <t>4Q25: Imply ~$1,250 by 4Q26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342" authorId="1" shapeId="0" xr:uid="{E1F55A8F-F632-4F74-B59E-B467F0FC87CF}">
      <text>
        <r>
          <rPr>
            <b/>
            <sz val="8"/>
            <color indexed="81"/>
            <rFont val="Tahoma"/>
            <family val="2"/>
          </rPr>
          <t>4Q25: +$30 vs 4Q
3Q25: $50 increase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477" authorId="0" shapeId="0" xr:uid="{F01F0FE1-6712-4A10-AD58-6B36755A3E4E}">
      <text>
        <r>
          <rPr>
            <b/>
            <sz val="8"/>
            <color indexed="81"/>
            <rFont val="Tahoma"/>
            <family val="2"/>
          </rPr>
          <t>1Q24 10-Q: -$9.2 million reduction in 1Q23</t>
        </r>
      </text>
    </comment>
    <comment ref="BH477" authorId="4" shapeId="0" xr:uid="{84FCE20E-0D01-455E-AB54-FDFCADCF5686}">
      <text>
        <r>
          <rPr>
            <b/>
            <sz val="8"/>
            <color indexed="81"/>
            <rFont val="Tahoma"/>
            <family val="2"/>
          </rPr>
          <t>4Q25: True Ups: ~$65 milllion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485" authorId="4" shapeId="0" xr:uid="{612EC3FB-F77E-4B1E-8CE4-F33ABA071487}">
      <text>
        <r>
          <rPr>
            <b/>
            <sz val="8"/>
            <color indexed="81"/>
            <rFont val="Tahoma"/>
            <family val="2"/>
          </rPr>
          <t xml:space="preserve">4Q25: Organic GM 63.7%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485" authorId="1" shapeId="0" xr:uid="{E3966D29-3B51-43CD-9770-933AC79A5581}">
      <text>
        <r>
          <rPr>
            <b/>
            <sz val="8"/>
            <color indexed="81"/>
            <rFont val="Tahoma"/>
            <family val="2"/>
          </rPr>
          <t>3Q25: ~+100bps in 2026 ex-true ups</t>
        </r>
      </text>
    </comment>
    <comment ref="BI509" authorId="2" shapeId="0" xr:uid="{BEA7C387-AD68-467E-A45A-AC3CC2538BBA}">
      <text>
        <r>
          <rPr>
            <b/>
            <sz val="8"/>
            <color indexed="81"/>
            <rFont val="Tahoma"/>
            <family val="2"/>
          </rPr>
          <t>3/12/25: payer mix relatively constant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531" authorId="2" shapeId="0" xr:uid="{1BB55698-09CD-4CA4-957D-6137B9462795}">
      <text>
        <r>
          <rPr>
            <b/>
            <sz val="8"/>
            <color indexed="81"/>
            <rFont val="Tahoma"/>
            <family val="2"/>
          </rPr>
          <t>As of Dec 31, 2022</t>
        </r>
      </text>
    </comment>
    <comment ref="AY531" authorId="2" shapeId="0" xr:uid="{C4CEDBED-7066-40A5-99B4-1B4CC2C838E1}">
      <text>
        <r>
          <rPr>
            <b/>
            <sz val="8"/>
            <color indexed="81"/>
            <rFont val="Tahoma"/>
            <family val="2"/>
          </rPr>
          <t>As of Dec 31, 2023</t>
        </r>
      </text>
    </comment>
    <comment ref="BD531" authorId="2" shapeId="0" xr:uid="{5741D4F6-3B23-4690-A863-5BE8998F7151}">
      <text>
        <r>
          <rPr>
            <b/>
            <sz val="8"/>
            <color indexed="81"/>
            <rFont val="Tahoma"/>
            <family val="2"/>
          </rPr>
          <t>As of Dec 31, 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Bank of America User</author>
    <author>Brandon Couillard</author>
    <author>Mercado, Christopher</author>
    <author>Tong, Nelson</author>
  </authors>
  <commentList>
    <comment ref="A53" authorId="0" shapeId="0" xr:uid="{00000000-0006-0000-0500-000005000000}">
      <text>
        <r>
          <rPr>
            <sz val="8"/>
            <color indexed="81"/>
            <rFont val="Tahoma"/>
            <family val="2"/>
          </rPr>
          <t>Share dilution in percentage of current share outstanding</t>
        </r>
      </text>
    </comment>
    <comment ref="BC55" authorId="1" shapeId="0" xr:uid="{444AF177-44D3-4AC8-B815-9EC8C02D7E92}">
      <text>
        <r>
          <rPr>
            <b/>
            <sz val="8"/>
            <color indexed="81"/>
            <rFont val="Tahoma"/>
            <family val="2"/>
          </rPr>
          <t>10/11/24: Issued 7.5 million shares related to convert redemption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55" authorId="2" shapeId="0" xr:uid="{0C736483-7397-48CB-B96C-6A73A893964F}">
      <text>
        <r>
          <rPr>
            <b/>
            <sz val="8"/>
            <color indexed="81"/>
            <rFont val="Tahoma"/>
            <family val="2"/>
          </rPr>
          <t>12/5/2025 8K: share issuance for Foresight deal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65" authorId="3" shapeId="0" xr:uid="{70DA0913-E0A3-4C98-8326-175839DD8DE0}">
      <text>
        <r>
          <rPr>
            <b/>
            <sz val="8"/>
            <color indexed="81"/>
            <rFont val="Tahoma"/>
            <family val="2"/>
          </rPr>
          <t>3Q24: DSO dropped to 73 days after &gt;~mid-90s range for past quaters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65" authorId="3" shapeId="0" xr:uid="{45152915-F7C9-423E-9487-1CBC82DB1D09}">
      <text>
        <r>
          <rPr>
            <b/>
            <sz val="8"/>
            <color indexed="81"/>
            <rFont val="Tahoma"/>
            <family val="2"/>
          </rPr>
          <t>3Q24: Mgmt expcts volatility in DSO and cash flow post 3Q24 due to working capital dynamics.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Mercado, Christopher</author>
    <author>Tong, Nelson</author>
  </authors>
  <commentList>
    <comment ref="BH25" authorId="0" shapeId="0" xr:uid="{EBF492EF-D185-4405-9629-5A83A073DF39}">
      <text>
        <r>
          <rPr>
            <b/>
            <sz val="8"/>
            <color indexed="81"/>
            <rFont val="Tahoma"/>
            <family val="2"/>
          </rPr>
          <t>12/5/2025: Foresight Dx deal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35" authorId="1" shapeId="0" xr:uid="{0FCDEE4E-5CF0-4B6C-B61F-8E7776ADDEEC}">
      <text>
        <r>
          <rPr>
            <b/>
            <sz val="8"/>
            <color indexed="81"/>
            <rFont val="Tahoma"/>
            <family val="2"/>
          </rPr>
          <t xml:space="preserve">3Q24: Equity offering raised ~$235 million,  sold 4.550 million shares at $55 per share. </t>
        </r>
      </text>
    </comment>
    <comment ref="BH35" authorId="0" shapeId="0" xr:uid="{2A0B1230-23D9-4012-AFAF-D9E5512AF604}">
      <text>
        <r>
          <rPr>
            <b/>
            <sz val="8"/>
            <color indexed="81"/>
            <rFont val="Tahoma"/>
            <family val="2"/>
          </rPr>
          <t>12/5/25: Proceeds from stock issued for Foresight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2" authorId="1" shapeId="0" xr:uid="{BC48C182-5AB5-444C-8D15-6C0DA11C9C57}">
      <text>
        <r>
          <rPr>
            <b/>
            <sz val="8"/>
            <color indexed="81"/>
            <rFont val="Tahoma"/>
            <family val="2"/>
          </rPr>
          <t>4Q23: lowered cash burn by ~$193 million in 2023</t>
        </r>
      </text>
    </comment>
    <comment ref="BC61" authorId="1" shapeId="0" xr:uid="{93F4B7DC-9499-4217-B413-C554654A9E19}">
      <text>
        <r>
          <rPr>
            <b/>
            <sz val="8"/>
            <color indexed="81"/>
            <rFont val="Tahoma"/>
            <family val="2"/>
          </rPr>
          <t>4Q24: cash flow of ~$45.7 million</t>
        </r>
      </text>
    </comment>
    <comment ref="BD61" authorId="1" shapeId="0" xr:uid="{FFE7BC49-4F4C-43C2-8506-BBB9B8AC2049}">
      <text>
        <r>
          <rPr>
            <b/>
            <sz val="8"/>
            <color indexed="81"/>
            <rFont val="Tahoma"/>
            <family val="2"/>
          </rPr>
          <t>1Q24: cash flow breakeven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4Q23: cash flow breakeven by 24Q3 or sooner</t>
        </r>
      </text>
    </comment>
    <comment ref="BH61" authorId="0" shapeId="0" xr:uid="{1D9A15FC-537D-4E09-A779-D26F60805D15}">
      <text>
        <r>
          <rPr>
            <b/>
            <sz val="9"/>
            <color indexed="81"/>
            <rFont val="Tahoma"/>
            <family val="2"/>
          </rPr>
          <t>'26 JPM: $30M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61" authorId="1" shapeId="0" xr:uid="{8BDDC2D2-2C55-484C-A4EF-A753F38F6D76}">
      <text>
        <r>
          <rPr>
            <b/>
            <sz val="8"/>
            <color indexed="81"/>
            <rFont val="Tahoma"/>
            <family val="2"/>
          </rPr>
          <t>3Q25: $100M
1Q25: net cash flow &gt; 0
4Q24: net cash flow &gt; 0
3Q24: Best use of cash flow is to re-invest to support Signatera growth</t>
        </r>
      </text>
    </comment>
    <comment ref="BN61" authorId="0" shapeId="0" xr:uid="{626C0843-8FDE-4EC6-AC16-51EAE5406D58}">
      <text>
        <r>
          <rPr>
            <b/>
            <sz val="8"/>
            <color indexed="81"/>
            <rFont val="Tahoma"/>
            <family val="2"/>
          </rPr>
          <t>4Q25: CF Positive
3Q25: positive CF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65" authorId="1" shapeId="0" xr:uid="{986CA361-3482-4C31-B5D7-0A1986EA5DF4}">
      <text>
        <r>
          <rPr>
            <b/>
            <sz val="8"/>
            <color indexed="81"/>
            <rFont val="Tahoma"/>
            <family val="2"/>
          </rPr>
          <t>1Q24: cash flow breakeven (+3 million)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65" authorId="1" shapeId="0" xr:uid="{A8751D8A-1C0F-41FF-90A1-05152105AADD}">
      <text>
        <r>
          <rPr>
            <b/>
            <sz val="8"/>
            <color indexed="81"/>
            <rFont val="Tahoma"/>
            <family val="2"/>
          </rPr>
          <t>2Q24: cash flow breakeven (+3 million)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65" authorId="1" shapeId="0" xr:uid="{7B729714-BE57-4BD3-B330-EE5CDC376A70}">
      <text>
        <r>
          <rPr>
            <b/>
            <sz val="8"/>
            <color indexed="81"/>
            <rFont val="Tahoma"/>
            <family val="2"/>
          </rPr>
          <t>4Q24: cash flow of ~$45.7 million</t>
        </r>
      </text>
    </comment>
    <comment ref="BD65" authorId="1" shapeId="0" xr:uid="{230A28A2-C32A-4F26-A2FA-92084F0CF0C8}">
      <text>
        <r>
          <rPr>
            <b/>
            <sz val="8"/>
            <color indexed="81"/>
            <rFont val="Tahoma"/>
            <family val="2"/>
          </rPr>
          <t>3Q24: +$50 million to +$75 million
2Q24: -$25 million to $25 million, cash flow breakeven FY 
1Q24: -$25 million to $25 million, cash flow breakeven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4Q23: -$75 million to -$50 million, cash flow breakeven by 24Q3 or sooner
</t>
        </r>
      </text>
    </comment>
    <comment ref="BI65" authorId="1" shapeId="0" xr:uid="{717F52CA-AA71-450A-9208-A80BA3D90F22}">
      <text>
        <r>
          <rPr>
            <b/>
            <sz val="8"/>
            <color indexed="81"/>
            <rFont val="Tahoma"/>
            <family val="2"/>
          </rPr>
          <t>1Q25: net cash flow &gt; 0
4Q24: net cash flow &gt; 0
3Q24: Best use of cash flow is to re-invest to support Signatera growth</t>
        </r>
      </text>
    </comment>
    <comment ref="AP66" authorId="1" shapeId="0" xr:uid="{C0673872-DD21-4E7B-88E4-697F16B43AB2}">
      <text>
        <r>
          <rPr>
            <b/>
            <sz val="8"/>
            <color indexed="81"/>
            <rFont val="Tahoma"/>
            <family val="2"/>
          </rPr>
          <t xml:space="preserve">3Q24: included $13.4 million in unrealized loss and amortization/accretion on investments </t>
        </r>
      </text>
    </comment>
    <comment ref="AU66" authorId="1" shapeId="0" xr:uid="{8DC97CFA-E8D9-4902-AD1A-1609769A79F7}">
      <text>
        <r>
          <rPr>
            <b/>
            <sz val="8"/>
            <color indexed="81"/>
            <rFont val="Tahoma"/>
            <family val="2"/>
          </rPr>
          <t xml:space="preserve">3Q24: included $3.8 million in unrealized gain and amortization/accretion on investments </t>
        </r>
      </text>
    </comment>
    <comment ref="AZ66" authorId="1" shapeId="0" xr:uid="{7918601F-0D75-4D05-B875-3DB721946D8D}">
      <text>
        <r>
          <rPr>
            <b/>
            <sz val="8"/>
            <color indexed="81"/>
            <rFont val="Tahoma"/>
            <family val="2"/>
          </rPr>
          <t>2Q24: cash flow breakeven (+3 million)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6/10/24: cash flow breakeven - 1st time in company's history</t>
        </r>
      </text>
    </comment>
    <comment ref="BA66" authorId="1" shapeId="0" xr:uid="{C1DCA8F2-FC39-4526-9AD3-83EB3204FBB7}">
      <text>
        <r>
          <rPr>
            <b/>
            <sz val="8"/>
            <color indexed="81"/>
            <rFont val="Tahoma"/>
            <family val="2"/>
          </rPr>
          <t>2Q24: cash flow breakeven (+3 million), 2nd consecutive qtrs CF breakeven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66" authorId="1" shapeId="0" xr:uid="{D132CF24-66BC-4329-94AF-9E5C897A65AD}">
      <text>
        <r>
          <rPr>
            <b/>
            <sz val="8"/>
            <color indexed="81"/>
            <rFont val="Tahoma"/>
            <family val="2"/>
          </rPr>
          <t xml:space="preserve">3Q24: $34.5 million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66" authorId="1" shapeId="0" xr:uid="{2955859C-FC25-4328-B2F6-7C2B4552FDB5}">
      <text>
        <r>
          <rPr>
            <b/>
            <sz val="8"/>
            <color indexed="81"/>
            <rFont val="Tahoma"/>
            <family val="2"/>
          </rPr>
          <t>1Q24: cash flow breakeven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4Q23: cash flow breakeven by 24Q3 or sooner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Bank of America User</author>
    <author>Christian Trigani</author>
    <author>Tong, Nelson</author>
    <author>Brandon Couillard</author>
    <author>Kate Blanton</author>
    <author xml:space="preserve"> </author>
    <author>Mercado, Christopher</author>
    <author>bcouillard</author>
  </authors>
  <commentList>
    <comment ref="A14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12/18 (8-K Filing): Entered into agreement with MB Financial Bank. Provides up to ~$25.6 million in capacity with a maturity date of December 10th, 2022 maturity date. 
06/15:  $5.1 billion in capacity; due June 12, 2019
11/2006: $1 billion in capacity; due August 2011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8" authorId="1" shapeId="0" xr:uid="{4D01393F-22F1-4E84-9CD9-0866DCF9F55C}">
      <text>
        <r>
          <rPr>
            <b/>
            <sz val="8"/>
            <color indexed="81"/>
            <rFont val="Tahoma"/>
            <family val="2"/>
          </rPr>
          <t>3Q23 (10Q):
issued $___ M 2.25% convertible seniro notes due 2027
Carry a 2.25% interest rate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C18" authorId="2" shapeId="0" xr:uid="{4FD87B34-4486-437D-975E-D23D71A51FBE}">
      <text>
        <r>
          <rPr>
            <b/>
            <sz val="8"/>
            <color indexed="81"/>
            <rFont val="Tahoma"/>
            <family val="2"/>
          </rPr>
          <t>3Q24: Retired convertible notes due 2027 on Oct 11, 2024. Carrying value $283.9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2" authorId="3" shapeId="0" xr:uid="{C10C2F02-83E2-49AF-8D25-8DC68DDCB0C6}">
      <text>
        <r>
          <rPr>
            <b/>
            <sz val="8"/>
            <color indexed="81"/>
            <rFont val="Tahoma"/>
            <family val="2"/>
          </rPr>
          <t>1Q21 10-Q: $2.9 million</t>
        </r>
      </text>
    </comment>
    <comment ref="F38" authorId="3" shapeId="0" xr:uid="{00000000-0006-0000-0900-000010000000}">
      <text>
        <r>
          <rPr>
            <b/>
            <sz val="8"/>
            <color indexed="81"/>
            <rFont val="Tahoma"/>
            <family val="2"/>
          </rPr>
          <t>1Q14 post-call: 
~$12 million; 1H14 &gt; 2H14</t>
        </r>
      </text>
    </comment>
    <comment ref="H38" authorId="4" shapeId="0" xr:uid="{00000000-0006-0000-0900-000011000000}">
      <text>
        <r>
          <rPr>
            <b/>
            <sz val="8"/>
            <color indexed="81"/>
            <rFont val="Tahoma"/>
            <family val="2"/>
          </rPr>
          <t>2Q15 10-Q: Includes $3.7M to purchase of new building</t>
        </r>
      </text>
    </comment>
    <comment ref="K38" authorId="3" shapeId="0" xr:uid="{00000000-0006-0000-0900-000012000000}">
      <text>
        <r>
          <rPr>
            <b/>
            <sz val="8"/>
            <color indexed="81"/>
            <rFont val="Tahoma"/>
            <family val="2"/>
          </rPr>
          <t>1Q14 post-call: 
~$12 million; 1H14 &gt; 2H14</t>
        </r>
      </text>
    </comment>
    <comment ref="S38" authorId="1" shapeId="0" xr:uid="{00000000-0006-0000-0900-000013000000}">
      <text>
        <r>
          <rPr>
            <b/>
            <sz val="8"/>
            <color indexed="81"/>
            <rFont val="Tahoma"/>
            <family val="2"/>
          </rPr>
          <t>2Q17: ~$15 million to ~$20 million</t>
        </r>
      </text>
    </comment>
    <comment ref="T38" authorId="1" shapeId="0" xr:uid="{00000000-0006-0000-0900-000014000000}">
      <text>
        <r>
          <rPr>
            <b/>
            <sz val="8"/>
            <color indexed="81"/>
            <rFont val="Tahoma"/>
            <family val="2"/>
          </rPr>
          <t>2Q17: ~$15 million to ~$20 million</t>
        </r>
      </text>
    </comment>
    <comment ref="U38" authorId="3" shapeId="0" xr:uid="{00000000-0006-0000-0900-000015000000}">
      <text>
        <r>
          <rPr>
            <b/>
            <sz val="8"/>
            <color indexed="81"/>
            <rFont val="Tahoma"/>
            <family val="2"/>
          </rPr>
          <t>Assumes additional facility expansion / new site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38" authorId="5" shapeId="0" xr:uid="{00000000-0006-0000-0900-000016000000}">
      <text>
        <r>
          <rPr>
            <b/>
            <sz val="8"/>
            <color indexed="81"/>
            <rFont val="Tahoma"/>
            <family val="2"/>
          </rPr>
          <t xml:space="preserve">4Q17: $30 million to $35 million </t>
        </r>
      </text>
    </comment>
    <comment ref="W38" authorId="5" shapeId="0" xr:uid="{00000000-0006-0000-0900-000017000000}">
      <text>
        <r>
          <rPr>
            <b/>
            <sz val="8"/>
            <color indexed="81"/>
            <rFont val="Tahoma"/>
            <family val="2"/>
          </rPr>
          <t xml:space="preserve">1Q18: ~$40 million  </t>
        </r>
      </text>
    </comment>
    <comment ref="Z38" authorId="5" shapeId="0" xr:uid="{00000000-0006-0000-0900-000018000000}">
      <text>
        <r>
          <rPr>
            <b/>
            <sz val="8"/>
            <color indexed="81"/>
            <rFont val="Tahoma"/>
            <family val="2"/>
          </rPr>
          <t xml:space="preserve">3Q18: $175 million 
2Q18: $150 million to $175 million
1Q18: $150 million to $175 million
4Q17: $150 million to $175 million mainly for investment in capacity build out </t>
        </r>
      </text>
    </comment>
    <comment ref="AA39" authorId="3" shapeId="0" xr:uid="{9FB65102-5B1B-4165-ACBE-47F0B467F6C6}">
      <text>
        <r>
          <rPr>
            <b/>
            <sz val="8"/>
            <color indexed="81"/>
            <rFont val="Tahoma"/>
            <family val="2"/>
          </rPr>
          <t>1Q19 10-Q: 
$6.3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 xr:uid="{00000000-0006-0000-0900-000009000000}">
      <text>
        <r>
          <rPr>
            <b/>
            <sz val="8"/>
            <color indexed="81"/>
            <rFont val="Tahoma"/>
            <family val="2"/>
          </rPr>
          <t>Long-term Cap-EX Growth rate</t>
        </r>
      </text>
    </comment>
    <comment ref="A42" authorId="0" shapeId="0" xr:uid="{00000000-0006-0000-0900-000019000000}">
      <text>
        <r>
          <rPr>
            <b/>
            <sz val="8"/>
            <color indexed="81"/>
            <rFont val="Tahoma"/>
            <family val="2"/>
          </rPr>
          <t xml:space="preserve">Avg life of depreciable assets
</t>
        </r>
      </text>
    </comment>
    <comment ref="A49" authorId="0" shapeId="0" xr:uid="{00000000-0006-0000-0900-00001A000000}">
      <text>
        <r>
          <rPr>
            <b/>
            <sz val="8"/>
            <color indexed="81"/>
            <rFont val="Tahoma"/>
            <family val="2"/>
          </rPr>
          <t xml:space="preserve">Avg life of depreciable assets
</t>
        </r>
      </text>
    </comment>
    <comment ref="BH53" authorId="6" shapeId="0" xr:uid="{E4387A41-8515-438E-86CD-BE209F0BF85E}">
      <text>
        <r>
          <rPr>
            <b/>
            <sz val="8"/>
            <color indexed="81"/>
            <rFont val="Tahoma"/>
            <family val="2"/>
          </rPr>
          <t>12/5/2025: Foresight Dx deal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6" authorId="0" shapeId="0" xr:uid="{00000000-0006-0000-0900-00001B000000}">
      <text>
        <r>
          <rPr>
            <b/>
            <sz val="8"/>
            <color indexed="81"/>
            <rFont val="Tahoma"/>
            <family val="2"/>
          </rPr>
          <t xml:space="preserve">Avg life of depreciable assets
</t>
        </r>
      </text>
    </comment>
    <comment ref="F61" authorId="7" shapeId="0" xr:uid="{00000000-0006-0000-0900-00001F000000}">
      <text>
        <r>
          <rPr>
            <b/>
            <sz val="8"/>
            <color indexed="81"/>
            <rFont val="Tahoma"/>
            <family val="2"/>
          </rPr>
          <t>Federal NOL: $422.7 million
State NOL: $232 million
(2014 10-K)</t>
        </r>
      </text>
    </comment>
    <comment ref="K61" authorId="7" shapeId="0" xr:uid="{00000000-0006-0000-0900-000020000000}">
      <text>
        <r>
          <rPr>
            <b/>
            <sz val="8"/>
            <color indexed="81"/>
            <rFont val="Tahoma"/>
            <family val="2"/>
          </rPr>
          <t>Federal NOL: $565.9 million
State NOL: $208.9 million
(2014 10-K)</t>
        </r>
      </text>
    </comment>
    <comment ref="BD61" authorId="3" shapeId="0" xr:uid="{11ACD2D6-1B84-402E-A5A4-A08947151B9B}">
      <text>
        <r>
          <rPr>
            <b/>
            <sz val="8"/>
            <color indexed="81"/>
            <rFont val="Tahoma"/>
            <family val="2"/>
          </rPr>
          <t>2024 10-K: $1.3 billion of federal NOLs that can be carried fwd indefinitely</t>
        </r>
      </text>
    </comment>
  </commentList>
</comments>
</file>

<file path=xl/sharedStrings.xml><?xml version="1.0" encoding="utf-8"?>
<sst xmlns="http://schemas.openxmlformats.org/spreadsheetml/2006/main" count="2839" uniqueCount="509">
  <si>
    <t>Brandon Couillard</t>
  </si>
  <si>
    <t>Historical results</t>
  </si>
  <si>
    <t>Projections</t>
  </si>
  <si>
    <t>Total</t>
  </si>
  <si>
    <t>Interest expense</t>
  </si>
  <si>
    <t>Interest income</t>
  </si>
  <si>
    <t>Net income</t>
  </si>
  <si>
    <t>Basic shares outstanding</t>
  </si>
  <si>
    <t>Diluted shares outstanding</t>
  </si>
  <si>
    <t>EBITDA</t>
  </si>
  <si>
    <t>Gross margin</t>
  </si>
  <si>
    <t>Operating margin</t>
  </si>
  <si>
    <t>Other</t>
  </si>
  <si>
    <t>Revenue</t>
  </si>
  <si>
    <t>Foreign exchange</t>
  </si>
  <si>
    <t>growth</t>
  </si>
  <si>
    <t>ASSETS</t>
  </si>
  <si>
    <t>Current Assets</t>
  </si>
  <si>
    <t>Cash and equivalents</t>
  </si>
  <si>
    <t>Accounts receivable, net</t>
  </si>
  <si>
    <t>Inventory</t>
  </si>
  <si>
    <t>Other current assets</t>
  </si>
  <si>
    <t>Total current assets</t>
  </si>
  <si>
    <t>Plant, property, and equipment, net</t>
  </si>
  <si>
    <t>Intangible assets, net</t>
  </si>
  <si>
    <t>Goodwill, net</t>
  </si>
  <si>
    <t>Other non-current assets</t>
  </si>
  <si>
    <t>Total long-term assets</t>
  </si>
  <si>
    <t>Total assets</t>
  </si>
  <si>
    <t>LIABILITIES AND SHAREHOLDERS' EQUITY</t>
  </si>
  <si>
    <t>Current Liabilities</t>
  </si>
  <si>
    <t>Accounts payable</t>
  </si>
  <si>
    <t>Accrued liabilities</t>
  </si>
  <si>
    <t>Income taxes payable</t>
  </si>
  <si>
    <t>Other current liabilities</t>
  </si>
  <si>
    <t>Current portion of debt</t>
  </si>
  <si>
    <t>Total current liabilities</t>
  </si>
  <si>
    <t>Long-term debt</t>
  </si>
  <si>
    <t>Deferred income taxes</t>
  </si>
  <si>
    <t>Other non-current liabilities</t>
  </si>
  <si>
    <t>Total long-term liabilities</t>
  </si>
  <si>
    <t>Total liabilities</t>
  </si>
  <si>
    <t>Preferred stock</t>
  </si>
  <si>
    <t>Common Stock</t>
  </si>
  <si>
    <t>Capital in excess of par value</t>
  </si>
  <si>
    <t>Retained earnings</t>
  </si>
  <si>
    <t>Accumulated other gain</t>
  </si>
  <si>
    <t>Total shareholders' equity</t>
  </si>
  <si>
    <t>Total liabilities and shareholders' equity</t>
  </si>
  <si>
    <t>Check Balance</t>
  </si>
  <si>
    <t>Average shares outstanding, beginning</t>
  </si>
  <si>
    <t>Assumption for share dilution</t>
  </si>
  <si>
    <t>Treasury shares repurchased</t>
  </si>
  <si>
    <t>Average shares outstanding, end</t>
  </si>
  <si>
    <t>Drivers</t>
  </si>
  <si>
    <t>Trailing-twelve month revenue</t>
  </si>
  <si>
    <t>Trailing-twelve month COGS</t>
  </si>
  <si>
    <t>DSO</t>
  </si>
  <si>
    <t>TTM DSO</t>
  </si>
  <si>
    <t>Inv days out</t>
  </si>
  <si>
    <t>TTM IDO</t>
  </si>
  <si>
    <t>Days payable outstanding</t>
  </si>
  <si>
    <t>Other liabilities outstanding</t>
  </si>
  <si>
    <t>Net Cash/Diluted Share</t>
  </si>
  <si>
    <t>Debt/Cap</t>
  </si>
  <si>
    <t>Net debt / TTM EBITDA</t>
  </si>
  <si>
    <t>Total debt / TTM EBITDA</t>
  </si>
  <si>
    <t>Cash Flows from Operating Activities</t>
  </si>
  <si>
    <t>Restructuring costs</t>
  </si>
  <si>
    <t>Equity compensation</t>
  </si>
  <si>
    <t>Other non-cash costs</t>
  </si>
  <si>
    <t>Changes in operating accounts</t>
  </si>
  <si>
    <t>Accounts receivable</t>
  </si>
  <si>
    <t>Other, net</t>
  </si>
  <si>
    <t>Cash Flow from Operations</t>
  </si>
  <si>
    <t>Cash Flows from Investing Activities</t>
  </si>
  <si>
    <t>Acquisition of businesses</t>
  </si>
  <si>
    <t>Purchase of identifiable intangibles</t>
  </si>
  <si>
    <t>Capital expenditures</t>
  </si>
  <si>
    <t>Disposals</t>
  </si>
  <si>
    <t>Net cash provided by investing activites</t>
  </si>
  <si>
    <t>Cash Flows from Financing Activities</t>
  </si>
  <si>
    <t>Changes to debt, net</t>
  </si>
  <si>
    <t>Proceeds from ESOP</t>
  </si>
  <si>
    <t>Cash paid for dividend</t>
  </si>
  <si>
    <t>Net cash provided by financing activities</t>
  </si>
  <si>
    <t>Net change in cash position</t>
  </si>
  <si>
    <t>Net change in cash post foreign exchange</t>
  </si>
  <si>
    <t>Cash and equivalents beginning of period</t>
  </si>
  <si>
    <t>Change in cash position</t>
  </si>
  <si>
    <t>Cash and equivalents end of period</t>
  </si>
  <si>
    <t>Balance Check</t>
  </si>
  <si>
    <t>Free cash flow</t>
  </si>
  <si>
    <t>Plant, property, and equipment</t>
  </si>
  <si>
    <t>Historical and Projected Summary Valuation Analysis</t>
  </si>
  <si>
    <t>Price</t>
  </si>
  <si>
    <t>Profitability Metrics</t>
  </si>
  <si>
    <t>Price/revenue</t>
  </si>
  <si>
    <t>Diluted earnings per share</t>
  </si>
  <si>
    <t>Price/EPS</t>
  </si>
  <si>
    <t>Cash flow from operations</t>
  </si>
  <si>
    <t>Capital spending</t>
  </si>
  <si>
    <t>Free cash flow yield</t>
  </si>
  <si>
    <t>Free cash flow per share</t>
  </si>
  <si>
    <t>Price/free cash flow</t>
  </si>
  <si>
    <t>Cash</t>
  </si>
  <si>
    <t>Shares outstanding</t>
  </si>
  <si>
    <t>Market capitalization</t>
  </si>
  <si>
    <t>Enterprise value</t>
  </si>
  <si>
    <t>EV/EBITDA</t>
  </si>
  <si>
    <t>Asset turnover</t>
  </si>
  <si>
    <t>ROA</t>
  </si>
  <si>
    <t>Interest-burden ratio</t>
  </si>
  <si>
    <t>Leverage ratio</t>
  </si>
  <si>
    <t>Tax-burden ratio</t>
  </si>
  <si>
    <t>ROE</t>
  </si>
  <si>
    <t>Balance Sheet Metrics</t>
  </si>
  <si>
    <t>Receivable days outstanding</t>
  </si>
  <si>
    <t>Inventory days outstanding</t>
  </si>
  <si>
    <t>Payable days outstanding</t>
  </si>
  <si>
    <t>Cash conversion cycle</t>
  </si>
  <si>
    <t>Total debt</t>
  </si>
  <si>
    <t>Shareholder's equity</t>
  </si>
  <si>
    <t>Debt/total capital</t>
  </si>
  <si>
    <t>Times interest earned</t>
  </si>
  <si>
    <t>Book value per share</t>
  </si>
  <si>
    <t>Price to book</t>
  </si>
  <si>
    <t>Other Accounts</t>
  </si>
  <si>
    <t>Cash, beginning</t>
  </si>
  <si>
    <t>Rate</t>
  </si>
  <si>
    <t>Trailing rate</t>
  </si>
  <si>
    <t>DEBT SCHEDULE</t>
  </si>
  <si>
    <t>Revolving Credit Line</t>
  </si>
  <si>
    <t>rate</t>
  </si>
  <si>
    <t>Long-term debt, total</t>
  </si>
  <si>
    <t>Current</t>
  </si>
  <si>
    <t>Total Debt</t>
  </si>
  <si>
    <t>Calculated interest expense</t>
  </si>
  <si>
    <t>Actual interest expense</t>
  </si>
  <si>
    <t>Beginning value</t>
  </si>
  <si>
    <t>Quarterly adjuster</t>
  </si>
  <si>
    <t>Additions</t>
  </si>
  <si>
    <t>Depreciation</t>
  </si>
  <si>
    <t>Ending value</t>
  </si>
  <si>
    <t>Finite Life Intangibles</t>
  </si>
  <si>
    <t>Additions/adjustments</t>
  </si>
  <si>
    <t>Amortization</t>
  </si>
  <si>
    <t>Goodwill</t>
  </si>
  <si>
    <t>Book value</t>
  </si>
  <si>
    <t>Research &amp; Development</t>
  </si>
  <si>
    <t>Net debt / Capital</t>
  </si>
  <si>
    <t>Amortization of deferred license fees</t>
  </si>
  <si>
    <t>Proceeds from common stock issuance</t>
  </si>
  <si>
    <t>Amortization and write-offs of patents</t>
  </si>
  <si>
    <t>Deferred license fees</t>
  </si>
  <si>
    <t>-</t>
  </si>
  <si>
    <t>Cash conversion cycle (latest)</t>
  </si>
  <si>
    <t>Cash conversion cycle (TTM)</t>
  </si>
  <si>
    <t>NOL</t>
  </si>
  <si>
    <t>Beginning</t>
  </si>
  <si>
    <t>Changes</t>
  </si>
  <si>
    <t>Ending</t>
  </si>
  <si>
    <t>Taxable income</t>
  </si>
  <si>
    <t>Tax expense</t>
  </si>
  <si>
    <t>R&amp;D</t>
  </si>
  <si>
    <t>nmf</t>
  </si>
  <si>
    <t>Net cash</t>
  </si>
  <si>
    <t>Debt</t>
  </si>
  <si>
    <t>% of revenue</t>
  </si>
  <si>
    <t>Enterprise value / revenue</t>
  </si>
  <si>
    <t>% of net income</t>
  </si>
  <si>
    <t xml:space="preserve">Free cash flow </t>
  </si>
  <si>
    <t>COGS</t>
  </si>
  <si>
    <t>Cash burn</t>
  </si>
  <si>
    <t>Cash burn (core)</t>
  </si>
  <si>
    <t>This sheet contains FactSet XML data for use with this workbook's =FDS codes.  Modifying the worksheet's contents may damage the workbook's =FDS functionality.</t>
  </si>
  <si>
    <t xml:space="preserve">Cash Interest Expense </t>
  </si>
  <si>
    <t xml:space="preserve">Non-cash interest expense </t>
  </si>
  <si>
    <t>Cash interest paid</t>
  </si>
  <si>
    <t>5-yr CAGR</t>
  </si>
  <si>
    <t>3-yr CAGR</t>
  </si>
  <si>
    <t xml:space="preserve">Cash utilization </t>
  </si>
  <si>
    <t>Convertible Senior Notes Due 2027</t>
  </si>
  <si>
    <t>`</t>
  </si>
  <si>
    <t>brandon.couillard@wellsfargo.com</t>
  </si>
  <si>
    <t>Important Disclaimers:</t>
  </si>
  <si>
    <t>Equity Research</t>
  </si>
  <si>
    <t>Financial Model</t>
  </si>
  <si>
    <t>Senior Analyst</t>
  </si>
  <si>
    <t>Life Science Tools &amp; Diagnostics</t>
  </si>
  <si>
    <t>Evan Stampler, PhD, CFA</t>
  </si>
  <si>
    <t>Vice President</t>
  </si>
  <si>
    <t>evan.stampler@wellsfargo.com</t>
  </si>
  <si>
    <t>212.214.5053</t>
  </si>
  <si>
    <t>212.214.5312</t>
  </si>
  <si>
    <t>$ in millions, except per share</t>
  </si>
  <si>
    <t>GAAP basic E.P.S.</t>
  </si>
  <si>
    <t>GAAP diluted E.P.S.</t>
  </si>
  <si>
    <t>Source: Natera and Wells Fargo Securities, LLC estimates.</t>
  </si>
  <si>
    <t>Selling, General &amp; Administrative</t>
  </si>
  <si>
    <t>Gross Profit</t>
  </si>
  <si>
    <t>Net Sales</t>
  </si>
  <si>
    <t>Income Before Taxes</t>
  </si>
  <si>
    <t>Income Tax</t>
  </si>
  <si>
    <t>Unrealized Gain on AFS Securities</t>
  </si>
  <si>
    <t>Stock-based comp expense</t>
  </si>
  <si>
    <t>SG&amp;A</t>
  </si>
  <si>
    <t>6M</t>
  </si>
  <si>
    <t>before rev</t>
  </si>
  <si>
    <t>Short-term investments</t>
  </si>
  <si>
    <t>Gain from Disposal of Business</t>
  </si>
  <si>
    <t>Cost of Revenues</t>
  </si>
  <si>
    <t>Restricted cash (current and LT)</t>
  </si>
  <si>
    <t>Cash paid for income taxes</t>
  </si>
  <si>
    <t>Natera, Inc. (NTRA)</t>
  </si>
  <si>
    <t>Signatera</t>
  </si>
  <si>
    <t>Adjusted cash burn/cash flow</t>
  </si>
  <si>
    <t>Oncology</t>
  </si>
  <si>
    <t>Women's Health</t>
  </si>
  <si>
    <t>2.25% rate</t>
  </si>
  <si>
    <t>Adjusted cash burn/cash flow (stated)</t>
  </si>
  <si>
    <t>1Q23A</t>
  </si>
  <si>
    <t>2Q23A</t>
  </si>
  <si>
    <t>3Q23A</t>
  </si>
  <si>
    <t>4Q23A</t>
  </si>
  <si>
    <t>1Q24A</t>
  </si>
  <si>
    <t>2Q24A</t>
  </si>
  <si>
    <t>3Q24A</t>
  </si>
  <si>
    <t>1Q26E</t>
  </si>
  <si>
    <t>2Q26E</t>
  </si>
  <si>
    <t>3Q26E</t>
  </si>
  <si>
    <t>4Q26E</t>
  </si>
  <si>
    <t>1Q27E</t>
  </si>
  <si>
    <t>2Q27E</t>
  </si>
  <si>
    <t>3Q27E</t>
  </si>
  <si>
    <t>4Q27E</t>
  </si>
  <si>
    <t>1Q28E</t>
  </si>
  <si>
    <t>2Q28E</t>
  </si>
  <si>
    <t>3Q28E</t>
  </si>
  <si>
    <t>4Q28E</t>
  </si>
  <si>
    <t>1Q29E</t>
  </si>
  <si>
    <t>2Q29E</t>
  </si>
  <si>
    <t>3Q29E</t>
  </si>
  <si>
    <t>4Q29E</t>
  </si>
  <si>
    <t>1Q30E</t>
  </si>
  <si>
    <t>2Q30E</t>
  </si>
  <si>
    <t>3Q30E</t>
  </si>
  <si>
    <t>4Q30E</t>
  </si>
  <si>
    <t>1Q31E</t>
  </si>
  <si>
    <t>2Q31E</t>
  </si>
  <si>
    <t>3Q31E</t>
  </si>
  <si>
    <t>4Q31E</t>
  </si>
  <si>
    <t>1Q32E</t>
  </si>
  <si>
    <t>2Q32E</t>
  </si>
  <si>
    <t>3Q32E</t>
  </si>
  <si>
    <t>4Q32E</t>
  </si>
  <si>
    <t>1Q33E</t>
  </si>
  <si>
    <t>2Q33E</t>
  </si>
  <si>
    <t>3Q33E</t>
  </si>
  <si>
    <t>4Q33E</t>
  </si>
  <si>
    <t>1Q34E</t>
  </si>
  <si>
    <t>2Q34E</t>
  </si>
  <si>
    <t>3Q34E</t>
  </si>
  <si>
    <t>4Q34E</t>
  </si>
  <si>
    <t>Total Revenues</t>
  </si>
  <si>
    <t>4Q24A</t>
  </si>
  <si>
    <t>CRC</t>
  </si>
  <si>
    <t>MIBC</t>
  </si>
  <si>
    <t>United States</t>
  </si>
  <si>
    <t>Americas (ex-U.S.)</t>
  </si>
  <si>
    <t>Europe, Middle East, India, Africa</t>
  </si>
  <si>
    <t>APAC and Other</t>
  </si>
  <si>
    <t>Insurance carriers</t>
  </si>
  <si>
    <t>Patients</t>
  </si>
  <si>
    <t>growth y/y (%)</t>
  </si>
  <si>
    <t>Laboratory partners</t>
  </si>
  <si>
    <t>High Risk Pregnancies</t>
  </si>
  <si>
    <t>Kidney</t>
  </si>
  <si>
    <t>Lung</t>
  </si>
  <si>
    <t>Heart</t>
  </si>
  <si>
    <t>Horizon</t>
  </si>
  <si>
    <t>% yoy</t>
  </si>
  <si>
    <t>% total</t>
  </si>
  <si>
    <t>Average / Low Risk Pregnancies</t>
  </si>
  <si>
    <t>Total Market</t>
  </si>
  <si>
    <t>High Risk Tests</t>
  </si>
  <si>
    <t>Average / Low Risk Tests</t>
  </si>
  <si>
    <t>Total Natera Tests</t>
  </si>
  <si>
    <t>% seq</t>
  </si>
  <si>
    <t>Average Selling Price ($ / test)</t>
  </si>
  <si>
    <t xml:space="preserve">-- </t>
  </si>
  <si>
    <t>% HR Pregnancies</t>
  </si>
  <si>
    <t>% A/L RP Pregnancies</t>
  </si>
  <si>
    <t>Europe</t>
  </si>
  <si>
    <t>ROW</t>
  </si>
  <si>
    <t>% Total Pregnancies</t>
  </si>
  <si>
    <t>Total Panorama Tests</t>
  </si>
  <si>
    <t>Total Panorama Revenues</t>
  </si>
  <si>
    <t>ROW Panaorama Revenues</t>
  </si>
  <si>
    <t>Europe Panorama Revenues</t>
  </si>
  <si>
    <t>US Panorama Revenues</t>
  </si>
  <si>
    <t>Horizon Test Volumes</t>
  </si>
  <si>
    <t>% Panorama Tests</t>
  </si>
  <si>
    <t>Horizon Revenues</t>
  </si>
  <si>
    <t>Other WH Test Volume</t>
  </si>
  <si>
    <t>Other WH Average Selling Price ($ / test)</t>
  </si>
  <si>
    <t>Other WH Revenues</t>
  </si>
  <si>
    <t>Prospera</t>
  </si>
  <si>
    <t>Test Volume</t>
  </si>
  <si>
    <t>US Kidney Transplants</t>
  </si>
  <si>
    <t>Tests for New Transplants</t>
  </si>
  <si>
    <t>Multiplier</t>
  </si>
  <si>
    <t>US Kidney Transplant Survivors</t>
  </si>
  <si>
    <t>Tests for Survivors</t>
  </si>
  <si>
    <t>Reimbursable Market</t>
  </si>
  <si>
    <t>Total Prospera Kidney Volumes</t>
  </si>
  <si>
    <t>% penatration</t>
  </si>
  <si>
    <t>Prospera Kidney Revenues</t>
  </si>
  <si>
    <t>US Heart Transplants</t>
  </si>
  <si>
    <t>US Heart Transplant Survivors</t>
  </si>
  <si>
    <t>Total Prospera Heart Volumes</t>
  </si>
  <si>
    <t>Prospera Heart Revenues</t>
  </si>
  <si>
    <t>US Lung Transplants</t>
  </si>
  <si>
    <t>US Lung Transplant Survivors</t>
  </si>
  <si>
    <t>Total Prospera Lung Volumes</t>
  </si>
  <si>
    <t>Prospera Lung Revenues</t>
  </si>
  <si>
    <t>--</t>
  </si>
  <si>
    <t>Renasight</t>
  </si>
  <si>
    <t>Renasight Volumes</t>
  </si>
  <si>
    <t>Renasight Revenues</t>
  </si>
  <si>
    <t>New Cases of Advanced CRC</t>
  </si>
  <si>
    <t>Tests for New Cases</t>
  </si>
  <si>
    <t>US Existing CRC Patients</t>
  </si>
  <si>
    <t>Tests for Existing Patients</t>
  </si>
  <si>
    <t>Total Reimbursable Market</t>
  </si>
  <si>
    <t>Total Signatera CRC Tests</t>
  </si>
  <si>
    <t>New Cases of Advanced MIBC</t>
  </si>
  <si>
    <t>US Existing MIBC Patients</t>
  </si>
  <si>
    <t>Total Signatera MIBC Tests</t>
  </si>
  <si>
    <t>Breast Cancer</t>
  </si>
  <si>
    <t>New Cases of Breast Cancer</t>
  </si>
  <si>
    <t>US Existing Breast Cancer Patients</t>
  </si>
  <si>
    <t>Total Signatera Breast Cancer Tests</t>
  </si>
  <si>
    <t>NTRA New Cases of Breast Cancer Tests</t>
  </si>
  <si>
    <t>NTRA Existing Breast Cancer Tests</t>
  </si>
  <si>
    <t>US Ovarian Cancer Reimbursable Market</t>
  </si>
  <si>
    <t>NTRA Ovarian Cancer Tests</t>
  </si>
  <si>
    <t>US Lung Cancer Reimbursable Market</t>
  </si>
  <si>
    <t>NTRA Lung Cancer Tests</t>
  </si>
  <si>
    <t>IO Monitoring</t>
  </si>
  <si>
    <t>Ovarian Cancer</t>
  </si>
  <si>
    <t>Lung Cancer</t>
  </si>
  <si>
    <t>NTRA IO Monitoring Tests</t>
  </si>
  <si>
    <t>Non-Reimbursed Indications Volumes</t>
  </si>
  <si>
    <t>CRC CLIA Volumes</t>
  </si>
  <si>
    <t>MIBC CLIA Volumes</t>
  </si>
  <si>
    <t>Breast CLIA Volumes</t>
  </si>
  <si>
    <t>Ovarian CLIA Volumes</t>
  </si>
  <si>
    <t>Lung CLIA Volumes</t>
  </si>
  <si>
    <t>IO Monitoring CLIA Volumes</t>
  </si>
  <si>
    <t>Non-Reimbursed CLIA Volumes</t>
  </si>
  <si>
    <t>Total CLIA Volumes</t>
  </si>
  <si>
    <t>Signatera CLIA Average Selling Price ($ / test)</t>
  </si>
  <si>
    <t>Signatera CLIA Revenues</t>
  </si>
  <si>
    <t>Signatera RUO</t>
  </si>
  <si>
    <t>Signatera RUO Volumes</t>
  </si>
  <si>
    <t>Signatera RUO Average Selling Price ($ / test)</t>
  </si>
  <si>
    <t>Signatera RUO Revenues</t>
  </si>
  <si>
    <t>Altera</t>
  </si>
  <si>
    <t>Altera Volumes</t>
  </si>
  <si>
    <t>Altera Average Selling Price ($ / test)</t>
  </si>
  <si>
    <t>Altera Revenues</t>
  </si>
  <si>
    <t>% Signatera Volumes</t>
  </si>
  <si>
    <t>Total Oncology Volumes</t>
  </si>
  <si>
    <t>Oncology Average Selling Price ($ / test)</t>
  </si>
  <si>
    <t>Onoclogy Revenues</t>
  </si>
  <si>
    <t>Consolidated</t>
  </si>
  <si>
    <t>Total NTRA Tests</t>
  </si>
  <si>
    <t>Total Women's Health Volumes</t>
  </si>
  <si>
    <t>Total Women's Health Revenues</t>
  </si>
  <si>
    <t>Panorama (NIPT)</t>
  </si>
  <si>
    <t>ROW Panorama Tests</t>
  </si>
  <si>
    <t>Europe Panorama Tests</t>
  </si>
  <si>
    <t>Other Women's Health</t>
  </si>
  <si>
    <t>Non-Reimbursed Indications</t>
  </si>
  <si>
    <t>Signatera CLIA</t>
  </si>
  <si>
    <t>Gross Margin Build</t>
  </si>
  <si>
    <t>Total COGS</t>
  </si>
  <si>
    <t>COGS per Test</t>
  </si>
  <si>
    <t>% margin</t>
  </si>
  <si>
    <t>Revenue Build</t>
  </si>
  <si>
    <t>True-Ups</t>
  </si>
  <si>
    <t>% margin (ex True-Ups)</t>
  </si>
  <si>
    <t>True-Up Benefit</t>
  </si>
  <si>
    <t>Product Revenues</t>
  </si>
  <si>
    <t>Licensing and Other Revenues</t>
  </si>
  <si>
    <t>1Q25A</t>
  </si>
  <si>
    <t>Depreciation and amortization</t>
  </si>
  <si>
    <t>Total Product Revenues</t>
  </si>
  <si>
    <t>Gross Profit per Test</t>
  </si>
  <si>
    <t>% of Total Volumes</t>
  </si>
  <si>
    <t>% of Total Revenues</t>
  </si>
  <si>
    <t>Income Statement</t>
  </si>
  <si>
    <t>Natera Inc. (NASDAQ: NTRA)</t>
  </si>
  <si>
    <t>$ millions except per share data, FY ending Dec</t>
  </si>
  <si>
    <t>Sep</t>
  </si>
  <si>
    <t>Dec</t>
  </si>
  <si>
    <t>Mar</t>
  </si>
  <si>
    <t>Jun</t>
  </si>
  <si>
    <t>1Q14A</t>
  </si>
  <si>
    <t>2Q14A</t>
  </si>
  <si>
    <t>3Q14A</t>
  </si>
  <si>
    <t>4Q14A</t>
  </si>
  <si>
    <t>FY14A</t>
  </si>
  <si>
    <t>1Q15A</t>
  </si>
  <si>
    <t>2Q15A</t>
  </si>
  <si>
    <t>3Q15A</t>
  </si>
  <si>
    <t>4Q15A</t>
  </si>
  <si>
    <t>FY15A</t>
  </si>
  <si>
    <t>1Q16A</t>
  </si>
  <si>
    <t>2Q16A</t>
  </si>
  <si>
    <t>3Q16A</t>
  </si>
  <si>
    <t>4Q16A</t>
  </si>
  <si>
    <t>FY16A</t>
  </si>
  <si>
    <t>1Q17A</t>
  </si>
  <si>
    <t>2Q17A</t>
  </si>
  <si>
    <t>3Q17A</t>
  </si>
  <si>
    <t>4Q17A</t>
  </si>
  <si>
    <t>FY17A</t>
  </si>
  <si>
    <t>1Q18A</t>
  </si>
  <si>
    <t>2Q18A</t>
  </si>
  <si>
    <t>3Q18A</t>
  </si>
  <si>
    <t>4Q18A</t>
  </si>
  <si>
    <t>FY18A</t>
  </si>
  <si>
    <t>1Q19A</t>
  </si>
  <si>
    <t>2Q19A</t>
  </si>
  <si>
    <t>3Q19A</t>
  </si>
  <si>
    <t>4Q19A</t>
  </si>
  <si>
    <t>FY19A</t>
  </si>
  <si>
    <t>1Q20A</t>
  </si>
  <si>
    <t>2Q20A</t>
  </si>
  <si>
    <t>3Q20A</t>
  </si>
  <si>
    <t>4Q20A</t>
  </si>
  <si>
    <t>FY20A</t>
  </si>
  <si>
    <t>1Q21A</t>
  </si>
  <si>
    <t>2Q21A</t>
  </si>
  <si>
    <t>3Q21A</t>
  </si>
  <si>
    <t>4Q21A</t>
  </si>
  <si>
    <t>FY21A</t>
  </si>
  <si>
    <t>1Q22A</t>
  </si>
  <si>
    <t>2Q22A</t>
  </si>
  <si>
    <t>3Q22A</t>
  </si>
  <si>
    <t>4Q22A</t>
  </si>
  <si>
    <t>FY22A</t>
  </si>
  <si>
    <t>FY23A</t>
  </si>
  <si>
    <t>FY24A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</si>
  <si>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</si>
  <si>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</si>
  <si>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</si>
  <si>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</si>
  <si>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</si>
  <si>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</si>
  <si>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</si>
  <si>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</si>
  <si>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</si>
  <si>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Year-Over-Year</t>
  </si>
  <si>
    <t>% of Revenue</t>
  </si>
  <si>
    <t>Balance Sheet</t>
  </si>
  <si>
    <t>Statement of Cash Flows</t>
  </si>
  <si>
    <t>margin chg</t>
  </si>
  <si>
    <t>margin chg (ex True-Ups)</t>
  </si>
  <si>
    <t>% yoy (ex-True-Ups)</t>
  </si>
  <si>
    <t>Gross Profit (ex True-Ups)</t>
  </si>
  <si>
    <t>Gross Profit per Test (ex True-Ups)</t>
  </si>
  <si>
    <t>Net Loss</t>
  </si>
  <si>
    <t>Comprehensive Loss</t>
  </si>
  <si>
    <t>Operating Income (EBIT)</t>
  </si>
  <si>
    <t>Comprehesive Loss</t>
  </si>
  <si>
    <t>GAAP diluted EPS</t>
  </si>
  <si>
    <t>Operating Income</t>
  </si>
  <si>
    <t>Margin Chg yoy</t>
  </si>
  <si>
    <t>Tax Rate</t>
  </si>
  <si>
    <t>Check</t>
  </si>
  <si>
    <t>Short-Term Investments</t>
  </si>
  <si>
    <t>Seq Vol Increase</t>
  </si>
  <si>
    <t>Medicare</t>
  </si>
  <si>
    <t>Chris Mercado, CFA</t>
  </si>
  <si>
    <t>212.214.8092</t>
  </si>
  <si>
    <t>chistopher.mercado2@wellsfargo.com</t>
  </si>
  <si>
    <t>($ in mm, except per share)</t>
  </si>
  <si>
    <t>% of total</t>
  </si>
  <si>
    <t>Other expense, net</t>
  </si>
  <si>
    <t xml:space="preserve">Incremental margin </t>
  </si>
  <si>
    <t>Total Tests Processed</t>
  </si>
  <si>
    <t>2Q25A</t>
  </si>
  <si>
    <t>Transplant / Organ Health</t>
  </si>
  <si>
    <t>IO Monitoring Reimbursable Market</t>
  </si>
  <si>
    <t>% growth y/y</t>
  </si>
  <si>
    <t>Issuance of common stock for bonuses</t>
  </si>
  <si>
    <t>% of total revenue</t>
  </si>
  <si>
    <t>Impact of chg in ests for prior period tests</t>
  </si>
  <si>
    <t>Operating Expenses</t>
  </si>
  <si>
    <t>Product Revenue by Channel</t>
  </si>
  <si>
    <t>Organ Health / Transplant</t>
  </si>
  <si>
    <t>3Q25A</t>
  </si>
  <si>
    <t>% penetration</t>
  </si>
  <si>
    <t>4Q25</t>
  </si>
  <si>
    <t>FY25</t>
  </si>
  <si>
    <t>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</si>
</sst>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_);[Red]\(&quot;$&quot;#,##0.0\)"/>
    <numFmt numFmtId="165" formatCode="#,##0.000"/>
    <numFmt numFmtId="166" formatCode="#,##0.0"/>
    <numFmt numFmtId="167" formatCode="#,##0.0%\ ;[Red]\(#,##0.0%\)"/>
    <numFmt numFmtId="168" formatCode="&quot;$&quot;#,##0.0"/>
    <numFmt numFmtId="169" formatCode="0.0%"/>
    <numFmt numFmtId="170" formatCode="&quot;$&quot;#,##0.0_);\(&quot;$&quot;#,##0.0\)"/>
    <numFmt numFmtId="171" formatCode="0.000_);[Red]\(0.000\)"/>
    <numFmt numFmtId="172" formatCode="#,##0.0_);[Red]\(#,##0.0\)"/>
    <numFmt numFmtId="173" formatCode="#,##0.000_);[Red]\(#,##0.000\)"/>
    <numFmt numFmtId="174" formatCode="0.0\x;[Red]\(0.0\x\)"/>
    <numFmt numFmtId="175" formatCode="0.0%_)"/>
    <numFmt numFmtId="176" formatCode="\€#,##0_);\(\€#,##0\)"/>
    <numFmt numFmtId="177" formatCode="0.0%;[Red]\(0.0%\)"/>
    <numFmt numFmtId="178" formatCode="&quot;$&quot;#,##0.000_);[Red]\(&quot;$&quot;#,##0.000\)"/>
    <numFmt numFmtId="179" formatCode="_-* #,##0.00_-;\-* #,##0.00_-;_-* &quot;-&quot;??_-;_-@_-"/>
    <numFmt numFmtId="180" formatCode="&quot;$&quot;#,##0"/>
    <numFmt numFmtId="181" formatCode="#,##0%\ ;[Red]\(#,##0%\)"/>
    <numFmt numFmtId="182" formatCode="0%;\(0%\)"/>
    <numFmt numFmtId="183" formatCode="0.0\x;\(0.0\x\)"/>
    <numFmt numFmtId="184" formatCode="0%_)"/>
    <numFmt numFmtId="185" formatCode="0.0%;\(0.0%\)"/>
    <numFmt numFmtId="186" formatCode="0.00\x;[Red]\(0.00\x\)"/>
    <numFmt numFmtId="187" formatCode="#,##0.0_);\(#,##0.0\)"/>
    <numFmt numFmtId="188" formatCode="0.0000_);[Red]\(0.0000\)"/>
    <numFmt numFmtId="189" formatCode="#,##0.000_);\(#,##0.000\)"/>
    <numFmt numFmtId="190" formatCode="0.000%"/>
    <numFmt numFmtId="191" formatCode="[$-409]mmmm\ d\,\ yyyy;@"/>
    <numFmt numFmtId="192" formatCode="0\x"/>
    <numFmt numFmtId="193" formatCode="0\ &quot;bp&quot;"/>
    <numFmt numFmtId="194" formatCode="&quot;$&quot;#,##0.00"/>
    <numFmt numFmtId="195" formatCode="_(* #,##0.0_);_(* \(#,##0.0\);_(* &quot;-&quot;?_);_(@_)"/>
    <numFmt numFmtId="196" formatCode="_(* #,##0.000_);_(* \(#,##0.000\);_(* &quot;-&quot;?_);_(@_)"/>
    <numFmt numFmtId="197" formatCode="#,##0.00000"/>
    <numFmt numFmtId="198" formatCode="_(* #,##0_);_(* \(#,##0\);_(* &quot;-&quot;??_);_(@_)"/>
    <numFmt numFmtId="199" formatCode="#,##0.0000"/>
  </numFmts>
  <fonts count="67">
    <font>
      <sz val="9"/>
      <name val="Futura Md B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u/>
      <sz val="10"/>
      <name val="Arial Narrow"/>
      <family val="2"/>
    </font>
    <font>
      <sz val="10"/>
      <name val="GillSans"/>
    </font>
    <font>
      <sz val="10"/>
      <color indexed="12"/>
      <name val="Arial Narro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 Narrow MT"/>
      <family val="2"/>
    </font>
    <font>
      <b/>
      <u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Arial Narrow"/>
      <family val="2"/>
    </font>
    <font>
      <sz val="8"/>
      <name val="Arial"/>
      <family val="2"/>
    </font>
    <font>
      <sz val="10"/>
      <color indexed="10"/>
      <name val="Arial Narrow"/>
      <family val="2"/>
    </font>
    <font>
      <sz val="9"/>
      <name val="Arial"/>
      <family val="2"/>
    </font>
    <font>
      <sz val="10"/>
      <color indexed="8"/>
      <name val="MS Sans Serif"/>
      <family val="2"/>
    </font>
    <font>
      <sz val="10"/>
      <color rgb="FF0000FF"/>
      <name val="Arial Narrow"/>
      <family val="2"/>
    </font>
    <font>
      <sz val="12"/>
      <name val="Arial"/>
      <family val="2"/>
    </font>
    <font>
      <sz val="12"/>
      <name val="Arial"/>
      <family val="2"/>
    </font>
    <font>
      <b/>
      <sz val="10"/>
      <color rgb="FF0000FF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indexed="81"/>
      <name val="Tahoma"/>
      <family val="2"/>
    </font>
    <font>
      <sz val="8"/>
      <name val="Helvetica"/>
    </font>
    <font>
      <sz val="11"/>
      <color theme="1"/>
      <name val="Cambria"/>
      <family val="2"/>
    </font>
    <font>
      <u/>
      <sz val="10"/>
      <color indexed="12"/>
      <name val="Arial"/>
      <family val="2"/>
    </font>
    <font>
      <sz val="8"/>
      <name val="Helvetica"/>
      <family val="2"/>
    </font>
    <font>
      <u/>
      <sz val="8.5"/>
      <color indexed="12"/>
      <name val="Arial"/>
      <family val="2"/>
    </font>
    <font>
      <b/>
      <sz val="9"/>
      <color indexed="81"/>
      <name val="Tahoma"/>
      <family val="2"/>
    </font>
    <font>
      <sz val="10"/>
      <color rgb="FFFF0000"/>
      <name val="Arial Narrow"/>
      <family val="2"/>
    </font>
    <font>
      <sz val="11"/>
      <color indexed="8"/>
      <name val="Calibri"/>
      <family val="2"/>
    </font>
    <font>
      <b/>
      <sz val="10.5"/>
      <name val="Arial"/>
      <family val="2"/>
    </font>
    <font>
      <sz val="10"/>
      <name val="Verdana"/>
      <family val="2"/>
    </font>
    <font>
      <sz val="24"/>
      <color theme="1"/>
      <name val="Georgia"/>
      <family val="1"/>
    </font>
    <font>
      <b/>
      <sz val="12"/>
      <color theme="1"/>
      <name val="Verdana"/>
      <family val="2"/>
    </font>
    <font>
      <b/>
      <sz val="9"/>
      <color theme="1"/>
      <name val="Arial"/>
      <family val="2"/>
    </font>
    <font>
      <b/>
      <sz val="9"/>
      <color theme="1"/>
      <name val="Verdana"/>
      <family val="2"/>
    </font>
    <font>
      <sz val="13"/>
      <name val="Arial"/>
      <family val="2"/>
    </font>
    <font>
      <b/>
      <sz val="9"/>
      <name val="Verdana"/>
      <family val="2"/>
    </font>
    <font>
      <sz val="13"/>
      <color theme="1"/>
      <name val="Arial"/>
      <family val="2"/>
    </font>
    <font>
      <sz val="26"/>
      <color rgb="FFD71E28"/>
      <name val="Georgia"/>
      <family val="1"/>
    </font>
    <font>
      <b/>
      <sz val="18"/>
      <color theme="3"/>
      <name val="Georgia"/>
      <family val="1"/>
    </font>
    <font>
      <sz val="10"/>
      <color theme="1"/>
      <name val="Verdana"/>
      <family val="2"/>
    </font>
    <font>
      <sz val="13"/>
      <color rgb="FFD71E28"/>
      <name val="Georgia"/>
      <family val="1"/>
    </font>
    <font>
      <b/>
      <sz val="11"/>
      <name val="Verdana"/>
      <family val="2"/>
    </font>
    <font>
      <sz val="11"/>
      <name val="Arial"/>
      <family val="2"/>
    </font>
    <font>
      <sz val="9.5"/>
      <name val="Arial"/>
      <family val="2"/>
    </font>
    <font>
      <u/>
      <sz val="10"/>
      <color theme="10"/>
      <name val="Arial"/>
      <family val="2"/>
    </font>
    <font>
      <u/>
      <sz val="9.5"/>
      <color rgb="FF0000FF"/>
      <name val="Verdana"/>
      <family val="2"/>
    </font>
    <font>
      <u/>
      <sz val="9.5"/>
      <color theme="10"/>
      <name val="Verdana"/>
      <family val="2"/>
    </font>
    <font>
      <b/>
      <sz val="10"/>
      <color rgb="FF000000"/>
      <name val="Arial Narrow"/>
      <family val="2"/>
    </font>
    <font>
      <sz val="10"/>
      <color rgb="FF2537E7"/>
      <name val="Arial Narrow"/>
      <family val="2"/>
    </font>
    <font>
      <b/>
      <sz val="10"/>
      <color theme="0"/>
      <name val="Arial Narrow"/>
      <family val="2"/>
    </font>
    <font>
      <b/>
      <u/>
      <sz val="10"/>
      <color theme="0"/>
      <name val="Arial Narrow"/>
      <family val="2"/>
    </font>
    <font>
      <sz val="10"/>
      <color theme="0"/>
      <name val="Arial Narrow"/>
      <family val="2"/>
    </font>
    <font>
      <b/>
      <sz val="10"/>
      <color rgb="FF002060"/>
      <name val="Arial Narrow"/>
      <family val="2"/>
    </font>
    <font>
      <sz val="10"/>
      <color theme="9" tint="-0.249977111117893"/>
      <name val="Arial Narrow"/>
      <family val="2"/>
    </font>
    <font>
      <u/>
      <sz val="9"/>
      <color theme="10"/>
      <name val="Futura Md BT"/>
      <family val="2"/>
    </font>
    <font>
      <sz val="9"/>
      <name val="Futura Md BT"/>
      <family val="2"/>
    </font>
    <font>
      <u/>
      <sz val="10"/>
      <color rgb="FF0000FF"/>
      <name val="Arial Narrow"/>
      <family val="2"/>
    </font>
    <font>
      <u/>
      <sz val="10"/>
      <color rgb="FF2537E7"/>
      <name val="Arial Narrow"/>
      <family val="2"/>
    </font>
    <font>
      <u/>
      <sz val="10"/>
      <color theme="9" tint="-0.249977111117893"/>
      <name val="Arial Narrow"/>
      <family val="2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rgb="FF9A89D9"/>
        <bgColor indexed="64"/>
      </patternFill>
    </fill>
    <fill>
      <patternFill patternType="solid">
        <fgColor rgb="FFD73F26"/>
        <bgColor indexed="64"/>
      </patternFill>
    </fill>
    <fill>
      <patternFill patternType="solid">
        <fgColor rgb="FF352B6B"/>
        <bgColor indexed="64"/>
      </patternFill>
    </fill>
    <fill>
      <patternFill patternType="solid">
        <fgColor rgb="FFD169B8"/>
        <bgColor indexed="64"/>
      </patternFill>
    </fill>
    <fill>
      <patternFill patternType="solid">
        <fgColor rgb="FFEB691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D4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0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0">
    <xf numFmtId="0" fontId="0" fillId="0" borderId="0" applyNumberFormat="0"/>
    <xf numFmtId="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 applyNumberFormat="0"/>
    <xf numFmtId="0" fontId="16" fillId="0" borderId="3" applyNumberFormat="0" applyFill="0" applyAlignment="0" applyProtection="0"/>
    <xf numFmtId="176" fontId="18" fillId="0" borderId="0"/>
    <xf numFmtId="37" fontId="5" fillId="2" borderId="0" applyAlignment="0"/>
    <xf numFmtId="3" fontId="18" fillId="0" borderId="0"/>
    <xf numFmtId="0" fontId="19" fillId="0" borderId="0" applyNumberFormat="0" applyFont="0" applyFill="0" applyBorder="0" applyAlignment="0" applyProtection="0"/>
    <xf numFmtId="0" fontId="21" fillId="5" borderId="0"/>
    <xf numFmtId="0" fontId="22" fillId="5" borderId="0"/>
    <xf numFmtId="17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27" fillId="0" borderId="0"/>
    <xf numFmtId="0" fontId="4" fillId="0" borderId="0"/>
    <xf numFmtId="0" fontId="28" fillId="0" borderId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9" fontId="34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3" fontId="18" fillId="0" borderId="0"/>
    <xf numFmtId="0" fontId="51" fillId="0" borderId="0" applyNumberFormat="0" applyFill="0" applyBorder="0" applyAlignment="0" applyProtection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61" fillId="0" borderId="0" applyNumberFormat="0" applyFill="0" applyBorder="0" applyAlignment="0" applyProtection="0"/>
    <xf numFmtId="43" fontId="62" fillId="0" borderId="0" applyFont="0" applyFill="0" applyBorder="0" applyAlignment="0" applyProtection="0"/>
  </cellStyleXfs>
  <cellXfs count="403">
    <xf numFmtId="0" fontId="0" fillId="0" borderId="0" xfId="0"/>
    <xf numFmtId="4" fontId="5" fillId="0" borderId="0" xfId="0" applyNumberFormat="1" applyFont="1"/>
    <xf numFmtId="4" fontId="6" fillId="0" borderId="0" xfId="0" applyNumberFormat="1" applyFont="1" applyAlignment="1">
      <alignment horizontal="centerContinuous"/>
    </xf>
    <xf numFmtId="4" fontId="5" fillId="0" borderId="0" xfId="0" applyNumberFormat="1" applyFont="1" applyAlignment="1">
      <alignment horizontal="centerContinuous"/>
    </xf>
    <xf numFmtId="0" fontId="5" fillId="0" borderId="0" xfId="0" applyNumberFormat="1" applyFont="1"/>
    <xf numFmtId="9" fontId="5" fillId="0" borderId="0" xfId="2" applyFont="1"/>
    <xf numFmtId="166" fontId="5" fillId="0" borderId="0" xfId="0" applyNumberFormat="1" applyFont="1"/>
    <xf numFmtId="8" fontId="5" fillId="0" borderId="0" xfId="0" applyNumberFormat="1" applyFont="1"/>
    <xf numFmtId="4" fontId="5" fillId="0" borderId="1" xfId="0" applyNumberFormat="1" applyFont="1" applyBorder="1"/>
    <xf numFmtId="165" fontId="5" fillId="0" borderId="0" xfId="0" applyNumberFormat="1" applyFont="1"/>
    <xf numFmtId="164" fontId="6" fillId="0" borderId="0" xfId="3" applyNumberFormat="1" applyFont="1"/>
    <xf numFmtId="164" fontId="5" fillId="0" borderId="0" xfId="3" applyNumberFormat="1" applyFont="1"/>
    <xf numFmtId="4" fontId="5" fillId="0" borderId="0" xfId="3" applyNumberFormat="1" applyFont="1"/>
    <xf numFmtId="169" fontId="5" fillId="0" borderId="0" xfId="2" applyNumberFormat="1" applyFont="1"/>
    <xf numFmtId="164" fontId="7" fillId="0" borderId="0" xfId="3" applyNumberFormat="1" applyFont="1"/>
    <xf numFmtId="165" fontId="5" fillId="0" borderId="0" xfId="3" applyNumberFormat="1" applyFont="1"/>
    <xf numFmtId="171" fontId="5" fillId="0" borderId="0" xfId="3" applyNumberFormat="1" applyFont="1"/>
    <xf numFmtId="172" fontId="5" fillId="0" borderId="0" xfId="3" applyNumberFormat="1" applyFont="1"/>
    <xf numFmtId="172" fontId="15" fillId="0" borderId="0" xfId="3" applyNumberFormat="1" applyFont="1"/>
    <xf numFmtId="166" fontId="5" fillId="0" borderId="0" xfId="3" applyNumberFormat="1" applyFont="1"/>
    <xf numFmtId="166" fontId="9" fillId="0" borderId="0" xfId="3" applyNumberFormat="1" applyFont="1"/>
    <xf numFmtId="168" fontId="5" fillId="0" borderId="0" xfId="3" applyNumberFormat="1" applyFont="1"/>
    <xf numFmtId="8" fontId="5" fillId="0" borderId="0" xfId="3" applyNumberFormat="1" applyFont="1"/>
    <xf numFmtId="173" fontId="5" fillId="0" borderId="0" xfId="3" applyNumberFormat="1" applyFont="1"/>
    <xf numFmtId="38" fontId="5" fillId="0" borderId="0" xfId="0" applyNumberFormat="1" applyFont="1"/>
    <xf numFmtId="38" fontId="6" fillId="0" borderId="0" xfId="0" applyNumberFormat="1" applyFont="1" applyAlignment="1">
      <alignment horizontal="centerContinuous"/>
    </xf>
    <xf numFmtId="38" fontId="5" fillId="0" borderId="0" xfId="3" applyNumberFormat="1" applyFont="1" applyAlignment="1">
      <alignment horizontal="centerContinuous"/>
    </xf>
    <xf numFmtId="38" fontId="5" fillId="0" borderId="0" xfId="3" applyNumberFormat="1" applyFont="1"/>
    <xf numFmtId="38" fontId="5" fillId="0" borderId="1" xfId="3" applyNumberFormat="1" applyFont="1" applyBorder="1" applyAlignment="1">
      <alignment horizontal="centerContinuous"/>
    </xf>
    <xf numFmtId="0" fontId="5" fillId="0" borderId="0" xfId="3" applyNumberFormat="1" applyFont="1"/>
    <xf numFmtId="0" fontId="7" fillId="0" borderId="0" xfId="3" applyNumberFormat="1" applyFont="1" applyAlignment="1">
      <alignment horizontal="center"/>
    </xf>
    <xf numFmtId="38" fontId="13" fillId="0" borderId="0" xfId="3" applyNumberFormat="1" applyFont="1"/>
    <xf numFmtId="7" fontId="5" fillId="0" borderId="0" xfId="3" applyNumberFormat="1" applyFont="1"/>
    <xf numFmtId="170" fontId="7" fillId="0" borderId="0" xfId="3" applyNumberFormat="1" applyFont="1"/>
    <xf numFmtId="38" fontId="6" fillId="0" borderId="0" xfId="3" applyNumberFormat="1" applyFont="1"/>
    <xf numFmtId="174" fontId="6" fillId="0" borderId="0" xfId="0" applyNumberFormat="1" applyFont="1"/>
    <xf numFmtId="170" fontId="5" fillId="0" borderId="0" xfId="3" applyNumberFormat="1" applyFont="1"/>
    <xf numFmtId="7" fontId="7" fillId="0" borderId="0" xfId="3" applyNumberFormat="1" applyFont="1"/>
    <xf numFmtId="5" fontId="5" fillId="0" borderId="0" xfId="3" applyNumberFormat="1" applyFont="1"/>
    <xf numFmtId="38" fontId="6" fillId="0" borderId="0" xfId="3" applyNumberFormat="1" applyFont="1" applyAlignment="1">
      <alignment horizontal="center"/>
    </xf>
    <xf numFmtId="175" fontId="5" fillId="0" borderId="0" xfId="2" applyNumberFormat="1" applyFont="1"/>
    <xf numFmtId="175" fontId="5" fillId="0" borderId="0" xfId="2" applyNumberFormat="1" applyFont="1" applyFill="1"/>
    <xf numFmtId="174" fontId="7" fillId="0" borderId="0" xfId="0" applyNumberFormat="1" applyFont="1"/>
    <xf numFmtId="175" fontId="6" fillId="0" borderId="0" xfId="2" applyNumberFormat="1" applyFont="1" applyBorder="1"/>
    <xf numFmtId="175" fontId="6" fillId="0" borderId="0" xfId="2" applyNumberFormat="1" applyFont="1" applyFill="1" applyBorder="1"/>
    <xf numFmtId="174" fontId="5" fillId="0" borderId="0" xfId="0" applyNumberFormat="1" applyFont="1"/>
    <xf numFmtId="169" fontId="17" fillId="0" borderId="0" xfId="2" applyNumberFormat="1" applyFont="1"/>
    <xf numFmtId="169" fontId="9" fillId="0" borderId="0" xfId="2" applyNumberFormat="1" applyFont="1"/>
    <xf numFmtId="169" fontId="9" fillId="0" borderId="0" xfId="2" applyNumberFormat="1" applyFont="1" applyFill="1"/>
    <xf numFmtId="170" fontId="6" fillId="0" borderId="0" xfId="3" applyNumberFormat="1" applyFont="1"/>
    <xf numFmtId="170" fontId="15" fillId="0" borderId="0" xfId="3" applyNumberFormat="1" applyFont="1"/>
    <xf numFmtId="4" fontId="6" fillId="0" borderId="0" xfId="3" applyNumberFormat="1" applyFont="1"/>
    <xf numFmtId="0" fontId="5" fillId="0" borderId="0" xfId="0" applyNumberFormat="1" applyFont="1" applyAlignment="1">
      <alignment horizontal="center"/>
    </xf>
    <xf numFmtId="164" fontId="5" fillId="0" borderId="0" xfId="2" applyNumberFormat="1" applyFont="1"/>
    <xf numFmtId="4" fontId="7" fillId="0" borderId="0" xfId="3" applyNumberFormat="1" applyFont="1"/>
    <xf numFmtId="6" fontId="5" fillId="0" borderId="0" xfId="3" applyNumberFormat="1" applyFont="1"/>
    <xf numFmtId="5" fontId="7" fillId="0" borderId="0" xfId="3" applyNumberFormat="1" applyFont="1"/>
    <xf numFmtId="6" fontId="14" fillId="0" borderId="0" xfId="3" applyNumberFormat="1" applyFont="1"/>
    <xf numFmtId="178" fontId="5" fillId="0" borderId="0" xfId="3" applyNumberFormat="1" applyFont="1"/>
    <xf numFmtId="17" fontId="5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169" fontId="5" fillId="0" borderId="0" xfId="2" applyNumberFormat="1" applyFont="1" applyFill="1"/>
    <xf numFmtId="174" fontId="5" fillId="0" borderId="0" xfId="0" applyNumberFormat="1" applyFont="1" applyAlignment="1">
      <alignment horizontal="right"/>
    </xf>
    <xf numFmtId="4" fontId="5" fillId="0" borderId="1" xfId="3" applyNumberFormat="1" applyFont="1" applyBorder="1"/>
    <xf numFmtId="3" fontId="5" fillId="0" borderId="0" xfId="3" applyNumberFormat="1" applyFont="1"/>
    <xf numFmtId="177" fontId="6" fillId="0" borderId="0" xfId="2" applyNumberFormat="1" applyFont="1" applyBorder="1"/>
    <xf numFmtId="172" fontId="20" fillId="0" borderId="0" xfId="3" applyNumberFormat="1" applyFont="1"/>
    <xf numFmtId="181" fontId="5" fillId="0" borderId="0" xfId="0" applyNumberFormat="1" applyFont="1"/>
    <xf numFmtId="164" fontId="24" fillId="0" borderId="0" xfId="3" applyNumberFormat="1" applyFont="1"/>
    <xf numFmtId="164" fontId="25" fillId="0" borderId="0" xfId="3" applyNumberFormat="1" applyFont="1"/>
    <xf numFmtId="164" fontId="20" fillId="0" borderId="0" xfId="3" applyNumberFormat="1" applyFont="1"/>
    <xf numFmtId="183" fontId="6" fillId="0" borderId="0" xfId="0" applyNumberFormat="1" applyFont="1"/>
    <xf numFmtId="184" fontId="5" fillId="0" borderId="0" xfId="2" applyNumberFormat="1" applyFont="1"/>
    <xf numFmtId="184" fontId="5" fillId="0" borderId="0" xfId="2" applyNumberFormat="1" applyFont="1" applyFill="1"/>
    <xf numFmtId="183" fontId="5" fillId="0" borderId="0" xfId="0" applyNumberFormat="1" applyFont="1"/>
    <xf numFmtId="181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7" fontId="5" fillId="0" borderId="0" xfId="0" applyNumberFormat="1" applyFont="1" applyAlignment="1">
      <alignment horizontal="left"/>
    </xf>
    <xf numFmtId="183" fontId="7" fillId="0" borderId="0" xfId="0" applyNumberFormat="1" applyFont="1"/>
    <xf numFmtId="185" fontId="6" fillId="0" borderId="0" xfId="2" applyNumberFormat="1" applyFont="1" applyBorder="1"/>
    <xf numFmtId="5" fontId="6" fillId="0" borderId="0" xfId="1" applyFont="1"/>
    <xf numFmtId="8" fontId="20" fillId="0" borderId="0" xfId="3" applyNumberFormat="1" applyFont="1"/>
    <xf numFmtId="174" fontId="6" fillId="0" borderId="0" xfId="0" applyNumberFormat="1" applyFont="1" applyAlignment="1">
      <alignment horizontal="right"/>
    </xf>
    <xf numFmtId="182" fontId="6" fillId="0" borderId="0" xfId="2" applyNumberFormat="1" applyFont="1" applyBorder="1"/>
    <xf numFmtId="174" fontId="23" fillId="0" borderId="0" xfId="0" applyNumberFormat="1" applyFont="1"/>
    <xf numFmtId="9" fontId="20" fillId="0" borderId="0" xfId="3" applyNumberFormat="1" applyFont="1"/>
    <xf numFmtId="9" fontId="5" fillId="0" borderId="0" xfId="2" applyFont="1" applyFill="1"/>
    <xf numFmtId="188" fontId="5" fillId="0" borderId="0" xfId="3" applyNumberFormat="1" applyFont="1"/>
    <xf numFmtId="189" fontId="5" fillId="0" borderId="0" xfId="3" applyNumberFormat="1" applyFont="1"/>
    <xf numFmtId="9" fontId="14" fillId="0" borderId="0" xfId="2" applyFont="1" applyFill="1"/>
    <xf numFmtId="9" fontId="14" fillId="0" borderId="0" xfId="0" applyNumberFormat="1" applyFont="1"/>
    <xf numFmtId="10" fontId="5" fillId="0" borderId="0" xfId="0" applyNumberFormat="1" applyFont="1"/>
    <xf numFmtId="4" fontId="14" fillId="0" borderId="0" xfId="0" applyNumberFormat="1" applyFont="1"/>
    <xf numFmtId="9" fontId="6" fillId="0" borderId="0" xfId="2" applyFont="1"/>
    <xf numFmtId="0" fontId="5" fillId="0" borderId="0" xfId="3" applyNumberFormat="1" applyFont="1" applyAlignment="1">
      <alignment horizontal="center"/>
    </xf>
    <xf numFmtId="190" fontId="5" fillId="0" borderId="0" xfId="2" applyNumberFormat="1" applyFont="1" applyFill="1"/>
    <xf numFmtId="8" fontId="6" fillId="0" borderId="0" xfId="3" applyNumberFormat="1" applyFont="1"/>
    <xf numFmtId="9" fontId="7" fillId="0" borderId="0" xfId="2" applyFont="1"/>
    <xf numFmtId="183" fontId="6" fillId="0" borderId="0" xfId="0" applyNumberFormat="1" applyFont="1" applyAlignment="1">
      <alignment horizontal="right"/>
    </xf>
    <xf numFmtId="2" fontId="7" fillId="0" borderId="0" xfId="3" applyNumberFormat="1" applyFont="1"/>
    <xf numFmtId="2" fontId="5" fillId="0" borderId="0" xfId="3" applyNumberFormat="1" applyFont="1"/>
    <xf numFmtId="169" fontId="17" fillId="0" borderId="0" xfId="2" applyNumberFormat="1" applyFont="1" applyFill="1"/>
    <xf numFmtId="175" fontId="5" fillId="0" borderId="0" xfId="2" applyNumberFormat="1" applyFont="1" applyFill="1" applyBorder="1"/>
    <xf numFmtId="0" fontId="36" fillId="0" borderId="0" xfId="16" applyFont="1"/>
    <xf numFmtId="0" fontId="36" fillId="3" borderId="0" xfId="16" applyFont="1" applyFill="1"/>
    <xf numFmtId="165" fontId="5" fillId="0" borderId="1" xfId="0" applyNumberFormat="1" applyFont="1" applyBorder="1"/>
    <xf numFmtId="169" fontId="14" fillId="0" borderId="0" xfId="0" applyNumberFormat="1" applyFont="1"/>
    <xf numFmtId="8" fontId="14" fillId="0" borderId="0" xfId="0" applyNumberFormat="1" applyFont="1"/>
    <xf numFmtId="4" fontId="5" fillId="0" borderId="0" xfId="3" applyNumberFormat="1" applyFont="1" applyAlignment="1">
      <alignment horizontal="right"/>
    </xf>
    <xf numFmtId="169" fontId="20" fillId="0" borderId="0" xfId="2" applyNumberFormat="1" applyFont="1" applyFill="1"/>
    <xf numFmtId="10" fontId="5" fillId="0" borderId="0" xfId="2" applyNumberFormat="1" applyFont="1" applyFill="1"/>
    <xf numFmtId="169" fontId="5" fillId="0" borderId="0" xfId="0" applyNumberFormat="1" applyFont="1"/>
    <xf numFmtId="4" fontId="6" fillId="0" borderId="0" xfId="3" applyNumberFormat="1" applyFont="1" applyAlignment="1">
      <alignment horizontal="center"/>
    </xf>
    <xf numFmtId="4" fontId="6" fillId="0" borderId="0" xfId="3" applyNumberFormat="1" applyFont="1" applyAlignment="1">
      <alignment horizontal="right"/>
    </xf>
    <xf numFmtId="4" fontId="5" fillId="0" borderId="6" xfId="3" applyNumberFormat="1" applyFont="1" applyBorder="1"/>
    <xf numFmtId="169" fontId="5" fillId="0" borderId="0" xfId="3" applyNumberFormat="1" applyFont="1"/>
    <xf numFmtId="4" fontId="5" fillId="0" borderId="0" xfId="3" applyNumberFormat="1" applyFont="1" applyAlignment="1">
      <alignment horizontal="left" indent="1"/>
    </xf>
    <xf numFmtId="169" fontId="20" fillId="0" borderId="0" xfId="2" applyNumberFormat="1" applyFont="1"/>
    <xf numFmtId="4" fontId="5" fillId="0" borderId="0" xfId="3" quotePrefix="1" applyNumberFormat="1" applyFont="1" applyAlignment="1">
      <alignment horizontal="right"/>
    </xf>
    <xf numFmtId="192" fontId="20" fillId="0" borderId="0" xfId="3" applyNumberFormat="1" applyFont="1"/>
    <xf numFmtId="4" fontId="56" fillId="6" borderId="0" xfId="3" applyNumberFormat="1" applyFont="1" applyFill="1"/>
    <xf numFmtId="4" fontId="5" fillId="7" borderId="0" xfId="3" applyNumberFormat="1" applyFont="1" applyFill="1"/>
    <xf numFmtId="4" fontId="58" fillId="7" borderId="0" xfId="3" applyNumberFormat="1" applyFont="1" applyFill="1"/>
    <xf numFmtId="4" fontId="56" fillId="7" borderId="0" xfId="3" applyNumberFormat="1" applyFont="1" applyFill="1"/>
    <xf numFmtId="4" fontId="56" fillId="8" borderId="0" xfId="3" applyNumberFormat="1" applyFont="1" applyFill="1"/>
    <xf numFmtId="4" fontId="56" fillId="7" borderId="0" xfId="3" quotePrefix="1" applyNumberFormat="1" applyFont="1" applyFill="1" applyAlignment="1">
      <alignment horizontal="right"/>
    </xf>
    <xf numFmtId="169" fontId="56" fillId="7" borderId="0" xfId="2" applyNumberFormat="1" applyFont="1" applyFill="1"/>
    <xf numFmtId="4" fontId="56" fillId="9" borderId="0" xfId="3" applyNumberFormat="1" applyFont="1" applyFill="1"/>
    <xf numFmtId="4" fontId="57" fillId="8" borderId="0" xfId="3" applyNumberFormat="1" applyFont="1" applyFill="1"/>
    <xf numFmtId="4" fontId="5" fillId="10" borderId="0" xfId="3" applyNumberFormat="1" applyFont="1" applyFill="1"/>
    <xf numFmtId="4" fontId="56" fillId="10" borderId="0" xfId="3" applyNumberFormat="1" applyFont="1" applyFill="1"/>
    <xf numFmtId="166" fontId="20" fillId="0" borderId="0" xfId="3" applyNumberFormat="1" applyFont="1"/>
    <xf numFmtId="193" fontId="5" fillId="0" borderId="0" xfId="2" applyNumberFormat="1" applyFont="1"/>
    <xf numFmtId="17" fontId="6" fillId="0" borderId="0" xfId="0" applyNumberFormat="1" applyFont="1" applyAlignment="1">
      <alignment horizontal="center"/>
    </xf>
    <xf numFmtId="166" fontId="6" fillId="0" borderId="0" xfId="3" applyNumberFormat="1" applyFont="1"/>
    <xf numFmtId="169" fontId="6" fillId="0" borderId="0" xfId="0" applyNumberFormat="1" applyFont="1"/>
    <xf numFmtId="4" fontId="59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left" vertical="top"/>
    </xf>
    <xf numFmtId="0" fontId="6" fillId="0" borderId="0" xfId="0" applyNumberFormat="1" applyFont="1" applyAlignment="1">
      <alignment horizontal="center"/>
    </xf>
    <xf numFmtId="17" fontId="56" fillId="11" borderId="9" xfId="0" applyNumberFormat="1" applyFont="1" applyFill="1" applyBorder="1" applyAlignment="1">
      <alignment horizontal="center"/>
    </xf>
    <xf numFmtId="17" fontId="56" fillId="11" borderId="0" xfId="0" applyNumberFormat="1" applyFont="1" applyFill="1" applyAlignment="1">
      <alignment horizontal="right"/>
    </xf>
    <xf numFmtId="17" fontId="56" fillId="11" borderId="0" xfId="0" applyNumberFormat="1" applyFont="1" applyFill="1" applyAlignment="1">
      <alignment horizontal="center"/>
    </xf>
    <xf numFmtId="17" fontId="56" fillId="11" borderId="5" xfId="0" applyNumberFormat="1" applyFont="1" applyFill="1" applyBorder="1" applyAlignment="1">
      <alignment horizontal="center"/>
    </xf>
    <xf numFmtId="194" fontId="5" fillId="0" borderId="0" xfId="0" applyNumberFormat="1" applyFont="1"/>
    <xf numFmtId="5" fontId="5" fillId="0" borderId="0" xfId="1" applyFont="1" applyFill="1"/>
    <xf numFmtId="4" fontId="6" fillId="0" borderId="0" xfId="0" applyNumberFormat="1" applyFont="1"/>
    <xf numFmtId="4" fontId="6" fillId="0" borderId="0" xfId="0" applyNumberFormat="1" applyFont="1" applyAlignment="1">
      <alignment horizontal="center"/>
    </xf>
    <xf numFmtId="167" fontId="58" fillId="11" borderId="0" xfId="0" applyNumberFormat="1" applyFont="1" applyFill="1"/>
    <xf numFmtId="4" fontId="58" fillId="11" borderId="0" xfId="0" applyNumberFormat="1" applyFont="1" applyFill="1"/>
    <xf numFmtId="165" fontId="58" fillId="11" borderId="0" xfId="0" applyNumberFormat="1" applyFont="1" applyFill="1"/>
    <xf numFmtId="169" fontId="58" fillId="11" borderId="0" xfId="2" applyNumberFormat="1" applyFont="1" applyFill="1"/>
    <xf numFmtId="4" fontId="5" fillId="0" borderId="0" xfId="0" applyNumberFormat="1" applyFont="1" applyAlignment="1">
      <alignment horizontal="center"/>
    </xf>
    <xf numFmtId="0" fontId="5" fillId="11" borderId="0" xfId="0" applyNumberFormat="1" applyFont="1" applyFill="1"/>
    <xf numFmtId="186" fontId="5" fillId="0" borderId="0" xfId="3" applyNumberFormat="1" applyFont="1"/>
    <xf numFmtId="166" fontId="24" fillId="0" borderId="0" xfId="3" applyNumberFormat="1" applyFont="1"/>
    <xf numFmtId="166" fontId="25" fillId="0" borderId="0" xfId="3" applyNumberFormat="1" applyFont="1"/>
    <xf numFmtId="166" fontId="33" fillId="0" borderId="0" xfId="3" applyNumberFormat="1" applyFont="1"/>
    <xf numFmtId="166" fontId="55" fillId="0" borderId="0" xfId="3" applyNumberFormat="1" applyFont="1"/>
    <xf numFmtId="169" fontId="5" fillId="0" borderId="0" xfId="2" applyNumberFormat="1" applyFont="1" applyFill="1" applyAlignment="1">
      <alignment horizontal="left" indent="1"/>
    </xf>
    <xf numFmtId="169" fontId="5" fillId="0" borderId="0" xfId="2" quotePrefix="1" applyNumberFormat="1" applyFont="1" applyAlignment="1">
      <alignment horizontal="right"/>
    </xf>
    <xf numFmtId="0" fontId="38" fillId="3" borderId="0" xfId="16" applyFont="1" applyFill="1"/>
    <xf numFmtId="0" fontId="39" fillId="3" borderId="0" xfId="16" applyFont="1" applyFill="1"/>
    <xf numFmtId="0" fontId="40" fillId="3" borderId="0" xfId="16" applyFont="1" applyFill="1"/>
    <xf numFmtId="0" fontId="41" fillId="3" borderId="0" xfId="16" applyFont="1" applyFill="1"/>
    <xf numFmtId="0" fontId="42" fillId="3" borderId="0" xfId="16" applyFont="1" applyFill="1"/>
    <xf numFmtId="0" fontId="43" fillId="3" borderId="0" xfId="16" applyFont="1" applyFill="1"/>
    <xf numFmtId="191" fontId="43" fillId="3" borderId="0" xfId="16" applyNumberFormat="1" applyFont="1" applyFill="1" applyAlignment="1">
      <alignment horizontal="left"/>
    </xf>
    <xf numFmtId="0" fontId="44" fillId="3" borderId="0" xfId="16" applyFont="1" applyFill="1"/>
    <xf numFmtId="0" fontId="45" fillId="3" borderId="0" xfId="16" applyFont="1" applyFill="1"/>
    <xf numFmtId="0" fontId="46" fillId="3" borderId="0" xfId="16" applyFont="1" applyFill="1"/>
    <xf numFmtId="0" fontId="47" fillId="3" borderId="0" xfId="16" applyFont="1" applyFill="1"/>
    <xf numFmtId="0" fontId="48" fillId="3" borderId="0" xfId="16" applyFont="1" applyFill="1"/>
    <xf numFmtId="191" fontId="49" fillId="3" borderId="0" xfId="33" applyNumberFormat="1" applyFont="1" applyFill="1" applyAlignment="1">
      <alignment horizontal="left"/>
    </xf>
    <xf numFmtId="0" fontId="36" fillId="3" borderId="0" xfId="35" applyFont="1" applyFill="1"/>
    <xf numFmtId="0" fontId="50" fillId="3" borderId="0" xfId="33" applyNumberFormat="1" applyFont="1" applyFill="1" applyAlignment="1">
      <alignment horizontal="left" vertical="center"/>
    </xf>
    <xf numFmtId="49" fontId="50" fillId="3" borderId="0" xfId="33" applyNumberFormat="1" applyFont="1" applyFill="1" applyAlignment="1">
      <alignment horizontal="left" vertical="center"/>
    </xf>
    <xf numFmtId="0" fontId="29" fillId="3" borderId="0" xfId="32" applyFill="1" applyAlignment="1" applyProtection="1"/>
    <xf numFmtId="0" fontId="51" fillId="3" borderId="0" xfId="34" applyFill="1" applyAlignment="1" applyProtection="1"/>
    <xf numFmtId="0" fontId="52" fillId="3" borderId="0" xfId="33" applyNumberFormat="1" applyFont="1" applyFill="1" applyAlignment="1">
      <alignment horizontal="left" vertical="center"/>
    </xf>
    <xf numFmtId="0" fontId="53" fillId="3" borderId="0" xfId="34" applyNumberFormat="1" applyFont="1" applyFill="1" applyAlignment="1">
      <alignment horizontal="left" vertical="center"/>
    </xf>
    <xf numFmtId="0" fontId="35" fillId="3" borderId="0" xfId="34" applyNumberFormat="1" applyFont="1" applyFill="1" applyAlignment="1">
      <alignment horizontal="left" vertical="center"/>
    </xf>
    <xf numFmtId="169" fontId="5" fillId="0" borderId="0" xfId="0" applyNumberFormat="1" applyFont="1" applyAlignment="1">
      <alignment horizontal="right"/>
    </xf>
    <xf numFmtId="169" fontId="5" fillId="0" borderId="0" xfId="0" quotePrefix="1" applyNumberFormat="1" applyFont="1" applyAlignment="1">
      <alignment horizontal="right"/>
    </xf>
    <xf numFmtId="193" fontId="5" fillId="0" borderId="0" xfId="0" applyNumberFormat="1" applyFont="1"/>
    <xf numFmtId="166" fontId="5" fillId="0" borderId="5" xfId="0" applyNumberFormat="1" applyFont="1" applyBorder="1"/>
    <xf numFmtId="164" fontId="20" fillId="0" borderId="5" xfId="0" applyNumberFormat="1" applyFont="1" applyBorder="1"/>
    <xf numFmtId="8" fontId="5" fillId="0" borderId="5" xfId="0" applyNumberFormat="1" applyFont="1" applyBorder="1"/>
    <xf numFmtId="167" fontId="58" fillId="11" borderId="5" xfId="0" applyNumberFormat="1" applyFont="1" applyFill="1" applyBorder="1"/>
    <xf numFmtId="169" fontId="5" fillId="0" borderId="5" xfId="0" quotePrefix="1" applyNumberFormat="1" applyFont="1" applyBorder="1" applyAlignment="1">
      <alignment horizontal="right"/>
    </xf>
    <xf numFmtId="181" fontId="5" fillId="0" borderId="5" xfId="0" applyNumberFormat="1" applyFont="1" applyBorder="1"/>
    <xf numFmtId="4" fontId="5" fillId="0" borderId="4" xfId="0" applyNumberFormat="1" applyFont="1" applyBorder="1"/>
    <xf numFmtId="4" fontId="58" fillId="11" borderId="5" xfId="0" applyNumberFormat="1" applyFont="1" applyFill="1" applyBorder="1"/>
    <xf numFmtId="169" fontId="5" fillId="0" borderId="5" xfId="0" applyNumberFormat="1" applyFont="1" applyBorder="1" applyAlignment="1">
      <alignment horizontal="right"/>
    </xf>
    <xf numFmtId="169" fontId="5" fillId="0" borderId="5" xfId="0" applyNumberFormat="1" applyFont="1" applyBorder="1"/>
    <xf numFmtId="181" fontId="5" fillId="0" borderId="5" xfId="0" applyNumberFormat="1" applyFont="1" applyBorder="1" applyAlignment="1">
      <alignment horizontal="right"/>
    </xf>
    <xf numFmtId="167" fontId="5" fillId="0" borderId="5" xfId="0" applyNumberFormat="1" applyFont="1" applyBorder="1"/>
    <xf numFmtId="4" fontId="5" fillId="0" borderId="5" xfId="0" applyNumberFormat="1" applyFont="1" applyBorder="1"/>
    <xf numFmtId="169" fontId="5" fillId="0" borderId="4" xfId="2" applyNumberFormat="1" applyFont="1" applyBorder="1"/>
    <xf numFmtId="169" fontId="58" fillId="11" borderId="5" xfId="2" applyNumberFormat="1" applyFont="1" applyFill="1" applyBorder="1"/>
    <xf numFmtId="10" fontId="5" fillId="0" borderId="5" xfId="0" applyNumberFormat="1" applyFont="1" applyBorder="1"/>
    <xf numFmtId="166" fontId="6" fillId="0" borderId="0" xfId="0" applyNumberFormat="1" applyFont="1"/>
    <xf numFmtId="166" fontId="6" fillId="0" borderId="5" xfId="0" applyNumberFormat="1" applyFont="1" applyBorder="1"/>
    <xf numFmtId="166" fontId="6" fillId="0" borderId="12" xfId="0" applyNumberFormat="1" applyFont="1" applyBorder="1"/>
    <xf numFmtId="166" fontId="6" fillId="0" borderId="11" xfId="0" applyNumberFormat="1" applyFont="1" applyBorder="1"/>
    <xf numFmtId="8" fontId="6" fillId="0" borderId="0" xfId="0" applyNumberFormat="1" applyFont="1"/>
    <xf numFmtId="194" fontId="6" fillId="0" borderId="0" xfId="0" applyNumberFormat="1" applyFont="1"/>
    <xf numFmtId="167" fontId="6" fillId="0" borderId="0" xfId="0" applyNumberFormat="1" applyFont="1"/>
    <xf numFmtId="169" fontId="6" fillId="0" borderId="0" xfId="0" quotePrefix="1" applyNumberFormat="1" applyFont="1" applyAlignment="1">
      <alignment horizontal="right"/>
    </xf>
    <xf numFmtId="169" fontId="6" fillId="0" borderId="5" xfId="0" quotePrefix="1" applyNumberFormat="1" applyFont="1" applyBorder="1" applyAlignment="1">
      <alignment horizontal="right"/>
    </xf>
    <xf numFmtId="169" fontId="6" fillId="0" borderId="5" xfId="0" applyNumberFormat="1" applyFont="1" applyBorder="1"/>
    <xf numFmtId="169" fontId="6" fillId="0" borderId="0" xfId="0" applyNumberFormat="1" applyFont="1" applyAlignment="1">
      <alignment horizontal="right"/>
    </xf>
    <xf numFmtId="169" fontId="6" fillId="0" borderId="5" xfId="0" applyNumberFormat="1" applyFont="1" applyBorder="1" applyAlignment="1">
      <alignment horizontal="right"/>
    </xf>
    <xf numFmtId="3" fontId="6" fillId="0" borderId="0" xfId="3" applyNumberFormat="1" applyFont="1"/>
    <xf numFmtId="164" fontId="5" fillId="0" borderId="5" xfId="3" applyNumberFormat="1" applyFont="1" applyBorder="1"/>
    <xf numFmtId="166" fontId="5" fillId="0" borderId="5" xfId="3" applyNumberFormat="1" applyFont="1" applyBorder="1"/>
    <xf numFmtId="166" fontId="6" fillId="0" borderId="5" xfId="3" applyNumberFormat="1" applyFont="1" applyBorder="1"/>
    <xf numFmtId="4" fontId="5" fillId="0" borderId="5" xfId="3" applyNumberFormat="1" applyFont="1" applyBorder="1"/>
    <xf numFmtId="171" fontId="5" fillId="0" borderId="5" xfId="3" applyNumberFormat="1" applyFont="1" applyBorder="1"/>
    <xf numFmtId="172" fontId="5" fillId="0" borderId="5" xfId="3" applyNumberFormat="1" applyFont="1" applyBorder="1"/>
    <xf numFmtId="4" fontId="5" fillId="0" borderId="4" xfId="3" applyNumberFormat="1" applyFont="1" applyBorder="1"/>
    <xf numFmtId="189" fontId="5" fillId="0" borderId="5" xfId="3" applyNumberFormat="1" applyFont="1" applyBorder="1"/>
    <xf numFmtId="166" fontId="54" fillId="0" borderId="5" xfId="3" applyNumberFormat="1" applyFont="1" applyBorder="1"/>
    <xf numFmtId="166" fontId="25" fillId="0" borderId="5" xfId="3" applyNumberFormat="1" applyFont="1" applyBorder="1"/>
    <xf numFmtId="164" fontId="5" fillId="0" borderId="4" xfId="3" applyNumberFormat="1" applyFont="1" applyBorder="1"/>
    <xf numFmtId="180" fontId="6" fillId="0" borderId="0" xfId="3" applyNumberFormat="1" applyFont="1"/>
    <xf numFmtId="180" fontId="23" fillId="0" borderId="0" xfId="3" applyNumberFormat="1" applyFont="1"/>
    <xf numFmtId="180" fontId="6" fillId="0" borderId="0" xfId="3" quotePrefix="1" applyNumberFormat="1" applyFont="1"/>
    <xf numFmtId="4" fontId="6" fillId="0" borderId="0" xfId="3" applyNumberFormat="1" applyFont="1" applyAlignment="1">
      <alignment horizontal="left"/>
    </xf>
    <xf numFmtId="169" fontId="6" fillId="0" borderId="0" xfId="2" applyNumberFormat="1" applyFont="1" applyFill="1" applyAlignment="1">
      <alignment horizontal="left"/>
    </xf>
    <xf numFmtId="166" fontId="6" fillId="0" borderId="0" xfId="3" quotePrefix="1" applyNumberFormat="1" applyFont="1" applyAlignment="1">
      <alignment horizontal="right"/>
    </xf>
    <xf numFmtId="4" fontId="5" fillId="10" borderId="5" xfId="3" applyNumberFormat="1" applyFont="1" applyFill="1" applyBorder="1"/>
    <xf numFmtId="4" fontId="56" fillId="8" borderId="5" xfId="3" applyNumberFormat="1" applyFont="1" applyFill="1" applyBorder="1"/>
    <xf numFmtId="4" fontId="6" fillId="0" borderId="5" xfId="3" applyNumberFormat="1" applyFont="1" applyBorder="1"/>
    <xf numFmtId="3" fontId="6" fillId="0" borderId="5" xfId="3" applyNumberFormat="1" applyFont="1" applyBorder="1"/>
    <xf numFmtId="4" fontId="5" fillId="0" borderId="5" xfId="3" quotePrefix="1" applyNumberFormat="1" applyFont="1" applyBorder="1" applyAlignment="1">
      <alignment horizontal="right"/>
    </xf>
    <xf numFmtId="180" fontId="6" fillId="0" borderId="5" xfId="3" applyNumberFormat="1" applyFont="1" applyBorder="1"/>
    <xf numFmtId="4" fontId="56" fillId="6" borderId="5" xfId="3" applyNumberFormat="1" applyFont="1" applyFill="1" applyBorder="1"/>
    <xf numFmtId="4" fontId="58" fillId="7" borderId="5" xfId="3" applyNumberFormat="1" applyFont="1" applyFill="1" applyBorder="1"/>
    <xf numFmtId="169" fontId="5" fillId="0" borderId="5" xfId="2" applyNumberFormat="1" applyFont="1" applyBorder="1"/>
    <xf numFmtId="169" fontId="5" fillId="0" borderId="5" xfId="3" applyNumberFormat="1" applyFont="1" applyBorder="1"/>
    <xf numFmtId="4" fontId="5" fillId="7" borderId="5" xfId="3" applyNumberFormat="1" applyFont="1" applyFill="1" applyBorder="1"/>
    <xf numFmtId="4" fontId="6" fillId="0" borderId="5" xfId="3" quotePrefix="1" applyNumberFormat="1" applyFont="1" applyBorder="1" applyAlignment="1">
      <alignment horizontal="right"/>
    </xf>
    <xf numFmtId="4" fontId="56" fillId="7" borderId="5" xfId="3" applyNumberFormat="1" applyFont="1" applyFill="1" applyBorder="1"/>
    <xf numFmtId="4" fontId="56" fillId="9" borderId="5" xfId="3" applyNumberFormat="1" applyFont="1" applyFill="1" applyBorder="1"/>
    <xf numFmtId="4" fontId="56" fillId="10" borderId="5" xfId="3" applyNumberFormat="1" applyFont="1" applyFill="1" applyBorder="1"/>
    <xf numFmtId="166" fontId="6" fillId="0" borderId="5" xfId="3" quotePrefix="1" applyNumberFormat="1" applyFont="1" applyBorder="1" applyAlignment="1">
      <alignment horizontal="right"/>
    </xf>
    <xf numFmtId="193" fontId="5" fillId="0" borderId="5" xfId="2" applyNumberFormat="1" applyFont="1" applyBorder="1"/>
    <xf numFmtId="169" fontId="5" fillId="0" borderId="5" xfId="2" quotePrefix="1" applyNumberFormat="1" applyFont="1" applyBorder="1" applyAlignment="1">
      <alignment horizontal="right"/>
    </xf>
    <xf numFmtId="180" fontId="6" fillId="0" borderId="5" xfId="3" quotePrefix="1" applyNumberFormat="1" applyFont="1" applyBorder="1"/>
    <xf numFmtId="192" fontId="5" fillId="0" borderId="5" xfId="3" applyNumberFormat="1" applyFont="1" applyBorder="1"/>
    <xf numFmtId="4" fontId="56" fillId="7" borderId="5" xfId="3" quotePrefix="1" applyNumberFormat="1" applyFont="1" applyFill="1" applyBorder="1" applyAlignment="1">
      <alignment horizontal="right"/>
    </xf>
    <xf numFmtId="3" fontId="5" fillId="0" borderId="5" xfId="3" applyNumberFormat="1" applyFont="1" applyBorder="1"/>
    <xf numFmtId="168" fontId="5" fillId="0" borderId="5" xfId="3" applyNumberFormat="1" applyFont="1" applyBorder="1"/>
    <xf numFmtId="168" fontId="5" fillId="0" borderId="4" xfId="3" applyNumberFormat="1" applyFont="1" applyBorder="1"/>
    <xf numFmtId="166" fontId="5" fillId="0" borderId="4" xfId="3" applyNumberFormat="1" applyFont="1" applyBorder="1"/>
    <xf numFmtId="169" fontId="20" fillId="0" borderId="5" xfId="2" applyNumberFormat="1" applyFont="1" applyBorder="1"/>
    <xf numFmtId="195" fontId="5" fillId="0" borderId="0" xfId="3" applyNumberFormat="1" applyFont="1"/>
    <xf numFmtId="196" fontId="5" fillId="0" borderId="0" xfId="3" applyNumberFormat="1" applyFont="1"/>
    <xf numFmtId="164" fontId="55" fillId="0" borderId="0" xfId="3" applyNumberFormat="1" applyFont="1"/>
    <xf numFmtId="191" fontId="49" fillId="2" borderId="0" xfId="33" applyNumberFormat="1" applyFont="1" applyFill="1" applyAlignment="1">
      <alignment horizontal="left"/>
    </xf>
    <xf numFmtId="0" fontId="50" fillId="2" borderId="0" xfId="33" applyNumberFormat="1" applyFont="1" applyFill="1" applyAlignment="1">
      <alignment horizontal="left" vertical="center"/>
    </xf>
    <xf numFmtId="49" fontId="50" fillId="2" borderId="0" xfId="33" applyNumberFormat="1" applyFont="1" applyFill="1" applyAlignment="1">
      <alignment horizontal="left" vertical="center"/>
    </xf>
    <xf numFmtId="0" fontId="36" fillId="12" borderId="0" xfId="16" applyFont="1" applyFill="1"/>
    <xf numFmtId="0" fontId="37" fillId="0" borderId="0" xfId="16" applyFont="1"/>
    <xf numFmtId="0" fontId="38" fillId="0" borderId="0" xfId="16" applyFont="1"/>
    <xf numFmtId="0" fontId="36" fillId="13" borderId="0" xfId="16" applyFont="1" applyFill="1"/>
    <xf numFmtId="10" fontId="5" fillId="0" borderId="5" xfId="2" applyNumberFormat="1" applyFont="1" applyFill="1" applyBorder="1"/>
    <xf numFmtId="170" fontId="5" fillId="0" borderId="5" xfId="3" applyNumberFormat="1" applyFont="1" applyBorder="1"/>
    <xf numFmtId="170" fontId="5" fillId="0" borderId="4" xfId="3" applyNumberFormat="1" applyFont="1" applyBorder="1"/>
    <xf numFmtId="10" fontId="5" fillId="0" borderId="5" xfId="2" applyNumberFormat="1" applyFont="1" applyBorder="1"/>
    <xf numFmtId="6" fontId="5" fillId="0" borderId="5" xfId="3" applyNumberFormat="1" applyFont="1" applyBorder="1"/>
    <xf numFmtId="170" fontId="9" fillId="0" borderId="5" xfId="3" applyNumberFormat="1" applyFont="1" applyBorder="1"/>
    <xf numFmtId="166" fontId="6" fillId="4" borderId="0" xfId="3" applyNumberFormat="1" applyFont="1" applyFill="1"/>
    <xf numFmtId="4" fontId="23" fillId="0" borderId="0" xfId="0" applyNumberFormat="1" applyFont="1" applyAlignment="1">
      <alignment horizontal="left"/>
    </xf>
    <xf numFmtId="166" fontId="5" fillId="4" borderId="0" xfId="3" applyNumberFormat="1" applyFont="1" applyFill="1"/>
    <xf numFmtId="166" fontId="9" fillId="4" borderId="0" xfId="3" applyNumberFormat="1" applyFont="1" applyFill="1"/>
    <xf numFmtId="0" fontId="24" fillId="0" borderId="0" xfId="0" applyFont="1" applyAlignment="1">
      <alignment horizontal="left" indent="1"/>
    </xf>
    <xf numFmtId="166" fontId="6" fillId="0" borderId="13" xfId="0" applyNumberFormat="1" applyFont="1" applyBorder="1"/>
    <xf numFmtId="166" fontId="20" fillId="0" borderId="0" xfId="0" applyNumberFormat="1" applyFont="1"/>
    <xf numFmtId="194" fontId="5" fillId="0" borderId="5" xfId="0" applyNumberFormat="1" applyFont="1" applyBorder="1"/>
    <xf numFmtId="194" fontId="6" fillId="0" borderId="5" xfId="0" applyNumberFormat="1" applyFont="1" applyBorder="1"/>
    <xf numFmtId="193" fontId="5" fillId="0" borderId="5" xfId="0" applyNumberFormat="1" applyFont="1" applyBorder="1"/>
    <xf numFmtId="164" fontId="5" fillId="4" borderId="0" xfId="3" applyNumberFormat="1" applyFont="1" applyFill="1"/>
    <xf numFmtId="170" fontId="5" fillId="4" borderId="0" xfId="3" applyNumberFormat="1" applyFont="1" applyFill="1"/>
    <xf numFmtId="166" fontId="20" fillId="4" borderId="0" xfId="3" applyNumberFormat="1" applyFont="1" applyFill="1"/>
    <xf numFmtId="3" fontId="23" fillId="0" borderId="0" xfId="3" applyNumberFormat="1" applyFont="1"/>
    <xf numFmtId="169" fontId="20" fillId="0" borderId="0" xfId="2" quotePrefix="1" applyNumberFormat="1" applyFont="1" applyAlignment="1">
      <alignment horizontal="right"/>
    </xf>
    <xf numFmtId="169" fontId="7" fillId="0" borderId="0" xfId="3" applyNumberFormat="1" applyFont="1"/>
    <xf numFmtId="4" fontId="7" fillId="0" borderId="0" xfId="0" applyNumberFormat="1" applyFont="1"/>
    <xf numFmtId="3" fontId="14" fillId="0" borderId="0" xfId="3" applyNumberFormat="1" applyFont="1"/>
    <xf numFmtId="165" fontId="5" fillId="0" borderId="5" xfId="3" applyNumberFormat="1" applyFont="1" applyBorder="1"/>
    <xf numFmtId="168" fontId="20" fillId="0" borderId="0" xfId="3" applyNumberFormat="1" applyFont="1"/>
    <xf numFmtId="168" fontId="20" fillId="0" borderId="5" xfId="3" applyNumberFormat="1" applyFont="1" applyBorder="1"/>
    <xf numFmtId="9" fontId="9" fillId="0" borderId="0" xfId="2" applyFont="1"/>
    <xf numFmtId="170" fontId="20" fillId="4" borderId="0" xfId="3" applyNumberFormat="1" applyFont="1" applyFill="1"/>
    <xf numFmtId="170" fontId="20" fillId="0" borderId="0" xfId="3" applyNumberFormat="1" applyFont="1"/>
    <xf numFmtId="169" fontId="5" fillId="0" borderId="0" xfId="2" applyNumberFormat="1" applyFont="1" applyAlignment="1">
      <alignment horizontal="right"/>
    </xf>
    <xf numFmtId="169" fontId="5" fillId="0" borderId="5" xfId="2" applyNumberFormat="1" applyFont="1" applyBorder="1" applyAlignment="1">
      <alignment horizontal="right"/>
    </xf>
    <xf numFmtId="2" fontId="5" fillId="0" borderId="0" xfId="0" applyNumberFormat="1" applyFont="1"/>
    <xf numFmtId="170" fontId="20" fillId="0" borderId="5" xfId="3" applyNumberFormat="1" applyFont="1" applyBorder="1"/>
    <xf numFmtId="170" fontId="60" fillId="0" borderId="0" xfId="3" applyNumberFormat="1" applyFont="1"/>
    <xf numFmtId="169" fontId="20" fillId="0" borderId="5" xfId="0" applyNumberFormat="1" applyFont="1" applyBorder="1"/>
    <xf numFmtId="169" fontId="60" fillId="0" borderId="0" xfId="2" applyNumberFormat="1" applyFont="1" applyFill="1"/>
    <xf numFmtId="169" fontId="5" fillId="0" borderId="2" xfId="0" applyNumberFormat="1" applyFont="1" applyBorder="1"/>
    <xf numFmtId="0" fontId="25" fillId="0" borderId="0" xfId="0" applyFont="1" applyAlignment="1">
      <alignment horizontal="left"/>
    </xf>
    <xf numFmtId="8" fontId="20" fillId="14" borderId="0" xfId="3" applyNumberFormat="1" applyFont="1" applyFill="1"/>
    <xf numFmtId="175" fontId="5" fillId="14" borderId="0" xfId="2" applyNumberFormat="1" applyFont="1" applyFill="1"/>
    <xf numFmtId="164" fontId="9" fillId="0" borderId="0" xfId="3" applyNumberFormat="1" applyFont="1"/>
    <xf numFmtId="169" fontId="5" fillId="0" borderId="0" xfId="2" applyNumberFormat="1" applyFont="1" applyBorder="1"/>
    <xf numFmtId="4" fontId="6" fillId="0" borderId="7" xfId="0" applyNumberFormat="1" applyFont="1" applyBorder="1"/>
    <xf numFmtId="4" fontId="5" fillId="0" borderId="7" xfId="0" applyNumberFormat="1" applyFont="1" applyBorder="1" applyAlignment="1">
      <alignment horizontal="left" indent="1"/>
    </xf>
    <xf numFmtId="4" fontId="5" fillId="0" borderId="7" xfId="0" applyNumberFormat="1" applyFont="1" applyBorder="1"/>
    <xf numFmtId="4" fontId="5" fillId="0" borderId="7" xfId="0" applyNumberFormat="1" applyFont="1" applyBorder="1" applyAlignment="1">
      <alignment horizontal="left" indent="2"/>
    </xf>
    <xf numFmtId="166" fontId="5" fillId="0" borderId="7" xfId="0" applyNumberFormat="1" applyFont="1" applyBorder="1"/>
    <xf numFmtId="8" fontId="5" fillId="0" borderId="7" xfId="0" applyNumberFormat="1" applyFont="1" applyBorder="1"/>
    <xf numFmtId="8" fontId="6" fillId="0" borderId="7" xfId="0" applyNumberFormat="1" applyFont="1" applyBorder="1"/>
    <xf numFmtId="167" fontId="56" fillId="11" borderId="7" xfId="0" applyNumberFormat="1" applyFont="1" applyFill="1" applyBorder="1"/>
    <xf numFmtId="167" fontId="6" fillId="0" borderId="7" xfId="0" applyNumberFormat="1" applyFont="1" applyBorder="1"/>
    <xf numFmtId="167" fontId="5" fillId="0" borderId="7" xfId="0" applyNumberFormat="1" applyFont="1" applyBorder="1" applyAlignment="1">
      <alignment horizontal="left" indent="1"/>
    </xf>
    <xf numFmtId="167" fontId="5" fillId="0" borderId="7" xfId="0" applyNumberFormat="1" applyFont="1" applyBorder="1" applyAlignment="1">
      <alignment horizontal="left"/>
    </xf>
    <xf numFmtId="167" fontId="5" fillId="0" borderId="7" xfId="0" applyNumberFormat="1" applyFont="1" applyBorder="1"/>
    <xf numFmtId="4" fontId="5" fillId="0" borderId="8" xfId="0" applyNumberFormat="1" applyFont="1" applyBorder="1"/>
    <xf numFmtId="4" fontId="56" fillId="11" borderId="7" xfId="0" applyNumberFormat="1" applyFont="1" applyFill="1" applyBorder="1"/>
    <xf numFmtId="197" fontId="5" fillId="0" borderId="0" xfId="0" applyNumberFormat="1" applyFont="1"/>
    <xf numFmtId="198" fontId="56" fillId="7" borderId="0" xfId="39" applyNumberFormat="1" applyFont="1" applyFill="1"/>
    <xf numFmtId="3" fontId="56" fillId="8" borderId="0" xfId="3" applyNumberFormat="1" applyFont="1" applyFill="1"/>
    <xf numFmtId="3" fontId="56" fillId="8" borderId="5" xfId="3" applyNumberFormat="1" applyFont="1" applyFill="1" applyBorder="1"/>
    <xf numFmtId="169" fontId="5" fillId="4" borderId="0" xfId="2" applyNumberFormat="1" applyFont="1" applyFill="1"/>
    <xf numFmtId="166" fontId="6" fillId="4" borderId="0" xfId="0" applyNumberFormat="1" applyFont="1" applyFill="1"/>
    <xf numFmtId="166" fontId="5" fillId="4" borderId="0" xfId="0" applyNumberFormat="1" applyFont="1" applyFill="1"/>
    <xf numFmtId="166" fontId="20" fillId="4" borderId="0" xfId="0" applyNumberFormat="1" applyFont="1" applyFill="1"/>
    <xf numFmtId="4" fontId="5" fillId="4" borderId="0" xfId="0" applyNumberFormat="1" applyFont="1" applyFill="1"/>
    <xf numFmtId="194" fontId="5" fillId="4" borderId="0" xfId="0" applyNumberFormat="1" applyFont="1" applyFill="1"/>
    <xf numFmtId="194" fontId="6" fillId="4" borderId="0" xfId="0" applyNumberFormat="1" applyFont="1" applyFill="1"/>
    <xf numFmtId="8" fontId="5" fillId="4" borderId="0" xfId="0" applyNumberFormat="1" applyFont="1" applyFill="1"/>
    <xf numFmtId="169" fontId="6" fillId="4" borderId="0" xfId="0" applyNumberFormat="1" applyFont="1" applyFill="1"/>
    <xf numFmtId="169" fontId="5" fillId="4" borderId="0" xfId="0" applyNumberFormat="1" applyFont="1" applyFill="1"/>
    <xf numFmtId="4" fontId="5" fillId="4" borderId="1" xfId="0" applyNumberFormat="1" applyFont="1" applyFill="1" applyBorder="1"/>
    <xf numFmtId="169" fontId="6" fillId="4" borderId="0" xfId="0" applyNumberFormat="1" applyFont="1" applyFill="1" applyAlignment="1">
      <alignment horizontal="right"/>
    </xf>
    <xf numFmtId="193" fontId="5" fillId="4" borderId="0" xfId="0" applyNumberFormat="1" applyFont="1" applyFill="1"/>
    <xf numFmtId="169" fontId="5" fillId="4" borderId="0" xfId="0" applyNumberFormat="1" applyFont="1" applyFill="1" applyAlignment="1">
      <alignment horizontal="right"/>
    </xf>
    <xf numFmtId="169" fontId="5" fillId="4" borderId="0" xfId="2" applyNumberFormat="1" applyFont="1" applyFill="1" applyAlignment="1">
      <alignment horizontal="right"/>
    </xf>
    <xf numFmtId="4" fontId="7" fillId="0" borderId="7" xfId="0" applyNumberFormat="1" applyFont="1" applyBorder="1"/>
    <xf numFmtId="0" fontId="6" fillId="0" borderId="0" xfId="0" applyNumberFormat="1" applyFont="1" applyAlignment="1">
      <alignment vertical="top"/>
    </xf>
    <xf numFmtId="43" fontId="5" fillId="0" borderId="0" xfId="39" applyFont="1"/>
    <xf numFmtId="166" fontId="5" fillId="0" borderId="12" xfId="0" applyNumberFormat="1" applyFont="1" applyBorder="1"/>
    <xf numFmtId="169" fontId="5" fillId="0" borderId="5" xfId="2" applyNumberFormat="1" applyFont="1" applyFill="1" applyBorder="1"/>
    <xf numFmtId="169" fontId="20" fillId="4" borderId="0" xfId="2" applyNumberFormat="1" applyFont="1" applyFill="1"/>
    <xf numFmtId="170" fontId="9" fillId="0" borderId="0" xfId="3" applyNumberFormat="1" applyFont="1"/>
    <xf numFmtId="164" fontId="23" fillId="0" borderId="0" xfId="3" applyNumberFormat="1" applyFont="1"/>
    <xf numFmtId="6" fontId="23" fillId="0" borderId="0" xfId="3" applyNumberFormat="1" applyFont="1"/>
    <xf numFmtId="6" fontId="6" fillId="0" borderId="0" xfId="3" applyNumberFormat="1" applyFont="1"/>
    <xf numFmtId="5" fontId="5" fillId="0" borderId="0" xfId="1" applyFont="1"/>
    <xf numFmtId="169" fontId="5" fillId="4" borderId="7" xfId="0" applyNumberFormat="1" applyFont="1" applyFill="1" applyBorder="1"/>
    <xf numFmtId="167" fontId="5" fillId="4" borderId="0" xfId="0" applyNumberFormat="1" applyFont="1" applyFill="1"/>
    <xf numFmtId="4" fontId="5" fillId="4" borderId="0" xfId="3" applyNumberFormat="1" applyFont="1" applyFill="1"/>
    <xf numFmtId="171" fontId="5" fillId="4" borderId="0" xfId="3" applyNumberFormat="1" applyFont="1" applyFill="1"/>
    <xf numFmtId="172" fontId="15" fillId="4" borderId="0" xfId="3" applyNumberFormat="1" applyFont="1" applyFill="1"/>
    <xf numFmtId="172" fontId="5" fillId="4" borderId="0" xfId="3" applyNumberFormat="1" applyFont="1" applyFill="1"/>
    <xf numFmtId="3" fontId="6" fillId="4" borderId="0" xfId="3" applyNumberFormat="1" applyFont="1" applyFill="1"/>
    <xf numFmtId="180" fontId="6" fillId="4" borderId="0" xfId="3" applyNumberFormat="1" applyFont="1" applyFill="1"/>
    <xf numFmtId="3" fontId="5" fillId="0" borderId="0" xfId="0" applyNumberFormat="1" applyFont="1"/>
    <xf numFmtId="4" fontId="20" fillId="0" borderId="0" xfId="0" applyNumberFormat="1" applyFont="1"/>
    <xf numFmtId="199" fontId="5" fillId="0" borderId="0" xfId="0" applyNumberFormat="1" applyFont="1"/>
    <xf numFmtId="169" fontId="5" fillId="14" borderId="5" xfId="2" applyNumberFormat="1" applyFont="1" applyFill="1" applyBorder="1"/>
    <xf numFmtId="180" fontId="6" fillId="14" borderId="5" xfId="3" applyNumberFormat="1" applyFont="1" applyFill="1" applyBorder="1"/>
    <xf numFmtId="4" fontId="14" fillId="14" borderId="0" xfId="3" applyNumberFormat="1" applyFont="1" applyFill="1"/>
    <xf numFmtId="185" fontId="6" fillId="0" borderId="15" xfId="2" applyNumberFormat="1" applyFont="1" applyBorder="1"/>
    <xf numFmtId="172" fontId="6" fillId="0" borderId="15" xfId="3" applyNumberFormat="1" applyFont="1" applyBorder="1"/>
    <xf numFmtId="38" fontId="5" fillId="0" borderId="0" xfId="3" applyNumberFormat="1" applyFont="1" applyAlignment="1">
      <alignment horizontal="left"/>
    </xf>
    <xf numFmtId="172" fontId="6" fillId="0" borderId="0" xfId="3" applyNumberFormat="1" applyFont="1"/>
    <xf numFmtId="38" fontId="6" fillId="0" borderId="10" xfId="3" applyNumberFormat="1" applyFont="1" applyBorder="1"/>
    <xf numFmtId="38" fontId="6" fillId="0" borderId="15" xfId="3" applyNumberFormat="1" applyFont="1" applyBorder="1"/>
    <xf numFmtId="175" fontId="6" fillId="0" borderId="15" xfId="2" applyNumberFormat="1" applyFont="1" applyBorder="1"/>
    <xf numFmtId="177" fontId="6" fillId="0" borderId="15" xfId="2" applyNumberFormat="1" applyFont="1" applyBorder="1"/>
    <xf numFmtId="185" fontId="6" fillId="0" borderId="14" xfId="2" applyNumberFormat="1" applyFont="1" applyBorder="1"/>
    <xf numFmtId="187" fontId="6" fillId="0" borderId="15" xfId="3" applyNumberFormat="1" applyFont="1" applyBorder="1"/>
    <xf numFmtId="172" fontId="6" fillId="0" borderId="14" xfId="3" applyNumberFormat="1" applyFont="1" applyBorder="1"/>
    <xf numFmtId="172" fontId="6" fillId="0" borderId="10" xfId="3" applyNumberFormat="1" applyFont="1" applyBorder="1"/>
    <xf numFmtId="185" fontId="6" fillId="0" borderId="10" xfId="2" applyNumberFormat="1" applyFont="1" applyBorder="1"/>
    <xf numFmtId="169" fontId="17" fillId="4" borderId="0" xfId="2" applyNumberFormat="1" applyFont="1" applyFill="1"/>
    <xf numFmtId="169" fontId="9" fillId="4" borderId="0" xfId="2" applyNumberFormat="1" applyFont="1" applyFill="1"/>
    <xf numFmtId="10" fontId="5" fillId="4" borderId="0" xfId="2" applyNumberFormat="1" applyFont="1" applyFill="1"/>
    <xf numFmtId="6" fontId="5" fillId="4" borderId="0" xfId="3" applyNumberFormat="1" applyFont="1" applyFill="1"/>
    <xf numFmtId="164" fontId="7" fillId="4" borderId="0" xfId="3" applyNumberFormat="1" applyFont="1" applyFill="1"/>
    <xf numFmtId="170" fontId="7" fillId="4" borderId="0" xfId="3" applyNumberFormat="1" applyFont="1" applyFill="1"/>
    <xf numFmtId="170" fontId="15" fillId="4" borderId="0" xfId="3" applyNumberFormat="1" applyFont="1" applyFill="1"/>
    <xf numFmtId="170" fontId="63" fillId="4" borderId="0" xfId="3" applyNumberFormat="1" applyFont="1" applyFill="1"/>
    <xf numFmtId="170" fontId="7" fillId="14" borderId="0" xfId="3" applyNumberFormat="1" applyFont="1" applyFill="1" applyAlignment="1">
      <alignment horizontal="right"/>
    </xf>
    <xf numFmtId="166" fontId="7" fillId="0" borderId="0" xfId="0" applyNumberFormat="1" applyFont="1"/>
    <xf numFmtId="166" fontId="7" fillId="0" borderId="5" xfId="0" applyNumberFormat="1" applyFont="1" applyBorder="1"/>
    <xf numFmtId="166" fontId="7" fillId="4" borderId="0" xfId="0" applyNumberFormat="1" applyFont="1" applyFill="1"/>
    <xf numFmtId="166" fontId="63" fillId="4" borderId="0" xfId="0" applyNumberFormat="1" applyFont="1" applyFill="1"/>
    <xf numFmtId="166" fontId="63" fillId="0" borderId="0" xfId="0" applyNumberFormat="1" applyFont="1"/>
    <xf numFmtId="166" fontId="64" fillId="0" borderId="0" xfId="0" applyNumberFormat="1" applyFont="1"/>
    <xf numFmtId="169" fontId="7" fillId="0" borderId="0" xfId="2" applyNumberFormat="1" applyFont="1" applyFill="1"/>
    <xf numFmtId="169" fontId="7" fillId="0" borderId="5" xfId="2" applyNumberFormat="1" applyFont="1" applyFill="1" applyBorder="1"/>
    <xf numFmtId="169" fontId="63" fillId="4" borderId="0" xfId="2" applyNumberFormat="1" applyFont="1" applyFill="1"/>
    <xf numFmtId="169" fontId="63" fillId="0" borderId="0" xfId="2" applyNumberFormat="1" applyFont="1" applyFill="1"/>
    <xf numFmtId="169" fontId="65" fillId="0" borderId="0" xfId="2" applyNumberFormat="1" applyFont="1" applyFill="1"/>
    <xf numFmtId="169" fontId="63" fillId="0" borderId="5" xfId="2" applyNumberFormat="1" applyFont="1" applyFill="1" applyBorder="1"/>
    <xf numFmtId="0" fontId="61" fillId="0" borderId="0" xfId="38" applyAlignment="1" applyProtection="1"/>
  </cellXfs>
  <cellStyles count="40">
    <cellStyle name="******************************************" xfId="8" xr:uid="{00000000-0005-0000-0000-000000000000}"/>
    <cellStyle name="AFE 2" xfId="30" xr:uid="{0B2609AA-71FB-4B53-AD81-9584E1D20E86}"/>
    <cellStyle name="ArialNormal" xfId="4" xr:uid="{00000000-0005-0000-0000-000001000000}"/>
    <cellStyle name="Comma" xfId="39" builtinId="3"/>
    <cellStyle name="Comma 2" xfId="11" xr:uid="{00000000-0005-0000-0000-000003000000}"/>
    <cellStyle name="Comma 2 2" xfId="14" xr:uid="{00000000-0005-0000-0000-000004000000}"/>
    <cellStyle name="Comma 3" xfId="26" xr:uid="{00000000-0005-0000-0000-000005000000}"/>
    <cellStyle name="Currency" xfId="1" builtinId="4"/>
    <cellStyle name="Currency 2" xfId="15" xr:uid="{00000000-0005-0000-0000-000007000000}"/>
    <cellStyle name="Currency 3" xfId="25" xr:uid="{00000000-0005-0000-0000-000008000000}"/>
    <cellStyle name="Euro" xfId="5" xr:uid="{00000000-0005-0000-0000-000009000000}"/>
    <cellStyle name="Hyperlink" xfId="38" builtinId="8"/>
    <cellStyle name="Hyperlink 2" xfId="32" xr:uid="{7B360CCB-41BC-4811-9435-28E2F584BB34}"/>
    <cellStyle name="Hyperlink 2 2" xfId="34" xr:uid="{B9B00D04-FA3B-4C67-8342-BFE4FD8A5FD7}"/>
    <cellStyle name="Hyperlink 3" xfId="21" xr:uid="{00000000-0005-0000-0000-00000B000000}"/>
    <cellStyle name="Normal" xfId="0" builtinId="0"/>
    <cellStyle name="Normal 2" xfId="9" xr:uid="{00000000-0005-0000-0000-00000D000000}"/>
    <cellStyle name="Normal 2 2" xfId="13" xr:uid="{00000000-0005-0000-0000-00000E000000}"/>
    <cellStyle name="Normal 3" xfId="10" xr:uid="{00000000-0005-0000-0000-00000F000000}"/>
    <cellStyle name="Normal 3 2" xfId="16" xr:uid="{00000000-0005-0000-0000-000010000000}"/>
    <cellStyle name="Normal 3 2 2 2" xfId="20" xr:uid="{00000000-0005-0000-0000-000011000000}"/>
    <cellStyle name="Normal 3 2 3" xfId="35" xr:uid="{51E05E8B-E533-4E15-B845-BDB1AB0B61EC}"/>
    <cellStyle name="Normal 3 2 4" xfId="17" xr:uid="{00000000-0005-0000-0000-000012000000}"/>
    <cellStyle name="Normal 4" xfId="23" xr:uid="{00000000-0005-0000-0000-000013000000}"/>
    <cellStyle name="Normal 4 3" xfId="22" xr:uid="{00000000-0005-0000-0000-000014000000}"/>
    <cellStyle name="Normal 5" xfId="18" xr:uid="{00000000-0005-0000-0000-000015000000}"/>
    <cellStyle name="Normal 6" xfId="28" xr:uid="{1C14CEC0-0D8C-444D-8636-740FB8A2ED5B}"/>
    <cellStyle name="Normal 7" xfId="19" xr:uid="{00000000-0005-0000-0000-000016000000}"/>
    <cellStyle name="Normal 7 3" xfId="27" xr:uid="{325BD33A-AB90-451E-8D33-61B954703B41}"/>
    <cellStyle name="Normal 8" xfId="36" xr:uid="{B091EE79-878E-4258-903A-4A820F9FDB1B}"/>
    <cellStyle name="Normal_Credit Suisse Software Short Interest Toolbox.1-12-10" xfId="33" xr:uid="{7CFAA145-5EB4-46E1-A71D-5F8964BEF7F3}"/>
    <cellStyle name="Normal_Worksheet1" xfId="3" xr:uid="{00000000-0005-0000-0000-000019000000}"/>
    <cellStyle name="OutputPlain" xfId="6" xr:uid="{00000000-0005-0000-0000-00001A000000}"/>
    <cellStyle name="Percent" xfId="2" builtinId="5"/>
    <cellStyle name="Percent 2" xfId="12" xr:uid="{00000000-0005-0000-0000-00001C000000}"/>
    <cellStyle name="Percent 3" xfId="24" xr:uid="{00000000-0005-0000-0000-00001D000000}"/>
    <cellStyle name="Percent 4" xfId="29" xr:uid="{C468806D-0F2E-43E6-BEF2-77730557596B}"/>
    <cellStyle name="Percent 5" xfId="37" xr:uid="{CC86CB78-394C-411C-9175-BE260AFF6808}"/>
    <cellStyle name="Percent 6" xfId="31" xr:uid="{ED02957F-FE55-4A68-899C-57C4581549B9}"/>
    <cellStyle name="Style 1" xfId="7" xr:uid="{00000000-0005-0000-0000-00001E000000}"/>
  </cellStyles>
  <dxfs count="0"/>
  <tableStyles count="0" defaultTableStyle="TableStyleMedium9" defaultPivotStyle="PivotStyleLight16"/>
  <colors>
    <mruColors>
      <color rgb="FF0000FF"/>
      <color rgb="FF9A89D9"/>
      <color rgb="FF2537E7"/>
      <color rgb="FFEB691E"/>
      <color rgb="FF352B6B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1210308</xdr:colOff>
      <xdr:row>3</xdr:row>
      <xdr:rowOff>21167</xdr:rowOff>
    </xdr:from>
    <xdr:to>
      <xdr:col>10</xdr:col>
      <xdr:colOff>9650</xdr:colOff>
      <xdr:row>5</xdr:row>
      <xdr:rowOff>504275</xdr:rowOff>
    </xdr:to>
    <xdr:pic>
      <xdr:nvPicPr>
        <xdr:cNvPr id="2" name="Wells Fargo" descr="Wells Fargo">
          <a:extLst>
            <a:ext uri="{FF2B5EF4-FFF2-40B4-BE49-F238E27FC236}">
              <a16:creationId xmlns:a16="http://schemas.microsoft.com/office/drawing/2014/main" id="{0324C75B-CD92-47F4-A704-6193DCA565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9008" y="383117"/>
          <a:ext cx="932942" cy="1026033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</xdr:colOff>
      <xdr:row>26</xdr:row>
      <xdr:rowOff>69273</xdr:rowOff>
    </xdr:from>
    <xdr:to>
      <xdr:col>13</xdr:col>
      <xdr:colOff>260015</xdr:colOff>
      <xdr:row>43</xdr:row>
      <xdr:rowOff>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578C34-4051-464A-BB22-33BD4E4CDE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18" y="5060373"/>
          <a:ext cx="10605897" cy="2684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28862</xdr:colOff>
      <xdr:row>46</xdr:row>
      <xdr:rowOff>150091</xdr:rowOff>
    </xdr:from>
    <xdr:to>
      <xdr:col>13</xdr:col>
      <xdr:colOff>554353</xdr:colOff>
      <xdr:row>48</xdr:row>
      <xdr:rowOff>7576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D793B2-8AE6-4069-AACB-89957D1A7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62" y="8132041"/>
          <a:ext cx="10896311" cy="181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quity%20Research\Life%20Sciences-BC\Models\GH_Model.xlsx" TargetMode="External"/><Relationship Id="rId1" Type="http://schemas.openxmlformats.org/officeDocument/2006/relationships/externalLinkPath" Target="file:///\\ent.wfb.bank.corp\whlsdfs\Shared\Equity%20Research\Life%20Sciences-BC\Models\GH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Disclaimer"/>
      <sheetName val="IS"/>
      <sheetName val="Rev"/>
      <sheetName val="BS"/>
      <sheetName val="CF"/>
      <sheetName val="Other Accts"/>
      <sheetName val="Valuation"/>
      <sheetName val="Guidance"/>
      <sheetName val="Variance"/>
      <sheetName val="Variance (hard coded)"/>
      <sheetName val="DCF"/>
      <sheetName val="DCF 2.0"/>
      <sheetName val="Clinical Data"/>
      <sheetName val="MCD Data"/>
      <sheetName val="Investor Day"/>
      <sheetName val="Charts"/>
      <sheetName val="Sheet1"/>
      <sheetName val="Sheet2"/>
      <sheetName val="Shield vs CG"/>
    </sheetNames>
    <sheetDataSet>
      <sheetData sheetId="0"/>
      <sheetData sheetId="1"/>
      <sheetData sheetId="2">
        <row r="7">
          <cell r="F7">
            <v>49.841999999999999</v>
          </cell>
        </row>
        <row r="62">
          <cell r="F62">
            <v>0.49065045543918784</v>
          </cell>
          <cell r="K62">
            <v>0.54093712419598627</v>
          </cell>
          <cell r="P62">
            <v>0.37497376093294454</v>
          </cell>
          <cell r="U62">
            <v>0.4572245666655041</v>
          </cell>
          <cell r="Z62">
            <v>0.65261352110112858</v>
          </cell>
          <cell r="AE62">
            <v>0.76000249144677412</v>
          </cell>
          <cell r="AJ62">
            <v>0.58485179484633343</v>
          </cell>
          <cell r="AO62">
            <v>0.40035127791549846</v>
          </cell>
          <cell r="AT62">
            <v>0.31483848105081258</v>
          </cell>
          <cell r="AY62">
            <v>0.25021007166941522</v>
          </cell>
          <cell r="BD62">
            <v>0.18641110846801556</v>
          </cell>
          <cell r="BI62">
            <v>0.14824564202018312</v>
          </cell>
          <cell r="BN62">
            <v>0.12817502989991836</v>
          </cell>
        </row>
        <row r="63">
          <cell r="F63">
            <v>0.63125476505758193</v>
          </cell>
          <cell r="K63">
            <v>0.57081388806143052</v>
          </cell>
          <cell r="P63">
            <v>0.34341224489795918</v>
          </cell>
          <cell r="U63">
            <v>0.33867052627907784</v>
          </cell>
          <cell r="Z63">
            <v>0.47134373335688456</v>
          </cell>
          <cell r="AE63">
            <v>0.60942790153446424</v>
          </cell>
          <cell r="AJ63">
            <v>0.4790016100775249</v>
          </cell>
          <cell r="AO63">
            <v>0.44392002338244374</v>
          </cell>
          <cell r="AT63">
            <v>0.4566287278988943</v>
          </cell>
          <cell r="AY63">
            <v>0.42947097804706885</v>
          </cell>
          <cell r="BD63">
            <v>0.36567289484138316</v>
          </cell>
          <cell r="BI63">
            <v>0.318501482005971</v>
          </cell>
          <cell r="BN63">
            <v>0.2966239784080717</v>
          </cell>
        </row>
        <row r="64">
          <cell r="F64">
            <v>0.69266883351390396</v>
          </cell>
          <cell r="K64">
            <v>0.36699434018468868</v>
          </cell>
          <cell r="P64">
            <v>0.26090728862973761</v>
          </cell>
          <cell r="U64">
            <v>0.23375998325951244</v>
          </cell>
          <cell r="Z64">
            <v>0.23232250242872399</v>
          </cell>
          <cell r="AE64">
            <v>0.26921639549937937</v>
          </cell>
          <cell r="AJ64">
            <v>0.22918247781710369</v>
          </cell>
          <cell r="AO64">
            <v>0.1804453489504963</v>
          </cell>
          <cell r="AT64">
            <v>0.14882064640165538</v>
          </cell>
          <cell r="AY64">
            <v>0.11804666569426019</v>
          </cell>
          <cell r="BD64">
            <v>8.7946938571258765E-2</v>
          </cell>
          <cell r="BI64">
            <v>6.994084461679427E-2</v>
          </cell>
          <cell r="BN64">
            <v>6.0471726034028332E-2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histopher.mercado2@wellsfargo.com" TargetMode="External"/><Relationship Id="rId2" Type="http://schemas.openxmlformats.org/officeDocument/2006/relationships/hyperlink" Target="mailto:evan.stampler@wellsfargo.com" TargetMode="External"/><Relationship Id="rId1" Type="http://schemas.openxmlformats.org/officeDocument/2006/relationships/hyperlink" Target="mailto:brandon.couillard@wellsfargo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1.65"/>
  <sheetData>
    <row r="1" spans="1:2">
      <c r="B1" t="s">
        <v>175</v>
      </c>
    </row>
    <row r="2" spans="1:2"/>
    <row r="3" spans="1:2"/>
    <row r="4" spans="1:2"/>
    <row r="5" spans="1:2"/>
    <row r="6" spans="1:2"/>
    <row r="7" spans="1:2"/>
    <row r="8" spans="1:2"/>
    <row r="9" spans="1:2"/>
    <row r="10" spans="1:2"/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EFC5-1DC3-42B9-9386-EBF54FF4C8C5}">
  <dimension ref="A3:BW514"/>
  <sheetViews>
    <sheetView showGridLines="0" workbookViewId="0">
      <selection activeCell="G5" sqref="G5"/>
    </sheetView>
  </sheetViews>
  <sheetFormatPr defaultColWidth="9.07421875" defaultRowHeight="12.4"/>
  <cols>
    <col min="1" max="1" width="1.07421875" style="105" customWidth="1"/>
    <col min="2" max="2" width="0.61328125" style="105" customWidth="1"/>
    <col min="3" max="3" width="29.3046875" style="105" customWidth="1"/>
    <col min="4" max="4" width="2.69140625" style="105" customWidth="1"/>
    <col min="5" max="5" width="29.3046875" style="105" customWidth="1"/>
    <col min="6" max="6" width="2.69140625" style="105" customWidth="1"/>
    <col min="7" max="7" width="29.3046875" style="105" customWidth="1"/>
    <col min="8" max="8" width="2.69140625" style="105" customWidth="1"/>
    <col min="9" max="9" width="29.3046875" style="105" customWidth="1"/>
    <col min="10" max="10" width="2.69140625" style="105" customWidth="1"/>
    <col min="11" max="16384" width="9.07421875" style="105"/>
  </cols>
  <sheetData>
    <row r="3" spans="1:12" ht="3" customHeight="1"/>
    <row r="5" spans="1:12" ht="29.65">
      <c r="A5" s="104"/>
      <c r="B5" s="263"/>
      <c r="C5" s="264" t="s">
        <v>186</v>
      </c>
      <c r="D5" s="104"/>
      <c r="E5" s="265"/>
      <c r="G5" s="161"/>
      <c r="I5" s="161"/>
    </row>
    <row r="6" spans="1:12" ht="49.15" customHeight="1">
      <c r="C6" s="162"/>
      <c r="E6" s="163"/>
      <c r="G6" s="163"/>
      <c r="I6" s="163"/>
    </row>
    <row r="7" spans="1:12" ht="16.5">
      <c r="C7" s="164" t="s">
        <v>187</v>
      </c>
      <c r="E7" s="165"/>
      <c r="G7" s="165"/>
      <c r="I7" s="165"/>
    </row>
    <row r="8" spans="1:12" ht="16.5">
      <c r="C8" s="166" t="s">
        <v>189</v>
      </c>
      <c r="E8" s="163"/>
      <c r="G8" s="163"/>
      <c r="I8" s="163"/>
    </row>
    <row r="9" spans="1:12" ht="16.5">
      <c r="C9" s="167">
        <v>46080</v>
      </c>
      <c r="E9" s="163"/>
      <c r="G9" s="163"/>
      <c r="I9" s="163"/>
    </row>
    <row r="10" spans="1:12" ht="3" customHeight="1"/>
    <row r="12" spans="1:12" ht="31.9">
      <c r="C12" s="168" t="s">
        <v>214</v>
      </c>
      <c r="E12" s="169"/>
      <c r="G12" s="169"/>
      <c r="I12" s="169"/>
    </row>
    <row r="13" spans="1:12">
      <c r="C13" s="170"/>
      <c r="E13" s="170"/>
      <c r="G13" s="170"/>
      <c r="I13" s="170"/>
    </row>
    <row r="14" spans="1:12" s="104" customFormat="1"/>
    <row r="15" spans="1:12" ht="3" customHeight="1">
      <c r="A15" s="104"/>
      <c r="B15" s="266"/>
      <c r="C15" s="266"/>
      <c r="D15" s="266"/>
      <c r="E15" s="266"/>
      <c r="F15" s="266"/>
      <c r="G15" s="266"/>
      <c r="H15" s="266"/>
      <c r="I15" s="266"/>
      <c r="J15" s="266"/>
      <c r="K15" s="266"/>
      <c r="L15" s="266"/>
    </row>
    <row r="16" spans="1:12" s="104" customFormat="1"/>
    <row r="17" spans="3:9" ht="16.5">
      <c r="C17" s="171"/>
      <c r="E17" s="172"/>
      <c r="G17" s="172"/>
      <c r="I17" s="172"/>
    </row>
    <row r="19" spans="3:9" ht="13.5">
      <c r="C19" s="173" t="s">
        <v>0</v>
      </c>
      <c r="D19" s="174"/>
      <c r="E19" s="173" t="s">
        <v>190</v>
      </c>
      <c r="G19" s="260" t="s">
        <v>486</v>
      </c>
      <c r="I19" s="173"/>
    </row>
    <row r="20" spans="3:9">
      <c r="C20" s="175" t="s">
        <v>188</v>
      </c>
      <c r="D20" s="174"/>
      <c r="E20" s="175" t="s">
        <v>191</v>
      </c>
      <c r="G20" s="261" t="s">
        <v>191</v>
      </c>
      <c r="I20" s="175"/>
    </row>
    <row r="21" spans="3:9">
      <c r="C21" s="176" t="s">
        <v>193</v>
      </c>
      <c r="D21" s="174"/>
      <c r="E21" s="176" t="s">
        <v>194</v>
      </c>
      <c r="G21" s="262" t="s">
        <v>487</v>
      </c>
      <c r="I21" s="176"/>
    </row>
    <row r="22" spans="3:9" ht="12.75">
      <c r="C22" s="177" t="s">
        <v>184</v>
      </c>
      <c r="D22" s="174"/>
      <c r="E22" s="178" t="s">
        <v>192</v>
      </c>
      <c r="G22" s="402" t="s">
        <v>488</v>
      </c>
      <c r="I22" s="177"/>
    </row>
    <row r="24" spans="3:9">
      <c r="D24" s="179"/>
      <c r="E24" s="180"/>
      <c r="F24" s="179"/>
      <c r="G24" s="179"/>
    </row>
    <row r="25" spans="3:9">
      <c r="D25" s="179"/>
      <c r="E25" s="180"/>
      <c r="F25" s="179"/>
      <c r="G25" s="179"/>
    </row>
    <row r="26" spans="3:9" ht="13.5">
      <c r="C26" s="181" t="s">
        <v>185</v>
      </c>
      <c r="D26" s="179"/>
      <c r="E26" s="180"/>
      <c r="F26" s="179"/>
      <c r="G26" s="179"/>
    </row>
    <row r="27" spans="3:9">
      <c r="C27" s="180"/>
      <c r="D27" s="179"/>
      <c r="E27" s="180"/>
      <c r="F27" s="179"/>
      <c r="G27" s="179"/>
    </row>
    <row r="28" spans="3:9">
      <c r="C28" s="180"/>
      <c r="D28" s="179"/>
      <c r="E28" s="180"/>
      <c r="F28" s="179"/>
      <c r="G28" s="179"/>
    </row>
    <row r="29" spans="3:9">
      <c r="C29" s="180"/>
      <c r="D29" s="179"/>
      <c r="E29" s="180"/>
      <c r="F29" s="179"/>
      <c r="G29" s="179"/>
    </row>
    <row r="30" spans="3:9">
      <c r="C30" s="180"/>
      <c r="D30" s="179"/>
      <c r="E30" s="180"/>
      <c r="F30" s="179"/>
      <c r="G30" s="179"/>
    </row>
    <row r="31" spans="3:9">
      <c r="D31" s="179"/>
      <c r="E31" s="180"/>
      <c r="F31" s="179"/>
      <c r="G31" s="179"/>
    </row>
    <row r="32" spans="3:9">
      <c r="C32" s="180"/>
      <c r="D32" s="179"/>
      <c r="E32" s="180"/>
      <c r="F32" s="179"/>
      <c r="G32" s="179"/>
    </row>
    <row r="33" spans="3:7">
      <c r="C33" s="180"/>
      <c r="D33" s="179"/>
      <c r="E33" s="180"/>
      <c r="F33" s="179"/>
      <c r="G33" s="179"/>
    </row>
    <row r="34" spans="3:7">
      <c r="C34" s="180"/>
      <c r="D34" s="179"/>
      <c r="E34" s="180"/>
      <c r="F34" s="179"/>
      <c r="G34" s="179"/>
    </row>
    <row r="35" spans="3:7">
      <c r="C35" s="180"/>
      <c r="D35" s="179"/>
      <c r="E35" s="180"/>
      <c r="F35" s="179"/>
      <c r="G35" s="179"/>
    </row>
    <row r="36" spans="3:7">
      <c r="C36" s="180"/>
      <c r="D36" s="179"/>
      <c r="E36" s="180"/>
      <c r="F36" s="179"/>
      <c r="G36" s="179"/>
    </row>
    <row r="37" spans="3:7">
      <c r="C37" s="180"/>
      <c r="D37" s="179"/>
      <c r="E37" s="180"/>
      <c r="F37" s="179"/>
      <c r="G37" s="179"/>
    </row>
    <row r="38" spans="3:7">
      <c r="C38" s="180"/>
      <c r="D38" s="179"/>
      <c r="E38" s="180"/>
      <c r="F38" s="179"/>
      <c r="G38" s="179"/>
    </row>
    <row r="39" spans="3:7">
      <c r="C39" s="180"/>
      <c r="D39" s="179"/>
      <c r="E39" s="180"/>
      <c r="F39" s="179"/>
      <c r="G39" s="179"/>
    </row>
    <row r="40" spans="3:7">
      <c r="C40" s="180"/>
      <c r="D40" s="179"/>
      <c r="E40" s="180"/>
      <c r="F40" s="179"/>
      <c r="G40" s="179"/>
    </row>
    <row r="41" spans="3:7">
      <c r="C41" s="180"/>
      <c r="D41" s="179"/>
      <c r="E41" s="180"/>
      <c r="F41" s="179"/>
      <c r="G41" s="179"/>
    </row>
    <row r="42" spans="3:7">
      <c r="C42" s="180"/>
      <c r="D42" s="179"/>
      <c r="E42" s="180"/>
      <c r="F42" s="179"/>
      <c r="G42" s="179"/>
    </row>
    <row r="43" spans="3:7">
      <c r="C43" s="180"/>
      <c r="D43" s="179"/>
      <c r="E43" s="180"/>
      <c r="F43" s="179"/>
      <c r="G43" s="179"/>
    </row>
    <row r="45" spans="3:7" ht="3" customHeight="1"/>
    <row r="46" spans="3:7" ht="3" customHeight="1"/>
    <row r="437" spans="66:66">
      <c r="BN437" s="105">
        <v>33.6</v>
      </c>
    </row>
    <row r="438" spans="66:66">
      <c r="BN438" s="105">
        <v>16.100000000000001</v>
      </c>
    </row>
    <row r="443" spans="66:66">
      <c r="BN443" s="105">
        <v>0</v>
      </c>
    </row>
    <row r="513" spans="66:75">
      <c r="BO513" s="105">
        <v>40</v>
      </c>
      <c r="BW513" s="105">
        <v>30</v>
      </c>
    </row>
    <row r="514" spans="66:75">
      <c r="BN514" s="105">
        <f>0.9</f>
        <v>0.9</v>
      </c>
      <c r="BO514" s="105">
        <v>1</v>
      </c>
      <c r="BR514" s="105">
        <f>+BP514</f>
        <v>0</v>
      </c>
    </row>
  </sheetData>
  <hyperlinks>
    <hyperlink ref="C22" r:id="rId1" xr:uid="{5824E69F-16BE-4FC5-8A05-31B271F465D6}"/>
    <hyperlink ref="E22" r:id="rId2" xr:uid="{AB8BB0B0-8793-495D-A2E1-06AE55DC8809}"/>
    <hyperlink ref="G22" r:id="rId3" xr:uid="{B8EF0485-80B4-48E9-900E-7D3DBC11890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K82"/>
  <sheetViews>
    <sheetView tabSelected="1" zoomScaleNormal="100" workbookViewId="0">
      <pane xSplit="5" ySplit="6" topLeftCell="BA28" activePane="bottomRight" state="frozen"/>
      <selection pane="topRight" activeCell="F1" sqref="F1"/>
      <selection pane="bottomLeft" activeCell="A7" sqref="A7"/>
      <selection pane="bottomRight" activeCell="BJ27" sqref="BJ27"/>
    </sheetView>
  </sheetViews>
  <sheetFormatPr defaultColWidth="9.07421875" defaultRowHeight="12.75" outlineLevelRow="1" outlineLevelCol="2"/>
  <cols>
    <col min="1" max="1" width="26.61328125" style="1" customWidth="1"/>
    <col min="2" max="5" width="8.3046875" style="1" hidden="1" customWidth="1"/>
    <col min="6" max="6" width="8.3046875" style="1" hidden="1" customWidth="1" outlineLevel="1" collapsed="1"/>
    <col min="7" max="10" width="8.07421875" style="1" hidden="1" customWidth="1" outlineLevel="2"/>
    <col min="11" max="11" width="8.07421875" style="1" hidden="1" customWidth="1" outlineLevel="1" collapsed="1"/>
    <col min="12" max="12" width="8.07421875" style="1" hidden="1" customWidth="1" outlineLevel="2" collapsed="1"/>
    <col min="13" max="15" width="8.07421875" style="1" hidden="1" customWidth="1" outlineLevel="2"/>
    <col min="16" max="16" width="8.07421875" style="1" hidden="1" customWidth="1" outlineLevel="1" collapsed="1"/>
    <col min="17" max="20" width="8.07421875" style="1" hidden="1" customWidth="1" outlineLevel="2"/>
    <col min="21" max="21" width="8.07421875" style="1" hidden="1" customWidth="1" outlineLevel="1" collapsed="1"/>
    <col min="22" max="22" width="8.07421875" style="1" hidden="1" customWidth="1" outlineLevel="2" collapsed="1"/>
    <col min="23" max="25" width="8.07421875" style="1" hidden="1" customWidth="1" outlineLevel="2"/>
    <col min="26" max="26" width="8.07421875" style="1" hidden="1" customWidth="1" outlineLevel="1" collapsed="1"/>
    <col min="27" max="30" width="8.07421875" style="1" hidden="1" customWidth="1" outlineLevel="2"/>
    <col min="31" max="31" width="8.07421875" style="1" hidden="1" customWidth="1" outlineLevel="1" collapsed="1"/>
    <col min="32" max="32" width="8.3046875" style="1" hidden="1" customWidth="1" outlineLevel="2" collapsed="1"/>
    <col min="33" max="35" width="8.3046875" style="1" hidden="1" customWidth="1" outlineLevel="2"/>
    <col min="36" max="36" width="8.3046875" style="1" hidden="1" customWidth="1" outlineLevel="1" collapsed="1"/>
    <col min="37" max="37" width="8.3046875" style="1" hidden="1" customWidth="1" outlineLevel="2" collapsed="1"/>
    <col min="38" max="40" width="8.3046875" style="1" hidden="1" customWidth="1" outlineLevel="2"/>
    <col min="41" max="41" width="8.3046875" style="1" hidden="1" customWidth="1" outlineLevel="1" collapsed="1"/>
    <col min="42" max="45" width="8.3046875" style="1" hidden="1" customWidth="1" outlineLevel="2"/>
    <col min="46" max="46" width="8.3046875" style="1" hidden="1" customWidth="1" outlineLevel="1" collapsed="1"/>
    <col min="47" max="50" width="8.3046875" style="1" hidden="1" customWidth="1" outlineLevel="2"/>
    <col min="51" max="51" width="8.3046875" style="1" hidden="1" customWidth="1" outlineLevel="1" collapsed="1"/>
    <col min="52" max="52" width="8.3046875" style="1" customWidth="1" collapsed="1"/>
    <col min="53" max="56" width="8.3046875" style="1" customWidth="1"/>
    <col min="57" max="60" width="8.3046875" style="1" customWidth="1" outlineLevel="1"/>
    <col min="61" max="61" width="8.3046875" style="1" customWidth="1"/>
    <col min="62" max="65" width="8.3046875" style="1" customWidth="1" outlineLevel="1"/>
    <col min="66" max="66" width="8.3046875" style="1" customWidth="1"/>
    <col min="67" max="70" width="8.3046875" style="1" customWidth="1" outlineLevel="1"/>
    <col min="71" max="71" width="8.3046875" style="1" customWidth="1"/>
    <col min="72" max="75" width="8.3046875" style="1" hidden="1" customWidth="1" outlineLevel="1"/>
    <col min="76" max="76" width="8.3046875" style="1" customWidth="1" collapsed="1"/>
    <col min="77" max="80" width="8.3046875" style="1" hidden="1" customWidth="1" outlineLevel="1"/>
    <col min="81" max="81" width="8.3046875" style="1" customWidth="1" collapsed="1"/>
    <col min="82" max="85" width="8.3046875" style="1" hidden="1" customWidth="1" outlineLevel="1"/>
    <col min="86" max="86" width="8.3046875" style="1" customWidth="1" collapsed="1"/>
    <col min="87" max="90" width="8.3046875" style="1" hidden="1" customWidth="1" outlineLevel="1"/>
    <col min="91" max="91" width="8.3046875" style="1" customWidth="1" collapsed="1"/>
    <col min="92" max="95" width="8.3046875" style="1" hidden="1" customWidth="1" outlineLevel="1"/>
    <col min="96" max="96" width="8.3046875" style="1" customWidth="1" collapsed="1"/>
    <col min="97" max="100" width="8.3046875" style="1" hidden="1" customWidth="1" outlineLevel="1"/>
    <col min="101" max="101" width="8.3046875" style="1" customWidth="1" collapsed="1"/>
    <col min="102" max="105" width="8.3046875" style="1" hidden="1" customWidth="1" outlineLevel="1"/>
    <col min="106" max="106" width="8.3046875" style="1" customWidth="1" collapsed="1"/>
    <col min="107" max="16384" width="9.07421875" style="1"/>
  </cols>
  <sheetData>
    <row r="1" spans="1:109" ht="12.75" customHeight="1">
      <c r="A1" s="274" t="s">
        <v>403</v>
      </c>
    </row>
    <row r="2" spans="1:109">
      <c r="A2" s="138" t="s">
        <v>402</v>
      </c>
      <c r="BN2" s="13"/>
      <c r="BS2" s="13"/>
      <c r="BX2" s="13"/>
    </row>
    <row r="3" spans="1:109">
      <c r="A3" s="138" t="s">
        <v>404</v>
      </c>
    </row>
    <row r="4" spans="1:109">
      <c r="BI4" s="353"/>
      <c r="BN4" s="345"/>
      <c r="BS4" s="345"/>
      <c r="BX4" s="345"/>
      <c r="CC4" s="345"/>
      <c r="CH4" s="345"/>
    </row>
    <row r="5" spans="1:109">
      <c r="A5" s="344"/>
      <c r="B5" s="139" t="s">
        <v>407</v>
      </c>
      <c r="C5" s="139" t="s">
        <v>408</v>
      </c>
      <c r="D5" s="139" t="s">
        <v>405</v>
      </c>
      <c r="E5" s="139" t="s">
        <v>406</v>
      </c>
      <c r="F5" s="140">
        <v>41974</v>
      </c>
      <c r="G5" s="139" t="s">
        <v>407</v>
      </c>
      <c r="H5" s="139" t="s">
        <v>408</v>
      </c>
      <c r="I5" s="139" t="s">
        <v>405</v>
      </c>
      <c r="J5" s="139" t="s">
        <v>406</v>
      </c>
      <c r="K5" s="140">
        <f>+DATE(YEAR(F5)+1,MONTH(F5),DAY(F5))</f>
        <v>42339</v>
      </c>
      <c r="L5" s="139" t="s">
        <v>407</v>
      </c>
      <c r="M5" s="139" t="s">
        <v>408</v>
      </c>
      <c r="N5" s="139" t="s">
        <v>405</v>
      </c>
      <c r="O5" s="139" t="s">
        <v>406</v>
      </c>
      <c r="P5" s="140">
        <f>+DATE(YEAR(K5)+1,MONTH(K5),DAY(K5))</f>
        <v>42705</v>
      </c>
      <c r="Q5" s="139" t="s">
        <v>407</v>
      </c>
      <c r="R5" s="139" t="s">
        <v>408</v>
      </c>
      <c r="S5" s="139" t="s">
        <v>405</v>
      </c>
      <c r="T5" s="139" t="s">
        <v>406</v>
      </c>
      <c r="U5" s="140">
        <f>+DATE(YEAR(P5)+1,MONTH(P5),DAY(P5))</f>
        <v>43070</v>
      </c>
      <c r="V5" s="139" t="s">
        <v>407</v>
      </c>
      <c r="W5" s="139" t="s">
        <v>408</v>
      </c>
      <c r="X5" s="139" t="s">
        <v>405</v>
      </c>
      <c r="Y5" s="139" t="s">
        <v>406</v>
      </c>
      <c r="Z5" s="140">
        <f>+DATE(YEAR(U5)+1,MONTH(U5),DAY(U5))</f>
        <v>43435</v>
      </c>
      <c r="AA5" s="139" t="s">
        <v>407</v>
      </c>
      <c r="AB5" s="139" t="s">
        <v>408</v>
      </c>
      <c r="AC5" s="139" t="s">
        <v>405</v>
      </c>
      <c r="AD5" s="139" t="s">
        <v>406</v>
      </c>
      <c r="AE5" s="140">
        <f>+DATE(YEAR(Z5)+1,MONTH(Z5),DAY(Z5))</f>
        <v>43800</v>
      </c>
      <c r="AF5" s="139" t="s">
        <v>407</v>
      </c>
      <c r="AG5" s="139" t="s">
        <v>408</v>
      </c>
      <c r="AH5" s="139" t="s">
        <v>405</v>
      </c>
      <c r="AI5" s="139" t="s">
        <v>406</v>
      </c>
      <c r="AJ5" s="140">
        <f>+DATE(YEAR(AE5)+1,MONTH(AE5),DAY(AE5))</f>
        <v>44166</v>
      </c>
      <c r="AK5" s="139" t="s">
        <v>407</v>
      </c>
      <c r="AL5" s="139" t="s">
        <v>408</v>
      </c>
      <c r="AM5" s="139" t="s">
        <v>405</v>
      </c>
      <c r="AN5" s="139" t="s">
        <v>406</v>
      </c>
      <c r="AO5" s="140">
        <f>+DATE(YEAR(AJ5)+1,MONTH(AJ5),DAY(AJ5))</f>
        <v>44531</v>
      </c>
      <c r="AP5" s="139" t="s">
        <v>407</v>
      </c>
      <c r="AQ5" s="139" t="s">
        <v>408</v>
      </c>
      <c r="AR5" s="139" t="s">
        <v>405</v>
      </c>
      <c r="AS5" s="139" t="s">
        <v>406</v>
      </c>
      <c r="AT5" s="140">
        <f>+DATE(YEAR(AO5)+1,MONTH(AO5),DAY(AO5))</f>
        <v>44896</v>
      </c>
      <c r="AU5" s="139" t="s">
        <v>407</v>
      </c>
      <c r="AV5" s="139" t="s">
        <v>408</v>
      </c>
      <c r="AW5" s="139" t="s">
        <v>405</v>
      </c>
      <c r="AX5" s="139" t="s">
        <v>406</v>
      </c>
      <c r="AY5" s="140">
        <f>+DATE(YEAR(AT5)+1,MONTH(AT5),DAY(AT5))</f>
        <v>45261</v>
      </c>
      <c r="AZ5" s="139" t="s">
        <v>407</v>
      </c>
      <c r="BA5" s="139" t="s">
        <v>408</v>
      </c>
      <c r="BB5" s="139" t="s">
        <v>405</v>
      </c>
      <c r="BC5" s="139" t="s">
        <v>406</v>
      </c>
      <c r="BD5" s="140">
        <f>+DATE(YEAR(AY5)+1,MONTH(AY5),DAY(AY5))</f>
        <v>45627</v>
      </c>
      <c r="BE5" s="139" t="s">
        <v>407</v>
      </c>
      <c r="BF5" s="139" t="s">
        <v>408</v>
      </c>
      <c r="BG5" s="139" t="s">
        <v>405</v>
      </c>
      <c r="BH5" s="139" t="s">
        <v>406</v>
      </c>
      <c r="BI5" s="140">
        <f>+DATE(YEAR(BD5)+1,MONTH(BD5),DAY(BD5))</f>
        <v>45992</v>
      </c>
      <c r="BJ5" s="139" t="s">
        <v>407</v>
      </c>
      <c r="BK5" s="139" t="s">
        <v>408</v>
      </c>
      <c r="BL5" s="139" t="s">
        <v>405</v>
      </c>
      <c r="BM5" s="139" t="s">
        <v>406</v>
      </c>
      <c r="BN5" s="140">
        <f>+DATE(YEAR(BI5)+1,MONTH(BI5),DAY(BI5))</f>
        <v>46357</v>
      </c>
      <c r="BO5" s="139" t="s">
        <v>407</v>
      </c>
      <c r="BP5" s="139" t="s">
        <v>408</v>
      </c>
      <c r="BQ5" s="139" t="s">
        <v>405</v>
      </c>
      <c r="BR5" s="139" t="s">
        <v>406</v>
      </c>
      <c r="BS5" s="140">
        <f>+DATE(YEAR(BN5)+1,MONTH(BN5),DAY(BN5))</f>
        <v>46722</v>
      </c>
      <c r="BT5" s="139" t="s">
        <v>407</v>
      </c>
      <c r="BU5" s="139" t="s">
        <v>408</v>
      </c>
      <c r="BV5" s="139" t="s">
        <v>405</v>
      </c>
      <c r="BW5" s="139" t="s">
        <v>406</v>
      </c>
      <c r="BX5" s="140">
        <f>+DATE(YEAR(BS5)+1,MONTH(BS5),DAY(BS5))</f>
        <v>47088</v>
      </c>
      <c r="BY5" s="139" t="s">
        <v>407</v>
      </c>
      <c r="BZ5" s="139" t="s">
        <v>408</v>
      </c>
      <c r="CA5" s="139" t="s">
        <v>405</v>
      </c>
      <c r="CB5" s="139" t="s">
        <v>406</v>
      </c>
      <c r="CC5" s="140">
        <f>+DATE(YEAR(BX5)+1,MONTH(BX5),DAY(BX5))</f>
        <v>47453</v>
      </c>
      <c r="CD5" s="139" t="s">
        <v>407</v>
      </c>
      <c r="CE5" s="139" t="s">
        <v>408</v>
      </c>
      <c r="CF5" s="139" t="s">
        <v>405</v>
      </c>
      <c r="CG5" s="139" t="s">
        <v>406</v>
      </c>
      <c r="CH5" s="140">
        <f>+DATE(YEAR(CC5)+1,MONTH(CC5),DAY(CC5))</f>
        <v>47818</v>
      </c>
      <c r="CI5" s="139" t="s">
        <v>407</v>
      </c>
      <c r="CJ5" s="139" t="s">
        <v>408</v>
      </c>
      <c r="CK5" s="139" t="s">
        <v>405</v>
      </c>
      <c r="CL5" s="139" t="s">
        <v>406</v>
      </c>
      <c r="CM5" s="140">
        <f>+DATE(YEAR(CH5)+1,MONTH(CH5),DAY(CH5))</f>
        <v>48183</v>
      </c>
      <c r="CN5" s="139" t="s">
        <v>407</v>
      </c>
      <c r="CO5" s="139" t="s">
        <v>408</v>
      </c>
      <c r="CP5" s="139" t="s">
        <v>405</v>
      </c>
      <c r="CQ5" s="139" t="s">
        <v>406</v>
      </c>
      <c r="CR5" s="140">
        <f>+DATE(YEAR(CM5)+1,MONTH(CM5),DAY(CM5))</f>
        <v>48549</v>
      </c>
      <c r="CS5" s="139" t="s">
        <v>407</v>
      </c>
      <c r="CT5" s="139" t="s">
        <v>408</v>
      </c>
      <c r="CU5" s="139" t="s">
        <v>405</v>
      </c>
      <c r="CV5" s="139" t="s">
        <v>406</v>
      </c>
      <c r="CW5" s="140">
        <f>+DATE(YEAR(CR5)+1,MONTH(CR5),DAY(CR5))</f>
        <v>48914</v>
      </c>
      <c r="CX5" s="139" t="s">
        <v>407</v>
      </c>
      <c r="CY5" s="139" t="s">
        <v>408</v>
      </c>
      <c r="CZ5" s="139" t="s">
        <v>405</v>
      </c>
      <c r="DA5" s="139" t="s">
        <v>406</v>
      </c>
      <c r="DB5" s="140">
        <f>+DATE(YEAR(CW5)+1,MONTH(CW5),DAY(CW5))</f>
        <v>49279</v>
      </c>
    </row>
    <row r="6" spans="1:109" s="4" customFormat="1">
      <c r="A6" s="141"/>
      <c r="B6" s="142" t="s">
        <v>409</v>
      </c>
      <c r="C6" s="142" t="s">
        <v>410</v>
      </c>
      <c r="D6" s="142" t="s">
        <v>411</v>
      </c>
      <c r="E6" s="142" t="s">
        <v>412</v>
      </c>
      <c r="F6" s="143" t="s">
        <v>413</v>
      </c>
      <c r="G6" s="142" t="s">
        <v>414</v>
      </c>
      <c r="H6" s="142" t="s">
        <v>415</v>
      </c>
      <c r="I6" s="142" t="s">
        <v>416</v>
      </c>
      <c r="J6" s="142" t="s">
        <v>417</v>
      </c>
      <c r="K6" s="143" t="s">
        <v>418</v>
      </c>
      <c r="L6" s="142" t="s">
        <v>419</v>
      </c>
      <c r="M6" s="142" t="s">
        <v>420</v>
      </c>
      <c r="N6" s="142" t="s">
        <v>421</v>
      </c>
      <c r="O6" s="142" t="s">
        <v>422</v>
      </c>
      <c r="P6" s="143" t="s">
        <v>423</v>
      </c>
      <c r="Q6" s="142" t="s">
        <v>424</v>
      </c>
      <c r="R6" s="142" t="s">
        <v>425</v>
      </c>
      <c r="S6" s="142" t="s">
        <v>426</v>
      </c>
      <c r="T6" s="142" t="s">
        <v>427</v>
      </c>
      <c r="U6" s="143" t="s">
        <v>428</v>
      </c>
      <c r="V6" s="142" t="s">
        <v>429</v>
      </c>
      <c r="W6" s="142" t="s">
        <v>430</v>
      </c>
      <c r="X6" s="142" t="s">
        <v>431</v>
      </c>
      <c r="Y6" s="142" t="s">
        <v>432</v>
      </c>
      <c r="Z6" s="143" t="s">
        <v>433</v>
      </c>
      <c r="AA6" s="142" t="s">
        <v>434</v>
      </c>
      <c r="AB6" s="142" t="s">
        <v>435</v>
      </c>
      <c r="AC6" s="142" t="s">
        <v>436</v>
      </c>
      <c r="AD6" s="142" t="s">
        <v>437</v>
      </c>
      <c r="AE6" s="143" t="s">
        <v>438</v>
      </c>
      <c r="AF6" s="142" t="s">
        <v>439</v>
      </c>
      <c r="AG6" s="142" t="s">
        <v>440</v>
      </c>
      <c r="AH6" s="142" t="s">
        <v>441</v>
      </c>
      <c r="AI6" s="142" t="s">
        <v>442</v>
      </c>
      <c r="AJ6" s="143" t="s">
        <v>443</v>
      </c>
      <c r="AK6" s="142" t="s">
        <v>444</v>
      </c>
      <c r="AL6" s="142" t="s">
        <v>445</v>
      </c>
      <c r="AM6" s="142" t="s">
        <v>446</v>
      </c>
      <c r="AN6" s="142" t="s">
        <v>447</v>
      </c>
      <c r="AO6" s="143" t="s">
        <v>448</v>
      </c>
      <c r="AP6" s="142" t="s">
        <v>449</v>
      </c>
      <c r="AQ6" s="142" t="s">
        <v>450</v>
      </c>
      <c r="AR6" s="142" t="s">
        <v>451</v>
      </c>
      <c r="AS6" s="142" t="s">
        <v>452</v>
      </c>
      <c r="AT6" s="143" t="s">
        <v>453</v>
      </c>
      <c r="AU6" s="142" t="s">
        <v>221</v>
      </c>
      <c r="AV6" s="142" t="s">
        <v>222</v>
      </c>
      <c r="AW6" s="142" t="s">
        <v>223</v>
      </c>
      <c r="AX6" s="142" t="s">
        <v>224</v>
      </c>
      <c r="AY6" s="143" t="s">
        <v>454</v>
      </c>
      <c r="AZ6" s="142" t="s">
        <v>225</v>
      </c>
      <c r="BA6" s="142" t="s">
        <v>226</v>
      </c>
      <c r="BB6" s="142" t="s">
        <v>227</v>
      </c>
      <c r="BC6" s="142" t="s">
        <v>265</v>
      </c>
      <c r="BD6" s="143" t="s">
        <v>455</v>
      </c>
      <c r="BE6" s="142" t="s">
        <v>396</v>
      </c>
      <c r="BF6" s="142" t="s">
        <v>494</v>
      </c>
      <c r="BG6" s="142" t="s">
        <v>504</v>
      </c>
      <c r="BH6" s="142" t="s">
        <v>506</v>
      </c>
      <c r="BI6" s="143" t="s">
        <v>507</v>
      </c>
      <c r="BJ6" s="142" t="s">
        <v>228</v>
      </c>
      <c r="BK6" s="142" t="s">
        <v>229</v>
      </c>
      <c r="BL6" s="142" t="s">
        <v>230</v>
      </c>
      <c r="BM6" s="142" t="s">
        <v>231</v>
      </c>
      <c r="BN6" s="143" t="s">
        <v>456</v>
      </c>
      <c r="BO6" s="142" t="s">
        <v>232</v>
      </c>
      <c r="BP6" s="142" t="s">
        <v>233</v>
      </c>
      <c r="BQ6" s="142" t="s">
        <v>234</v>
      </c>
      <c r="BR6" s="142" t="s">
        <v>235</v>
      </c>
      <c r="BS6" s="143" t="s">
        <v>457</v>
      </c>
      <c r="BT6" s="142" t="s">
        <v>236</v>
      </c>
      <c r="BU6" s="142" t="s">
        <v>237</v>
      </c>
      <c r="BV6" s="142" t="s">
        <v>238</v>
      </c>
      <c r="BW6" s="142" t="s">
        <v>239</v>
      </c>
      <c r="BX6" s="143" t="s">
        <v>458</v>
      </c>
      <c r="BY6" s="142" t="s">
        <v>240</v>
      </c>
      <c r="BZ6" s="142" t="s">
        <v>241</v>
      </c>
      <c r="CA6" s="142" t="s">
        <v>242</v>
      </c>
      <c r="CB6" s="142" t="s">
        <v>243</v>
      </c>
      <c r="CC6" s="143" t="s">
        <v>459</v>
      </c>
      <c r="CD6" s="142" t="s">
        <v>244</v>
      </c>
      <c r="CE6" s="142" t="s">
        <v>245</v>
      </c>
      <c r="CF6" s="142" t="s">
        <v>246</v>
      </c>
      <c r="CG6" s="142" t="s">
        <v>247</v>
      </c>
      <c r="CH6" s="143" t="s">
        <v>460</v>
      </c>
      <c r="CI6" s="142" t="s">
        <v>248</v>
      </c>
      <c r="CJ6" s="142" t="s">
        <v>249</v>
      </c>
      <c r="CK6" s="142" t="s">
        <v>250</v>
      </c>
      <c r="CL6" s="142" t="s">
        <v>251</v>
      </c>
      <c r="CM6" s="143" t="s">
        <v>461</v>
      </c>
      <c r="CN6" s="142" t="s">
        <v>252</v>
      </c>
      <c r="CO6" s="142" t="s">
        <v>253</v>
      </c>
      <c r="CP6" s="142" t="s">
        <v>254</v>
      </c>
      <c r="CQ6" s="142" t="s">
        <v>255</v>
      </c>
      <c r="CR6" s="143" t="s">
        <v>462</v>
      </c>
      <c r="CS6" s="142" t="s">
        <v>256</v>
      </c>
      <c r="CT6" s="142" t="s">
        <v>257</v>
      </c>
      <c r="CU6" s="142" t="s">
        <v>258</v>
      </c>
      <c r="CV6" s="142" t="s">
        <v>259</v>
      </c>
      <c r="CW6" s="143" t="s">
        <v>463</v>
      </c>
      <c r="CX6" s="142" t="s">
        <v>260</v>
      </c>
      <c r="CY6" s="142" t="s">
        <v>261</v>
      </c>
      <c r="CZ6" s="142" t="s">
        <v>262</v>
      </c>
      <c r="DA6" s="142" t="s">
        <v>263</v>
      </c>
      <c r="DB6" s="143" t="s">
        <v>464</v>
      </c>
      <c r="DD6" s="4" t="s">
        <v>179</v>
      </c>
      <c r="DE6" s="52" t="s">
        <v>180</v>
      </c>
    </row>
    <row r="7" spans="1:109" s="146" customFormat="1">
      <c r="A7" s="310" t="s">
        <v>201</v>
      </c>
      <c r="B7" s="201">
        <f>27.209+0.086</f>
        <v>27.294999999999998</v>
      </c>
      <c r="C7" s="201">
        <f>35.736+0.1</f>
        <v>35.835999999999999</v>
      </c>
      <c r="D7" s="201">
        <f>45.804+0.47</f>
        <v>46.274000000000001</v>
      </c>
      <c r="E7" s="201">
        <f>F7-SUM(B7:D7)</f>
        <v>49.883999999999986</v>
      </c>
      <c r="F7" s="202">
        <v>159.28899999999999</v>
      </c>
      <c r="G7" s="201">
        <v>47.435000000000002</v>
      </c>
      <c r="H7" s="201">
        <v>45.087000000000003</v>
      </c>
      <c r="I7" s="201">
        <v>44.920999999999999</v>
      </c>
      <c r="J7" s="201">
        <f>K7-SUM(G7:I7)</f>
        <v>52.911999999999978</v>
      </c>
      <c r="K7" s="202">
        <v>190.35499999999999</v>
      </c>
      <c r="L7" s="201">
        <v>61.902000000000001</v>
      </c>
      <c r="M7" s="201">
        <v>51.984000000000002</v>
      </c>
      <c r="N7" s="201">
        <v>53.889000000000003</v>
      </c>
      <c r="O7" s="201">
        <f>P7-SUM(L7:N7)</f>
        <v>49.299000000000007</v>
      </c>
      <c r="P7" s="202">
        <v>217.07400000000001</v>
      </c>
      <c r="Q7" s="201">
        <v>46.901000000000003</v>
      </c>
      <c r="R7" s="201">
        <v>53.616999999999997</v>
      </c>
      <c r="S7" s="201">
        <v>56.655999999999999</v>
      </c>
      <c r="T7" s="201">
        <f>U7-SUM(Q7:S7)</f>
        <v>53.764999999999986</v>
      </c>
      <c r="U7" s="202">
        <v>210.93899999999999</v>
      </c>
      <c r="V7" s="201">
        <v>62.34</v>
      </c>
      <c r="W7" s="201">
        <v>63.069000000000003</v>
      </c>
      <c r="X7" s="201">
        <v>65.28</v>
      </c>
      <c r="Y7" s="201">
        <f>Z7-SUM(V7:X7)</f>
        <v>66.964999999999975</v>
      </c>
      <c r="Z7" s="202">
        <v>257.654</v>
      </c>
      <c r="AA7" s="201">
        <v>66.823999999999998</v>
      </c>
      <c r="AB7" s="201">
        <v>74.355000000000004</v>
      </c>
      <c r="AC7" s="201">
        <v>77.909000000000006</v>
      </c>
      <c r="AD7" s="201">
        <f>AE7-SUM(AA7:AC7)</f>
        <v>83.239999999999952</v>
      </c>
      <c r="AE7" s="202">
        <v>302.32799999999997</v>
      </c>
      <c r="AF7" s="201">
        <v>94.012</v>
      </c>
      <c r="AG7" s="201">
        <v>86.471999999999994</v>
      </c>
      <c r="AH7" s="201">
        <v>98.143000000000001</v>
      </c>
      <c r="AI7" s="201">
        <f>AJ7-SUM(AF7:AH7)</f>
        <v>112.37800000000004</v>
      </c>
      <c r="AJ7" s="202">
        <v>391.005</v>
      </c>
      <c r="AK7" s="201">
        <v>152.316</v>
      </c>
      <c r="AL7" s="201">
        <v>142.02600000000001</v>
      </c>
      <c r="AM7" s="201">
        <v>158.11600000000001</v>
      </c>
      <c r="AN7" s="201">
        <f>AO7-SUM(AK7:AM7)</f>
        <v>173.02800000000002</v>
      </c>
      <c r="AO7" s="202">
        <v>625.48599999999999</v>
      </c>
      <c r="AP7" s="201">
        <v>194.13300000000001</v>
      </c>
      <c r="AQ7" s="201">
        <v>198.2</v>
      </c>
      <c r="AR7" s="201">
        <v>210.637</v>
      </c>
      <c r="AS7" s="201">
        <f>AT7-SUM(AP7:AR7)</f>
        <v>217.25199999999995</v>
      </c>
      <c r="AT7" s="202">
        <v>820.22199999999998</v>
      </c>
      <c r="AU7" s="201">
        <v>241.756</v>
      </c>
      <c r="AV7" s="201">
        <v>261.404</v>
      </c>
      <c r="AW7" s="201">
        <v>268.30599999999998</v>
      </c>
      <c r="AX7" s="201">
        <f>AY7-SUM(AU7:AW7)</f>
        <v>311.10500000000002</v>
      </c>
      <c r="AY7" s="202">
        <v>1082.5709999999999</v>
      </c>
      <c r="AZ7" s="201">
        <v>367.74099999999999</v>
      </c>
      <c r="BA7" s="201">
        <v>413.351</v>
      </c>
      <c r="BB7" s="201">
        <v>439.75799999999998</v>
      </c>
      <c r="BC7" s="201">
        <f>BD7-SUM(AZ7:BB7)</f>
        <v>476.06100000000015</v>
      </c>
      <c r="BD7" s="202">
        <v>1696.9110000000001</v>
      </c>
      <c r="BE7" s="201">
        <v>501.83</v>
      </c>
      <c r="BF7" s="201">
        <f>544.427+2.173</f>
        <v>546.6</v>
      </c>
      <c r="BG7" s="201">
        <v>592.18299999999999</v>
      </c>
      <c r="BH7" s="201">
        <f>2306.113-BE7-BF7-BG7</f>
        <v>665.5</v>
      </c>
      <c r="BI7" s="202">
        <f>SUM(BE7:BH7)</f>
        <v>2306.1130000000003</v>
      </c>
      <c r="BJ7" s="329">
        <f>+Rev!BJ17</f>
        <v>616.5328693761752</v>
      </c>
      <c r="BK7" s="201">
        <f>+Rev!BK17</f>
        <v>650.50782303881431</v>
      </c>
      <c r="BL7" s="201">
        <f>+Rev!BL17</f>
        <v>676.58177181621988</v>
      </c>
      <c r="BM7" s="201">
        <f>+Rev!BM17</f>
        <v>715.30686832652486</v>
      </c>
      <c r="BN7" s="202">
        <f>SUM(BJ7:BM7)</f>
        <v>2658.9293325577346</v>
      </c>
      <c r="BO7" s="201">
        <f>+Rev!BO17</f>
        <v>762.14849326748754</v>
      </c>
      <c r="BP7" s="201">
        <f>+Rev!BP17</f>
        <v>763.06912782448933</v>
      </c>
      <c r="BQ7" s="201">
        <f>+Rev!BQ17</f>
        <v>790.75040309936173</v>
      </c>
      <c r="BR7" s="201">
        <f>+Rev!BR17</f>
        <v>813.12421834449674</v>
      </c>
      <c r="BS7" s="202">
        <f>SUM(BO7:BR7)</f>
        <v>3129.0922425358358</v>
      </c>
      <c r="BT7" s="201">
        <f>+Rev!BT17</f>
        <v>876.90033288239249</v>
      </c>
      <c r="BU7" s="201">
        <f>+Rev!BU17</f>
        <v>886.05175959445091</v>
      </c>
      <c r="BV7" s="201">
        <f>+Rev!BV17</f>
        <v>913.63858937191958</v>
      </c>
      <c r="BW7" s="201">
        <f>+Rev!BW17</f>
        <v>940.58178305838112</v>
      </c>
      <c r="BX7" s="202">
        <f>SUM(BT7:BW7)</f>
        <v>3617.1724649071439</v>
      </c>
      <c r="BY7" s="201">
        <f>+Rev!BY17</f>
        <v>1012.820049022594</v>
      </c>
      <c r="BZ7" s="201">
        <f>+Rev!BZ17</f>
        <v>1016.8897632547124</v>
      </c>
      <c r="CA7" s="201">
        <f>+Rev!CA17</f>
        <v>1051.5163678726676</v>
      </c>
      <c r="CB7" s="201">
        <f>+Rev!CB17</f>
        <v>1076.6057178155363</v>
      </c>
      <c r="CC7" s="202">
        <f>SUM(BY7:CB7)</f>
        <v>4157.8318979655105</v>
      </c>
      <c r="CD7" s="201">
        <f>+Rev!CD17</f>
        <v>1155.0359996860182</v>
      </c>
      <c r="CE7" s="201">
        <f>+Rev!CE17</f>
        <v>1161.8150165695874</v>
      </c>
      <c r="CF7" s="201">
        <f>+Rev!CF17</f>
        <v>1196.7163512424281</v>
      </c>
      <c r="CG7" s="201">
        <f>+Rev!CG17</f>
        <v>1225.5047627183251</v>
      </c>
      <c r="CH7" s="202">
        <f>SUM(CD7:CG7)</f>
        <v>4739.0721302163593</v>
      </c>
      <c r="CI7" s="201">
        <f>+Rev!CI17</f>
        <v>1298.4003632035517</v>
      </c>
      <c r="CJ7" s="201">
        <f>+Rev!CJ17</f>
        <v>1301.0288083539829</v>
      </c>
      <c r="CK7" s="201">
        <f>+Rev!CK17</f>
        <v>1332.8347584429962</v>
      </c>
      <c r="CL7" s="201">
        <f>+Rev!CL17</f>
        <v>1358.4263905436926</v>
      </c>
      <c r="CM7" s="202">
        <f>SUM(CI7:CL7)</f>
        <v>5290.6903205442231</v>
      </c>
      <c r="CN7" s="201">
        <f>+Rev!CN17</f>
        <v>1435.3246309431759</v>
      </c>
      <c r="CO7" s="201">
        <f>+Rev!CO17</f>
        <v>1437.9537288147437</v>
      </c>
      <c r="CP7" s="201">
        <f>+Rev!CP17</f>
        <v>1470.6387493838629</v>
      </c>
      <c r="CQ7" s="201">
        <f>+Rev!CQ17</f>
        <v>1497.2105631120992</v>
      </c>
      <c r="CR7" s="202">
        <f>SUM(CN7:CQ7)</f>
        <v>5841.1276722538823</v>
      </c>
      <c r="CS7" s="201">
        <f>+Rev!CS17</f>
        <v>1578.9496639020265</v>
      </c>
      <c r="CT7" s="201">
        <f>+Rev!CT17</f>
        <v>1582.2801385646917</v>
      </c>
      <c r="CU7" s="201">
        <f>+Rev!CU17</f>
        <v>1616.7880727042455</v>
      </c>
      <c r="CV7" s="201">
        <f>+Rev!CV17</f>
        <v>1645.0622487953078</v>
      </c>
      <c r="CW7" s="202">
        <f>SUM(CS7:CV7)</f>
        <v>6423.0801239662715</v>
      </c>
      <c r="CX7" s="201">
        <f>+Rev!CX17</f>
        <v>1717.5517402429391</v>
      </c>
      <c r="CY7" s="201">
        <f>+Rev!CY17</f>
        <v>1717.0666750084868</v>
      </c>
      <c r="CZ7" s="201">
        <f>+Rev!CZ17</f>
        <v>1748.7456086570105</v>
      </c>
      <c r="DA7" s="201">
        <f>+Rev!DA17</f>
        <v>1774.1999970499794</v>
      </c>
      <c r="DB7" s="202">
        <f>SUM(CX7:DA7)</f>
        <v>6957.5640209584153</v>
      </c>
    </row>
    <row r="8" spans="1:109">
      <c r="A8" s="311" t="s">
        <v>211</v>
      </c>
      <c r="B8" s="346">
        <v>15.9</v>
      </c>
      <c r="C8" s="6">
        <v>19.013999999999999</v>
      </c>
      <c r="D8" s="6">
        <v>20.82</v>
      </c>
      <c r="E8" s="6">
        <f>F8-SUM(B8:D8)</f>
        <v>22.661999999999999</v>
      </c>
      <c r="F8" s="185">
        <v>78.396000000000001</v>
      </c>
      <c r="G8" s="6">
        <v>24.843</v>
      </c>
      <c r="H8" s="6">
        <v>25.731999999999999</v>
      </c>
      <c r="I8" s="6">
        <v>30.456</v>
      </c>
      <c r="J8" s="6">
        <f>K8-SUM(G8:I8)</f>
        <v>31.813999999999993</v>
      </c>
      <c r="K8" s="185">
        <v>112.845</v>
      </c>
      <c r="L8" s="6">
        <v>32.340000000000003</v>
      </c>
      <c r="M8" s="6">
        <v>30.972999999999999</v>
      </c>
      <c r="N8" s="6">
        <v>34.261000000000003</v>
      </c>
      <c r="O8" s="6">
        <f>P8-SUM(L8:N8)</f>
        <v>38</v>
      </c>
      <c r="P8" s="185">
        <v>135.57400000000001</v>
      </c>
      <c r="Q8" s="6">
        <f>33.088+0.612</f>
        <v>33.700000000000003</v>
      </c>
      <c r="R8" s="6">
        <f>33.709+0.85</f>
        <v>34.559000000000005</v>
      </c>
      <c r="S8" s="6">
        <f>33.558+1.054</f>
        <v>34.612000000000002</v>
      </c>
      <c r="T8" s="6">
        <f>U8-SUM(Q8:S8)</f>
        <v>36.724999999999994</v>
      </c>
      <c r="U8" s="185">
        <f>135.508+4.088</f>
        <v>139.596</v>
      </c>
      <c r="V8" s="6">
        <f>39.055+1.537</f>
        <v>40.591999999999999</v>
      </c>
      <c r="W8" s="6">
        <f>39.204+1.791</f>
        <v>40.994999999999997</v>
      </c>
      <c r="X8" s="6">
        <f>39.477+2.202</f>
        <v>41.678999999999995</v>
      </c>
      <c r="Y8" s="6">
        <f>Z8-SUM(V8:X8)</f>
        <v>42.788999999999987</v>
      </c>
      <c r="Z8" s="185">
        <f>158.081+7.974</f>
        <v>166.05499999999998</v>
      </c>
      <c r="AA8" s="6">
        <f>41.605+1.698</f>
        <v>43.302999999999997</v>
      </c>
      <c r="AB8" s="6">
        <f>41.382+2.443</f>
        <v>43.824999999999996</v>
      </c>
      <c r="AC8" s="6">
        <f>40.138+3.742</f>
        <v>43.879999999999995</v>
      </c>
      <c r="AD8" s="6">
        <f>AE8-SUM(AA8:AC8)</f>
        <v>44.462000000000046</v>
      </c>
      <c r="AE8" s="185">
        <f>162.604+12.866</f>
        <v>175.47000000000003</v>
      </c>
      <c r="AF8" s="6">
        <f>41.52+3.458</f>
        <v>44.978000000000002</v>
      </c>
      <c r="AG8" s="6">
        <f>42.731+4.208</f>
        <v>46.939</v>
      </c>
      <c r="AH8" s="6">
        <f>46.873+4.948</f>
        <v>51.820999999999998</v>
      </c>
      <c r="AI8" s="6">
        <f>AJ8-SUM(AF8:AH8)</f>
        <v>59.882000000000005</v>
      </c>
      <c r="AJ8" s="185">
        <f>185.865+17.755</f>
        <v>203.62</v>
      </c>
      <c r="AK8" s="6">
        <f>61.322+5.491</f>
        <v>66.813000000000002</v>
      </c>
      <c r="AL8" s="6">
        <f>73.227+2.885</f>
        <v>76.112000000000009</v>
      </c>
      <c r="AM8" s="6">
        <f>76.838+4.533</f>
        <v>81.370999999999995</v>
      </c>
      <c r="AN8" s="6">
        <f>AO8-SUM(AK8:AM8)</f>
        <v>94.122000000000014</v>
      </c>
      <c r="AO8" s="185">
        <f>302.663+15.755</f>
        <v>318.41800000000001</v>
      </c>
      <c r="AP8" s="6">
        <f>102.67+0.545</f>
        <v>103.215</v>
      </c>
      <c r="AQ8" s="6">
        <f>108.756+0.481</f>
        <v>109.23699999999999</v>
      </c>
      <c r="AR8" s="6">
        <f>115.436+1.076</f>
        <v>116.512</v>
      </c>
      <c r="AS8" s="6">
        <f>AT8-SUM(AP8:AR8)</f>
        <v>127.29200000000003</v>
      </c>
      <c r="AT8" s="185">
        <f>453.632+2.624</f>
        <v>456.25600000000003</v>
      </c>
      <c r="AU8" s="6">
        <f>147.754+0.37</f>
        <v>148.124</v>
      </c>
      <c r="AV8" s="6">
        <f>142.808+0.341</f>
        <v>143.149</v>
      </c>
      <c r="AW8" s="6">
        <f>146.962+0.349</f>
        <v>147.31099999999998</v>
      </c>
      <c r="AX8" s="6">
        <f>AY8-SUM(AU8:AW8)</f>
        <v>151.24700000000001</v>
      </c>
      <c r="AY8" s="185">
        <f>588.564+1.267</f>
        <v>589.83100000000002</v>
      </c>
      <c r="AZ8" s="390">
        <f>158.833+0.307</f>
        <v>159.13999999999999</v>
      </c>
      <c r="BA8" s="390">
        <f>169.85+0.329</f>
        <v>170.179</v>
      </c>
      <c r="BB8" s="390">
        <f>167.657+0.354</f>
        <v>168.01100000000002</v>
      </c>
      <c r="BC8" s="390">
        <f>BD8-SUM(AZ8:BB8)</f>
        <v>176.42299999999994</v>
      </c>
      <c r="BD8" s="391">
        <f>672.304+1.449</f>
        <v>673.75299999999993</v>
      </c>
      <c r="BE8" s="390">
        <f>184.613+0.452</f>
        <v>185.065</v>
      </c>
      <c r="BF8" s="390">
        <f>199.531+0.465</f>
        <v>199.99600000000001</v>
      </c>
      <c r="BG8" s="390">
        <f>207.253+0.548</f>
        <v>207.80099999999999</v>
      </c>
      <c r="BH8" s="390">
        <f>810.627+2.306-BE8-BF8-BG8</f>
        <v>220.07099999999997</v>
      </c>
      <c r="BI8" s="391">
        <f>SUM(BE8:BH8)</f>
        <v>812.93299999999999</v>
      </c>
      <c r="BJ8" s="392">
        <f t="shared" ref="BJ8:BM8" si="0">+BJ7-BJ9</f>
        <v>230.45240328130183</v>
      </c>
      <c r="BK8" s="390">
        <f t="shared" si="0"/>
        <v>239.65353598884548</v>
      </c>
      <c r="BL8" s="390">
        <f t="shared" si="0"/>
        <v>237.52288554195741</v>
      </c>
      <c r="BM8" s="390">
        <f t="shared" si="0"/>
        <v>234.83094620855519</v>
      </c>
      <c r="BN8" s="391">
        <f>SUM(BJ8:BM8)</f>
        <v>942.4597710206599</v>
      </c>
      <c r="BO8" s="390">
        <f t="shared" ref="BO8:BR8" si="1">+BO7-BO9</f>
        <v>267.60621908543101</v>
      </c>
      <c r="BP8" s="390">
        <f t="shared" si="1"/>
        <v>269.58173457394366</v>
      </c>
      <c r="BQ8" s="390">
        <f t="shared" si="1"/>
        <v>270.51445792095626</v>
      </c>
      <c r="BR8" s="390">
        <f t="shared" si="1"/>
        <v>261.80973852844568</v>
      </c>
      <c r="BS8" s="391">
        <f>SUM(BO8:BR8)</f>
        <v>1069.5121501087765</v>
      </c>
      <c r="BT8" s="390">
        <f t="shared" ref="BT8" si="2">+BT7-BT9</f>
        <v>294.20706867424644</v>
      </c>
      <c r="BU8" s="390">
        <f t="shared" ref="BU8" si="3">+BU7-BU9</f>
        <v>299.97640773831381</v>
      </c>
      <c r="BV8" s="390">
        <f t="shared" ref="BV8" si="4">+BV7-BV9</f>
        <v>298.35836099062965</v>
      </c>
      <c r="BW8" s="390">
        <f t="shared" ref="BW8" si="5">+BW7-BW9</f>
        <v>289.00616284569253</v>
      </c>
      <c r="BX8" s="391">
        <f>SUM(BT8:BW8)</f>
        <v>1181.5480002488825</v>
      </c>
      <c r="BY8" s="390">
        <f t="shared" ref="BY8" si="6">+BY7-BY9</f>
        <v>326.87002898985509</v>
      </c>
      <c r="BZ8" s="390">
        <f t="shared" ref="BZ8" si="7">+BZ7-BZ9</f>
        <v>331.20941737336545</v>
      </c>
      <c r="CA8" s="390">
        <f t="shared" ref="CA8" si="8">+CA7-CA9</f>
        <v>331.20094200860785</v>
      </c>
      <c r="CB8" s="390">
        <f t="shared" ref="CB8" si="9">+CB7-CB9</f>
        <v>319.36443817200336</v>
      </c>
      <c r="CC8" s="391">
        <f>SUM(BY8:CB8)</f>
        <v>1308.6448265438316</v>
      </c>
      <c r="CD8" s="390">
        <f t="shared" ref="CD8" si="10">+CD7-CD9</f>
        <v>359.35481757185221</v>
      </c>
      <c r="CE8" s="390">
        <f t="shared" ref="CE8" si="11">+CE7-CE9</f>
        <v>365.13248135600929</v>
      </c>
      <c r="CF8" s="390">
        <f t="shared" ref="CF8" si="12">+CF7-CF9</f>
        <v>364.02374566554045</v>
      </c>
      <c r="CG8" s="390">
        <f t="shared" ref="CG8" si="13">+CG7-CG9</f>
        <v>351.26335952824275</v>
      </c>
      <c r="CH8" s="391">
        <f>SUM(CD8:CG8)</f>
        <v>1439.7744041216447</v>
      </c>
      <c r="CI8" s="390">
        <f t="shared" ref="CI8" si="14">+CI7-CI9</f>
        <v>392.38467465413032</v>
      </c>
      <c r="CJ8" s="390">
        <f t="shared" ref="CJ8" si="15">+CJ7-CJ9</f>
        <v>398.34096692261255</v>
      </c>
      <c r="CK8" s="390">
        <f t="shared" ref="CK8" si="16">+CK7-CK9</f>
        <v>395.83634214127176</v>
      </c>
      <c r="CL8" s="390">
        <f t="shared" ref="CL8" si="17">+CL7-CL9</f>
        <v>381.01633276920961</v>
      </c>
      <c r="CM8" s="391">
        <f>SUM(CI8:CL8)</f>
        <v>1567.5783164872244</v>
      </c>
      <c r="CN8" s="390">
        <f t="shared" ref="CN8" si="18">+CN7-CN9</f>
        <v>424.05991844671337</v>
      </c>
      <c r="CO8" s="390">
        <f t="shared" ref="CO8" si="19">+CO7-CO9</f>
        <v>430.91641183173761</v>
      </c>
      <c r="CP8" s="390">
        <f t="shared" ref="CP8" si="20">+CP7-CP9</f>
        <v>427.59468854303191</v>
      </c>
      <c r="CQ8" s="390">
        <f t="shared" ref="CQ8" si="21">+CQ7-CQ9</f>
        <v>411.43563245753035</v>
      </c>
      <c r="CR8" s="391">
        <f>SUM(CN8:CQ8)</f>
        <v>1694.0066512790133</v>
      </c>
      <c r="CS8" s="390">
        <f t="shared" ref="CS8" si="22">+CS7-CS9</f>
        <v>456.55123999622106</v>
      </c>
      <c r="CT8" s="390">
        <f t="shared" ref="CT8" si="23">+CT7-CT9</f>
        <v>464.40059613360495</v>
      </c>
      <c r="CU8" s="390">
        <f t="shared" ref="CU8" si="24">+CU7-CU9</f>
        <v>460.41947602396044</v>
      </c>
      <c r="CV8" s="390">
        <f t="shared" ref="CV8" si="25">+CV7-CV9</f>
        <v>442.93284261075314</v>
      </c>
      <c r="CW8" s="391">
        <f>SUM(CS8:CV8)</f>
        <v>1824.3041547645396</v>
      </c>
      <c r="CX8" s="390">
        <f>+CX7-CX9</f>
        <v>489.53371061119583</v>
      </c>
      <c r="CY8" s="390">
        <f t="shared" ref="CY8" si="26">+CY7-CY9</f>
        <v>497.75608155253963</v>
      </c>
      <c r="CZ8" s="390">
        <f t="shared" ref="CZ8" si="27">+CZ7-CZ9</f>
        <v>492.44631494612099</v>
      </c>
      <c r="DA8" s="390">
        <f t="shared" ref="DA8" si="28">+DA7-DA9</f>
        <v>473.08616508703994</v>
      </c>
      <c r="DB8" s="391">
        <f>SUM(CX8:DA8)</f>
        <v>1952.8222721968964</v>
      </c>
    </row>
    <row r="9" spans="1:109" s="146" customFormat="1">
      <c r="A9" s="310" t="s">
        <v>200</v>
      </c>
      <c r="B9" s="203">
        <f t="shared" ref="B9" si="29">B7-B8</f>
        <v>11.394999999999998</v>
      </c>
      <c r="C9" s="203">
        <f>C7-C8</f>
        <v>16.821999999999999</v>
      </c>
      <c r="D9" s="203">
        <f t="shared" ref="D9:P9" si="30">D7-D8</f>
        <v>25.454000000000001</v>
      </c>
      <c r="E9" s="204">
        <f t="shared" si="30"/>
        <v>27.221999999999987</v>
      </c>
      <c r="F9" s="202">
        <f t="shared" si="30"/>
        <v>80.892999999999986</v>
      </c>
      <c r="G9" s="278">
        <f t="shared" si="30"/>
        <v>22.592000000000002</v>
      </c>
      <c r="H9" s="203">
        <f t="shared" si="30"/>
        <v>19.355000000000004</v>
      </c>
      <c r="I9" s="203">
        <f t="shared" si="30"/>
        <v>14.465</v>
      </c>
      <c r="J9" s="204">
        <f t="shared" si="30"/>
        <v>21.097999999999985</v>
      </c>
      <c r="K9" s="202">
        <f t="shared" si="30"/>
        <v>77.509999999999991</v>
      </c>
      <c r="L9" s="278">
        <f t="shared" si="30"/>
        <v>29.561999999999998</v>
      </c>
      <c r="M9" s="203">
        <f t="shared" si="30"/>
        <v>21.011000000000003</v>
      </c>
      <c r="N9" s="203">
        <f t="shared" si="30"/>
        <v>19.628</v>
      </c>
      <c r="O9" s="204">
        <f t="shared" si="30"/>
        <v>11.299000000000007</v>
      </c>
      <c r="P9" s="202">
        <f t="shared" si="30"/>
        <v>81.5</v>
      </c>
      <c r="Q9" s="278">
        <f t="shared" ref="Q9:U9" si="31">Q7-Q8</f>
        <v>13.201000000000001</v>
      </c>
      <c r="R9" s="203">
        <f t="shared" si="31"/>
        <v>19.057999999999993</v>
      </c>
      <c r="S9" s="203">
        <f t="shared" si="31"/>
        <v>22.043999999999997</v>
      </c>
      <c r="T9" s="204">
        <f>T7-T8</f>
        <v>17.039999999999992</v>
      </c>
      <c r="U9" s="202">
        <f t="shared" si="31"/>
        <v>71.342999999999989</v>
      </c>
      <c r="V9" s="278">
        <f t="shared" ref="V9" si="32">V7-V8</f>
        <v>21.748000000000005</v>
      </c>
      <c r="W9" s="203">
        <f t="shared" ref="W9:X9" si="33">W7-W8</f>
        <v>22.074000000000005</v>
      </c>
      <c r="X9" s="203">
        <f t="shared" si="33"/>
        <v>23.601000000000006</v>
      </c>
      <c r="Y9" s="204">
        <f>Y7-Y8</f>
        <v>24.175999999999988</v>
      </c>
      <c r="Z9" s="202">
        <f t="shared" ref="Z9" si="34">Z7-Z8</f>
        <v>91.599000000000018</v>
      </c>
      <c r="AA9" s="278">
        <f t="shared" ref="AA9:AC9" si="35">AA7-AA8</f>
        <v>23.521000000000001</v>
      </c>
      <c r="AB9" s="203">
        <f t="shared" si="35"/>
        <v>30.530000000000008</v>
      </c>
      <c r="AC9" s="203">
        <f t="shared" si="35"/>
        <v>34.029000000000011</v>
      </c>
      <c r="AD9" s="204">
        <f>AD7-AD8</f>
        <v>38.777999999999906</v>
      </c>
      <c r="AE9" s="202">
        <f t="shared" ref="AE9" si="36">AE7-AE8</f>
        <v>126.85799999999995</v>
      </c>
      <c r="AF9" s="278">
        <f t="shared" ref="AF9:AX9" si="37">AF7-AF8</f>
        <v>49.033999999999999</v>
      </c>
      <c r="AG9" s="203">
        <f t="shared" si="37"/>
        <v>39.532999999999994</v>
      </c>
      <c r="AH9" s="203">
        <f t="shared" si="37"/>
        <v>46.322000000000003</v>
      </c>
      <c r="AI9" s="204">
        <f t="shared" si="37"/>
        <v>52.496000000000038</v>
      </c>
      <c r="AJ9" s="202">
        <f t="shared" si="37"/>
        <v>187.38499999999999</v>
      </c>
      <c r="AK9" s="278">
        <f t="shared" si="37"/>
        <v>85.503</v>
      </c>
      <c r="AL9" s="203">
        <f t="shared" si="37"/>
        <v>65.914000000000001</v>
      </c>
      <c r="AM9" s="203">
        <f t="shared" si="37"/>
        <v>76.745000000000019</v>
      </c>
      <c r="AN9" s="204">
        <f t="shared" si="37"/>
        <v>78.906000000000006</v>
      </c>
      <c r="AO9" s="202">
        <f t="shared" si="37"/>
        <v>307.06799999999998</v>
      </c>
      <c r="AP9" s="278">
        <f t="shared" si="37"/>
        <v>90.918000000000006</v>
      </c>
      <c r="AQ9" s="203">
        <f t="shared" si="37"/>
        <v>88.962999999999994</v>
      </c>
      <c r="AR9" s="201">
        <f t="shared" si="37"/>
        <v>94.125</v>
      </c>
      <c r="AS9" s="204">
        <f t="shared" si="37"/>
        <v>89.959999999999923</v>
      </c>
      <c r="AT9" s="202">
        <f t="shared" si="37"/>
        <v>363.96599999999995</v>
      </c>
      <c r="AU9" s="201">
        <f t="shared" si="37"/>
        <v>93.632000000000005</v>
      </c>
      <c r="AV9" s="201">
        <f t="shared" si="37"/>
        <v>118.255</v>
      </c>
      <c r="AW9" s="201">
        <f t="shared" si="37"/>
        <v>120.995</v>
      </c>
      <c r="AX9" s="204">
        <f t="shared" si="37"/>
        <v>159.858</v>
      </c>
      <c r="AY9" s="202">
        <f>SUM(AU9:AX9)</f>
        <v>492.74</v>
      </c>
      <c r="AZ9" s="201">
        <f>AZ7-AZ8</f>
        <v>208.601</v>
      </c>
      <c r="BA9" s="201">
        <f>BA7-BA8</f>
        <v>243.172</v>
      </c>
      <c r="BB9" s="201">
        <f>BB7-BB8</f>
        <v>271.74699999999996</v>
      </c>
      <c r="BC9" s="201">
        <f>BC7-BC8</f>
        <v>299.6380000000002</v>
      </c>
      <c r="BD9" s="202">
        <f>SUM(AZ9:BC9)</f>
        <v>1023.1580000000001</v>
      </c>
      <c r="BE9" s="201">
        <f>BE7-BE8</f>
        <v>316.76499999999999</v>
      </c>
      <c r="BF9" s="201">
        <f>BF7-BF8</f>
        <v>346.60400000000004</v>
      </c>
      <c r="BG9" s="201">
        <f>BG7-BG8</f>
        <v>384.38200000000001</v>
      </c>
      <c r="BH9" s="201">
        <f>BH7-BH8</f>
        <v>445.42900000000003</v>
      </c>
      <c r="BI9" s="202">
        <f>SUM(BE9:BH9)</f>
        <v>1493.18</v>
      </c>
      <c r="BJ9" s="329">
        <f>+Rev!BJ479</f>
        <v>386.08046609487337</v>
      </c>
      <c r="BK9" s="201">
        <f>+Rev!BK479</f>
        <v>410.85428704996883</v>
      </c>
      <c r="BL9" s="201">
        <f>+Rev!BL479</f>
        <v>439.05888627426248</v>
      </c>
      <c r="BM9" s="201">
        <f>+Rev!BM479</f>
        <v>480.47592211796967</v>
      </c>
      <c r="BN9" s="202">
        <f>+Rev!BN479</f>
        <v>1716.4695615370747</v>
      </c>
      <c r="BO9" s="201">
        <f>+Rev!BO479</f>
        <v>494.54227418205653</v>
      </c>
      <c r="BP9" s="201">
        <f>+Rev!BP479</f>
        <v>493.48739325054567</v>
      </c>
      <c r="BQ9" s="201">
        <f>+Rev!BQ479</f>
        <v>520.23594517840547</v>
      </c>
      <c r="BR9" s="201">
        <f>+Rev!BR479</f>
        <v>551.31447981605106</v>
      </c>
      <c r="BS9" s="202">
        <f>+Rev!BS479</f>
        <v>2059.5800924270579</v>
      </c>
      <c r="BT9" s="201">
        <f>+Rev!BT479</f>
        <v>582.69326420814605</v>
      </c>
      <c r="BU9" s="201">
        <f>+Rev!BU479</f>
        <v>586.0753518561371</v>
      </c>
      <c r="BV9" s="201">
        <f>+Rev!BV479</f>
        <v>615.28022838128993</v>
      </c>
      <c r="BW9" s="201">
        <f>+Rev!BW479</f>
        <v>651.57562021268859</v>
      </c>
      <c r="BX9" s="202">
        <f>+Rev!BX479</f>
        <v>2435.6244646582618</v>
      </c>
      <c r="BY9" s="201">
        <f>+Rev!BY479</f>
        <v>685.95002003273896</v>
      </c>
      <c r="BZ9" s="201">
        <f>+Rev!BZ479</f>
        <v>685.68034588134697</v>
      </c>
      <c r="CA9" s="201">
        <f>+Rev!CA479</f>
        <v>720.31542586405976</v>
      </c>
      <c r="CB9" s="201">
        <f>+Rev!CB479</f>
        <v>757.24127964353295</v>
      </c>
      <c r="CC9" s="202">
        <f>+Rev!CC479</f>
        <v>2849.1870714216789</v>
      </c>
      <c r="CD9" s="201">
        <f>+Rev!CD479</f>
        <v>795.68118211416595</v>
      </c>
      <c r="CE9" s="201">
        <f>+Rev!CE479</f>
        <v>796.68253521357815</v>
      </c>
      <c r="CF9" s="201">
        <f>+Rev!CF479</f>
        <v>832.69260557688767</v>
      </c>
      <c r="CG9" s="201">
        <f>+Rev!CG479</f>
        <v>874.24140319008234</v>
      </c>
      <c r="CH9" s="202">
        <f>+Rev!CH479</f>
        <v>3299.2977260947146</v>
      </c>
      <c r="CI9" s="201">
        <f>+Rev!CI479</f>
        <v>906.01568854942138</v>
      </c>
      <c r="CJ9" s="201">
        <f>+Rev!CJ479</f>
        <v>902.68784143137032</v>
      </c>
      <c r="CK9" s="201">
        <f>+Rev!CK479</f>
        <v>936.99841630172443</v>
      </c>
      <c r="CL9" s="201">
        <f>+Rev!CL479</f>
        <v>977.41005777448299</v>
      </c>
      <c r="CM9" s="202">
        <f>+Rev!CM479</f>
        <v>3723.1120040569986</v>
      </c>
      <c r="CN9" s="201">
        <f>+Rev!CN479</f>
        <v>1011.2647124964625</v>
      </c>
      <c r="CO9" s="201">
        <f>+Rev!CO479</f>
        <v>1007.0373169830061</v>
      </c>
      <c r="CP9" s="201">
        <f>+Rev!CP479</f>
        <v>1043.044060840831</v>
      </c>
      <c r="CQ9" s="201">
        <f>+Rev!CQ479</f>
        <v>1085.7749306545688</v>
      </c>
      <c r="CR9" s="202">
        <f>+Rev!CR479</f>
        <v>4147.1210209748679</v>
      </c>
      <c r="CS9" s="201">
        <f>+Rev!CS479</f>
        <v>1122.3984239058054</v>
      </c>
      <c r="CT9" s="201">
        <f>+Rev!CT479</f>
        <v>1117.8795424310867</v>
      </c>
      <c r="CU9" s="201">
        <f>+Rev!CU479</f>
        <v>1156.368596680285</v>
      </c>
      <c r="CV9" s="201">
        <f>+Rev!CV479</f>
        <v>1202.1294061845547</v>
      </c>
      <c r="CW9" s="202">
        <f>+Rev!CW479</f>
        <v>4598.7759692017316</v>
      </c>
      <c r="CX9" s="201">
        <f>+Rev!CX479</f>
        <v>1228.0180296317433</v>
      </c>
      <c r="CY9" s="201">
        <f>+Rev!CY479</f>
        <v>1219.3105934559471</v>
      </c>
      <c r="CZ9" s="201">
        <f>+Rev!CZ479</f>
        <v>1256.2992937108895</v>
      </c>
      <c r="DA9" s="201">
        <f>+Rev!DA479</f>
        <v>1301.1138319629395</v>
      </c>
      <c r="DB9" s="202">
        <f>+Rev!DB479</f>
        <v>5004.7417487615203</v>
      </c>
    </row>
    <row r="10" spans="1:109">
      <c r="A10" s="311" t="s">
        <v>149</v>
      </c>
      <c r="B10" s="6">
        <v>4.298</v>
      </c>
      <c r="C10" s="6">
        <v>4.1219999999999999</v>
      </c>
      <c r="D10" s="6">
        <v>4.3719999999999999</v>
      </c>
      <c r="E10" s="6">
        <f>F10-SUM(B10:D10)</f>
        <v>4.5000000000000018</v>
      </c>
      <c r="F10" s="185">
        <v>17.292000000000002</v>
      </c>
      <c r="G10" s="6">
        <v>5.63</v>
      </c>
      <c r="H10" s="6">
        <v>6.7409999999999997</v>
      </c>
      <c r="I10" s="6">
        <v>7.3360000000000003</v>
      </c>
      <c r="J10" s="6">
        <f>K10-SUM(G10:I10)</f>
        <v>8.0039999999999978</v>
      </c>
      <c r="K10" s="185">
        <v>27.710999999999999</v>
      </c>
      <c r="L10" s="6">
        <v>8.7590000000000003</v>
      </c>
      <c r="M10" s="6">
        <v>10.298999999999999</v>
      </c>
      <c r="N10" s="6">
        <v>11.345000000000001</v>
      </c>
      <c r="O10" s="6">
        <f>P10-SUM(L10:N10)</f>
        <v>11.459000000000003</v>
      </c>
      <c r="P10" s="185">
        <v>41.862000000000002</v>
      </c>
      <c r="Q10" s="6">
        <v>12.65</v>
      </c>
      <c r="R10" s="6">
        <v>11.786</v>
      </c>
      <c r="S10" s="6">
        <v>12.609</v>
      </c>
      <c r="T10" s="6">
        <f>U10-SUM(Q10:S10)</f>
        <v>13.018999999999998</v>
      </c>
      <c r="U10" s="185">
        <v>50.064</v>
      </c>
      <c r="V10" s="6">
        <v>14.34</v>
      </c>
      <c r="W10" s="6">
        <v>11.852</v>
      </c>
      <c r="X10" s="6">
        <v>12.393000000000001</v>
      </c>
      <c r="Y10" s="6">
        <f>Z10-SUM(V10:X10)</f>
        <v>12.769999999999996</v>
      </c>
      <c r="Z10" s="185">
        <v>51.354999999999997</v>
      </c>
      <c r="AA10" s="6">
        <v>11.435</v>
      </c>
      <c r="AB10" s="6">
        <v>12.124000000000001</v>
      </c>
      <c r="AC10" s="6">
        <v>12.795999999999999</v>
      </c>
      <c r="AD10" s="6">
        <f>AE10-SUM(AA10:AC10)</f>
        <v>15.001999999999995</v>
      </c>
      <c r="AE10" s="185">
        <v>51.356999999999999</v>
      </c>
      <c r="AF10" s="6">
        <v>18.225000000000001</v>
      </c>
      <c r="AG10" s="6">
        <v>23.004999999999999</v>
      </c>
      <c r="AH10" s="6">
        <v>26.420999999999999</v>
      </c>
      <c r="AI10" s="6">
        <f>AJ10-SUM(AF10:AH10)</f>
        <v>32.383999999999986</v>
      </c>
      <c r="AJ10" s="185">
        <v>100.035</v>
      </c>
      <c r="AK10" s="6">
        <v>40.188000000000002</v>
      </c>
      <c r="AL10" s="6">
        <v>53.752000000000002</v>
      </c>
      <c r="AM10" s="6">
        <v>98.456999999999994</v>
      </c>
      <c r="AN10" s="6">
        <f>AO10-SUM(AK10:AM10)</f>
        <v>71.811000000000035</v>
      </c>
      <c r="AO10" s="185">
        <v>264.20800000000003</v>
      </c>
      <c r="AP10" s="6">
        <v>80.414000000000001</v>
      </c>
      <c r="AQ10" s="6">
        <v>82.58</v>
      </c>
      <c r="AR10" s="6">
        <v>65.510000000000005</v>
      </c>
      <c r="AS10" s="6">
        <f>AT10-SUM(AP10:AR10)</f>
        <v>87.911000000000001</v>
      </c>
      <c r="AT10" s="185">
        <v>316.41500000000002</v>
      </c>
      <c r="AU10" s="6">
        <v>82.305999999999997</v>
      </c>
      <c r="AV10" s="6">
        <v>78.173000000000002</v>
      </c>
      <c r="AW10" s="6">
        <v>77.234999999999999</v>
      </c>
      <c r="AX10" s="6">
        <f>AY10-SUM(AU10:AW10)</f>
        <v>82.963999999999999</v>
      </c>
      <c r="AY10" s="185">
        <v>320.678</v>
      </c>
      <c r="AZ10" s="6">
        <v>88.637</v>
      </c>
      <c r="BA10" s="6">
        <v>89.108999999999995</v>
      </c>
      <c r="BB10" s="6">
        <v>96.930999999999997</v>
      </c>
      <c r="BC10" s="6">
        <f>BD10-SUM(AZ10:BB10)</f>
        <v>129.46100000000001</v>
      </c>
      <c r="BD10" s="185">
        <v>404.13799999999998</v>
      </c>
      <c r="BE10" s="6">
        <v>129.078</v>
      </c>
      <c r="BF10" s="6">
        <f>146.427</f>
        <v>146.42699999999999</v>
      </c>
      <c r="BG10" s="6">
        <v>173.41200000000001</v>
      </c>
      <c r="BH10" s="6">
        <f>624.11-BE10-BF10-BG10</f>
        <v>175.19300000000001</v>
      </c>
      <c r="BI10" s="185">
        <f>SUM(BE10:BH10)</f>
        <v>624.11</v>
      </c>
      <c r="BJ10" s="331">
        <v>198</v>
      </c>
      <c r="BK10" s="279">
        <v>198</v>
      </c>
      <c r="BL10" s="279">
        <v>204</v>
      </c>
      <c r="BM10" s="279">
        <v>208</v>
      </c>
      <c r="BN10" s="185">
        <f>SUM(BJ10:BM10)</f>
        <v>808</v>
      </c>
      <c r="BO10" s="6">
        <f t="shared" ref="BO10:BR11" si="38">+BJ10*(1+BO36)</f>
        <v>215.82000000000002</v>
      </c>
      <c r="BP10" s="6">
        <f t="shared" si="38"/>
        <v>215.82000000000002</v>
      </c>
      <c r="BQ10" s="6">
        <f t="shared" si="38"/>
        <v>222.36</v>
      </c>
      <c r="BR10" s="6">
        <f t="shared" si="38"/>
        <v>226.72000000000003</v>
      </c>
      <c r="BS10" s="185">
        <f>SUM(BO10:BR10)</f>
        <v>880.72</v>
      </c>
      <c r="BT10" s="6">
        <f t="shared" ref="BT10:BW11" si="39">+BO10*(1+BT36)</f>
        <v>233.08560000000003</v>
      </c>
      <c r="BU10" s="6">
        <f t="shared" si="39"/>
        <v>233.08560000000003</v>
      </c>
      <c r="BV10" s="6">
        <f t="shared" si="39"/>
        <v>240.14880000000002</v>
      </c>
      <c r="BW10" s="6">
        <f t="shared" si="39"/>
        <v>244.85760000000005</v>
      </c>
      <c r="BX10" s="185">
        <f>SUM(BT10:BW10)</f>
        <v>951.1776000000001</v>
      </c>
      <c r="BY10" s="6">
        <f t="shared" ref="BY10:CB11" si="40">+BT10*(1+BY36)</f>
        <v>250.56702000000001</v>
      </c>
      <c r="BZ10" s="6">
        <f t="shared" si="40"/>
        <v>250.56702000000001</v>
      </c>
      <c r="CA10" s="6">
        <f t="shared" si="40"/>
        <v>258.15996000000001</v>
      </c>
      <c r="CB10" s="6">
        <f t="shared" si="40"/>
        <v>263.22192000000007</v>
      </c>
      <c r="CC10" s="185">
        <f>SUM(BY10:CB10)</f>
        <v>1022.5159200000002</v>
      </c>
      <c r="CD10" s="6">
        <f t="shared" ref="CD10:CG11" si="41">+BY10*(1+CD36)</f>
        <v>268.10671140000005</v>
      </c>
      <c r="CE10" s="6">
        <f t="shared" si="41"/>
        <v>268.10671140000005</v>
      </c>
      <c r="CF10" s="6">
        <f t="shared" si="41"/>
        <v>276.23115720000004</v>
      </c>
      <c r="CG10" s="6">
        <f t="shared" si="41"/>
        <v>281.64745440000007</v>
      </c>
      <c r="CH10" s="185">
        <f>SUM(CD10:CG10)</f>
        <v>1094.0920344000001</v>
      </c>
      <c r="CI10" s="6">
        <f t="shared" ref="CI10:CL11" si="42">+CD10*(1+CI36)</f>
        <v>286.87418119800009</v>
      </c>
      <c r="CJ10" s="6">
        <f t="shared" si="42"/>
        <v>286.87418119800009</v>
      </c>
      <c r="CK10" s="6">
        <f t="shared" si="42"/>
        <v>295.56733820400007</v>
      </c>
      <c r="CL10" s="6">
        <f t="shared" si="42"/>
        <v>301.36277620800007</v>
      </c>
      <c r="CM10" s="185">
        <f>SUM(CI10:CL10)</f>
        <v>1170.6784768080004</v>
      </c>
      <c r="CN10" s="6">
        <f t="shared" ref="CN10:CQ11" si="43">+CI10*(1+CN36)</f>
        <v>306.95537388186011</v>
      </c>
      <c r="CO10" s="6">
        <f t="shared" si="43"/>
        <v>306.95537388186011</v>
      </c>
      <c r="CP10" s="6">
        <f t="shared" si="43"/>
        <v>316.25705187828009</v>
      </c>
      <c r="CQ10" s="6">
        <f t="shared" si="43"/>
        <v>322.45817054256008</v>
      </c>
      <c r="CR10" s="185">
        <f>SUM(CN10:CQ10)</f>
        <v>1252.6259701845604</v>
      </c>
      <c r="CS10" s="6">
        <f>+CN10*(1+CS36)</f>
        <v>328.44225005359033</v>
      </c>
      <c r="CT10" s="6">
        <f>+CO10*(1+CT36)</f>
        <v>328.44225005359033</v>
      </c>
      <c r="CU10" s="6">
        <f>+CP10*(1+CU36)</f>
        <v>338.39504550975971</v>
      </c>
      <c r="CV10" s="6">
        <f>+CQ10*(1+CV36)</f>
        <v>345.0302424805393</v>
      </c>
      <c r="CW10" s="185">
        <f>SUM(CS10:CV10)</f>
        <v>1340.3097880974797</v>
      </c>
      <c r="CX10" s="6">
        <f t="shared" ref="CX10:DA11" si="44">+CS10*(1+CX36)</f>
        <v>351.43320755734169</v>
      </c>
      <c r="CY10" s="6">
        <f t="shared" si="44"/>
        <v>351.43320755734169</v>
      </c>
      <c r="CZ10" s="6">
        <f t="shared" si="44"/>
        <v>362.0826986954429</v>
      </c>
      <c r="DA10" s="6">
        <f t="shared" si="44"/>
        <v>369.18235945417706</v>
      </c>
      <c r="DB10" s="185">
        <f>SUM(CX10:DA10)</f>
        <v>1434.1314732643032</v>
      </c>
    </row>
    <row r="11" spans="1:109" ht="12.7" customHeight="1">
      <c r="A11" s="311" t="s">
        <v>199</v>
      </c>
      <c r="B11" s="6">
        <v>14.379</v>
      </c>
      <c r="C11" s="6">
        <v>13.904999999999999</v>
      </c>
      <c r="D11" s="6">
        <v>16.303000000000001</v>
      </c>
      <c r="E11" s="6">
        <f>F11-SUM(B11:D11)</f>
        <v>18.348999999999997</v>
      </c>
      <c r="F11" s="185">
        <v>62.936</v>
      </c>
      <c r="G11" s="6">
        <v>23.239000000000001</v>
      </c>
      <c r="H11" s="6">
        <v>28.085999999999999</v>
      </c>
      <c r="I11" s="6">
        <v>27.87</v>
      </c>
      <c r="J11" s="6">
        <f>K11-SUM(G11:I11)</f>
        <v>30.441999999999993</v>
      </c>
      <c r="K11" s="185">
        <v>109.637</v>
      </c>
      <c r="L11" s="6">
        <v>30.408000000000001</v>
      </c>
      <c r="M11" s="6">
        <v>33.226999999999997</v>
      </c>
      <c r="N11" s="6">
        <v>34.938000000000002</v>
      </c>
      <c r="O11" s="6">
        <f>P11-SUM(L11:N11)</f>
        <v>37.552999999999997</v>
      </c>
      <c r="P11" s="185">
        <v>136.126</v>
      </c>
      <c r="Q11" s="6">
        <v>37.582000000000001</v>
      </c>
      <c r="R11" s="6">
        <v>34.308999999999997</v>
      </c>
      <c r="S11" s="6">
        <v>34.478000000000002</v>
      </c>
      <c r="T11" s="6">
        <f>U11-SUM(Q11:S11)</f>
        <v>48.937000000000012</v>
      </c>
      <c r="U11" s="185">
        <v>155.30600000000001</v>
      </c>
      <c r="V11" s="6">
        <v>37.924999999999997</v>
      </c>
      <c r="W11" s="6">
        <v>37.44</v>
      </c>
      <c r="X11" s="6">
        <v>38.374000000000002</v>
      </c>
      <c r="Y11" s="6">
        <f>Z11-SUM(V11:X11)</f>
        <v>41.13300000000001</v>
      </c>
      <c r="Z11" s="185">
        <v>154.87200000000001</v>
      </c>
      <c r="AA11" s="6">
        <v>43.832000000000001</v>
      </c>
      <c r="AB11" s="6">
        <v>47.042000000000002</v>
      </c>
      <c r="AC11" s="6">
        <v>56.715000000000003</v>
      </c>
      <c r="AD11" s="6">
        <f>AE11-SUM(AA11:AC11)</f>
        <v>58.586999999999989</v>
      </c>
      <c r="AE11" s="185">
        <v>206.17599999999999</v>
      </c>
      <c r="AF11" s="6">
        <v>65.680999999999997</v>
      </c>
      <c r="AG11" s="6">
        <v>68.188000000000002</v>
      </c>
      <c r="AH11" s="6">
        <v>75.677999999999997</v>
      </c>
      <c r="AI11" s="6">
        <f>AJ11-SUM(AF11:AH11)</f>
        <v>94.080000000000013</v>
      </c>
      <c r="AJ11" s="185">
        <v>303.62700000000001</v>
      </c>
      <c r="AK11" s="6">
        <v>108.33199999999999</v>
      </c>
      <c r="AL11" s="6">
        <v>127.456</v>
      </c>
      <c r="AM11" s="6">
        <v>128.48500000000001</v>
      </c>
      <c r="AN11" s="6">
        <f>AO11-SUM(AK11:AM11)</f>
        <v>146.76099999999997</v>
      </c>
      <c r="AO11" s="185">
        <v>511.03399999999999</v>
      </c>
      <c r="AP11" s="6">
        <v>147.63399999999999</v>
      </c>
      <c r="AQ11" s="6">
        <v>149.46799999999999</v>
      </c>
      <c r="AR11" s="6">
        <v>147.667</v>
      </c>
      <c r="AS11" s="6">
        <f>AT11-SUM(AP11:AR11)</f>
        <v>143.822</v>
      </c>
      <c r="AT11" s="185">
        <v>588.59100000000001</v>
      </c>
      <c r="AU11" s="6">
        <v>149.62700000000001</v>
      </c>
      <c r="AV11" s="6">
        <v>152.50800000000001</v>
      </c>
      <c r="AW11" s="6">
        <v>154.74199999999999</v>
      </c>
      <c r="AX11" s="6">
        <f>AY11-SUM(AU11:AW11)</f>
        <v>161.43000000000006</v>
      </c>
      <c r="AY11" s="185">
        <v>618.30700000000002</v>
      </c>
      <c r="AZ11" s="6">
        <v>194.27799999999999</v>
      </c>
      <c r="BA11" s="6">
        <v>197.965</v>
      </c>
      <c r="BB11" s="6">
        <v>214.154</v>
      </c>
      <c r="BC11" s="6">
        <f>BD11-SUM(AZ11:BB11)</f>
        <v>234.91700000000003</v>
      </c>
      <c r="BD11" s="185">
        <v>841.31399999999996</v>
      </c>
      <c r="BE11" s="6">
        <v>266.86399999999998</v>
      </c>
      <c r="BF11" s="6">
        <f>310.549</f>
        <v>310.54899999999998</v>
      </c>
      <c r="BG11" s="6">
        <v>308.54599999999999</v>
      </c>
      <c r="BH11" s="6">
        <f>1177.261+1.72-BE11-BF11-BG11</f>
        <v>293.02199999999999</v>
      </c>
      <c r="BI11" s="185">
        <f>SUM(BE11:BH11)</f>
        <v>1178.981</v>
      </c>
      <c r="BJ11" s="331">
        <v>280</v>
      </c>
      <c r="BK11" s="279">
        <v>290</v>
      </c>
      <c r="BL11" s="279">
        <v>300</v>
      </c>
      <c r="BM11" s="279">
        <v>310</v>
      </c>
      <c r="BN11" s="185">
        <f>SUM(BJ11:BM11)</f>
        <v>1180</v>
      </c>
      <c r="BO11" s="6">
        <f t="shared" si="38"/>
        <v>305.20000000000005</v>
      </c>
      <c r="BP11" s="6">
        <f t="shared" si="38"/>
        <v>316.10000000000002</v>
      </c>
      <c r="BQ11" s="6">
        <f t="shared" si="38"/>
        <v>327</v>
      </c>
      <c r="BR11" s="6">
        <f t="shared" si="38"/>
        <v>337.90000000000003</v>
      </c>
      <c r="BS11" s="185">
        <f>SUM(BO11:BR11)</f>
        <v>1286.2</v>
      </c>
      <c r="BT11" s="6">
        <f t="shared" si="39"/>
        <v>329.6160000000001</v>
      </c>
      <c r="BU11" s="6">
        <f t="shared" si="39"/>
        <v>341.38800000000003</v>
      </c>
      <c r="BV11" s="6">
        <f t="shared" si="39"/>
        <v>353.16</v>
      </c>
      <c r="BW11" s="6">
        <f t="shared" si="39"/>
        <v>364.93200000000007</v>
      </c>
      <c r="BX11" s="185">
        <f>SUM(BT11:BW11)</f>
        <v>1389.0960000000002</v>
      </c>
      <c r="BY11" s="6">
        <f t="shared" si="40"/>
        <v>354.33720000000011</v>
      </c>
      <c r="BZ11" s="6">
        <f t="shared" si="40"/>
        <v>366.99209999999999</v>
      </c>
      <c r="CA11" s="6">
        <f t="shared" si="40"/>
        <v>379.64699999999999</v>
      </c>
      <c r="CB11" s="6">
        <f t="shared" si="40"/>
        <v>392.30190000000005</v>
      </c>
      <c r="CC11" s="185">
        <f>SUM(BY11:CB11)</f>
        <v>1493.2782000000002</v>
      </c>
      <c r="CD11" s="6">
        <f t="shared" si="41"/>
        <v>379.14080400000012</v>
      </c>
      <c r="CE11" s="6">
        <f t="shared" si="41"/>
        <v>392.68154700000002</v>
      </c>
      <c r="CF11" s="6">
        <f t="shared" si="41"/>
        <v>406.22228999999999</v>
      </c>
      <c r="CG11" s="6">
        <f t="shared" si="41"/>
        <v>419.76303300000006</v>
      </c>
      <c r="CH11" s="185">
        <f>SUM(CD11:CG11)</f>
        <v>1597.8076740000001</v>
      </c>
      <c r="CI11" s="6">
        <f t="shared" si="42"/>
        <v>401.88925224000013</v>
      </c>
      <c r="CJ11" s="6">
        <f t="shared" si="42"/>
        <v>416.24243982000007</v>
      </c>
      <c r="CK11" s="6">
        <f t="shared" si="42"/>
        <v>430.59562740000001</v>
      </c>
      <c r="CL11" s="6">
        <f t="shared" si="42"/>
        <v>444.94881498000007</v>
      </c>
      <c r="CM11" s="185">
        <f>SUM(CI11:CL11)</f>
        <v>1693.6761344400002</v>
      </c>
      <c r="CN11" s="6">
        <f t="shared" si="43"/>
        <v>426.00260737440016</v>
      </c>
      <c r="CO11" s="6">
        <f t="shared" si="43"/>
        <v>441.21698620920012</v>
      </c>
      <c r="CP11" s="6">
        <f t="shared" si="43"/>
        <v>456.43136504400002</v>
      </c>
      <c r="CQ11" s="6">
        <f t="shared" si="43"/>
        <v>471.64574387880009</v>
      </c>
      <c r="CR11" s="185">
        <f>SUM(CN11:CQ11)</f>
        <v>1795.2967025064004</v>
      </c>
      <c r="CS11" s="6">
        <f>+CN11*(1+CS37)</f>
        <v>451.56276381686416</v>
      </c>
      <c r="CT11" s="6">
        <f t="shared" ref="CT11" si="45">+CO11*(1+CT37)</f>
        <v>467.69000538175214</v>
      </c>
      <c r="CU11" s="6">
        <f>+CP11*(1+CU37)</f>
        <v>483.81724694664007</v>
      </c>
      <c r="CV11" s="6">
        <f>+CQ11*(1+CV37)</f>
        <v>499.94448851152811</v>
      </c>
      <c r="CW11" s="185">
        <f>SUM(CS11:CV11)</f>
        <v>1903.0145046567845</v>
      </c>
      <c r="CX11" s="6">
        <f t="shared" si="44"/>
        <v>478.65652964587605</v>
      </c>
      <c r="CY11" s="6">
        <f t="shared" si="44"/>
        <v>495.75140570465732</v>
      </c>
      <c r="CZ11" s="6">
        <f t="shared" si="44"/>
        <v>512.84628176343847</v>
      </c>
      <c r="DA11" s="6">
        <f t="shared" si="44"/>
        <v>529.94115782221979</v>
      </c>
      <c r="DB11" s="185">
        <f>SUM(CX11:DA11)</f>
        <v>2017.1953749361915</v>
      </c>
    </row>
    <row r="12" spans="1:109" ht="12.7" hidden="1" customHeight="1" outlineLevel="1">
      <c r="A12" s="312" t="s">
        <v>210</v>
      </c>
      <c r="B12" s="6"/>
      <c r="C12" s="6">
        <v>0</v>
      </c>
      <c r="D12" s="6">
        <v>0</v>
      </c>
      <c r="E12" s="6">
        <f>F12-SUM(C12:D12)</f>
        <v>0</v>
      </c>
      <c r="F12" s="185">
        <v>0</v>
      </c>
      <c r="G12" s="6"/>
      <c r="H12" s="6"/>
      <c r="I12" s="6"/>
      <c r="J12" s="6"/>
      <c r="K12" s="185"/>
      <c r="L12" s="6"/>
      <c r="M12" s="6"/>
      <c r="N12" s="6"/>
      <c r="O12" s="6"/>
      <c r="P12" s="185"/>
      <c r="Q12" s="6"/>
      <c r="R12" s="6"/>
      <c r="S12" s="6"/>
      <c r="T12" s="6"/>
      <c r="U12" s="185"/>
      <c r="V12" s="6">
        <v>0</v>
      </c>
      <c r="W12" s="6">
        <v>0</v>
      </c>
      <c r="X12" s="6">
        <v>0</v>
      </c>
      <c r="Y12" s="6">
        <f>Z12-SUM(V12:X12)</f>
        <v>0</v>
      </c>
      <c r="Z12" s="185">
        <v>0</v>
      </c>
      <c r="AA12" s="6">
        <v>0</v>
      </c>
      <c r="AB12" s="6">
        <v>0</v>
      </c>
      <c r="AC12" s="6">
        <v>-14.388</v>
      </c>
      <c r="AD12" s="6">
        <f>AE12-SUM(AA12:AC12)</f>
        <v>0</v>
      </c>
      <c r="AE12" s="185">
        <v>-14.388</v>
      </c>
      <c r="AF12" s="6">
        <v>0</v>
      </c>
      <c r="AG12" s="6">
        <v>0</v>
      </c>
      <c r="AH12" s="6">
        <v>0</v>
      </c>
      <c r="AI12" s="6">
        <f>AJ12-SUM(AF12:AH12)</f>
        <v>0</v>
      </c>
      <c r="AJ12" s="185">
        <v>0</v>
      </c>
      <c r="AK12" s="6">
        <v>0</v>
      </c>
      <c r="AL12" s="6">
        <v>0</v>
      </c>
      <c r="AM12" s="6">
        <v>0</v>
      </c>
      <c r="AN12" s="6">
        <f>AO12-SUM(AK12:AM12)</f>
        <v>0</v>
      </c>
      <c r="AO12" s="185">
        <v>0</v>
      </c>
      <c r="AP12" s="6">
        <v>0</v>
      </c>
      <c r="AQ12" s="6">
        <v>0</v>
      </c>
      <c r="AR12" s="6">
        <v>0</v>
      </c>
      <c r="AS12" s="6">
        <f>AT12-SUM(AP12:AR12)</f>
        <v>0</v>
      </c>
      <c r="AT12" s="185">
        <v>0</v>
      </c>
      <c r="AU12" s="6">
        <v>0</v>
      </c>
      <c r="AV12" s="6">
        <v>0</v>
      </c>
      <c r="AW12" s="6">
        <v>0</v>
      </c>
      <c r="AX12" s="6">
        <f>AY12-SUM(AU12:AW12)</f>
        <v>0</v>
      </c>
      <c r="AY12" s="185">
        <v>0</v>
      </c>
      <c r="AZ12" s="6">
        <v>0</v>
      </c>
      <c r="BA12" s="6">
        <v>0</v>
      </c>
      <c r="BB12" s="6">
        <v>0</v>
      </c>
      <c r="BC12" s="6"/>
      <c r="BD12" s="185"/>
      <c r="BE12" s="6"/>
      <c r="BF12" s="6"/>
      <c r="BG12" s="6"/>
      <c r="BH12" s="6"/>
      <c r="BI12" s="185"/>
      <c r="BJ12" s="330"/>
      <c r="BK12" s="6"/>
      <c r="BL12" s="6"/>
      <c r="BM12" s="6"/>
      <c r="BN12" s="185"/>
      <c r="BO12" s="6"/>
      <c r="BP12" s="6"/>
      <c r="BQ12" s="6"/>
      <c r="BR12" s="6"/>
      <c r="BS12" s="185"/>
      <c r="BT12" s="6"/>
      <c r="BU12" s="6"/>
      <c r="BV12" s="6"/>
      <c r="BW12" s="6"/>
      <c r="BX12" s="185"/>
      <c r="BY12" s="6"/>
      <c r="BZ12" s="6"/>
      <c r="CA12" s="6"/>
      <c r="CB12" s="6"/>
      <c r="CC12" s="185"/>
      <c r="CD12" s="6"/>
      <c r="CE12" s="6"/>
      <c r="CF12" s="6"/>
      <c r="CG12" s="6"/>
      <c r="CH12" s="185"/>
      <c r="CI12" s="6"/>
      <c r="CJ12" s="6"/>
      <c r="CK12" s="6"/>
      <c r="CL12" s="6"/>
      <c r="CM12" s="185"/>
      <c r="CN12" s="6"/>
      <c r="CO12" s="6"/>
      <c r="CP12" s="6"/>
      <c r="CQ12" s="6"/>
      <c r="CR12" s="185"/>
      <c r="CS12" s="6"/>
      <c r="CT12" s="6"/>
      <c r="CU12" s="6"/>
      <c r="CV12" s="6"/>
      <c r="CW12" s="185"/>
      <c r="CX12" s="6"/>
      <c r="CY12" s="6"/>
      <c r="CZ12" s="6"/>
      <c r="DA12" s="6"/>
      <c r="DB12" s="185"/>
    </row>
    <row r="13" spans="1:109" ht="12.7" customHeight="1" collapsed="1">
      <c r="A13" s="312" t="s">
        <v>501</v>
      </c>
      <c r="B13" s="6">
        <f>+B10+B11</f>
        <v>18.677</v>
      </c>
      <c r="C13" s="6">
        <f t="shared" ref="C13:BN13" si="46">+C10+C11</f>
        <v>18.027000000000001</v>
      </c>
      <c r="D13" s="6">
        <f t="shared" si="46"/>
        <v>20.675000000000001</v>
      </c>
      <c r="E13" s="6">
        <f t="shared" si="46"/>
        <v>22.848999999999997</v>
      </c>
      <c r="F13" s="185">
        <f t="shared" si="46"/>
        <v>80.228000000000009</v>
      </c>
      <c r="G13" s="6">
        <f t="shared" si="46"/>
        <v>28.869</v>
      </c>
      <c r="H13" s="6">
        <f t="shared" si="46"/>
        <v>34.826999999999998</v>
      </c>
      <c r="I13" s="6">
        <f t="shared" si="46"/>
        <v>35.206000000000003</v>
      </c>
      <c r="J13" s="6">
        <f t="shared" si="46"/>
        <v>38.445999999999991</v>
      </c>
      <c r="K13" s="185">
        <f t="shared" si="46"/>
        <v>137.34800000000001</v>
      </c>
      <c r="L13" s="6">
        <f t="shared" si="46"/>
        <v>39.167000000000002</v>
      </c>
      <c r="M13" s="6">
        <f t="shared" si="46"/>
        <v>43.525999999999996</v>
      </c>
      <c r="N13" s="6">
        <f t="shared" si="46"/>
        <v>46.283000000000001</v>
      </c>
      <c r="O13" s="6">
        <f t="shared" si="46"/>
        <v>49.012</v>
      </c>
      <c r="P13" s="185">
        <f t="shared" si="46"/>
        <v>177.988</v>
      </c>
      <c r="Q13" s="6">
        <f t="shared" si="46"/>
        <v>50.231999999999999</v>
      </c>
      <c r="R13" s="6">
        <f t="shared" si="46"/>
        <v>46.094999999999999</v>
      </c>
      <c r="S13" s="6">
        <f t="shared" si="46"/>
        <v>47.087000000000003</v>
      </c>
      <c r="T13" s="6">
        <f t="shared" si="46"/>
        <v>61.95600000000001</v>
      </c>
      <c r="U13" s="185">
        <f t="shared" si="46"/>
        <v>205.37</v>
      </c>
      <c r="V13" s="6">
        <f t="shared" si="46"/>
        <v>52.265000000000001</v>
      </c>
      <c r="W13" s="6">
        <f t="shared" si="46"/>
        <v>49.292000000000002</v>
      </c>
      <c r="X13" s="6">
        <f t="shared" si="46"/>
        <v>50.767000000000003</v>
      </c>
      <c r="Y13" s="6">
        <f t="shared" si="46"/>
        <v>53.903000000000006</v>
      </c>
      <c r="Z13" s="185">
        <f t="shared" si="46"/>
        <v>206.227</v>
      </c>
      <c r="AA13" s="6">
        <f t="shared" si="46"/>
        <v>55.267000000000003</v>
      </c>
      <c r="AB13" s="6">
        <f t="shared" si="46"/>
        <v>59.166000000000004</v>
      </c>
      <c r="AC13" s="6">
        <f t="shared" si="46"/>
        <v>69.510999999999996</v>
      </c>
      <c r="AD13" s="6">
        <f t="shared" si="46"/>
        <v>73.588999999999984</v>
      </c>
      <c r="AE13" s="185">
        <f t="shared" si="46"/>
        <v>257.53300000000002</v>
      </c>
      <c r="AF13" s="6">
        <f t="shared" si="46"/>
        <v>83.906000000000006</v>
      </c>
      <c r="AG13" s="6">
        <f t="shared" si="46"/>
        <v>91.192999999999998</v>
      </c>
      <c r="AH13" s="6">
        <f t="shared" si="46"/>
        <v>102.09899999999999</v>
      </c>
      <c r="AI13" s="6">
        <f t="shared" si="46"/>
        <v>126.464</v>
      </c>
      <c r="AJ13" s="185">
        <f t="shared" si="46"/>
        <v>403.66200000000003</v>
      </c>
      <c r="AK13" s="6">
        <f t="shared" si="46"/>
        <v>148.51999999999998</v>
      </c>
      <c r="AL13" s="6">
        <f t="shared" si="46"/>
        <v>181.208</v>
      </c>
      <c r="AM13" s="6">
        <f t="shared" si="46"/>
        <v>226.94200000000001</v>
      </c>
      <c r="AN13" s="6">
        <f t="shared" si="46"/>
        <v>218.572</v>
      </c>
      <c r="AO13" s="185">
        <f t="shared" si="46"/>
        <v>775.24199999999996</v>
      </c>
      <c r="AP13" s="6">
        <f t="shared" si="46"/>
        <v>228.048</v>
      </c>
      <c r="AQ13" s="6">
        <f t="shared" si="46"/>
        <v>232.048</v>
      </c>
      <c r="AR13" s="6">
        <f t="shared" si="46"/>
        <v>213.17700000000002</v>
      </c>
      <c r="AS13" s="6">
        <f t="shared" si="46"/>
        <v>231.733</v>
      </c>
      <c r="AT13" s="185">
        <f t="shared" si="46"/>
        <v>905.00600000000009</v>
      </c>
      <c r="AU13" s="6">
        <f t="shared" si="46"/>
        <v>231.93299999999999</v>
      </c>
      <c r="AV13" s="6">
        <f t="shared" si="46"/>
        <v>230.68100000000001</v>
      </c>
      <c r="AW13" s="6">
        <f t="shared" si="46"/>
        <v>231.97699999999998</v>
      </c>
      <c r="AX13" s="6">
        <f t="shared" si="46"/>
        <v>244.39400000000006</v>
      </c>
      <c r="AY13" s="185">
        <f t="shared" si="46"/>
        <v>938.98500000000001</v>
      </c>
      <c r="AZ13" s="390">
        <f t="shared" si="46"/>
        <v>282.91499999999996</v>
      </c>
      <c r="BA13" s="390">
        <f t="shared" si="46"/>
        <v>287.07400000000001</v>
      </c>
      <c r="BB13" s="390">
        <f t="shared" si="46"/>
        <v>311.08499999999998</v>
      </c>
      <c r="BC13" s="390">
        <f t="shared" si="46"/>
        <v>364.37800000000004</v>
      </c>
      <c r="BD13" s="391">
        <f t="shared" si="46"/>
        <v>1245.452</v>
      </c>
      <c r="BE13" s="390">
        <f t="shared" si="46"/>
        <v>395.94200000000001</v>
      </c>
      <c r="BF13" s="390">
        <f t="shared" si="46"/>
        <v>456.976</v>
      </c>
      <c r="BG13" s="390">
        <f t="shared" si="46"/>
        <v>481.95799999999997</v>
      </c>
      <c r="BH13" s="390">
        <f t="shared" si="46"/>
        <v>468.21500000000003</v>
      </c>
      <c r="BI13" s="391">
        <f t="shared" si="46"/>
        <v>1803.0909999999999</v>
      </c>
      <c r="BJ13" s="392">
        <f t="shared" si="46"/>
        <v>478</v>
      </c>
      <c r="BK13" s="390">
        <f t="shared" si="46"/>
        <v>488</v>
      </c>
      <c r="BL13" s="390">
        <f t="shared" si="46"/>
        <v>504</v>
      </c>
      <c r="BM13" s="390">
        <f t="shared" si="46"/>
        <v>518</v>
      </c>
      <c r="BN13" s="391">
        <f t="shared" si="46"/>
        <v>1988</v>
      </c>
      <c r="BO13" s="390">
        <f t="shared" ref="BO13:DB13" si="47">+BO10+BO11</f>
        <v>521.0200000000001</v>
      </c>
      <c r="BP13" s="390">
        <f t="shared" si="47"/>
        <v>531.92000000000007</v>
      </c>
      <c r="BQ13" s="390">
        <f t="shared" si="47"/>
        <v>549.36</v>
      </c>
      <c r="BR13" s="390">
        <f t="shared" si="47"/>
        <v>564.62000000000012</v>
      </c>
      <c r="BS13" s="391">
        <f t="shared" si="47"/>
        <v>2166.92</v>
      </c>
      <c r="BT13" s="390">
        <f t="shared" si="47"/>
        <v>562.7016000000001</v>
      </c>
      <c r="BU13" s="390">
        <f t="shared" si="47"/>
        <v>574.47360000000003</v>
      </c>
      <c r="BV13" s="390">
        <f t="shared" si="47"/>
        <v>593.30880000000002</v>
      </c>
      <c r="BW13" s="390">
        <f t="shared" si="47"/>
        <v>609.78960000000006</v>
      </c>
      <c r="BX13" s="391">
        <f t="shared" si="47"/>
        <v>2340.2736000000004</v>
      </c>
      <c r="BY13" s="390">
        <f t="shared" si="47"/>
        <v>604.90422000000012</v>
      </c>
      <c r="BZ13" s="390">
        <f t="shared" si="47"/>
        <v>617.55912000000001</v>
      </c>
      <c r="CA13" s="390">
        <f t="shared" si="47"/>
        <v>637.80696</v>
      </c>
      <c r="CB13" s="390">
        <f t="shared" si="47"/>
        <v>655.52382000000011</v>
      </c>
      <c r="CC13" s="391">
        <f t="shared" si="47"/>
        <v>2515.7941200000005</v>
      </c>
      <c r="CD13" s="390">
        <f t="shared" si="47"/>
        <v>647.24751540000011</v>
      </c>
      <c r="CE13" s="390">
        <f t="shared" si="47"/>
        <v>660.78825840000013</v>
      </c>
      <c r="CF13" s="390">
        <f t="shared" si="47"/>
        <v>682.45344720000003</v>
      </c>
      <c r="CG13" s="390">
        <f t="shared" si="47"/>
        <v>701.41048740000019</v>
      </c>
      <c r="CH13" s="391">
        <f t="shared" si="47"/>
        <v>2691.8997084000002</v>
      </c>
      <c r="CI13" s="390">
        <f t="shared" si="47"/>
        <v>688.76343343800022</v>
      </c>
      <c r="CJ13" s="390">
        <f t="shared" si="47"/>
        <v>703.11662101800016</v>
      </c>
      <c r="CK13" s="390">
        <f t="shared" si="47"/>
        <v>726.16296560400008</v>
      </c>
      <c r="CL13" s="390">
        <f t="shared" si="47"/>
        <v>746.31159118800019</v>
      </c>
      <c r="CM13" s="391">
        <f t="shared" si="47"/>
        <v>2864.3546112480008</v>
      </c>
      <c r="CN13" s="390">
        <f t="shared" si="47"/>
        <v>732.95798125626027</v>
      </c>
      <c r="CO13" s="390">
        <f t="shared" si="47"/>
        <v>748.17236009106023</v>
      </c>
      <c r="CP13" s="390">
        <f t="shared" si="47"/>
        <v>772.68841692228011</v>
      </c>
      <c r="CQ13" s="390">
        <f t="shared" si="47"/>
        <v>794.10391442136017</v>
      </c>
      <c r="CR13" s="391">
        <f t="shared" si="47"/>
        <v>3047.922672690961</v>
      </c>
      <c r="CS13" s="390">
        <f t="shared" si="47"/>
        <v>780.00501387045449</v>
      </c>
      <c r="CT13" s="390">
        <f t="shared" si="47"/>
        <v>796.13225543534247</v>
      </c>
      <c r="CU13" s="390">
        <f t="shared" si="47"/>
        <v>822.21229245639984</v>
      </c>
      <c r="CV13" s="390">
        <f t="shared" si="47"/>
        <v>844.97473099206741</v>
      </c>
      <c r="CW13" s="391">
        <f t="shared" si="47"/>
        <v>3243.3242927542642</v>
      </c>
      <c r="CX13" s="390">
        <f t="shared" si="47"/>
        <v>830.08973720321774</v>
      </c>
      <c r="CY13" s="390">
        <f t="shared" si="47"/>
        <v>847.18461326199895</v>
      </c>
      <c r="CZ13" s="390">
        <f t="shared" si="47"/>
        <v>874.92898045888137</v>
      </c>
      <c r="DA13" s="390">
        <f t="shared" si="47"/>
        <v>899.1235172763968</v>
      </c>
      <c r="DB13" s="391">
        <f t="shared" si="47"/>
        <v>3451.3268482004946</v>
      </c>
    </row>
    <row r="14" spans="1:109" s="146" customFormat="1">
      <c r="A14" s="310" t="s">
        <v>476</v>
      </c>
      <c r="B14" s="201">
        <f>+B9-B13</f>
        <v>-7.2820000000000018</v>
      </c>
      <c r="C14" s="201">
        <f t="shared" ref="C14:BN14" si="48">+C9-C13</f>
        <v>-1.2050000000000018</v>
      </c>
      <c r="D14" s="201">
        <f t="shared" si="48"/>
        <v>4.7789999999999999</v>
      </c>
      <c r="E14" s="201">
        <f t="shared" si="48"/>
        <v>4.3729999999999905</v>
      </c>
      <c r="F14" s="202">
        <f t="shared" si="48"/>
        <v>0.66499999999997783</v>
      </c>
      <c r="G14" s="201">
        <f t="shared" si="48"/>
        <v>-6.2769999999999975</v>
      </c>
      <c r="H14" s="201">
        <f t="shared" si="48"/>
        <v>-15.471999999999994</v>
      </c>
      <c r="I14" s="201">
        <f t="shared" si="48"/>
        <v>-20.741000000000003</v>
      </c>
      <c r="J14" s="201">
        <f t="shared" si="48"/>
        <v>-17.348000000000006</v>
      </c>
      <c r="K14" s="202">
        <f t="shared" si="48"/>
        <v>-59.838000000000022</v>
      </c>
      <c r="L14" s="201">
        <f t="shared" si="48"/>
        <v>-9.605000000000004</v>
      </c>
      <c r="M14" s="201">
        <f t="shared" si="48"/>
        <v>-22.514999999999993</v>
      </c>
      <c r="N14" s="201">
        <f t="shared" si="48"/>
        <v>-26.655000000000001</v>
      </c>
      <c r="O14" s="201">
        <f t="shared" si="48"/>
        <v>-37.712999999999994</v>
      </c>
      <c r="P14" s="202">
        <f t="shared" si="48"/>
        <v>-96.488</v>
      </c>
      <c r="Q14" s="201">
        <f t="shared" si="48"/>
        <v>-37.030999999999999</v>
      </c>
      <c r="R14" s="201">
        <f t="shared" si="48"/>
        <v>-27.037000000000006</v>
      </c>
      <c r="S14" s="201">
        <f t="shared" si="48"/>
        <v>-25.043000000000006</v>
      </c>
      <c r="T14" s="201">
        <f t="shared" si="48"/>
        <v>-44.916000000000018</v>
      </c>
      <c r="U14" s="202">
        <f t="shared" si="48"/>
        <v>-134.02700000000002</v>
      </c>
      <c r="V14" s="201">
        <f t="shared" si="48"/>
        <v>-30.516999999999996</v>
      </c>
      <c r="W14" s="201">
        <f t="shared" si="48"/>
        <v>-27.217999999999996</v>
      </c>
      <c r="X14" s="201">
        <f t="shared" si="48"/>
        <v>-27.165999999999997</v>
      </c>
      <c r="Y14" s="201">
        <f t="shared" si="48"/>
        <v>-29.727000000000018</v>
      </c>
      <c r="Z14" s="202">
        <f t="shared" si="48"/>
        <v>-114.62799999999999</v>
      </c>
      <c r="AA14" s="201">
        <f t="shared" si="48"/>
        <v>-31.746000000000002</v>
      </c>
      <c r="AB14" s="201">
        <f t="shared" si="48"/>
        <v>-28.635999999999996</v>
      </c>
      <c r="AC14" s="201">
        <f t="shared" si="48"/>
        <v>-35.481999999999985</v>
      </c>
      <c r="AD14" s="201">
        <f t="shared" si="48"/>
        <v>-34.811000000000078</v>
      </c>
      <c r="AE14" s="202">
        <f t="shared" si="48"/>
        <v>-130.67500000000007</v>
      </c>
      <c r="AF14" s="201">
        <f t="shared" si="48"/>
        <v>-34.872000000000007</v>
      </c>
      <c r="AG14" s="201">
        <f t="shared" si="48"/>
        <v>-51.660000000000004</v>
      </c>
      <c r="AH14" s="201">
        <f t="shared" si="48"/>
        <v>-55.776999999999987</v>
      </c>
      <c r="AI14" s="201">
        <f t="shared" si="48"/>
        <v>-73.967999999999961</v>
      </c>
      <c r="AJ14" s="202">
        <f t="shared" si="48"/>
        <v>-216.27700000000004</v>
      </c>
      <c r="AK14" s="201">
        <f t="shared" si="48"/>
        <v>-63.016999999999982</v>
      </c>
      <c r="AL14" s="201">
        <f t="shared" si="48"/>
        <v>-115.294</v>
      </c>
      <c r="AM14" s="201">
        <f t="shared" si="48"/>
        <v>-150.197</v>
      </c>
      <c r="AN14" s="201">
        <f t="shared" si="48"/>
        <v>-139.666</v>
      </c>
      <c r="AO14" s="202">
        <f t="shared" si="48"/>
        <v>-468.17399999999998</v>
      </c>
      <c r="AP14" s="201">
        <f t="shared" si="48"/>
        <v>-137.13</v>
      </c>
      <c r="AQ14" s="201">
        <f t="shared" si="48"/>
        <v>-143.08500000000001</v>
      </c>
      <c r="AR14" s="201">
        <f t="shared" si="48"/>
        <v>-119.05200000000002</v>
      </c>
      <c r="AS14" s="201">
        <f t="shared" si="48"/>
        <v>-141.77300000000008</v>
      </c>
      <c r="AT14" s="202">
        <f t="shared" si="48"/>
        <v>-541.04000000000019</v>
      </c>
      <c r="AU14" s="201">
        <f t="shared" si="48"/>
        <v>-138.30099999999999</v>
      </c>
      <c r="AV14" s="201">
        <f t="shared" si="48"/>
        <v>-112.42600000000002</v>
      </c>
      <c r="AW14" s="201">
        <f t="shared" si="48"/>
        <v>-110.98199999999997</v>
      </c>
      <c r="AX14" s="201">
        <f t="shared" si="48"/>
        <v>-84.536000000000058</v>
      </c>
      <c r="AY14" s="202">
        <f t="shared" si="48"/>
        <v>-446.245</v>
      </c>
      <c r="AZ14" s="201">
        <f t="shared" si="48"/>
        <v>-74.313999999999965</v>
      </c>
      <c r="BA14" s="201">
        <f t="shared" si="48"/>
        <v>-43.902000000000015</v>
      </c>
      <c r="BB14" s="201">
        <f t="shared" si="48"/>
        <v>-39.338000000000022</v>
      </c>
      <c r="BC14" s="201">
        <f t="shared" si="48"/>
        <v>-64.739999999999839</v>
      </c>
      <c r="BD14" s="202">
        <f t="shared" si="48"/>
        <v>-222.29399999999987</v>
      </c>
      <c r="BE14" s="201">
        <f t="shared" si="48"/>
        <v>-79.177000000000021</v>
      </c>
      <c r="BF14" s="201">
        <f t="shared" si="48"/>
        <v>-110.37199999999996</v>
      </c>
      <c r="BG14" s="201">
        <f t="shared" si="48"/>
        <v>-97.575999999999965</v>
      </c>
      <c r="BH14" s="201">
        <f t="shared" si="48"/>
        <v>-22.786000000000001</v>
      </c>
      <c r="BI14" s="202">
        <f t="shared" si="48"/>
        <v>-309.91099999999983</v>
      </c>
      <c r="BJ14" s="329">
        <f t="shared" si="48"/>
        <v>-91.919533905126627</v>
      </c>
      <c r="BK14" s="201">
        <f t="shared" si="48"/>
        <v>-77.145712950031168</v>
      </c>
      <c r="BL14" s="201">
        <f t="shared" si="48"/>
        <v>-64.941113725737523</v>
      </c>
      <c r="BM14" s="201">
        <f t="shared" si="48"/>
        <v>-37.524077882030326</v>
      </c>
      <c r="BN14" s="202">
        <f t="shared" si="48"/>
        <v>-271.5304384629253</v>
      </c>
      <c r="BO14" s="201">
        <f t="shared" ref="BO14:DB14" si="49">+BO9-BO13</f>
        <v>-26.477725817943565</v>
      </c>
      <c r="BP14" s="201">
        <f t="shared" si="49"/>
        <v>-38.432606749454408</v>
      </c>
      <c r="BQ14" s="201">
        <f t="shared" si="49"/>
        <v>-29.124054821594541</v>
      </c>
      <c r="BR14" s="201">
        <f t="shared" si="49"/>
        <v>-13.305520183949056</v>
      </c>
      <c r="BS14" s="202">
        <f t="shared" si="49"/>
        <v>-107.33990757294214</v>
      </c>
      <c r="BT14" s="201">
        <f t="shared" si="49"/>
        <v>19.991664208145949</v>
      </c>
      <c r="BU14" s="201">
        <f t="shared" si="49"/>
        <v>11.601751856137071</v>
      </c>
      <c r="BV14" s="201">
        <f t="shared" si="49"/>
        <v>21.971428381289911</v>
      </c>
      <c r="BW14" s="201">
        <f t="shared" si="49"/>
        <v>41.786020212688527</v>
      </c>
      <c r="BX14" s="202">
        <f t="shared" si="49"/>
        <v>95.350864658261344</v>
      </c>
      <c r="BY14" s="201">
        <f t="shared" si="49"/>
        <v>81.045800032738839</v>
      </c>
      <c r="BZ14" s="201">
        <f t="shared" si="49"/>
        <v>68.121225881346959</v>
      </c>
      <c r="CA14" s="201">
        <f t="shared" si="49"/>
        <v>82.508465864059758</v>
      </c>
      <c r="CB14" s="201">
        <f t="shared" si="49"/>
        <v>101.71745964353283</v>
      </c>
      <c r="CC14" s="202">
        <f t="shared" si="49"/>
        <v>333.39295142167839</v>
      </c>
      <c r="CD14" s="201">
        <f t="shared" si="49"/>
        <v>148.43366671416584</v>
      </c>
      <c r="CE14" s="201">
        <f t="shared" si="49"/>
        <v>135.89427681357802</v>
      </c>
      <c r="CF14" s="201">
        <f t="shared" si="49"/>
        <v>150.23915837688764</v>
      </c>
      <c r="CG14" s="201">
        <f t="shared" si="49"/>
        <v>172.83091579008214</v>
      </c>
      <c r="CH14" s="202">
        <f t="shared" si="49"/>
        <v>607.39801769471433</v>
      </c>
      <c r="CI14" s="201">
        <f t="shared" si="49"/>
        <v>217.25225511142116</v>
      </c>
      <c r="CJ14" s="201">
        <f t="shared" si="49"/>
        <v>199.57122041337016</v>
      </c>
      <c r="CK14" s="201">
        <f t="shared" si="49"/>
        <v>210.83545069772435</v>
      </c>
      <c r="CL14" s="201">
        <f t="shared" si="49"/>
        <v>231.0984665864828</v>
      </c>
      <c r="CM14" s="202">
        <f t="shared" si="49"/>
        <v>858.75739280899779</v>
      </c>
      <c r="CN14" s="201">
        <f t="shared" si="49"/>
        <v>278.30673124020223</v>
      </c>
      <c r="CO14" s="201">
        <f t="shared" si="49"/>
        <v>258.86495689194589</v>
      </c>
      <c r="CP14" s="201">
        <f t="shared" si="49"/>
        <v>270.35564391855087</v>
      </c>
      <c r="CQ14" s="201">
        <f t="shared" si="49"/>
        <v>291.67101623320866</v>
      </c>
      <c r="CR14" s="202">
        <f t="shared" si="49"/>
        <v>1099.1983482839069</v>
      </c>
      <c r="CS14" s="201">
        <f t="shared" si="49"/>
        <v>342.39341003535094</v>
      </c>
      <c r="CT14" s="201">
        <f t="shared" si="49"/>
        <v>321.74728699574428</v>
      </c>
      <c r="CU14" s="201">
        <f t="shared" si="49"/>
        <v>334.15630422388517</v>
      </c>
      <c r="CV14" s="201">
        <f t="shared" si="49"/>
        <v>357.15467519248728</v>
      </c>
      <c r="CW14" s="202">
        <f t="shared" si="49"/>
        <v>1355.4516764474674</v>
      </c>
      <c r="CX14" s="201">
        <f t="shared" si="49"/>
        <v>397.92829242852554</v>
      </c>
      <c r="CY14" s="201">
        <f t="shared" si="49"/>
        <v>372.12598019394818</v>
      </c>
      <c r="CZ14" s="201">
        <f t="shared" si="49"/>
        <v>381.37031325200815</v>
      </c>
      <c r="DA14" s="201">
        <f t="shared" si="49"/>
        <v>401.99031468654266</v>
      </c>
      <c r="DB14" s="202">
        <f t="shared" si="49"/>
        <v>1553.4149005610257</v>
      </c>
    </row>
    <row r="15" spans="1:109">
      <c r="A15" s="311" t="s">
        <v>4</v>
      </c>
      <c r="B15" s="6">
        <v>0.80900000000000005</v>
      </c>
      <c r="C15" s="6">
        <v>0.93600000000000005</v>
      </c>
      <c r="D15" s="6">
        <v>1.202</v>
      </c>
      <c r="E15" s="6">
        <f>F15-SUM(B15:D15)</f>
        <v>1.2720000000000002</v>
      </c>
      <c r="F15" s="185">
        <v>4.2190000000000003</v>
      </c>
      <c r="G15" s="6">
        <v>1.01</v>
      </c>
      <c r="H15" s="6">
        <v>1.2030000000000001</v>
      </c>
      <c r="I15" s="6">
        <v>1.177</v>
      </c>
      <c r="J15" s="6">
        <f t="shared" ref="J15:J17" si="50">K15-SUM(G15:I15)</f>
        <v>0.11499999999999977</v>
      </c>
      <c r="K15" s="185">
        <v>3.5049999999999999</v>
      </c>
      <c r="L15" s="6">
        <v>0.115</v>
      </c>
      <c r="M15" s="6">
        <v>0.122</v>
      </c>
      <c r="N15" s="6">
        <v>0.14599999999999999</v>
      </c>
      <c r="O15" s="6">
        <f t="shared" ref="O15:O17" si="51">P15-SUM(L15:N15)</f>
        <v>0.15000000000000002</v>
      </c>
      <c r="P15" s="185">
        <v>0.53300000000000003</v>
      </c>
      <c r="Q15" s="6">
        <v>0.183</v>
      </c>
      <c r="R15" s="6">
        <v>0.218</v>
      </c>
      <c r="S15" s="6">
        <v>1.4770000000000001</v>
      </c>
      <c r="T15" s="6">
        <f t="shared" ref="T15:T17" si="52">U15-SUM(Q15:S15)</f>
        <v>2.335</v>
      </c>
      <c r="U15" s="185">
        <v>4.2130000000000001</v>
      </c>
      <c r="V15" s="6">
        <v>2.3889999999999998</v>
      </c>
      <c r="W15" s="6">
        <v>2.56</v>
      </c>
      <c r="X15" s="6">
        <v>2.7810000000000001</v>
      </c>
      <c r="Y15" s="6">
        <f t="shared" ref="Y15:Y17" si="53">Z15-SUM(V15:X15)</f>
        <v>2.7460000000000004</v>
      </c>
      <c r="Z15" s="185">
        <v>10.476000000000001</v>
      </c>
      <c r="AA15" s="6">
        <v>2.7240000000000002</v>
      </c>
      <c r="AB15" s="6">
        <v>2.7210000000000001</v>
      </c>
      <c r="AC15" s="6">
        <v>2.6720000000000002</v>
      </c>
      <c r="AD15" s="6">
        <f>AE15-SUM(AA15:AC15)</f>
        <v>2.5759999999999987</v>
      </c>
      <c r="AE15" s="185">
        <v>10.693</v>
      </c>
      <c r="AF15" s="6">
        <v>2.464</v>
      </c>
      <c r="AG15" s="6">
        <v>4.0380000000000003</v>
      </c>
      <c r="AH15" s="6">
        <v>4.2699999999999996</v>
      </c>
      <c r="AI15" s="6">
        <f t="shared" ref="AI15:AI17" si="54">AJ15-SUM(AF15:AH15)</f>
        <v>4.3100000000000005</v>
      </c>
      <c r="AJ15" s="185">
        <v>15.082000000000001</v>
      </c>
      <c r="AK15" s="6">
        <v>2.073</v>
      </c>
      <c r="AL15" s="6">
        <v>2.0750000000000002</v>
      </c>
      <c r="AM15" s="6">
        <v>2.0779999999999998</v>
      </c>
      <c r="AN15" s="6">
        <f t="shared" ref="AN15:AN17" si="55">AO15-SUM(AK15:AM15)</f>
        <v>2.0790000000000006</v>
      </c>
      <c r="AO15" s="185">
        <v>8.3049999999999997</v>
      </c>
      <c r="AP15" s="6">
        <v>2.0870000000000002</v>
      </c>
      <c r="AQ15" s="6">
        <v>2.15</v>
      </c>
      <c r="AR15" s="6">
        <v>2.33</v>
      </c>
      <c r="AS15" s="6">
        <f t="shared" ref="AS15:AS17" si="56">AT15-SUM(AP15:AR15)</f>
        <v>2.7520000000000007</v>
      </c>
      <c r="AT15" s="185">
        <v>9.3190000000000008</v>
      </c>
      <c r="AU15" s="6">
        <v>3.0609999999999999</v>
      </c>
      <c r="AV15" s="6">
        <v>3.177</v>
      </c>
      <c r="AW15" s="6">
        <v>3.2519999999999998</v>
      </c>
      <c r="AX15" s="6">
        <f t="shared" ref="AX15:AX17" si="57">AY15-SUM(AU15:AW15)</f>
        <v>3.1480000000000015</v>
      </c>
      <c r="AY15" s="185">
        <v>12.638</v>
      </c>
      <c r="AZ15" s="6">
        <v>3.1240000000000001</v>
      </c>
      <c r="BA15" s="6">
        <v>3.1269999999999998</v>
      </c>
      <c r="BB15" s="6">
        <v>3.1419999999999999</v>
      </c>
      <c r="BC15" s="6">
        <f t="shared" ref="BC15:BC17" si="58">BD15-SUM(AZ15:BB15)</f>
        <v>1.2920000000000016</v>
      </c>
      <c r="BD15" s="185">
        <v>10.685</v>
      </c>
      <c r="BE15" s="6">
        <v>1.0049999999999999</v>
      </c>
      <c r="BF15" s="6">
        <v>1.0289999999999999</v>
      </c>
      <c r="BG15" s="6">
        <v>1.0449999999999999</v>
      </c>
      <c r="BH15" s="6">
        <f>4.069-BE15-BF15-BG15</f>
        <v>0.99000000000000021</v>
      </c>
      <c r="BI15" s="185">
        <f>SUM(BE15:BH15)</f>
        <v>4.069</v>
      </c>
      <c r="BJ15" s="330">
        <f>+'Other Accts'!BJ29</f>
        <v>0.96387599999999996</v>
      </c>
      <c r="BK15" s="6">
        <f>+'Other Accts'!BK29</f>
        <v>0.72290699999999997</v>
      </c>
      <c r="BL15" s="6">
        <f>+'Other Accts'!BL29</f>
        <v>0.48217896899999996</v>
      </c>
      <c r="BM15" s="6">
        <f>+'Other Accts'!BM29</f>
        <v>0.24108948449999998</v>
      </c>
      <c r="BN15" s="185">
        <f>SUM(BJ15:BM15)</f>
        <v>2.4100514534999995</v>
      </c>
      <c r="BO15" s="6">
        <f>+'Other Accts'!BO29</f>
        <v>0</v>
      </c>
      <c r="BP15" s="6">
        <f>+'Other Accts'!BP29</f>
        <v>0</v>
      </c>
      <c r="BQ15" s="6">
        <f>+'Other Accts'!BQ29</f>
        <v>0</v>
      </c>
      <c r="BR15" s="6">
        <f>+'Other Accts'!BR29</f>
        <v>0</v>
      </c>
      <c r="BS15" s="185">
        <f>SUM(BO15:BR15)</f>
        <v>0</v>
      </c>
      <c r="BT15" s="6">
        <f>+'Other Accts'!BT29</f>
        <v>0</v>
      </c>
      <c r="BU15" s="6">
        <f>+'Other Accts'!BU29</f>
        <v>0</v>
      </c>
      <c r="BV15" s="6">
        <f>+'Other Accts'!BV29</f>
        <v>0</v>
      </c>
      <c r="BW15" s="6">
        <f>+'Other Accts'!BW29</f>
        <v>0</v>
      </c>
      <c r="BX15" s="185">
        <f>SUM(BT15:BW15)</f>
        <v>0</v>
      </c>
      <c r="BY15" s="6">
        <f>+'Other Accts'!BY29</f>
        <v>0</v>
      </c>
      <c r="BZ15" s="6">
        <f>+'Other Accts'!BZ29</f>
        <v>0</v>
      </c>
      <c r="CA15" s="6">
        <f>+'Other Accts'!CA29</f>
        <v>0</v>
      </c>
      <c r="CB15" s="6">
        <f>+'Other Accts'!CB29</f>
        <v>0</v>
      </c>
      <c r="CC15" s="185">
        <f>SUM(BY15:CB15)</f>
        <v>0</v>
      </c>
      <c r="CD15" s="6">
        <f>+'Other Accts'!CD29</f>
        <v>0</v>
      </c>
      <c r="CE15" s="6">
        <f>+'Other Accts'!CE29</f>
        <v>0</v>
      </c>
      <c r="CF15" s="6">
        <f>+'Other Accts'!CF29</f>
        <v>0</v>
      </c>
      <c r="CG15" s="6">
        <f>+'Other Accts'!CG29</f>
        <v>0</v>
      </c>
      <c r="CH15" s="185">
        <f>SUM(CD15:CG15)</f>
        <v>0</v>
      </c>
      <c r="CI15" s="6">
        <f>+'Other Accts'!CI29</f>
        <v>0</v>
      </c>
      <c r="CJ15" s="6">
        <f>+'Other Accts'!CJ29</f>
        <v>0</v>
      </c>
      <c r="CK15" s="6">
        <f>+'Other Accts'!CK29</f>
        <v>0</v>
      </c>
      <c r="CL15" s="6">
        <f>+'Other Accts'!CL29</f>
        <v>0</v>
      </c>
      <c r="CM15" s="185">
        <f>SUM(CI15:CL15)</f>
        <v>0</v>
      </c>
      <c r="CN15" s="6">
        <f>+'Other Accts'!CN29</f>
        <v>0</v>
      </c>
      <c r="CO15" s="6">
        <f>+'Other Accts'!CO29</f>
        <v>0</v>
      </c>
      <c r="CP15" s="6">
        <f>+'Other Accts'!CP29</f>
        <v>0</v>
      </c>
      <c r="CQ15" s="6">
        <f>+'Other Accts'!CQ29</f>
        <v>0</v>
      </c>
      <c r="CR15" s="185">
        <f>SUM(CN15:CQ15)</f>
        <v>0</v>
      </c>
      <c r="CS15" s="6">
        <f>+'Other Accts'!CS29</f>
        <v>0</v>
      </c>
      <c r="CT15" s="6">
        <f>+'Other Accts'!CT29</f>
        <v>0</v>
      </c>
      <c r="CU15" s="6">
        <f>+'Other Accts'!CU29</f>
        <v>0</v>
      </c>
      <c r="CV15" s="6">
        <f>+'Other Accts'!CV29</f>
        <v>0</v>
      </c>
      <c r="CW15" s="185">
        <f>SUM(CS15:CV15)</f>
        <v>0</v>
      </c>
      <c r="CX15" s="6">
        <f>+'Other Accts'!CX29</f>
        <v>0</v>
      </c>
      <c r="CY15" s="6">
        <f>+'Other Accts'!CY29</f>
        <v>0</v>
      </c>
      <c r="CZ15" s="6">
        <f>+'Other Accts'!CZ29</f>
        <v>0</v>
      </c>
      <c r="DA15" s="6">
        <f>+'Other Accts'!DA29</f>
        <v>0</v>
      </c>
      <c r="DB15" s="185">
        <f>SUM(CX15:DA15)</f>
        <v>0</v>
      </c>
    </row>
    <row r="16" spans="1:109">
      <c r="A16" s="311" t="s">
        <v>5</v>
      </c>
      <c r="B16" s="6">
        <v>0.80600000000000005</v>
      </c>
      <c r="C16" s="6">
        <v>-1.34</v>
      </c>
      <c r="D16" s="6">
        <v>-0.70799999999999996</v>
      </c>
      <c r="E16" s="6">
        <f>F16-SUM(B16:D16)</f>
        <v>1.1240000000000001</v>
      </c>
      <c r="F16" s="185">
        <v>-0.11799999999999999</v>
      </c>
      <c r="G16" s="6">
        <v>1.8</v>
      </c>
      <c r="H16" s="6">
        <v>0.32200000000000001</v>
      </c>
      <c r="I16" s="6">
        <v>-1.81</v>
      </c>
      <c r="J16" s="6">
        <f t="shared" si="50"/>
        <v>-1.2759999999999998</v>
      </c>
      <c r="K16" s="185">
        <v>-0.96399999999999997</v>
      </c>
      <c r="L16" s="6">
        <v>0</v>
      </c>
      <c r="M16" s="6">
        <v>0</v>
      </c>
      <c r="N16" s="6">
        <v>0</v>
      </c>
      <c r="O16" s="6">
        <f t="shared" si="51"/>
        <v>0</v>
      </c>
      <c r="P16" s="185">
        <v>0</v>
      </c>
      <c r="Q16" s="6">
        <v>-1.3</v>
      </c>
      <c r="R16" s="6">
        <v>0.41299999999999998</v>
      </c>
      <c r="S16" s="6">
        <v>0.437</v>
      </c>
      <c r="T16" s="6">
        <f t="shared" si="52"/>
        <v>-1.93</v>
      </c>
      <c r="U16" s="185">
        <v>-2.38</v>
      </c>
      <c r="V16" s="6">
        <v>-0.13700000000000001</v>
      </c>
      <c r="W16" s="6">
        <v>3.9329999999999998</v>
      </c>
      <c r="X16" s="6">
        <v>-0.44900000000000001</v>
      </c>
      <c r="Y16" s="6">
        <f t="shared" si="53"/>
        <v>-0.61799999999999988</v>
      </c>
      <c r="Z16" s="185">
        <v>2.7290000000000001</v>
      </c>
      <c r="AA16" s="6">
        <v>-0.45300000000000001</v>
      </c>
      <c r="AB16" s="6">
        <v>-0.83599999999999997</v>
      </c>
      <c r="AC16" s="6">
        <v>-0.67300000000000004</v>
      </c>
      <c r="AD16" s="6">
        <f>AE16-SUM(AA16:AC16)</f>
        <v>-2.1900000000000004</v>
      </c>
      <c r="AE16" s="185">
        <v>-4.1520000000000001</v>
      </c>
      <c r="AF16" s="6">
        <v>-1.9870000000000001</v>
      </c>
      <c r="AG16" s="6">
        <v>-1.9239999999999999</v>
      </c>
      <c r="AH16" s="6">
        <v>-1.7490000000000001</v>
      </c>
      <c r="AI16" s="6">
        <f t="shared" si="54"/>
        <v>-1.9020000000000001</v>
      </c>
      <c r="AJ16" s="185">
        <v>-7.5620000000000003</v>
      </c>
      <c r="AK16" s="6">
        <v>-1.371</v>
      </c>
      <c r="AL16" s="6">
        <v>-1.585</v>
      </c>
      <c r="AM16" s="6">
        <v>-1.274</v>
      </c>
      <c r="AN16" s="6">
        <f t="shared" si="55"/>
        <v>-1.1509999999999998</v>
      </c>
      <c r="AO16" s="185">
        <v>-5.3810000000000002</v>
      </c>
      <c r="AP16" s="6">
        <v>-0.80100000000000005</v>
      </c>
      <c r="AQ16" s="6">
        <v>-0.27700000000000002</v>
      </c>
      <c r="AR16" s="6">
        <v>-8.6999999999999994E-2</v>
      </c>
      <c r="AS16" s="6">
        <f t="shared" si="56"/>
        <v>-2.3729999999999998</v>
      </c>
      <c r="AT16" s="185">
        <v>-3.5379999999999998</v>
      </c>
      <c r="AU16" s="6">
        <v>-4.585</v>
      </c>
      <c r="AV16" s="6">
        <v>-4.5179999999999998</v>
      </c>
      <c r="AW16" s="6">
        <v>-5.4059999999999997</v>
      </c>
      <c r="AX16" s="6">
        <f t="shared" si="57"/>
        <v>-9.8440000000000012</v>
      </c>
      <c r="AY16" s="185">
        <v>-24.353000000000002</v>
      </c>
      <c r="AZ16" s="6">
        <v>-10.266999999999999</v>
      </c>
      <c r="BA16" s="6">
        <v>-10.457000000000001</v>
      </c>
      <c r="BB16" s="6">
        <v>-11.618</v>
      </c>
      <c r="BC16" s="6">
        <f t="shared" si="58"/>
        <v>-10.905999999999999</v>
      </c>
      <c r="BD16" s="185">
        <v>-43.247999999999998</v>
      </c>
      <c r="BE16" s="6">
        <v>-13.419</v>
      </c>
      <c r="BF16" s="6">
        <v>-10.738</v>
      </c>
      <c r="BG16" s="6">
        <v>-11.284000000000001</v>
      </c>
      <c r="BH16" s="6">
        <f>-45.891-BE16-BF16-BG16</f>
        <v>-10.449999999999994</v>
      </c>
      <c r="BI16" s="185">
        <f>SUM(BE16:BH16)</f>
        <v>-45.890999999999998</v>
      </c>
      <c r="BJ16" s="330">
        <f>-'Other Accts'!BJ9</f>
        <v>-10.223330000000001</v>
      </c>
      <c r="BK16" s="6">
        <f>-'Other Accts'!BK9</f>
        <v>-10.614897756206961</v>
      </c>
      <c r="BL16" s="6">
        <f>-'Other Accts'!BL9</f>
        <v>-10.033068375575946</v>
      </c>
      <c r="BM16" s="6">
        <f>-'Other Accts'!BM9</f>
        <v>-9.6184710560159878</v>
      </c>
      <c r="BN16" s="185">
        <f>SUM(BJ16:BM16)</f>
        <v>-40.48976718779889</v>
      </c>
      <c r="BO16" s="6">
        <f>-'Other Accts'!BO9</f>
        <v>-6.3830882960921542</v>
      </c>
      <c r="BP16" s="6">
        <f>-'Other Accts'!BP9</f>
        <v>-5.2179703974581422</v>
      </c>
      <c r="BQ16" s="6">
        <f>-'Other Accts'!BQ9</f>
        <v>-5.1821643396754098</v>
      </c>
      <c r="BR16" s="6">
        <f>-'Other Accts'!BR9</f>
        <v>-5.2327732479624585</v>
      </c>
      <c r="BS16" s="185">
        <f>SUM(BO16:BR16)</f>
        <v>-22.015996281188166</v>
      </c>
      <c r="BT16" s="6">
        <f>-'Other Accts'!BT9</f>
        <v>-5.3611131602535966</v>
      </c>
      <c r="BU16" s="6">
        <f>-'Other Accts'!BU9</f>
        <v>-5.711431154636748</v>
      </c>
      <c r="BV16" s="6">
        <f>-'Other Accts'!BV9</f>
        <v>-5.9356431250125619</v>
      </c>
      <c r="BW16" s="6">
        <f>-'Other Accts'!BW9</f>
        <v>-6.25880726297087</v>
      </c>
      <c r="BX16" s="185">
        <f>SUM(BT16:BW16)</f>
        <v>-23.266994702873774</v>
      </c>
      <c r="BY16" s="6">
        <f>-'Other Accts'!BY9</f>
        <v>-6.6850077460076012</v>
      </c>
      <c r="BZ16" s="6">
        <f>-'Other Accts'!BZ9</f>
        <v>-7.3697464613907506</v>
      </c>
      <c r="CA16" s="6">
        <f>-'Other Accts'!CA9</f>
        <v>-7.8909460202446997</v>
      </c>
      <c r="CB16" s="6">
        <f>-'Other Accts'!CB9</f>
        <v>-8.5408550562156513</v>
      </c>
      <c r="CC16" s="185">
        <f>SUM(BY16:CB16)</f>
        <v>-30.486555283858703</v>
      </c>
      <c r="CD16" s="6">
        <f>-'Other Accts'!CD9</f>
        <v>-9.2911588077055249</v>
      </c>
      <c r="CE16" s="6">
        <f>-'Other Accts'!CE9</f>
        <v>-10.346494942933759</v>
      </c>
      <c r="CF16" s="6">
        <f>-'Other Accts'!CF9</f>
        <v>-11.228512544368744</v>
      </c>
      <c r="CG16" s="6">
        <f>-'Other Accts'!CG9</f>
        <v>-12.24706676234532</v>
      </c>
      <c r="CH16" s="185">
        <f>SUM(CD16:CG16)</f>
        <v>-43.113233057353348</v>
      </c>
      <c r="CI16" s="6">
        <f>-'Other Accts'!CI9</f>
        <v>-13.385812927276399</v>
      </c>
      <c r="CJ16" s="6">
        <f>-'Other Accts'!CJ9</f>
        <v>-14.826104278742639</v>
      </c>
      <c r="CK16" s="6">
        <f>-'Other Accts'!CK9</f>
        <v>-16.051992754388245</v>
      </c>
      <c r="CL16" s="6">
        <f>-'Other Accts'!CL9</f>
        <v>-17.408031475414095</v>
      </c>
      <c r="CM16" s="185">
        <f>SUM(CI16:CL16)</f>
        <v>-61.671941435821381</v>
      </c>
      <c r="CN16" s="6">
        <f>-'Other Accts'!CN9</f>
        <v>-18.872947409600567</v>
      </c>
      <c r="CO16" s="6">
        <f>-'Other Accts'!CO9</f>
        <v>-20.664820793234085</v>
      </c>
      <c r="CP16" s="6">
        <f>-'Other Accts'!CP9</f>
        <v>-22.221129353470396</v>
      </c>
      <c r="CQ16" s="6">
        <f>-'Other Accts'!CQ9</f>
        <v>-23.918632470459102</v>
      </c>
      <c r="CR16" s="185">
        <f>SUM(CN16:CQ16)</f>
        <v>-85.677530026764146</v>
      </c>
      <c r="CS16" s="6">
        <f>-'Other Accts'!CS9</f>
        <v>-25.732807483785255</v>
      </c>
      <c r="CT16" s="6">
        <f>-'Other Accts'!CT9</f>
        <v>-27.90155620157574</v>
      </c>
      <c r="CU16" s="6">
        <f>-'Other Accts'!CU9</f>
        <v>-29.815494640043532</v>
      </c>
      <c r="CV16" s="6">
        <f>-'Other Accts'!CV9</f>
        <v>-31.884841477614629</v>
      </c>
      <c r="CW16" s="185">
        <f>SUM(CS16:CV16)</f>
        <v>-115.33469980301916</v>
      </c>
      <c r="CX16" s="6">
        <f>-'Other Accts'!CX9</f>
        <v>-34.081298562830519</v>
      </c>
      <c r="CY16" s="6">
        <f>-'Other Accts'!CY9</f>
        <v>-36.590082259731439</v>
      </c>
      <c r="CZ16" s="6">
        <f>-'Other Accts'!CZ9</f>
        <v>-38.803300966324237</v>
      </c>
      <c r="DA16" s="6">
        <f>-'Other Accts'!DA9</f>
        <v>-41.164610837637049</v>
      </c>
      <c r="DB16" s="185">
        <f>SUM(CX16:DA16)</f>
        <v>-150.63929262652323</v>
      </c>
    </row>
    <row r="17" spans="1:115">
      <c r="A17" s="311" t="s">
        <v>491</v>
      </c>
      <c r="B17" s="6">
        <v>0.71899999999999997</v>
      </c>
      <c r="C17" s="6">
        <v>-0.28699999999999998</v>
      </c>
      <c r="D17" s="6">
        <v>0.56100000000000005</v>
      </c>
      <c r="E17" s="6">
        <f>F17-SUM(B17:D17)</f>
        <v>0.72299999999999986</v>
      </c>
      <c r="F17" s="185">
        <v>1.716</v>
      </c>
      <c r="G17" s="6">
        <v>0.91700000000000004</v>
      </c>
      <c r="H17" s="6">
        <v>2.6840000000000002</v>
      </c>
      <c r="I17" s="6">
        <v>-2.4780000000000002</v>
      </c>
      <c r="J17" s="6">
        <f t="shared" si="50"/>
        <v>6.7729999999999997</v>
      </c>
      <c r="K17" s="185">
        <v>7.8959999999999999</v>
      </c>
      <c r="L17" s="6">
        <v>-1.0349999999999999</v>
      </c>
      <c r="M17" s="6">
        <v>0.51900000000000002</v>
      </c>
      <c r="N17" s="6">
        <v>-0.88700000000000001</v>
      </c>
      <c r="O17" s="6">
        <f t="shared" si="51"/>
        <v>5.0000000000001155E-3</v>
      </c>
      <c r="P17" s="185">
        <v>-1.3979999999999999</v>
      </c>
      <c r="Q17" s="6">
        <v>0</v>
      </c>
      <c r="R17" s="6">
        <v>0</v>
      </c>
      <c r="S17" s="6">
        <v>0</v>
      </c>
      <c r="T17" s="6">
        <f t="shared" si="52"/>
        <v>0</v>
      </c>
      <c r="U17" s="185">
        <v>0</v>
      </c>
      <c r="V17" s="6">
        <v>0</v>
      </c>
      <c r="W17" s="6">
        <v>0</v>
      </c>
      <c r="X17" s="6">
        <v>0</v>
      </c>
      <c r="Y17" s="6">
        <f t="shared" si="53"/>
        <v>0</v>
      </c>
      <c r="Z17" s="185">
        <v>0</v>
      </c>
      <c r="AA17" s="6">
        <v>0</v>
      </c>
      <c r="AB17" s="6">
        <v>0</v>
      </c>
      <c r="AC17" s="6">
        <v>0</v>
      </c>
      <c r="AD17" s="6">
        <f>AE17-SUM(AA17:AC17)</f>
        <v>0</v>
      </c>
      <c r="AE17" s="185">
        <v>0</v>
      </c>
      <c r="AF17" s="6">
        <v>0</v>
      </c>
      <c r="AG17" s="6">
        <v>5.8479999999999999</v>
      </c>
      <c r="AH17" s="6">
        <v>0</v>
      </c>
      <c r="AI17" s="6">
        <f t="shared" si="54"/>
        <v>0</v>
      </c>
      <c r="AJ17" s="185">
        <v>5.8479999999999999</v>
      </c>
      <c r="AK17" s="6">
        <v>0</v>
      </c>
      <c r="AL17" s="6">
        <v>0</v>
      </c>
      <c r="AM17" s="6">
        <v>0</v>
      </c>
      <c r="AN17" s="6">
        <f t="shared" si="55"/>
        <v>0</v>
      </c>
      <c r="AO17" s="185">
        <v>0</v>
      </c>
      <c r="AP17" s="6">
        <v>0</v>
      </c>
      <c r="AQ17" s="6">
        <v>0</v>
      </c>
      <c r="AR17" s="6">
        <v>0</v>
      </c>
      <c r="AS17" s="6">
        <f t="shared" si="56"/>
        <v>0</v>
      </c>
      <c r="AT17" s="185">
        <v>0</v>
      </c>
      <c r="AU17" s="6">
        <v>0</v>
      </c>
      <c r="AV17" s="6">
        <v>0</v>
      </c>
      <c r="AW17" s="6">
        <v>0</v>
      </c>
      <c r="AX17" s="6">
        <f t="shared" si="57"/>
        <v>0</v>
      </c>
      <c r="AY17" s="185">
        <v>0</v>
      </c>
      <c r="AZ17" s="390">
        <v>0</v>
      </c>
      <c r="BA17" s="390">
        <v>0</v>
      </c>
      <c r="BB17" s="390">
        <v>0</v>
      </c>
      <c r="BC17" s="390">
        <f t="shared" si="58"/>
        <v>0</v>
      </c>
      <c r="BD17" s="391">
        <v>0</v>
      </c>
      <c r="BE17" s="390">
        <v>0</v>
      </c>
      <c r="BF17" s="390">
        <v>0</v>
      </c>
      <c r="BG17" s="390">
        <v>0</v>
      </c>
      <c r="BH17" s="390">
        <f>0-BE17-BF17-BG17</f>
        <v>0</v>
      </c>
      <c r="BI17" s="391">
        <f>SUM(BE17:BH17)</f>
        <v>0</v>
      </c>
      <c r="BJ17" s="393">
        <v>0</v>
      </c>
      <c r="BK17" s="394">
        <v>0</v>
      </c>
      <c r="BL17" s="394">
        <v>0</v>
      </c>
      <c r="BM17" s="394">
        <v>0</v>
      </c>
      <c r="BN17" s="391">
        <f>SUM(BJ17:BM17)</f>
        <v>0</v>
      </c>
      <c r="BO17" s="394">
        <v>0</v>
      </c>
      <c r="BP17" s="394">
        <v>0</v>
      </c>
      <c r="BQ17" s="394">
        <v>0</v>
      </c>
      <c r="BR17" s="394">
        <v>0</v>
      </c>
      <c r="BS17" s="391">
        <f>SUM(BO17:BR17)</f>
        <v>0</v>
      </c>
      <c r="BT17" s="394">
        <v>0</v>
      </c>
      <c r="BU17" s="394">
        <v>0</v>
      </c>
      <c r="BV17" s="394">
        <v>0</v>
      </c>
      <c r="BW17" s="394">
        <v>0</v>
      </c>
      <c r="BX17" s="391">
        <f>SUM(BT17:BW17)</f>
        <v>0</v>
      </c>
      <c r="BY17" s="395">
        <v>0</v>
      </c>
      <c r="BZ17" s="395">
        <v>0</v>
      </c>
      <c r="CA17" s="395">
        <v>0</v>
      </c>
      <c r="CB17" s="395">
        <v>0</v>
      </c>
      <c r="CC17" s="391">
        <f>SUM(BY17:CB17)</f>
        <v>0</v>
      </c>
      <c r="CD17" s="395">
        <v>0</v>
      </c>
      <c r="CE17" s="395">
        <v>0</v>
      </c>
      <c r="CF17" s="395">
        <v>0</v>
      </c>
      <c r="CG17" s="395">
        <v>0</v>
      </c>
      <c r="CH17" s="391">
        <f>SUM(CD17:CG17)</f>
        <v>0</v>
      </c>
      <c r="CI17" s="395">
        <v>0</v>
      </c>
      <c r="CJ17" s="395">
        <v>0</v>
      </c>
      <c r="CK17" s="395">
        <v>0</v>
      </c>
      <c r="CL17" s="395">
        <v>0</v>
      </c>
      <c r="CM17" s="391">
        <f>SUM(CI17:CL17)</f>
        <v>0</v>
      </c>
      <c r="CN17" s="395">
        <v>0</v>
      </c>
      <c r="CO17" s="395">
        <v>0</v>
      </c>
      <c r="CP17" s="395">
        <v>0</v>
      </c>
      <c r="CQ17" s="395">
        <v>0</v>
      </c>
      <c r="CR17" s="391">
        <f>SUM(CN17:CQ17)</f>
        <v>0</v>
      </c>
      <c r="CS17" s="395">
        <v>0</v>
      </c>
      <c r="CT17" s="395">
        <v>0</v>
      </c>
      <c r="CU17" s="395">
        <v>0</v>
      </c>
      <c r="CV17" s="395">
        <v>0</v>
      </c>
      <c r="CW17" s="391">
        <f>SUM(CS17:CV17)</f>
        <v>0</v>
      </c>
      <c r="CX17" s="395">
        <v>0</v>
      </c>
      <c r="CY17" s="395">
        <v>0</v>
      </c>
      <c r="CZ17" s="395">
        <v>0</v>
      </c>
      <c r="DA17" s="395">
        <v>0</v>
      </c>
      <c r="DB17" s="391">
        <f>SUM(CX17:DA17)</f>
        <v>0</v>
      </c>
    </row>
    <row r="18" spans="1:115" s="146" customFormat="1">
      <c r="A18" s="310" t="s">
        <v>202</v>
      </c>
      <c r="B18" s="201">
        <f>+B14-B15-B16-B17</f>
        <v>-9.6160000000000014</v>
      </c>
      <c r="C18" s="201">
        <f t="shared" ref="C18:BN18" si="59">+C14-C15-C16-C17</f>
        <v>-0.51400000000000179</v>
      </c>
      <c r="D18" s="201">
        <f t="shared" si="59"/>
        <v>3.7240000000000002</v>
      </c>
      <c r="E18" s="201">
        <f t="shared" si="59"/>
        <v>1.2539999999999902</v>
      </c>
      <c r="F18" s="202">
        <f t="shared" si="59"/>
        <v>-5.1520000000000223</v>
      </c>
      <c r="G18" s="201">
        <f t="shared" si="59"/>
        <v>-10.003999999999998</v>
      </c>
      <c r="H18" s="201">
        <f t="shared" si="59"/>
        <v>-19.680999999999994</v>
      </c>
      <c r="I18" s="201">
        <f t="shared" si="59"/>
        <v>-17.630000000000003</v>
      </c>
      <c r="J18" s="201">
        <f t="shared" si="59"/>
        <v>-22.960000000000004</v>
      </c>
      <c r="K18" s="202">
        <f t="shared" si="59"/>
        <v>-70.27500000000002</v>
      </c>
      <c r="L18" s="201">
        <f t="shared" si="59"/>
        <v>-8.6850000000000041</v>
      </c>
      <c r="M18" s="201">
        <f t="shared" si="59"/>
        <v>-23.155999999999992</v>
      </c>
      <c r="N18" s="201">
        <f t="shared" si="59"/>
        <v>-25.914000000000001</v>
      </c>
      <c r="O18" s="201">
        <f t="shared" si="59"/>
        <v>-37.867999999999995</v>
      </c>
      <c r="P18" s="202">
        <f t="shared" si="59"/>
        <v>-95.623000000000005</v>
      </c>
      <c r="Q18" s="201">
        <f t="shared" si="59"/>
        <v>-35.914000000000001</v>
      </c>
      <c r="R18" s="201">
        <f t="shared" si="59"/>
        <v>-27.668000000000006</v>
      </c>
      <c r="S18" s="201">
        <f t="shared" si="59"/>
        <v>-26.957000000000008</v>
      </c>
      <c r="T18" s="201">
        <f t="shared" si="59"/>
        <v>-45.321000000000019</v>
      </c>
      <c r="U18" s="202">
        <f t="shared" si="59"/>
        <v>-135.86000000000001</v>
      </c>
      <c r="V18" s="201">
        <f t="shared" si="59"/>
        <v>-32.768999999999998</v>
      </c>
      <c r="W18" s="201">
        <f t="shared" si="59"/>
        <v>-33.710999999999999</v>
      </c>
      <c r="X18" s="201">
        <f t="shared" si="59"/>
        <v>-29.497999999999994</v>
      </c>
      <c r="Y18" s="201">
        <f t="shared" si="59"/>
        <v>-31.855000000000022</v>
      </c>
      <c r="Z18" s="202">
        <f t="shared" si="59"/>
        <v>-127.83299999999998</v>
      </c>
      <c r="AA18" s="201">
        <f t="shared" si="59"/>
        <v>-34.016999999999996</v>
      </c>
      <c r="AB18" s="201">
        <f t="shared" si="59"/>
        <v>-30.520999999999997</v>
      </c>
      <c r="AC18" s="201">
        <f t="shared" si="59"/>
        <v>-37.48099999999998</v>
      </c>
      <c r="AD18" s="201">
        <f t="shared" si="59"/>
        <v>-35.197000000000081</v>
      </c>
      <c r="AE18" s="202">
        <f t="shared" si="59"/>
        <v>-137.21600000000009</v>
      </c>
      <c r="AF18" s="201">
        <f t="shared" si="59"/>
        <v>-35.349000000000004</v>
      </c>
      <c r="AG18" s="201">
        <f t="shared" si="59"/>
        <v>-59.622000000000007</v>
      </c>
      <c r="AH18" s="201">
        <f t="shared" si="59"/>
        <v>-58.297999999999981</v>
      </c>
      <c r="AI18" s="201">
        <f t="shared" si="59"/>
        <v>-76.375999999999962</v>
      </c>
      <c r="AJ18" s="202">
        <f t="shared" si="59"/>
        <v>-229.64500000000004</v>
      </c>
      <c r="AK18" s="201">
        <f t="shared" si="59"/>
        <v>-63.718999999999973</v>
      </c>
      <c r="AL18" s="201">
        <f t="shared" si="59"/>
        <v>-115.78400000000001</v>
      </c>
      <c r="AM18" s="201">
        <f t="shared" si="59"/>
        <v>-151.001</v>
      </c>
      <c r="AN18" s="201">
        <f t="shared" si="59"/>
        <v>-140.59399999999999</v>
      </c>
      <c r="AO18" s="202">
        <f t="shared" si="59"/>
        <v>-471.09799999999996</v>
      </c>
      <c r="AP18" s="201">
        <f t="shared" si="59"/>
        <v>-138.416</v>
      </c>
      <c r="AQ18" s="201">
        <f t="shared" si="59"/>
        <v>-144.95800000000003</v>
      </c>
      <c r="AR18" s="201">
        <f t="shared" si="59"/>
        <v>-121.29500000000002</v>
      </c>
      <c r="AS18" s="201">
        <f t="shared" si="59"/>
        <v>-142.1520000000001</v>
      </c>
      <c r="AT18" s="202">
        <f t="shared" si="59"/>
        <v>-546.82100000000014</v>
      </c>
      <c r="AU18" s="201">
        <f t="shared" si="59"/>
        <v>-136.77699999999999</v>
      </c>
      <c r="AV18" s="201">
        <f t="shared" si="59"/>
        <v>-111.08500000000002</v>
      </c>
      <c r="AW18" s="201">
        <f t="shared" si="59"/>
        <v>-108.82799999999996</v>
      </c>
      <c r="AX18" s="201">
        <f t="shared" si="59"/>
        <v>-77.84000000000006</v>
      </c>
      <c r="AY18" s="202">
        <f t="shared" si="59"/>
        <v>-434.53</v>
      </c>
      <c r="AZ18" s="201">
        <f t="shared" si="59"/>
        <v>-67.170999999999964</v>
      </c>
      <c r="BA18" s="201">
        <f t="shared" si="59"/>
        <v>-36.572000000000017</v>
      </c>
      <c r="BB18" s="201">
        <f t="shared" si="59"/>
        <v>-30.862000000000023</v>
      </c>
      <c r="BC18" s="201">
        <f t="shared" si="59"/>
        <v>-55.125999999999841</v>
      </c>
      <c r="BD18" s="202">
        <f t="shared" si="59"/>
        <v>-189.73099999999988</v>
      </c>
      <c r="BE18" s="201">
        <f t="shared" si="59"/>
        <v>-66.763000000000019</v>
      </c>
      <c r="BF18" s="201">
        <f t="shared" si="59"/>
        <v>-100.66299999999995</v>
      </c>
      <c r="BG18" s="201">
        <f t="shared" si="59"/>
        <v>-87.336999999999961</v>
      </c>
      <c r="BH18" s="201">
        <f t="shared" si="59"/>
        <v>-13.326000000000009</v>
      </c>
      <c r="BI18" s="202">
        <f t="shared" si="59"/>
        <v>-268.08899999999983</v>
      </c>
      <c r="BJ18" s="329">
        <f t="shared" si="59"/>
        <v>-82.660079905126622</v>
      </c>
      <c r="BK18" s="201">
        <f t="shared" si="59"/>
        <v>-67.253722193824217</v>
      </c>
      <c r="BL18" s="201">
        <f t="shared" si="59"/>
        <v>-55.390224319161582</v>
      </c>
      <c r="BM18" s="201">
        <f t="shared" si="59"/>
        <v>-28.14669631051434</v>
      </c>
      <c r="BN18" s="202">
        <f t="shared" si="59"/>
        <v>-233.4507227286264</v>
      </c>
      <c r="BO18" s="201">
        <f t="shared" ref="BO18:DB18" si="60">+BO14-BO15-BO16-BO17</f>
        <v>-20.094637521851411</v>
      </c>
      <c r="BP18" s="201">
        <f t="shared" si="60"/>
        <v>-33.214636351996262</v>
      </c>
      <c r="BQ18" s="201">
        <f t="shared" si="60"/>
        <v>-23.941890481919131</v>
      </c>
      <c r="BR18" s="201">
        <f t="shared" si="60"/>
        <v>-8.0727469359865971</v>
      </c>
      <c r="BS18" s="202">
        <f t="shared" si="60"/>
        <v>-85.323911291753973</v>
      </c>
      <c r="BT18" s="201">
        <f>+BT14-BT15-BT16-BT17</f>
        <v>25.352777368399543</v>
      </c>
      <c r="BU18" s="201">
        <f t="shared" si="60"/>
        <v>17.31318301077382</v>
      </c>
      <c r="BV18" s="201">
        <f t="shared" si="60"/>
        <v>27.907071506302472</v>
      </c>
      <c r="BW18" s="201">
        <f t="shared" si="60"/>
        <v>48.044827475659396</v>
      </c>
      <c r="BX18" s="202">
        <f t="shared" si="60"/>
        <v>118.61785936113512</v>
      </c>
      <c r="BY18" s="201">
        <f t="shared" si="60"/>
        <v>87.730807778746438</v>
      </c>
      <c r="BZ18" s="201">
        <f t="shared" si="60"/>
        <v>75.490972342737706</v>
      </c>
      <c r="CA18" s="201">
        <f t="shared" si="60"/>
        <v>90.399411884304456</v>
      </c>
      <c r="CB18" s="201">
        <f t="shared" si="60"/>
        <v>110.25831469974848</v>
      </c>
      <c r="CC18" s="202">
        <f t="shared" si="60"/>
        <v>363.8795067055371</v>
      </c>
      <c r="CD18" s="201">
        <f t="shared" si="60"/>
        <v>157.72482552187137</v>
      </c>
      <c r="CE18" s="201">
        <f t="shared" si="60"/>
        <v>146.24077175651178</v>
      </c>
      <c r="CF18" s="201">
        <f t="shared" si="60"/>
        <v>161.4676709212564</v>
      </c>
      <c r="CG18" s="201">
        <f t="shared" si="60"/>
        <v>185.07798255242747</v>
      </c>
      <c r="CH18" s="202">
        <f t="shared" si="60"/>
        <v>650.51125075206767</v>
      </c>
      <c r="CI18" s="201">
        <f t="shared" si="60"/>
        <v>230.63806803869755</v>
      </c>
      <c r="CJ18" s="201">
        <f t="shared" si="60"/>
        <v>214.39732469211279</v>
      </c>
      <c r="CK18" s="201">
        <f t="shared" si="60"/>
        <v>226.88744345211259</v>
      </c>
      <c r="CL18" s="201">
        <f t="shared" si="60"/>
        <v>248.50649806189691</v>
      </c>
      <c r="CM18" s="202">
        <f t="shared" si="60"/>
        <v>920.42933424481919</v>
      </c>
      <c r="CN18" s="201">
        <f t="shared" si="60"/>
        <v>297.17967864980278</v>
      </c>
      <c r="CO18" s="201">
        <f t="shared" si="60"/>
        <v>279.52977768517997</v>
      </c>
      <c r="CP18" s="201">
        <f t="shared" si="60"/>
        <v>292.57677327202128</v>
      </c>
      <c r="CQ18" s="201">
        <f t="shared" si="60"/>
        <v>315.58964870366776</v>
      </c>
      <c r="CR18" s="202">
        <f t="shared" si="60"/>
        <v>1184.8758783106709</v>
      </c>
      <c r="CS18" s="201">
        <f t="shared" si="60"/>
        <v>368.12621751913622</v>
      </c>
      <c r="CT18" s="201">
        <f t="shared" si="60"/>
        <v>349.64884319731999</v>
      </c>
      <c r="CU18" s="201">
        <f t="shared" si="60"/>
        <v>363.97179886392871</v>
      </c>
      <c r="CV18" s="201">
        <f t="shared" si="60"/>
        <v>389.03951667010188</v>
      </c>
      <c r="CW18" s="202">
        <f t="shared" si="60"/>
        <v>1470.7863762504867</v>
      </c>
      <c r="CX18" s="201">
        <f t="shared" si="60"/>
        <v>432.00959099135605</v>
      </c>
      <c r="CY18" s="201">
        <f t="shared" si="60"/>
        <v>408.71606245367963</v>
      </c>
      <c r="CZ18" s="201">
        <f t="shared" si="60"/>
        <v>420.17361421833238</v>
      </c>
      <c r="DA18" s="201">
        <f t="shared" si="60"/>
        <v>443.1549255241797</v>
      </c>
      <c r="DB18" s="202">
        <f t="shared" si="60"/>
        <v>1704.0541931875489</v>
      </c>
    </row>
    <row r="19" spans="1:115">
      <c r="A19" s="311" t="s">
        <v>203</v>
      </c>
      <c r="B19" s="6">
        <v>0</v>
      </c>
      <c r="C19" s="6">
        <v>0</v>
      </c>
      <c r="D19" s="6">
        <v>0</v>
      </c>
      <c r="E19" s="6">
        <f>F19-SUM(B19:D19)</f>
        <v>0</v>
      </c>
      <c r="F19" s="185">
        <v>0</v>
      </c>
      <c r="G19" s="6">
        <v>0</v>
      </c>
      <c r="H19" s="6">
        <v>0</v>
      </c>
      <c r="I19" s="6">
        <v>0</v>
      </c>
      <c r="J19" s="6">
        <f t="shared" ref="J19" si="61">K19-SUM(G19:I19)</f>
        <v>0</v>
      </c>
      <c r="K19" s="185">
        <v>0</v>
      </c>
      <c r="L19" s="6">
        <v>0</v>
      </c>
      <c r="M19" s="6">
        <v>0</v>
      </c>
      <c r="N19" s="6">
        <v>0.10299999999999999</v>
      </c>
      <c r="O19" s="6">
        <f t="shared" ref="O19" si="62">P19-SUM(L19:N19)</f>
        <v>3.8999999999999993E-2</v>
      </c>
      <c r="P19" s="185">
        <v>0.14199999999999999</v>
      </c>
      <c r="Q19" s="6">
        <v>4.7E-2</v>
      </c>
      <c r="R19" s="6">
        <v>6.4000000000000001E-2</v>
      </c>
      <c r="S19" s="6">
        <v>0.16200000000000001</v>
      </c>
      <c r="T19" s="6">
        <f t="shared" ref="T19" si="63">U19-SUM(Q19:S19)</f>
        <v>0.18099999999999999</v>
      </c>
      <c r="U19" s="185">
        <v>0.45400000000000001</v>
      </c>
      <c r="V19" s="6">
        <v>0.104</v>
      </c>
      <c r="W19" s="6">
        <v>0.113</v>
      </c>
      <c r="X19" s="6">
        <v>0.11799999999999999</v>
      </c>
      <c r="Y19" s="6">
        <f t="shared" ref="Y19:Y22" si="64">Z19-SUM(V19:X19)</f>
        <v>-1.3999999999999957E-2</v>
      </c>
      <c r="Z19" s="185">
        <v>0.32100000000000001</v>
      </c>
      <c r="AA19" s="6">
        <v>7.3999999999999996E-2</v>
      </c>
      <c r="AB19" s="6">
        <v>1.895</v>
      </c>
      <c r="AC19" s="6">
        <v>4.3999999999999997E-2</v>
      </c>
      <c r="AD19" s="6">
        <f>AE19-SUM(AA19:AC19)</f>
        <v>-1.399999999999979E-2</v>
      </c>
      <c r="AE19" s="185">
        <v>1.9990000000000001</v>
      </c>
      <c r="AF19" s="6">
        <v>2.3E-2</v>
      </c>
      <c r="AG19" s="6">
        <v>1.4999999999999999E-2</v>
      </c>
      <c r="AH19" s="6">
        <v>2.5000000000000001E-2</v>
      </c>
      <c r="AI19" s="6">
        <f t="shared" ref="AI19:AI22" si="65">AJ19-SUM(AF19:AH19)</f>
        <v>3.5000000000000003E-2</v>
      </c>
      <c r="AJ19" s="185">
        <v>9.8000000000000004E-2</v>
      </c>
      <c r="AK19" s="6">
        <v>0.13400000000000001</v>
      </c>
      <c r="AL19" s="6">
        <v>0.24199999999999999</v>
      </c>
      <c r="AM19" s="6">
        <v>0.27200000000000002</v>
      </c>
      <c r="AN19" s="6">
        <f t="shared" ref="AN19:AN22" si="66">AO19-SUM(AK19:AM19)</f>
        <v>-3.0000000000000027E-2</v>
      </c>
      <c r="AO19" s="185">
        <v>0.61799999999999999</v>
      </c>
      <c r="AP19" s="6">
        <v>0.17899999999999999</v>
      </c>
      <c r="AQ19" s="6">
        <v>0.193</v>
      </c>
      <c r="AR19" s="6">
        <v>0.185</v>
      </c>
      <c r="AS19" s="6">
        <f t="shared" ref="AS19:AS22" si="67">AT19-SUM(AP19:AR19)</f>
        <v>0.42100000000000004</v>
      </c>
      <c r="AT19" s="185">
        <v>0.97799999999999998</v>
      </c>
      <c r="AU19" s="6">
        <v>0.16</v>
      </c>
      <c r="AV19" s="6">
        <v>-0.28199999999999997</v>
      </c>
      <c r="AW19" s="6">
        <v>0.20200000000000001</v>
      </c>
      <c r="AX19" s="6">
        <f t="shared" ref="AX19" si="68">AY19-SUM(AU19:AW19)</f>
        <v>0.19099999999999998</v>
      </c>
      <c r="AY19" s="185">
        <v>0.27100000000000002</v>
      </c>
      <c r="AZ19" s="6">
        <v>0.42799999999999999</v>
      </c>
      <c r="BA19" s="6">
        <v>0.89200000000000002</v>
      </c>
      <c r="BB19" s="6">
        <v>0.73</v>
      </c>
      <c r="BC19" s="6">
        <f t="shared" ref="BC19" si="69">BD19-SUM(AZ19:BB19)</f>
        <v>-1.355</v>
      </c>
      <c r="BD19" s="185">
        <v>0.69499999999999995</v>
      </c>
      <c r="BE19" s="6">
        <v>0.17299999999999999</v>
      </c>
      <c r="BF19" s="6">
        <v>0.27500000000000002</v>
      </c>
      <c r="BG19" s="6">
        <v>0.20699999999999999</v>
      </c>
      <c r="BH19" s="6">
        <f>-59.929-BE19-BF19-BG19</f>
        <v>-60.584000000000003</v>
      </c>
      <c r="BI19" s="185">
        <f>SUM(BE19:BH19)</f>
        <v>-59.929000000000002</v>
      </c>
      <c r="BJ19" s="330">
        <f t="shared" ref="BJ19:BM19" si="70">+BJ20*BJ18</f>
        <v>0</v>
      </c>
      <c r="BK19" s="6">
        <f t="shared" si="70"/>
        <v>0</v>
      </c>
      <c r="BL19" s="6">
        <f t="shared" si="70"/>
        <v>0</v>
      </c>
      <c r="BM19" s="6">
        <f t="shared" si="70"/>
        <v>0</v>
      </c>
      <c r="BN19" s="185">
        <f>SUM(BJ19:BM19)</f>
        <v>0</v>
      </c>
      <c r="BO19" s="6">
        <f t="shared" ref="BO19" si="71">+BO20*BO18</f>
        <v>0</v>
      </c>
      <c r="BP19" s="6">
        <f t="shared" ref="BP19" si="72">+BP20*BP18</f>
        <v>0</v>
      </c>
      <c r="BQ19" s="6">
        <f t="shared" ref="BQ19" si="73">+BQ20*BQ18</f>
        <v>0</v>
      </c>
      <c r="BR19" s="6">
        <f t="shared" ref="BR19" si="74">+BR20*BR18</f>
        <v>0</v>
      </c>
      <c r="BS19" s="185">
        <f>SUM(BO19:BR19)</f>
        <v>0</v>
      </c>
      <c r="BT19" s="6">
        <f t="shared" ref="BT19" si="75">+BT20*BT18</f>
        <v>0</v>
      </c>
      <c r="BU19" s="6">
        <f t="shared" ref="BU19" si="76">+BU20*BU18</f>
        <v>0</v>
      </c>
      <c r="BV19" s="6">
        <f t="shared" ref="BV19" si="77">+BV20*BV18</f>
        <v>0</v>
      </c>
      <c r="BW19" s="6">
        <f t="shared" ref="BW19" si="78">+BW20*BW18</f>
        <v>0</v>
      </c>
      <c r="BX19" s="185">
        <f>SUM(BT19:BW19)</f>
        <v>0</v>
      </c>
      <c r="BY19" s="6">
        <f t="shared" ref="BY19" si="79">+BY20*BY18</f>
        <v>0</v>
      </c>
      <c r="BZ19" s="6">
        <f t="shared" ref="BZ19" si="80">+BZ20*BZ18</f>
        <v>0</v>
      </c>
      <c r="CA19" s="6">
        <f t="shared" ref="CA19" si="81">+CA20*CA18</f>
        <v>0</v>
      </c>
      <c r="CB19" s="6">
        <f t="shared" ref="CB19" si="82">+CB20*CB18</f>
        <v>0</v>
      </c>
      <c r="CC19" s="185">
        <f>SUM(BY19:CB19)</f>
        <v>0</v>
      </c>
      <c r="CD19" s="6">
        <f t="shared" ref="CD19" si="83">+CD20*CD18</f>
        <v>0</v>
      </c>
      <c r="CE19" s="6">
        <f t="shared" ref="CE19" si="84">+CE20*CE18</f>
        <v>0</v>
      </c>
      <c r="CF19" s="6">
        <f t="shared" ref="CF19" si="85">+CF20*CF18</f>
        <v>0</v>
      </c>
      <c r="CG19" s="6">
        <f t="shared" ref="CG19" si="86">+CG20*CG18</f>
        <v>0</v>
      </c>
      <c r="CH19" s="185">
        <f>SUM(CD19:CG19)</f>
        <v>0</v>
      </c>
      <c r="CI19" s="6">
        <f t="shared" ref="CI19" si="87">+CI20*CI18</f>
        <v>0</v>
      </c>
      <c r="CJ19" s="6">
        <f t="shared" ref="CJ19" si="88">+CJ20*CJ18</f>
        <v>0</v>
      </c>
      <c r="CK19" s="6">
        <f t="shared" ref="CK19" si="89">+CK20*CK18</f>
        <v>0</v>
      </c>
      <c r="CL19" s="6">
        <f t="shared" ref="CL19" si="90">+CL20*CL18</f>
        <v>0</v>
      </c>
      <c r="CM19" s="185">
        <f>SUM(CI19:CL19)</f>
        <v>0</v>
      </c>
      <c r="CN19" s="6">
        <f t="shared" ref="CN19" si="91">+CN20*CN18</f>
        <v>0</v>
      </c>
      <c r="CO19" s="6">
        <f t="shared" ref="CO19" si="92">+CO20*CO18</f>
        <v>0</v>
      </c>
      <c r="CP19" s="6">
        <f t="shared" ref="CP19" si="93">+CP20*CP18</f>
        <v>0</v>
      </c>
      <c r="CQ19" s="6">
        <f t="shared" ref="CQ19" si="94">+CQ20*CQ18</f>
        <v>0</v>
      </c>
      <c r="CR19" s="185">
        <f>SUM(CN19:CQ19)</f>
        <v>0</v>
      </c>
      <c r="CS19" s="6">
        <f t="shared" ref="CS19" si="95">+CS20*CS18</f>
        <v>0</v>
      </c>
      <c r="CT19" s="6">
        <f t="shared" ref="CT19" si="96">+CT20*CT18</f>
        <v>0</v>
      </c>
      <c r="CU19" s="6">
        <f t="shared" ref="CU19" si="97">+CU20*CU18</f>
        <v>0</v>
      </c>
      <c r="CV19" s="6">
        <f t="shared" ref="CV19" si="98">+CV20*CV18</f>
        <v>0</v>
      </c>
      <c r="CW19" s="185">
        <f>SUM(CS19:CV19)</f>
        <v>0</v>
      </c>
      <c r="CX19" s="6">
        <f t="shared" ref="CX19" si="99">+CX20*CX18</f>
        <v>0</v>
      </c>
      <c r="CY19" s="6">
        <f t="shared" ref="CY19" si="100">+CY20*CY18</f>
        <v>0</v>
      </c>
      <c r="CZ19" s="6">
        <f t="shared" ref="CZ19" si="101">+CZ20*CZ18</f>
        <v>0</v>
      </c>
      <c r="DA19" s="6">
        <f t="shared" ref="DA19" si="102">+DA20*DA18</f>
        <v>0</v>
      </c>
      <c r="DB19" s="185">
        <f>SUM(CX19:DA19)</f>
        <v>0</v>
      </c>
      <c r="DD19" s="1">
        <f>SUM(BX19,CC19,CH19,CM19,CR19,CW19,DB19)</f>
        <v>0</v>
      </c>
    </row>
    <row r="20" spans="1:115">
      <c r="A20" s="313" t="s">
        <v>481</v>
      </c>
      <c r="B20" s="62">
        <f>+B19/B18</f>
        <v>0</v>
      </c>
      <c r="C20" s="62">
        <f t="shared" ref="C20:BF20" si="103">+C19/C18</f>
        <v>0</v>
      </c>
      <c r="D20" s="62">
        <f t="shared" si="103"/>
        <v>0</v>
      </c>
      <c r="E20" s="62">
        <f t="shared" si="103"/>
        <v>0</v>
      </c>
      <c r="F20" s="347">
        <f t="shared" si="103"/>
        <v>0</v>
      </c>
      <c r="G20" s="62">
        <f t="shared" si="103"/>
        <v>0</v>
      </c>
      <c r="H20" s="62">
        <f t="shared" si="103"/>
        <v>0</v>
      </c>
      <c r="I20" s="62">
        <f t="shared" si="103"/>
        <v>0</v>
      </c>
      <c r="J20" s="62">
        <f t="shared" si="103"/>
        <v>0</v>
      </c>
      <c r="K20" s="347">
        <f t="shared" si="103"/>
        <v>0</v>
      </c>
      <c r="L20" s="62">
        <f t="shared" si="103"/>
        <v>0</v>
      </c>
      <c r="M20" s="62">
        <f t="shared" si="103"/>
        <v>0</v>
      </c>
      <c r="N20" s="62">
        <f t="shared" si="103"/>
        <v>-3.9746854981863077E-3</v>
      </c>
      <c r="O20" s="62">
        <f t="shared" si="103"/>
        <v>-1.0298933136157176E-3</v>
      </c>
      <c r="P20" s="347">
        <f t="shared" si="103"/>
        <v>-1.484998379051065E-3</v>
      </c>
      <c r="Q20" s="62">
        <f t="shared" si="103"/>
        <v>-1.3086818510887118E-3</v>
      </c>
      <c r="R20" s="62">
        <f t="shared" si="103"/>
        <v>-2.3131415353476936E-3</v>
      </c>
      <c r="S20" s="62">
        <f t="shared" si="103"/>
        <v>-6.0095707979374545E-3</v>
      </c>
      <c r="T20" s="62">
        <f t="shared" si="103"/>
        <v>-3.9937335892853186E-3</v>
      </c>
      <c r="U20" s="347">
        <f t="shared" si="103"/>
        <v>-3.3416752539378769E-3</v>
      </c>
      <c r="V20" s="62">
        <f t="shared" si="103"/>
        <v>-3.1737312704080076E-3</v>
      </c>
      <c r="W20" s="62">
        <f t="shared" si="103"/>
        <v>-3.3520215953249683E-3</v>
      </c>
      <c r="X20" s="62">
        <f t="shared" si="103"/>
        <v>-4.0002712048274464E-3</v>
      </c>
      <c r="Y20" s="62">
        <f t="shared" si="103"/>
        <v>4.3949144561293194E-4</v>
      </c>
      <c r="Z20" s="347">
        <f t="shared" si="103"/>
        <v>-2.5110886860200423E-3</v>
      </c>
      <c r="AA20" s="62">
        <f t="shared" si="103"/>
        <v>-2.1753828967869008E-3</v>
      </c>
      <c r="AB20" s="62">
        <f t="shared" si="103"/>
        <v>-6.2088398152092009E-2</v>
      </c>
      <c r="AC20" s="62">
        <f t="shared" si="103"/>
        <v>-1.1739281235826158E-3</v>
      </c>
      <c r="AD20" s="62">
        <f t="shared" si="103"/>
        <v>3.9776117282722275E-4</v>
      </c>
      <c r="AE20" s="347">
        <f t="shared" si="103"/>
        <v>-1.4568271921641783E-2</v>
      </c>
      <c r="AF20" s="62">
        <f t="shared" si="103"/>
        <v>-6.5065489829981037E-4</v>
      </c>
      <c r="AG20" s="62">
        <f t="shared" si="103"/>
        <v>-2.515849854080708E-4</v>
      </c>
      <c r="AH20" s="62">
        <f t="shared" si="103"/>
        <v>-4.2883117774194672E-4</v>
      </c>
      <c r="AI20" s="62">
        <f t="shared" si="103"/>
        <v>-4.5825913899654369E-4</v>
      </c>
      <c r="AJ20" s="347">
        <f t="shared" si="103"/>
        <v>-4.2674562912321188E-4</v>
      </c>
      <c r="AK20" s="62">
        <f t="shared" si="103"/>
        <v>-2.1029834115412994E-3</v>
      </c>
      <c r="AL20" s="62">
        <f t="shared" si="103"/>
        <v>-2.0900988046707661E-3</v>
      </c>
      <c r="AM20" s="62">
        <f t="shared" si="103"/>
        <v>-1.8013125740889134E-3</v>
      </c>
      <c r="AN20" s="62">
        <f t="shared" si="103"/>
        <v>2.1338037185086154E-4</v>
      </c>
      <c r="AO20" s="347">
        <f t="shared" si="103"/>
        <v>-1.311828961277696E-3</v>
      </c>
      <c r="AP20" s="62">
        <f t="shared" si="103"/>
        <v>-1.2932030979077563E-3</v>
      </c>
      <c r="AQ20" s="62">
        <f t="shared" si="103"/>
        <v>-1.3314201354875203E-3</v>
      </c>
      <c r="AR20" s="62">
        <f t="shared" si="103"/>
        <v>-1.5252071396182857E-3</v>
      </c>
      <c r="AS20" s="62">
        <f t="shared" si="103"/>
        <v>-2.9616185491586453E-3</v>
      </c>
      <c r="AT20" s="347">
        <f t="shared" si="103"/>
        <v>-1.7885194606644583E-3</v>
      </c>
      <c r="AU20" s="62">
        <f t="shared" si="103"/>
        <v>-1.1697873180432385E-3</v>
      </c>
      <c r="AV20" s="62">
        <f t="shared" si="103"/>
        <v>2.5385965701939951E-3</v>
      </c>
      <c r="AW20" s="62">
        <f t="shared" si="103"/>
        <v>-1.856139963979859E-3</v>
      </c>
      <c r="AX20" s="62">
        <f t="shared" si="103"/>
        <v>-2.4537512846865344E-3</v>
      </c>
      <c r="AY20" s="347">
        <f t="shared" si="103"/>
        <v>-6.2366234782408592E-4</v>
      </c>
      <c r="AZ20" s="396">
        <f t="shared" si="103"/>
        <v>-6.3717973530243738E-3</v>
      </c>
      <c r="BA20" s="396">
        <f t="shared" si="103"/>
        <v>-2.4390243902439015E-2</v>
      </c>
      <c r="BB20" s="396">
        <f t="shared" si="103"/>
        <v>-2.3653684142310914E-2</v>
      </c>
      <c r="BC20" s="396">
        <f t="shared" si="103"/>
        <v>2.4580052969560715E-2</v>
      </c>
      <c r="BD20" s="397">
        <f t="shared" si="103"/>
        <v>-3.6630808882048816E-3</v>
      </c>
      <c r="BE20" s="396">
        <f t="shared" si="103"/>
        <v>-2.5912556356065476E-3</v>
      </c>
      <c r="BF20" s="396">
        <f t="shared" si="103"/>
        <v>-2.7318875853094E-3</v>
      </c>
      <c r="BG20" s="396">
        <f t="shared" ref="BG20:BH20" si="104">+BG19/BG18</f>
        <v>-2.3701294983798399E-3</v>
      </c>
      <c r="BH20" s="396">
        <f t="shared" si="104"/>
        <v>4.5463004652558876</v>
      </c>
      <c r="BI20" s="397">
        <f t="shared" ref="BI20" si="105">+BI19/BI18</f>
        <v>0.22354143586644748</v>
      </c>
      <c r="BJ20" s="398">
        <v>0</v>
      </c>
      <c r="BK20" s="399">
        <v>0</v>
      </c>
      <c r="BL20" s="399">
        <v>0</v>
      </c>
      <c r="BM20" s="399">
        <v>0</v>
      </c>
      <c r="BN20" s="397">
        <f t="shared" ref="BN20" si="106">+BN19/BN18</f>
        <v>0</v>
      </c>
      <c r="BO20" s="399">
        <v>0</v>
      </c>
      <c r="BP20" s="399">
        <v>0</v>
      </c>
      <c r="BQ20" s="399">
        <v>0</v>
      </c>
      <c r="BR20" s="399">
        <v>0</v>
      </c>
      <c r="BS20" s="397">
        <f t="shared" ref="BS20" si="107">+BS19/BS18</f>
        <v>0</v>
      </c>
      <c r="BT20" s="400">
        <f>BX20</f>
        <v>0</v>
      </c>
      <c r="BU20" s="400">
        <f>BX20</f>
        <v>0</v>
      </c>
      <c r="BV20" s="400">
        <f>BX20</f>
        <v>0</v>
      </c>
      <c r="BW20" s="400">
        <f>BX20</f>
        <v>0</v>
      </c>
      <c r="BX20" s="401">
        <v>0</v>
      </c>
      <c r="BY20" s="400">
        <f>CC20</f>
        <v>0</v>
      </c>
      <c r="BZ20" s="400">
        <f>CC20</f>
        <v>0</v>
      </c>
      <c r="CA20" s="400">
        <f>CC20</f>
        <v>0</v>
      </c>
      <c r="CB20" s="400">
        <f>CC20</f>
        <v>0</v>
      </c>
      <c r="CC20" s="401">
        <v>0</v>
      </c>
      <c r="CD20" s="400">
        <f>CH20</f>
        <v>0</v>
      </c>
      <c r="CE20" s="400">
        <f>CH20</f>
        <v>0</v>
      </c>
      <c r="CF20" s="400">
        <f>CH20</f>
        <v>0</v>
      </c>
      <c r="CG20" s="400">
        <f>CH20</f>
        <v>0</v>
      </c>
      <c r="CH20" s="401">
        <v>0</v>
      </c>
      <c r="CI20" s="400">
        <f>CM20</f>
        <v>0</v>
      </c>
      <c r="CJ20" s="400">
        <f>CM20</f>
        <v>0</v>
      </c>
      <c r="CK20" s="400">
        <f>CM20</f>
        <v>0</v>
      </c>
      <c r="CL20" s="400">
        <f>CM20</f>
        <v>0</v>
      </c>
      <c r="CM20" s="401">
        <v>0</v>
      </c>
      <c r="CN20" s="400">
        <f>CR20</f>
        <v>0</v>
      </c>
      <c r="CO20" s="400">
        <f>CR20</f>
        <v>0</v>
      </c>
      <c r="CP20" s="400">
        <f>CR20</f>
        <v>0</v>
      </c>
      <c r="CQ20" s="400">
        <f>CR20</f>
        <v>0</v>
      </c>
      <c r="CR20" s="401">
        <v>0</v>
      </c>
      <c r="CS20" s="400">
        <f>CW20</f>
        <v>0</v>
      </c>
      <c r="CT20" s="400">
        <f>CW20</f>
        <v>0</v>
      </c>
      <c r="CU20" s="400">
        <f>CW20</f>
        <v>0</v>
      </c>
      <c r="CV20" s="400">
        <f>CW20</f>
        <v>0</v>
      </c>
      <c r="CW20" s="401">
        <v>0</v>
      </c>
      <c r="CX20" s="400">
        <f>DB20</f>
        <v>0</v>
      </c>
      <c r="CY20" s="400">
        <f>DB20</f>
        <v>0</v>
      </c>
      <c r="CZ20" s="400">
        <f>DB20</f>
        <v>0</v>
      </c>
      <c r="DA20" s="400">
        <f>DB20</f>
        <v>0</v>
      </c>
      <c r="DB20" s="401">
        <v>0</v>
      </c>
    </row>
    <row r="21" spans="1:115" s="146" customFormat="1">
      <c r="A21" s="310" t="s">
        <v>474</v>
      </c>
      <c r="B21" s="201">
        <f>+B18-B19</f>
        <v>-9.6160000000000014</v>
      </c>
      <c r="C21" s="201">
        <f>+C18-C19</f>
        <v>-0.51400000000000179</v>
      </c>
      <c r="D21" s="201">
        <f t="shared" ref="D21:BO21" si="108">+D18-D19</f>
        <v>3.7240000000000002</v>
      </c>
      <c r="E21" s="201">
        <f>+E18-E19</f>
        <v>1.2539999999999902</v>
      </c>
      <c r="F21" s="202">
        <f>+F18-F19</f>
        <v>-5.1520000000000223</v>
      </c>
      <c r="G21" s="201">
        <f t="shared" si="108"/>
        <v>-10.003999999999998</v>
      </c>
      <c r="H21" s="201">
        <f t="shared" si="108"/>
        <v>-19.680999999999994</v>
      </c>
      <c r="I21" s="201">
        <f t="shared" si="108"/>
        <v>-17.630000000000003</v>
      </c>
      <c r="J21" s="201">
        <f t="shared" si="108"/>
        <v>-22.960000000000004</v>
      </c>
      <c r="K21" s="202">
        <f t="shared" si="108"/>
        <v>-70.27500000000002</v>
      </c>
      <c r="L21" s="201">
        <f t="shared" si="108"/>
        <v>-8.6850000000000041</v>
      </c>
      <c r="M21" s="201">
        <f t="shared" si="108"/>
        <v>-23.155999999999992</v>
      </c>
      <c r="N21" s="201">
        <f t="shared" si="108"/>
        <v>-26.017000000000003</v>
      </c>
      <c r="O21" s="201">
        <f t="shared" si="108"/>
        <v>-37.906999999999996</v>
      </c>
      <c r="P21" s="202">
        <f t="shared" si="108"/>
        <v>-95.765000000000001</v>
      </c>
      <c r="Q21" s="201">
        <f>+Q18-Q19</f>
        <v>-35.960999999999999</v>
      </c>
      <c r="R21" s="201">
        <f t="shared" si="108"/>
        <v>-27.732000000000006</v>
      </c>
      <c r="S21" s="201">
        <f t="shared" si="108"/>
        <v>-27.119000000000007</v>
      </c>
      <c r="T21" s="201">
        <f t="shared" si="108"/>
        <v>-45.502000000000017</v>
      </c>
      <c r="U21" s="202">
        <f t="shared" si="108"/>
        <v>-136.31400000000002</v>
      </c>
      <c r="V21" s="201">
        <f t="shared" si="108"/>
        <v>-32.872999999999998</v>
      </c>
      <c r="W21" s="201">
        <f t="shared" si="108"/>
        <v>-33.823999999999998</v>
      </c>
      <c r="X21" s="201">
        <f t="shared" si="108"/>
        <v>-29.615999999999993</v>
      </c>
      <c r="Y21" s="201">
        <f t="shared" si="108"/>
        <v>-31.841000000000022</v>
      </c>
      <c r="Z21" s="202">
        <f t="shared" si="108"/>
        <v>-128.154</v>
      </c>
      <c r="AA21" s="201">
        <f t="shared" si="108"/>
        <v>-34.090999999999994</v>
      </c>
      <c r="AB21" s="201">
        <f t="shared" si="108"/>
        <v>-32.415999999999997</v>
      </c>
      <c r="AC21" s="201">
        <f t="shared" si="108"/>
        <v>-37.524999999999977</v>
      </c>
      <c r="AD21" s="201">
        <f>+AD18-AD19</f>
        <v>-35.183000000000078</v>
      </c>
      <c r="AE21" s="202">
        <f t="shared" si="108"/>
        <v>-139.21500000000009</v>
      </c>
      <c r="AF21" s="201">
        <f t="shared" si="108"/>
        <v>-35.372000000000007</v>
      </c>
      <c r="AG21" s="201">
        <f t="shared" si="108"/>
        <v>-59.637000000000008</v>
      </c>
      <c r="AH21" s="201">
        <f t="shared" si="108"/>
        <v>-58.322999999999979</v>
      </c>
      <c r="AI21" s="201">
        <f t="shared" si="108"/>
        <v>-76.410999999999959</v>
      </c>
      <c r="AJ21" s="202">
        <f t="shared" si="108"/>
        <v>-229.74300000000005</v>
      </c>
      <c r="AK21" s="201">
        <f t="shared" si="108"/>
        <v>-63.852999999999973</v>
      </c>
      <c r="AL21" s="201">
        <f t="shared" si="108"/>
        <v>-116.02600000000001</v>
      </c>
      <c r="AM21" s="201">
        <f t="shared" si="108"/>
        <v>-151.273</v>
      </c>
      <c r="AN21" s="201">
        <f t="shared" si="108"/>
        <v>-140.56399999999999</v>
      </c>
      <c r="AO21" s="202">
        <f t="shared" si="108"/>
        <v>-471.71599999999995</v>
      </c>
      <c r="AP21" s="201">
        <f t="shared" si="108"/>
        <v>-138.595</v>
      </c>
      <c r="AQ21" s="201">
        <f t="shared" si="108"/>
        <v>-145.15100000000004</v>
      </c>
      <c r="AR21" s="201">
        <f t="shared" si="108"/>
        <v>-121.48000000000002</v>
      </c>
      <c r="AS21" s="201">
        <f t="shared" si="108"/>
        <v>-142.57300000000009</v>
      </c>
      <c r="AT21" s="202">
        <f t="shared" si="108"/>
        <v>-547.79900000000009</v>
      </c>
      <c r="AU21" s="201">
        <f t="shared" si="108"/>
        <v>-136.93699999999998</v>
      </c>
      <c r="AV21" s="201">
        <f t="shared" si="108"/>
        <v>-110.80300000000003</v>
      </c>
      <c r="AW21" s="201">
        <f t="shared" si="108"/>
        <v>-109.02999999999996</v>
      </c>
      <c r="AX21" s="201">
        <f t="shared" si="108"/>
        <v>-78.031000000000063</v>
      </c>
      <c r="AY21" s="202">
        <f t="shared" si="108"/>
        <v>-434.80099999999999</v>
      </c>
      <c r="AZ21" s="201">
        <f t="shared" si="108"/>
        <v>-67.598999999999961</v>
      </c>
      <c r="BA21" s="201">
        <f t="shared" si="108"/>
        <v>-37.46400000000002</v>
      </c>
      <c r="BB21" s="201">
        <f t="shared" si="108"/>
        <v>-31.592000000000024</v>
      </c>
      <c r="BC21" s="201">
        <f t="shared" si="108"/>
        <v>-53.770999999999844</v>
      </c>
      <c r="BD21" s="202">
        <f t="shared" si="108"/>
        <v>-190.42599999999987</v>
      </c>
      <c r="BE21" s="201">
        <f t="shared" si="108"/>
        <v>-66.936000000000021</v>
      </c>
      <c r="BF21" s="201">
        <f t="shared" si="108"/>
        <v>-100.93799999999996</v>
      </c>
      <c r="BG21" s="201">
        <f t="shared" si="108"/>
        <v>-87.543999999999954</v>
      </c>
      <c r="BH21" s="201">
        <f t="shared" si="108"/>
        <v>47.257999999999996</v>
      </c>
      <c r="BI21" s="202">
        <f>+BI18-BI19</f>
        <v>-208.15999999999983</v>
      </c>
      <c r="BJ21" s="329">
        <f t="shared" si="108"/>
        <v>-82.660079905126622</v>
      </c>
      <c r="BK21" s="201">
        <f t="shared" si="108"/>
        <v>-67.253722193824217</v>
      </c>
      <c r="BL21" s="201">
        <f t="shared" si="108"/>
        <v>-55.390224319161582</v>
      </c>
      <c r="BM21" s="201">
        <f t="shared" si="108"/>
        <v>-28.14669631051434</v>
      </c>
      <c r="BN21" s="202">
        <f t="shared" si="108"/>
        <v>-233.4507227286264</v>
      </c>
      <c r="BO21" s="201">
        <f t="shared" si="108"/>
        <v>-20.094637521851411</v>
      </c>
      <c r="BP21" s="201">
        <f t="shared" ref="BP21:DB21" si="109">+BP18-BP19</f>
        <v>-33.214636351996262</v>
      </c>
      <c r="BQ21" s="201">
        <f t="shared" si="109"/>
        <v>-23.941890481919131</v>
      </c>
      <c r="BR21" s="201">
        <f t="shared" si="109"/>
        <v>-8.0727469359865971</v>
      </c>
      <c r="BS21" s="202">
        <f t="shared" si="109"/>
        <v>-85.323911291753973</v>
      </c>
      <c r="BT21" s="201">
        <f t="shared" si="109"/>
        <v>25.352777368399543</v>
      </c>
      <c r="BU21" s="201">
        <f t="shared" si="109"/>
        <v>17.31318301077382</v>
      </c>
      <c r="BV21" s="201">
        <f t="shared" si="109"/>
        <v>27.907071506302472</v>
      </c>
      <c r="BW21" s="201">
        <f t="shared" si="109"/>
        <v>48.044827475659396</v>
      </c>
      <c r="BX21" s="202">
        <f t="shared" si="109"/>
        <v>118.61785936113512</v>
      </c>
      <c r="BY21" s="201">
        <f t="shared" si="109"/>
        <v>87.730807778746438</v>
      </c>
      <c r="BZ21" s="201">
        <f t="shared" si="109"/>
        <v>75.490972342737706</v>
      </c>
      <c r="CA21" s="201">
        <f t="shared" si="109"/>
        <v>90.399411884304456</v>
      </c>
      <c r="CB21" s="201">
        <f t="shared" si="109"/>
        <v>110.25831469974848</v>
      </c>
      <c r="CC21" s="202">
        <f t="shared" si="109"/>
        <v>363.8795067055371</v>
      </c>
      <c r="CD21" s="201">
        <f t="shared" si="109"/>
        <v>157.72482552187137</v>
      </c>
      <c r="CE21" s="201">
        <f t="shared" si="109"/>
        <v>146.24077175651178</v>
      </c>
      <c r="CF21" s="201">
        <f t="shared" si="109"/>
        <v>161.4676709212564</v>
      </c>
      <c r="CG21" s="201">
        <f t="shared" si="109"/>
        <v>185.07798255242747</v>
      </c>
      <c r="CH21" s="202">
        <f t="shared" si="109"/>
        <v>650.51125075206767</v>
      </c>
      <c r="CI21" s="201">
        <f t="shared" si="109"/>
        <v>230.63806803869755</v>
      </c>
      <c r="CJ21" s="201">
        <f t="shared" si="109"/>
        <v>214.39732469211279</v>
      </c>
      <c r="CK21" s="201">
        <f t="shared" si="109"/>
        <v>226.88744345211259</v>
      </c>
      <c r="CL21" s="201">
        <f t="shared" si="109"/>
        <v>248.50649806189691</v>
      </c>
      <c r="CM21" s="202">
        <f t="shared" si="109"/>
        <v>920.42933424481919</v>
      </c>
      <c r="CN21" s="201">
        <f t="shared" si="109"/>
        <v>297.17967864980278</v>
      </c>
      <c r="CO21" s="201">
        <f t="shared" si="109"/>
        <v>279.52977768517997</v>
      </c>
      <c r="CP21" s="201">
        <f t="shared" si="109"/>
        <v>292.57677327202128</v>
      </c>
      <c r="CQ21" s="201">
        <f t="shared" si="109"/>
        <v>315.58964870366776</v>
      </c>
      <c r="CR21" s="202">
        <f t="shared" si="109"/>
        <v>1184.8758783106709</v>
      </c>
      <c r="CS21" s="201">
        <f t="shared" si="109"/>
        <v>368.12621751913622</v>
      </c>
      <c r="CT21" s="201">
        <f t="shared" si="109"/>
        <v>349.64884319731999</v>
      </c>
      <c r="CU21" s="201">
        <f t="shared" si="109"/>
        <v>363.97179886392871</v>
      </c>
      <c r="CV21" s="201">
        <f t="shared" si="109"/>
        <v>389.03951667010188</v>
      </c>
      <c r="CW21" s="202">
        <f t="shared" si="109"/>
        <v>1470.7863762504867</v>
      </c>
      <c r="CX21" s="201">
        <f t="shared" si="109"/>
        <v>432.00959099135605</v>
      </c>
      <c r="CY21" s="201">
        <f t="shared" si="109"/>
        <v>408.71606245367963</v>
      </c>
      <c r="CZ21" s="201">
        <f t="shared" si="109"/>
        <v>420.17361421833238</v>
      </c>
      <c r="DA21" s="201">
        <f t="shared" si="109"/>
        <v>443.1549255241797</v>
      </c>
      <c r="DB21" s="202">
        <f t="shared" si="109"/>
        <v>1704.0541931875489</v>
      </c>
    </row>
    <row r="22" spans="1:115">
      <c r="A22" s="311" t="s">
        <v>204</v>
      </c>
      <c r="B22" s="6">
        <v>0</v>
      </c>
      <c r="C22" s="6">
        <v>0</v>
      </c>
      <c r="D22" s="6">
        <f>2.552+1</f>
        <v>3.552</v>
      </c>
      <c r="E22" s="6">
        <f>F22-SUM(B22:D22)</f>
        <v>-3.552</v>
      </c>
      <c r="F22" s="185">
        <v>0</v>
      </c>
      <c r="G22" s="6">
        <v>0</v>
      </c>
      <c r="H22" s="6">
        <v>0</v>
      </c>
      <c r="I22" s="6">
        <v>-3.5999999999999997E-2</v>
      </c>
      <c r="J22" s="6">
        <f>1.416-G22-H22-I22</f>
        <v>1.452</v>
      </c>
      <c r="K22" s="185">
        <f>+G22+H22+I22+J22</f>
        <v>1.4159999999999999</v>
      </c>
      <c r="L22" s="6">
        <v>-1.8109999999999999</v>
      </c>
      <c r="M22" s="6">
        <v>-0.54800000000000004</v>
      </c>
      <c r="N22" s="6">
        <v>0.60899999999999999</v>
      </c>
      <c r="O22" s="6">
        <f>-0.691-L22-M22-N22</f>
        <v>1.0590000000000002</v>
      </c>
      <c r="P22" s="185">
        <f>+L22+M22+N22+O22</f>
        <v>-0.69099999999999984</v>
      </c>
      <c r="Q22" s="6">
        <v>-0.2</v>
      </c>
      <c r="R22" s="6">
        <v>-6.2E-2</v>
      </c>
      <c r="S22" s="6">
        <v>-6.7000000000000004E-2</v>
      </c>
      <c r="T22" s="6">
        <f>U22-SUM(Q22:S22)</f>
        <v>0.37</v>
      </c>
      <c r="U22" s="185">
        <v>4.1000000000000002E-2</v>
      </c>
      <c r="V22" s="6">
        <v>0.13800000000000001</v>
      </c>
      <c r="W22" s="6">
        <v>-4.5999999999999999E-2</v>
      </c>
      <c r="X22" s="6">
        <v>3.5999999999999997E-2</v>
      </c>
      <c r="Y22" s="6">
        <f t="shared" si="64"/>
        <v>-0.34199999999999997</v>
      </c>
      <c r="Z22" s="185">
        <v>-0.214</v>
      </c>
      <c r="AA22" s="6">
        <v>-0.28599999999999998</v>
      </c>
      <c r="AB22" s="6">
        <v>-1.0609999999999999</v>
      </c>
      <c r="AC22" s="6">
        <v>-6.3E-2</v>
      </c>
      <c r="AD22" s="6">
        <f>AE22-SUM(AA22:AC22)</f>
        <v>-6.1000000000000165E-2</v>
      </c>
      <c r="AE22" s="185">
        <v>-1.4710000000000001</v>
      </c>
      <c r="AF22" s="6">
        <v>-4.7469999999999999</v>
      </c>
      <c r="AG22" s="6">
        <v>-0.104</v>
      </c>
      <c r="AH22" s="6">
        <v>0.6</v>
      </c>
      <c r="AI22" s="6">
        <f t="shared" si="65"/>
        <v>0.91100000000000048</v>
      </c>
      <c r="AJ22" s="185">
        <v>-3.34</v>
      </c>
      <c r="AK22" s="6">
        <v>1.0620000000000001</v>
      </c>
      <c r="AL22" s="6">
        <v>0.75600000000000001</v>
      </c>
      <c r="AM22" s="6">
        <v>0.95</v>
      </c>
      <c r="AN22" s="6">
        <f t="shared" si="66"/>
        <v>3.7780000000000005</v>
      </c>
      <c r="AO22" s="185">
        <v>6.5460000000000003</v>
      </c>
      <c r="AP22" s="6">
        <v>11.617000000000001</v>
      </c>
      <c r="AQ22" s="6">
        <v>2.4929999999999999</v>
      </c>
      <c r="AR22" s="6">
        <v>3.2120000000000002</v>
      </c>
      <c r="AS22" s="6">
        <f t="shared" si="67"/>
        <v>-3.2470000000000034</v>
      </c>
      <c r="AT22" s="185">
        <f>--14.075</f>
        <v>14.074999999999999</v>
      </c>
      <c r="AU22" s="6">
        <v>-4.5640000000000001</v>
      </c>
      <c r="AV22" s="6">
        <v>-2.5950000000000002</v>
      </c>
      <c r="AW22" s="6">
        <v>-3.8069999999999999</v>
      </c>
      <c r="AX22" s="6">
        <f>AY22-SUM(AU22:AW22)</f>
        <v>-2.3109999999999982</v>
      </c>
      <c r="AY22" s="185">
        <v>-13.276999999999999</v>
      </c>
      <c r="AZ22" s="390">
        <v>-0.89300000000000002</v>
      </c>
      <c r="BA22" s="390">
        <v>-0.83399999999999996</v>
      </c>
      <c r="BB22" s="390">
        <v>-0.59299999999999997</v>
      </c>
      <c r="BC22" s="390">
        <f>BD22-SUM(AZ22:BB22)</f>
        <v>-0.42100000000000026</v>
      </c>
      <c r="BD22" s="391">
        <v>-2.7410000000000001</v>
      </c>
      <c r="BE22" s="390">
        <v>-0.14699999999999999</v>
      </c>
      <c r="BF22" s="390">
        <v>0.09</v>
      </c>
      <c r="BG22" s="390">
        <v>-0.1</v>
      </c>
      <c r="BH22" s="390">
        <f>-0.086-BE22-BF22-BG22</f>
        <v>7.1000000000000008E-2</v>
      </c>
      <c r="BI22" s="391">
        <f>+BE22+BF22+BG22+BH22</f>
        <v>-8.5999999999999993E-2</v>
      </c>
      <c r="BJ22" s="393">
        <v>-0.1</v>
      </c>
      <c r="BK22" s="394">
        <v>-0.1</v>
      </c>
      <c r="BL22" s="394">
        <v>-0.1</v>
      </c>
      <c r="BM22" s="394">
        <v>-0.1</v>
      </c>
      <c r="BN22" s="391">
        <f>+BJ22+BK22+BL22+BM22</f>
        <v>-0.4</v>
      </c>
      <c r="BO22" s="394">
        <v>-0.1</v>
      </c>
      <c r="BP22" s="394">
        <v>-0.1</v>
      </c>
      <c r="BQ22" s="394">
        <v>-0.1</v>
      </c>
      <c r="BR22" s="394">
        <v>-0.1</v>
      </c>
      <c r="BS22" s="391">
        <f>+BO22+BP22+BQ22+BR22</f>
        <v>-0.4</v>
      </c>
      <c r="BT22" s="394">
        <v>-0.1</v>
      </c>
      <c r="BU22" s="394">
        <v>-0.1</v>
      </c>
      <c r="BV22" s="394">
        <v>-0.1</v>
      </c>
      <c r="BW22" s="394">
        <v>-0.1</v>
      </c>
      <c r="BX22" s="391">
        <f>+BT22+BU22+BV22+BW22</f>
        <v>-0.4</v>
      </c>
      <c r="BY22" s="394">
        <v>-0.1</v>
      </c>
      <c r="BZ22" s="394">
        <v>-0.1</v>
      </c>
      <c r="CA22" s="394">
        <v>-0.1</v>
      </c>
      <c r="CB22" s="394">
        <v>-0.1</v>
      </c>
      <c r="CC22" s="391">
        <f>+BY22+BZ22+CA22+CB22</f>
        <v>-0.4</v>
      </c>
      <c r="CD22" s="395">
        <v>-0.1</v>
      </c>
      <c r="CE22" s="395">
        <v>-0.1</v>
      </c>
      <c r="CF22" s="395">
        <v>-0.1</v>
      </c>
      <c r="CG22" s="395">
        <v>-0.1</v>
      </c>
      <c r="CH22" s="391">
        <f>+CD22+CE22+CF22+CG22</f>
        <v>-0.4</v>
      </c>
      <c r="CI22" s="395">
        <v>-0.1</v>
      </c>
      <c r="CJ22" s="395">
        <v>-0.1</v>
      </c>
      <c r="CK22" s="395">
        <v>-0.1</v>
      </c>
      <c r="CL22" s="395">
        <v>-0.1</v>
      </c>
      <c r="CM22" s="391">
        <f>+CI22+CJ22+CK22+CL22</f>
        <v>-0.4</v>
      </c>
      <c r="CN22" s="395">
        <v>-0.1</v>
      </c>
      <c r="CO22" s="395">
        <v>-0.1</v>
      </c>
      <c r="CP22" s="395">
        <v>-0.1</v>
      </c>
      <c r="CQ22" s="395">
        <v>-0.1</v>
      </c>
      <c r="CR22" s="391">
        <f>+CN22+CO22+CP22+CQ22</f>
        <v>-0.4</v>
      </c>
      <c r="CS22" s="395">
        <v>-0.1</v>
      </c>
      <c r="CT22" s="395">
        <v>-0.1</v>
      </c>
      <c r="CU22" s="395">
        <v>-0.1</v>
      </c>
      <c r="CV22" s="395">
        <v>-0.1</v>
      </c>
      <c r="CW22" s="391">
        <f>+CS22+CT22+CU22+CV22</f>
        <v>-0.4</v>
      </c>
      <c r="CX22" s="395">
        <v>-0.1</v>
      </c>
      <c r="CY22" s="395">
        <v>-0.1</v>
      </c>
      <c r="CZ22" s="395">
        <v>-0.1</v>
      </c>
      <c r="DA22" s="395">
        <v>-0.1</v>
      </c>
      <c r="DB22" s="391">
        <f>+CX22+CY22+CZ22+DA22</f>
        <v>-0.4</v>
      </c>
    </row>
    <row r="23" spans="1:115" s="146" customFormat="1">
      <c r="A23" s="310" t="s">
        <v>475</v>
      </c>
      <c r="B23" s="201">
        <f>+B21-B22</f>
        <v>-9.6160000000000014</v>
      </c>
      <c r="C23" s="201">
        <f>+C21-C22</f>
        <v>-0.51400000000000179</v>
      </c>
      <c r="D23" s="201">
        <f t="shared" ref="D23:BO23" si="110">+D21-D22</f>
        <v>0.17200000000000015</v>
      </c>
      <c r="E23" s="201">
        <f>+E21-E22</f>
        <v>4.8059999999999903</v>
      </c>
      <c r="F23" s="202">
        <f>+F21-F22</f>
        <v>-5.1520000000000223</v>
      </c>
      <c r="G23" s="201">
        <f t="shared" si="110"/>
        <v>-10.003999999999998</v>
      </c>
      <c r="H23" s="201">
        <f>+H21-H22</f>
        <v>-19.680999999999994</v>
      </c>
      <c r="I23" s="201">
        <f t="shared" si="110"/>
        <v>-17.594000000000001</v>
      </c>
      <c r="J23" s="201">
        <f t="shared" si="110"/>
        <v>-24.412000000000006</v>
      </c>
      <c r="K23" s="202">
        <f t="shared" si="110"/>
        <v>-71.691000000000017</v>
      </c>
      <c r="L23" s="201">
        <f t="shared" si="110"/>
        <v>-6.8740000000000041</v>
      </c>
      <c r="M23" s="201">
        <f>+M21-M22</f>
        <v>-22.60799999999999</v>
      </c>
      <c r="N23" s="201">
        <f>+N21-N22</f>
        <v>-26.626000000000005</v>
      </c>
      <c r="O23" s="201">
        <f>+O21-O22</f>
        <v>-38.965999999999994</v>
      </c>
      <c r="P23" s="202">
        <f t="shared" si="110"/>
        <v>-95.073999999999998</v>
      </c>
      <c r="Q23" s="201">
        <f t="shared" si="110"/>
        <v>-35.760999999999996</v>
      </c>
      <c r="R23" s="201">
        <f t="shared" si="110"/>
        <v>-27.670000000000005</v>
      </c>
      <c r="S23" s="201">
        <f t="shared" si="110"/>
        <v>-27.052000000000007</v>
      </c>
      <c r="T23" s="201">
        <f t="shared" si="110"/>
        <v>-45.872000000000014</v>
      </c>
      <c r="U23" s="202">
        <f t="shared" si="110"/>
        <v>-136.35500000000002</v>
      </c>
      <c r="V23" s="201">
        <f t="shared" si="110"/>
        <v>-33.010999999999996</v>
      </c>
      <c r="W23" s="201">
        <f t="shared" si="110"/>
        <v>-33.777999999999999</v>
      </c>
      <c r="X23" s="201">
        <f t="shared" si="110"/>
        <v>-29.651999999999994</v>
      </c>
      <c r="Y23" s="201">
        <f t="shared" si="110"/>
        <v>-31.499000000000024</v>
      </c>
      <c r="Z23" s="202">
        <f t="shared" si="110"/>
        <v>-127.94</v>
      </c>
      <c r="AA23" s="201">
        <f t="shared" si="110"/>
        <v>-33.804999999999993</v>
      </c>
      <c r="AB23" s="201">
        <f t="shared" si="110"/>
        <v>-31.354999999999997</v>
      </c>
      <c r="AC23" s="201">
        <f>+AC21-AC22</f>
        <v>-37.461999999999975</v>
      </c>
      <c r="AD23" s="201">
        <f t="shared" si="110"/>
        <v>-35.122000000000078</v>
      </c>
      <c r="AE23" s="202">
        <f t="shared" si="110"/>
        <v>-137.74400000000009</v>
      </c>
      <c r="AF23" s="201">
        <f t="shared" si="110"/>
        <v>-30.625000000000007</v>
      </c>
      <c r="AG23" s="201">
        <f t="shared" si="110"/>
        <v>-59.533000000000008</v>
      </c>
      <c r="AH23" s="201">
        <f t="shared" si="110"/>
        <v>-58.922999999999981</v>
      </c>
      <c r="AI23" s="201">
        <f t="shared" si="110"/>
        <v>-77.32199999999996</v>
      </c>
      <c r="AJ23" s="202">
        <f t="shared" si="110"/>
        <v>-226.40300000000005</v>
      </c>
      <c r="AK23" s="201">
        <f t="shared" si="110"/>
        <v>-64.914999999999978</v>
      </c>
      <c r="AL23" s="201">
        <f t="shared" si="110"/>
        <v>-116.78200000000001</v>
      </c>
      <c r="AM23" s="201">
        <f t="shared" si="110"/>
        <v>-152.22299999999998</v>
      </c>
      <c r="AN23" s="201">
        <f t="shared" si="110"/>
        <v>-144.34199999999998</v>
      </c>
      <c r="AO23" s="202">
        <f t="shared" si="110"/>
        <v>-478.26199999999994</v>
      </c>
      <c r="AP23" s="201">
        <f t="shared" si="110"/>
        <v>-150.21199999999999</v>
      </c>
      <c r="AQ23" s="201">
        <f t="shared" si="110"/>
        <v>-147.64400000000003</v>
      </c>
      <c r="AR23" s="201">
        <f t="shared" si="110"/>
        <v>-124.69200000000002</v>
      </c>
      <c r="AS23" s="201">
        <f t="shared" si="110"/>
        <v>-139.32600000000008</v>
      </c>
      <c r="AT23" s="202">
        <f t="shared" si="110"/>
        <v>-561.87400000000014</v>
      </c>
      <c r="AU23" s="201">
        <f t="shared" si="110"/>
        <v>-132.37299999999999</v>
      </c>
      <c r="AV23" s="201">
        <f t="shared" si="110"/>
        <v>-108.20800000000003</v>
      </c>
      <c r="AW23" s="201">
        <f t="shared" si="110"/>
        <v>-105.22299999999996</v>
      </c>
      <c r="AX23" s="201">
        <f t="shared" si="110"/>
        <v>-75.72000000000007</v>
      </c>
      <c r="AY23" s="202">
        <f t="shared" si="110"/>
        <v>-421.524</v>
      </c>
      <c r="AZ23" s="201">
        <f t="shared" si="110"/>
        <v>-66.70599999999996</v>
      </c>
      <c r="BA23" s="201">
        <f t="shared" si="110"/>
        <v>-36.630000000000017</v>
      </c>
      <c r="BB23" s="201">
        <f t="shared" si="110"/>
        <v>-30.999000000000024</v>
      </c>
      <c r="BC23" s="201">
        <f t="shared" si="110"/>
        <v>-53.349999999999845</v>
      </c>
      <c r="BD23" s="202">
        <f t="shared" si="110"/>
        <v>-187.68499999999986</v>
      </c>
      <c r="BE23" s="201">
        <f t="shared" si="110"/>
        <v>-66.789000000000016</v>
      </c>
      <c r="BF23" s="201">
        <f t="shared" si="110"/>
        <v>-101.02799999999996</v>
      </c>
      <c r="BG23" s="201">
        <f t="shared" si="110"/>
        <v>-87.44399999999996</v>
      </c>
      <c r="BH23" s="201">
        <f t="shared" si="110"/>
        <v>47.186999999999998</v>
      </c>
      <c r="BI23" s="202">
        <f t="shared" si="110"/>
        <v>-208.07399999999981</v>
      </c>
      <c r="BJ23" s="329">
        <f t="shared" si="110"/>
        <v>-82.560079905126628</v>
      </c>
      <c r="BK23" s="201">
        <f t="shared" si="110"/>
        <v>-67.153722193824223</v>
      </c>
      <c r="BL23" s="201">
        <f t="shared" si="110"/>
        <v>-55.290224319161581</v>
      </c>
      <c r="BM23" s="201">
        <f t="shared" si="110"/>
        <v>-28.046696310514339</v>
      </c>
      <c r="BN23" s="202">
        <f t="shared" si="110"/>
        <v>-233.0507227286264</v>
      </c>
      <c r="BO23" s="201">
        <f t="shared" si="110"/>
        <v>-19.994637521851409</v>
      </c>
      <c r="BP23" s="201">
        <f t="shared" ref="BP23:DB23" si="111">+BP21-BP22</f>
        <v>-33.114636351996261</v>
      </c>
      <c r="BQ23" s="201">
        <f t="shared" si="111"/>
        <v>-23.84189048191913</v>
      </c>
      <c r="BR23" s="201">
        <f t="shared" si="111"/>
        <v>-7.9727469359865974</v>
      </c>
      <c r="BS23" s="202">
        <f t="shared" si="111"/>
        <v>-84.923911291753967</v>
      </c>
      <c r="BT23" s="201">
        <f t="shared" si="111"/>
        <v>25.452777368399545</v>
      </c>
      <c r="BU23" s="201">
        <f t="shared" si="111"/>
        <v>17.413183010773821</v>
      </c>
      <c r="BV23" s="201">
        <f t="shared" si="111"/>
        <v>28.007071506302474</v>
      </c>
      <c r="BW23" s="201">
        <f t="shared" si="111"/>
        <v>48.144827475659397</v>
      </c>
      <c r="BX23" s="202">
        <f t="shared" si="111"/>
        <v>119.01785936113512</v>
      </c>
      <c r="BY23" s="201">
        <f t="shared" si="111"/>
        <v>87.830807778746433</v>
      </c>
      <c r="BZ23" s="201">
        <f t="shared" si="111"/>
        <v>75.5909723427377</v>
      </c>
      <c r="CA23" s="201">
        <f t="shared" si="111"/>
        <v>90.49941188430445</v>
      </c>
      <c r="CB23" s="201">
        <f t="shared" si="111"/>
        <v>110.35831469974848</v>
      </c>
      <c r="CC23" s="202">
        <f t="shared" si="111"/>
        <v>364.27950670553707</v>
      </c>
      <c r="CD23" s="201">
        <f t="shared" si="111"/>
        <v>157.82482552187136</v>
      </c>
      <c r="CE23" s="201">
        <f t="shared" si="111"/>
        <v>146.34077175651177</v>
      </c>
      <c r="CF23" s="201">
        <f t="shared" si="111"/>
        <v>161.56767092125639</v>
      </c>
      <c r="CG23" s="201">
        <f t="shared" si="111"/>
        <v>185.17798255242747</v>
      </c>
      <c r="CH23" s="202">
        <f t="shared" si="111"/>
        <v>650.91125075206764</v>
      </c>
      <c r="CI23" s="201">
        <f t="shared" si="111"/>
        <v>230.73806803869755</v>
      </c>
      <c r="CJ23" s="201">
        <f t="shared" si="111"/>
        <v>214.49732469211278</v>
      </c>
      <c r="CK23" s="201">
        <f t="shared" si="111"/>
        <v>226.98744345211259</v>
      </c>
      <c r="CL23" s="201">
        <f t="shared" si="111"/>
        <v>248.6064980618969</v>
      </c>
      <c r="CM23" s="202">
        <f t="shared" si="111"/>
        <v>920.82933424481917</v>
      </c>
      <c r="CN23" s="201">
        <f t="shared" si="111"/>
        <v>297.2796786498028</v>
      </c>
      <c r="CO23" s="201">
        <f t="shared" si="111"/>
        <v>279.62977768517999</v>
      </c>
      <c r="CP23" s="201">
        <f t="shared" si="111"/>
        <v>292.67677327202131</v>
      </c>
      <c r="CQ23" s="201">
        <f t="shared" si="111"/>
        <v>315.68964870366779</v>
      </c>
      <c r="CR23" s="202">
        <f t="shared" si="111"/>
        <v>1185.275878310671</v>
      </c>
      <c r="CS23" s="201">
        <f t="shared" si="111"/>
        <v>368.22621751913624</v>
      </c>
      <c r="CT23" s="201">
        <f t="shared" si="111"/>
        <v>349.74884319732001</v>
      </c>
      <c r="CU23" s="201">
        <f t="shared" si="111"/>
        <v>364.07179886392873</v>
      </c>
      <c r="CV23" s="201">
        <f t="shared" si="111"/>
        <v>389.1395166701019</v>
      </c>
      <c r="CW23" s="202">
        <f t="shared" si="111"/>
        <v>1471.1863762504868</v>
      </c>
      <c r="CX23" s="201">
        <f t="shared" si="111"/>
        <v>432.10959099135607</v>
      </c>
      <c r="CY23" s="201">
        <f t="shared" si="111"/>
        <v>408.81606245367965</v>
      </c>
      <c r="CZ23" s="201">
        <f t="shared" si="111"/>
        <v>420.2736142183324</v>
      </c>
      <c r="DA23" s="201">
        <f t="shared" si="111"/>
        <v>443.25492552417973</v>
      </c>
      <c r="DB23" s="202">
        <f t="shared" si="111"/>
        <v>1704.454193187549</v>
      </c>
    </row>
    <row r="24" spans="1:115">
      <c r="A24" s="343"/>
      <c r="B24" s="60"/>
      <c r="C24" s="6"/>
      <c r="D24" s="6"/>
      <c r="E24" s="6"/>
      <c r="F24" s="185"/>
      <c r="G24" s="6"/>
      <c r="H24" s="6"/>
      <c r="I24" s="6"/>
      <c r="J24" s="6"/>
      <c r="K24" s="197"/>
      <c r="L24" s="6"/>
      <c r="M24" s="6"/>
      <c r="N24" s="6"/>
      <c r="O24" s="6"/>
      <c r="P24" s="197"/>
      <c r="Q24" s="6"/>
      <c r="R24" s="6"/>
      <c r="S24" s="6"/>
      <c r="T24" s="6"/>
      <c r="U24" s="185"/>
      <c r="V24" s="6"/>
      <c r="W24" s="6"/>
      <c r="X24" s="6"/>
      <c r="Y24" s="6"/>
      <c r="Z24" s="185"/>
      <c r="AA24" s="6"/>
      <c r="AB24" s="6"/>
      <c r="AC24" s="6"/>
      <c r="AD24" s="6"/>
      <c r="AE24" s="185"/>
      <c r="AF24" s="6"/>
      <c r="AG24" s="6"/>
      <c r="AH24" s="6"/>
      <c r="AI24" s="6"/>
      <c r="AJ24" s="185"/>
      <c r="AK24" s="6"/>
      <c r="AL24" s="6"/>
      <c r="AM24" s="6"/>
      <c r="AN24" s="6"/>
      <c r="AO24" s="185"/>
      <c r="AP24" s="6"/>
      <c r="AQ24" s="6"/>
      <c r="AR24" s="6"/>
      <c r="AS24" s="6"/>
      <c r="AT24" s="185"/>
      <c r="AU24" s="6"/>
      <c r="AV24" s="6"/>
      <c r="AW24" s="6"/>
      <c r="AX24" s="6"/>
      <c r="AY24" s="185"/>
      <c r="AZ24" s="6"/>
      <c r="BA24" s="6"/>
      <c r="BB24" s="6"/>
      <c r="BC24" s="6"/>
      <c r="BD24" s="185"/>
      <c r="BE24" s="6"/>
      <c r="BF24" s="6"/>
      <c r="BG24" s="6"/>
      <c r="BH24" s="6"/>
      <c r="BI24" s="185"/>
      <c r="BJ24" s="330"/>
      <c r="BK24" s="6"/>
      <c r="BL24" s="6"/>
      <c r="BM24" s="6"/>
      <c r="BN24" s="185"/>
      <c r="BO24" s="6"/>
      <c r="BP24" s="6"/>
      <c r="BQ24" s="6"/>
      <c r="BR24" s="6"/>
      <c r="BS24" s="185"/>
      <c r="BT24" s="6"/>
      <c r="BU24" s="6"/>
      <c r="BV24" s="6"/>
      <c r="BW24" s="6"/>
      <c r="BX24" s="185"/>
      <c r="BY24" s="6"/>
      <c r="BZ24" s="6"/>
      <c r="CA24" s="6"/>
      <c r="CB24" s="6"/>
      <c r="CC24" s="185"/>
      <c r="CD24" s="6"/>
      <c r="CE24" s="6"/>
      <c r="CF24" s="6"/>
      <c r="CG24" s="6"/>
      <c r="CH24" s="185"/>
      <c r="CI24" s="6"/>
      <c r="CJ24" s="6"/>
      <c r="CK24" s="6"/>
      <c r="CL24" s="6"/>
      <c r="CM24" s="185"/>
      <c r="CN24" s="6"/>
      <c r="CO24" s="6"/>
      <c r="CP24" s="6"/>
      <c r="CQ24" s="6"/>
      <c r="CR24" s="185"/>
      <c r="CS24" s="6"/>
      <c r="CT24" s="6"/>
      <c r="CU24" s="6"/>
      <c r="CV24" s="6"/>
      <c r="CW24" s="185"/>
      <c r="CX24" s="6"/>
      <c r="CY24" s="6"/>
      <c r="CZ24" s="6"/>
      <c r="DA24" s="6"/>
      <c r="DB24" s="185"/>
    </row>
    <row r="25" spans="1:115" s="6" customFormat="1">
      <c r="A25" s="314" t="s">
        <v>7</v>
      </c>
      <c r="B25" s="6">
        <v>4.5910000000000002</v>
      </c>
      <c r="C25" s="6">
        <v>4.7220000000000004</v>
      </c>
      <c r="D25" s="6">
        <v>4.8659999999999997</v>
      </c>
      <c r="E25" s="6">
        <f>F25*4-SUM(B25:D25)</f>
        <v>5.020999999999999</v>
      </c>
      <c r="F25" s="185">
        <v>4.8</v>
      </c>
      <c r="G25" s="6">
        <v>5.2889999999999997</v>
      </c>
      <c r="H25" s="6">
        <v>5.4939999999999998</v>
      </c>
      <c r="I25" s="6">
        <v>44.944000000000003</v>
      </c>
      <c r="J25" s="6">
        <f>K25*4-SUM(G25:I25)</f>
        <v>49.088999999999999</v>
      </c>
      <c r="K25" s="185">
        <v>26.204000000000001</v>
      </c>
      <c r="L25" s="6">
        <v>50.439</v>
      </c>
      <c r="M25" s="6">
        <v>51.445</v>
      </c>
      <c r="N25" s="6">
        <v>52.012</v>
      </c>
      <c r="O25" s="6">
        <f>P25*4-SUM(L25:N25)</f>
        <v>52.407999999999987</v>
      </c>
      <c r="P25" s="185">
        <v>51.576000000000001</v>
      </c>
      <c r="Q25" s="6">
        <v>52.758000000000003</v>
      </c>
      <c r="R25" s="6">
        <v>53.088000000000001</v>
      </c>
      <c r="S25" s="6">
        <v>53.447000000000003</v>
      </c>
      <c r="T25" s="6">
        <f>U25*4-SUM(Q25:S25)</f>
        <v>53.954999999999984</v>
      </c>
      <c r="U25" s="185">
        <v>53.311999999999998</v>
      </c>
      <c r="V25" s="6">
        <v>54.131999999999998</v>
      </c>
      <c r="W25" s="6">
        <v>54.551000000000002</v>
      </c>
      <c r="X25" s="6">
        <v>60.57</v>
      </c>
      <c r="Y25" s="6">
        <f>Z25*4-SUM(V25:X25)</f>
        <v>62.13900000000001</v>
      </c>
      <c r="Z25" s="185">
        <v>57.847999999999999</v>
      </c>
      <c r="AA25" s="6">
        <v>62.831000000000003</v>
      </c>
      <c r="AB25" s="6">
        <v>68.224000000000004</v>
      </c>
      <c r="AC25" s="6">
        <v>70.456000000000003</v>
      </c>
      <c r="AD25" s="6">
        <f>AE25*4-SUM(AA25:AC25)</f>
        <v>76.709000000000003</v>
      </c>
      <c r="AE25" s="185">
        <v>69.555000000000007</v>
      </c>
      <c r="AF25" s="6">
        <v>78.287000000000006</v>
      </c>
      <c r="AG25" s="6">
        <v>79.069000000000003</v>
      </c>
      <c r="AH25" s="6">
        <v>80.908000000000001</v>
      </c>
      <c r="AI25" s="6">
        <f>AJ25*4-SUM(AF25:AH25)</f>
        <v>85.779999999999973</v>
      </c>
      <c r="AJ25" s="185">
        <v>81.010999999999996</v>
      </c>
      <c r="AK25" s="6">
        <v>86.688999999999993</v>
      </c>
      <c r="AL25" s="6">
        <v>88.076999999999998</v>
      </c>
      <c r="AM25" s="6">
        <v>92.558000000000007</v>
      </c>
      <c r="AN25" s="6">
        <f>AO25*4-SUM(AK25:AM25)</f>
        <v>94.908000000000015</v>
      </c>
      <c r="AO25" s="185">
        <v>90.558000000000007</v>
      </c>
      <c r="AP25" s="6">
        <v>95.578000000000003</v>
      </c>
      <c r="AQ25" s="6">
        <v>96.578999999999994</v>
      </c>
      <c r="AR25" s="6">
        <v>97.052000000000007</v>
      </c>
      <c r="AS25" s="6">
        <f>AT25*4-SUM(AP25:AR25)</f>
        <v>104.423</v>
      </c>
      <c r="AT25" s="185">
        <v>98.408000000000001</v>
      </c>
      <c r="AU25" s="6">
        <v>111.767</v>
      </c>
      <c r="AV25" s="6">
        <v>113.69</v>
      </c>
      <c r="AW25" s="6">
        <v>115.17100000000001</v>
      </c>
      <c r="AX25" s="6">
        <f>AY25*4-SUM(AU25:AW25)</f>
        <v>119.36000000000001</v>
      </c>
      <c r="AY25" s="185">
        <v>114.997</v>
      </c>
      <c r="AZ25" s="6">
        <v>120.81399999999999</v>
      </c>
      <c r="BA25" s="6">
        <v>122.85299999999999</v>
      </c>
      <c r="BB25" s="6">
        <v>123.77500000000001</v>
      </c>
      <c r="BC25" s="6">
        <f>BD25*4-SUM(AZ25:BB25)</f>
        <v>131.43</v>
      </c>
      <c r="BD25" s="185">
        <v>124.718</v>
      </c>
      <c r="BE25" s="6">
        <v>134.75</v>
      </c>
      <c r="BF25" s="6">
        <v>136.38800000000001</v>
      </c>
      <c r="BG25" s="6">
        <v>137.18700000000001</v>
      </c>
      <c r="BH25" s="6">
        <f>BI25*4-SUM(BE25:BG25)</f>
        <v>138.55899999999997</v>
      </c>
      <c r="BI25" s="185">
        <v>136.721</v>
      </c>
      <c r="BJ25" s="330">
        <f>BH25+BS!BJ55-BS!BJ56</f>
        <v>139.59819249999998</v>
      </c>
      <c r="BK25" s="6">
        <f>BJ25+BS!BK55-BS!BK56</f>
        <v>140.63738499999999</v>
      </c>
      <c r="BL25" s="6">
        <f>BK25+BS!BL55-BS!BL56</f>
        <v>141.67657750000001</v>
      </c>
      <c r="BM25" s="6">
        <f>BL25+BS!BM55-BS!BM56</f>
        <v>142.71577000000002</v>
      </c>
      <c r="BN25" s="185">
        <f>AVERAGE(BJ25:BM25)</f>
        <v>141.15698125</v>
      </c>
      <c r="BO25" s="6">
        <f>BM25+BS!BO55-BS!BO56</f>
        <v>143.78613827500001</v>
      </c>
      <c r="BP25" s="6">
        <f>BO25+BS!BP55-BS!BP56</f>
        <v>144.85650655000001</v>
      </c>
      <c r="BQ25" s="6">
        <f>BP25+BS!BQ55-BS!BQ56</f>
        <v>145.926874825</v>
      </c>
      <c r="BR25" s="6">
        <f>BQ25+BS!BR55-BS!BR56</f>
        <v>146.99724309999999</v>
      </c>
      <c r="BS25" s="185">
        <f>AVERAGE(BO25:BR25)</f>
        <v>145.39169068750002</v>
      </c>
      <c r="BT25" s="6">
        <f>BR25+BS!BT55-BS!BT56</f>
        <v>148.09972242325</v>
      </c>
      <c r="BU25" s="6">
        <f>BT25+BS!BU55-BS!BU56</f>
        <v>149.20220174650001</v>
      </c>
      <c r="BV25" s="6">
        <f>BU25+BS!BV55-BS!BV56</f>
        <v>150.30468106975002</v>
      </c>
      <c r="BW25" s="6">
        <f>BV25+BS!BW55-BS!BW56</f>
        <v>151.40716039300003</v>
      </c>
      <c r="BX25" s="185">
        <f>AVERAGE(BT25:BW25)</f>
        <v>149.75344140812501</v>
      </c>
      <c r="BY25" s="6">
        <f>BW25+BS!BY55-BS!BY56</f>
        <v>152.54271409594753</v>
      </c>
      <c r="BZ25" s="6">
        <f>BY25+BS!BZ55-BS!BZ56</f>
        <v>153.67826779889504</v>
      </c>
      <c r="CA25" s="6">
        <f>BZ25+BS!CA55-BS!CA56</f>
        <v>154.81382150184254</v>
      </c>
      <c r="CB25" s="6">
        <f>CA25+BS!CB55-BS!CB56</f>
        <v>155.94937520479004</v>
      </c>
      <c r="CC25" s="185">
        <f>AVERAGE(BY25:CB25)</f>
        <v>154.24604465036879</v>
      </c>
      <c r="CD25" s="6">
        <f>CB25+BS!CD55-BS!CD56</f>
        <v>157.11899551882598</v>
      </c>
      <c r="CE25" s="6">
        <f>CD25+BS!CE55-BS!CE56</f>
        <v>158.28861583286192</v>
      </c>
      <c r="CF25" s="6">
        <f>CE25+BS!CF55-BS!CF56</f>
        <v>159.45823614689786</v>
      </c>
      <c r="CG25" s="6">
        <f>CF25+BS!CG55-BS!CG56</f>
        <v>160.6278564609338</v>
      </c>
      <c r="CH25" s="185">
        <f>AVERAGE(CD25:CG25)</f>
        <v>158.87342598987991</v>
      </c>
      <c r="CI25" s="6">
        <f>CG25+BS!CI55-BS!CI56</f>
        <v>161.83256538439079</v>
      </c>
      <c r="CJ25" s="6">
        <f>CI25+BS!CJ55-BS!CJ56</f>
        <v>163.03727430784778</v>
      </c>
      <c r="CK25" s="6">
        <f>CJ25+BS!CK55-BS!CK56</f>
        <v>164.24198323130477</v>
      </c>
      <c r="CL25" s="6">
        <f>CK25+BS!CL55-BS!CL56</f>
        <v>165.44669215476176</v>
      </c>
      <c r="CM25" s="185">
        <f>AVERAGE(CI25:CL25)</f>
        <v>163.63962876957626</v>
      </c>
      <c r="CN25" s="6">
        <f>CL25+BS!CN55-BS!CN56</f>
        <v>166.68754234592248</v>
      </c>
      <c r="CO25" s="6">
        <f>CN25+BS!CO55-BS!CO56</f>
        <v>167.9283925370832</v>
      </c>
      <c r="CP25" s="6">
        <f>CO25+BS!CP55-BS!CP56</f>
        <v>169.16924272824392</v>
      </c>
      <c r="CQ25" s="6">
        <f>CP25+BS!CQ55-BS!CQ56</f>
        <v>170.41009291940463</v>
      </c>
      <c r="CR25" s="185">
        <f>AVERAGE(CN25:CQ25)</f>
        <v>168.54881763266357</v>
      </c>
      <c r="CS25" s="6">
        <f>CQ25+BS!CS55-BS!CS56</f>
        <v>171.68816861630017</v>
      </c>
      <c r="CT25" s="6">
        <f>CS25+BS!CT55-BS!CT56</f>
        <v>172.96624431319572</v>
      </c>
      <c r="CU25" s="6">
        <f>CT25+BS!CU55-BS!CU56</f>
        <v>174.24432001009126</v>
      </c>
      <c r="CV25" s="6">
        <f>CU25+BS!CV55-BS!CV56</f>
        <v>175.5223957069868</v>
      </c>
      <c r="CW25" s="185">
        <f>AVERAGE(CS25:CV25)</f>
        <v>173.60528216164349</v>
      </c>
      <c r="CX25" s="6">
        <f>CV25+BS!CX55-BS!CX56</f>
        <v>176.83881367478921</v>
      </c>
      <c r="CY25" s="6">
        <f>CX25+BS!CY55-BS!CY56</f>
        <v>178.15523164259162</v>
      </c>
      <c r="CZ25" s="6">
        <f>CY25+BS!CZ55-BS!CZ56</f>
        <v>179.47164961039402</v>
      </c>
      <c r="DA25" s="6">
        <f>CZ25+BS!DA55-BS!DA56</f>
        <v>180.78806757819643</v>
      </c>
      <c r="DB25" s="185">
        <f>AVERAGE(CX25:DA25)</f>
        <v>178.81344062649282</v>
      </c>
      <c r="DE25" s="1">
        <v>404</v>
      </c>
      <c r="DF25" s="6">
        <v>628</v>
      </c>
      <c r="DG25" s="6">
        <v>675</v>
      </c>
      <c r="DH25" s="6">
        <v>724</v>
      </c>
      <c r="DI25" s="6">
        <v>740</v>
      </c>
      <c r="DJ25" s="6">
        <v>752</v>
      </c>
      <c r="DK25" s="6">
        <v>801</v>
      </c>
    </row>
    <row r="26" spans="1:115" s="6" customFormat="1">
      <c r="A26" s="314" t="s">
        <v>8</v>
      </c>
      <c r="B26" s="6">
        <v>4.5910000000000002</v>
      </c>
      <c r="C26" s="6">
        <v>4.7220000000000004</v>
      </c>
      <c r="D26" s="6">
        <v>36.930999999999997</v>
      </c>
      <c r="E26" s="6">
        <f>F26*4-SUM(B26:D26)</f>
        <v>-27.044</v>
      </c>
      <c r="F26" s="185">
        <v>4.8</v>
      </c>
      <c r="G26" s="6">
        <v>5.2889999999999997</v>
      </c>
      <c r="H26" s="6">
        <v>5.4939999999999998</v>
      </c>
      <c r="I26" s="6">
        <v>44.944000000000003</v>
      </c>
      <c r="J26" s="6">
        <f>K26*4-SUM(G26:I26)</f>
        <v>49.088999999999999</v>
      </c>
      <c r="K26" s="185">
        <v>26.204000000000001</v>
      </c>
      <c r="L26" s="6">
        <v>50.439</v>
      </c>
      <c r="M26" s="6">
        <v>51.445</v>
      </c>
      <c r="N26" s="6">
        <v>52.012</v>
      </c>
      <c r="O26" s="6">
        <f>P26*4-SUM(L26:N26)</f>
        <v>52.407999999999987</v>
      </c>
      <c r="P26" s="185">
        <v>51.576000000000001</v>
      </c>
      <c r="Q26" s="6">
        <v>53.042999999999999</v>
      </c>
      <c r="R26" s="6">
        <v>53.088000000000001</v>
      </c>
      <c r="S26" s="6">
        <v>53.447000000000003</v>
      </c>
      <c r="T26" s="6">
        <f>U26*4-SUM(Q26:S26)</f>
        <v>54.837999999999994</v>
      </c>
      <c r="U26" s="185">
        <v>53.603999999999999</v>
      </c>
      <c r="V26" s="6">
        <v>54.131999999999998</v>
      </c>
      <c r="W26" s="6">
        <v>54.551000000000002</v>
      </c>
      <c r="X26" s="6">
        <v>60.57</v>
      </c>
      <c r="Y26" s="6">
        <f>Z26*4-SUM(V26:X26)</f>
        <v>62.13900000000001</v>
      </c>
      <c r="Z26" s="185">
        <v>57.847999999999999</v>
      </c>
      <c r="AA26" s="6">
        <v>62.831000000000003</v>
      </c>
      <c r="AB26" s="6">
        <v>68.224000000000004</v>
      </c>
      <c r="AC26" s="6">
        <v>70.456000000000003</v>
      </c>
      <c r="AD26" s="6">
        <f>AE26*4-SUM(AA26:AC26)</f>
        <v>76.709000000000003</v>
      </c>
      <c r="AE26" s="185">
        <v>69.555000000000007</v>
      </c>
      <c r="AF26" s="6">
        <v>78.287000000000006</v>
      </c>
      <c r="AG26" s="6">
        <v>79.069000000000003</v>
      </c>
      <c r="AH26" s="6">
        <v>80.908000000000001</v>
      </c>
      <c r="AI26" s="6">
        <f>AJ26*4-SUM(AF26:AH26)</f>
        <v>85.779999999999973</v>
      </c>
      <c r="AJ26" s="185">
        <v>81.010999999999996</v>
      </c>
      <c r="AK26" s="6">
        <v>86.688999999999993</v>
      </c>
      <c r="AL26" s="6">
        <v>88.076999999999998</v>
      </c>
      <c r="AM26" s="6">
        <v>92.558000000000007</v>
      </c>
      <c r="AN26" s="6">
        <f>AO26*4-SUM(AK26:AM26)</f>
        <v>94.908000000000015</v>
      </c>
      <c r="AO26" s="185">
        <v>90.558000000000007</v>
      </c>
      <c r="AP26" s="6">
        <v>95.578000000000003</v>
      </c>
      <c r="AQ26" s="6">
        <v>96.578999999999994</v>
      </c>
      <c r="AR26" s="6">
        <v>97.052000000000007</v>
      </c>
      <c r="AS26" s="6">
        <f>AT26*4-SUM(AP26:AR26)</f>
        <v>104.423</v>
      </c>
      <c r="AT26" s="185">
        <v>98.408000000000001</v>
      </c>
      <c r="AU26" s="6">
        <v>111.767</v>
      </c>
      <c r="AV26" s="6">
        <v>113.69</v>
      </c>
      <c r="AW26" s="6">
        <v>115.17100000000001</v>
      </c>
      <c r="AX26" s="6">
        <f>AY26*4-SUM(AU26:AW26)</f>
        <v>119.36000000000001</v>
      </c>
      <c r="AY26" s="185">
        <v>114.997</v>
      </c>
      <c r="AZ26" s="6">
        <v>120.81399999999999</v>
      </c>
      <c r="BA26" s="6">
        <v>122.85299999999999</v>
      </c>
      <c r="BB26" s="6">
        <v>123.77500000000001</v>
      </c>
      <c r="BC26" s="6">
        <f>BD26*4-SUM(AZ26:BB26)</f>
        <v>131.43</v>
      </c>
      <c r="BD26" s="185">
        <v>124.718</v>
      </c>
      <c r="BE26" s="6">
        <v>134.75</v>
      </c>
      <c r="BF26" s="6">
        <v>136.38800000000001</v>
      </c>
      <c r="BG26" s="6">
        <v>137.18700000000001</v>
      </c>
      <c r="BH26" s="6">
        <f>BI26*4-SUM(BE26:BG26)</f>
        <v>138.55899999999997</v>
      </c>
      <c r="BI26" s="185">
        <v>136.721</v>
      </c>
      <c r="BJ26" s="330">
        <f>BH26+BS!BJ55-BS!BJ56</f>
        <v>139.59819249999998</v>
      </c>
      <c r="BK26" s="6">
        <f>BJ26+BS!BK55-BS!BK56</f>
        <v>140.63738499999999</v>
      </c>
      <c r="BL26" s="6">
        <f>BK26+BS!BL55-BS!BL56</f>
        <v>141.67657750000001</v>
      </c>
      <c r="BM26" s="6">
        <f>BL26+BS!BM55-BS!BM56</f>
        <v>142.71577000000002</v>
      </c>
      <c r="BN26" s="185">
        <f>AVERAGE(BJ26:BM26)</f>
        <v>141.15698125</v>
      </c>
      <c r="BO26" s="6">
        <f>BM26+BS!BO55-BS!BO56</f>
        <v>143.78613827500001</v>
      </c>
      <c r="BP26" s="6">
        <f>BO26+BS!BP55-BS!BP56</f>
        <v>144.85650655000001</v>
      </c>
      <c r="BQ26" s="6">
        <f>BP26+BS!BQ55-BS!BQ56</f>
        <v>145.926874825</v>
      </c>
      <c r="BR26" s="6">
        <f>BQ26+BS!BR55-BS!BR56</f>
        <v>146.99724309999999</v>
      </c>
      <c r="BS26" s="185">
        <f>AVERAGE(BO26:BR26)</f>
        <v>145.39169068750002</v>
      </c>
      <c r="BT26" s="6">
        <f>BR26+BS!BT55-BS!BT56</f>
        <v>148.09972242325</v>
      </c>
      <c r="BU26" s="6">
        <f>BT26+BS!BU55-BS!BU56</f>
        <v>149.20220174650001</v>
      </c>
      <c r="BV26" s="6">
        <f>BU26+BS!BV55-BS!BV56</f>
        <v>150.30468106975002</v>
      </c>
      <c r="BW26" s="6">
        <f>BV26+BS!BW55-BS!BW56</f>
        <v>151.40716039300003</v>
      </c>
      <c r="BX26" s="185">
        <f>AVERAGE(BT26:BW26)</f>
        <v>149.75344140812501</v>
      </c>
      <c r="BY26" s="6">
        <f>BW26+BS!BY55-BS!BY56</f>
        <v>152.54271409594753</v>
      </c>
      <c r="BZ26" s="6">
        <f>BY26+BS!BZ55-BS!BZ56</f>
        <v>153.67826779889504</v>
      </c>
      <c r="CA26" s="6">
        <f>BZ26+BS!CA55-BS!CA56</f>
        <v>154.81382150184254</v>
      </c>
      <c r="CB26" s="6">
        <f>CA26+BS!CB55-BS!CB56</f>
        <v>155.94937520479004</v>
      </c>
      <c r="CC26" s="185">
        <f>AVERAGE(BY26:CB26)</f>
        <v>154.24604465036879</v>
      </c>
      <c r="CD26" s="6">
        <f>CB26+BS!CD55-BS!CD56</f>
        <v>157.11899551882598</v>
      </c>
      <c r="CE26" s="6">
        <f>CD26+BS!CE55-BS!CE56</f>
        <v>158.28861583286192</v>
      </c>
      <c r="CF26" s="6">
        <f>CE26+BS!CF55-BS!CF56</f>
        <v>159.45823614689786</v>
      </c>
      <c r="CG26" s="6">
        <f>CF26+BS!CG55-BS!CG56</f>
        <v>160.6278564609338</v>
      </c>
      <c r="CH26" s="185">
        <f>AVERAGE(CD26:CG26)</f>
        <v>158.87342598987991</v>
      </c>
      <c r="CI26" s="6">
        <f>CG26+BS!CI55-BS!CI56</f>
        <v>161.83256538439079</v>
      </c>
      <c r="CJ26" s="6">
        <f>CI26+BS!CJ55-BS!CJ56</f>
        <v>163.03727430784778</v>
      </c>
      <c r="CK26" s="6">
        <f>CJ26+BS!CK55-BS!CK56</f>
        <v>164.24198323130477</v>
      </c>
      <c r="CL26" s="6">
        <f>CK26+BS!CL55-BS!CL56</f>
        <v>165.44669215476176</v>
      </c>
      <c r="CM26" s="185">
        <f>AVERAGE(CI26:CL26)</f>
        <v>163.63962876957626</v>
      </c>
      <c r="CN26" s="6">
        <f>CL26+BS!CN55-BS!CN56</f>
        <v>166.68754234592248</v>
      </c>
      <c r="CO26" s="6">
        <f>CN26+BS!CO55-BS!CO56</f>
        <v>167.9283925370832</v>
      </c>
      <c r="CP26" s="6">
        <f>CO26+BS!CP55-BS!CP56</f>
        <v>169.16924272824392</v>
      </c>
      <c r="CQ26" s="6">
        <f>CP26+BS!CQ55-BS!CQ56</f>
        <v>170.41009291940463</v>
      </c>
      <c r="CR26" s="185">
        <f>AVERAGE(CN26:CQ26)</f>
        <v>168.54881763266357</v>
      </c>
      <c r="CS26" s="6">
        <f>CQ26+BS!CS55-BS!CS56</f>
        <v>171.68816861630017</v>
      </c>
      <c r="CT26" s="6">
        <f>CS26+BS!CT55-BS!CT56</f>
        <v>172.96624431319572</v>
      </c>
      <c r="CU26" s="6">
        <f>CT26+BS!CU55-BS!CU56</f>
        <v>174.24432001009126</v>
      </c>
      <c r="CV26" s="6">
        <f>CU26+BS!CV55-BS!CV56</f>
        <v>175.5223957069868</v>
      </c>
      <c r="CW26" s="185">
        <f>AVERAGE(CS26:CV26)</f>
        <v>173.60528216164349</v>
      </c>
      <c r="CX26" s="6">
        <f>CV26+BS!CX55-BS!CX56</f>
        <v>176.83881367478921</v>
      </c>
      <c r="CY26" s="6">
        <f>CX26+BS!CY55-BS!CY56</f>
        <v>178.15523164259162</v>
      </c>
      <c r="CZ26" s="6">
        <f>CY26+BS!CZ55-BS!CZ56</f>
        <v>179.47164961039402</v>
      </c>
      <c r="DA26" s="6">
        <f>CZ26+BS!DA55-BS!DA56</f>
        <v>180.78806757819643</v>
      </c>
      <c r="DB26" s="185">
        <f>AVERAGE(CX26:DA26)</f>
        <v>178.81344062649282</v>
      </c>
      <c r="DF26" s="5">
        <f>+DF25/DE25-1</f>
        <v>0.5544554455445545</v>
      </c>
      <c r="DG26" s="5">
        <f t="shared" ref="DG26:DK26" si="112">+DG25/DF25-1</f>
        <v>7.4840764331210119E-2</v>
      </c>
      <c r="DH26" s="5">
        <f t="shared" si="112"/>
        <v>7.2592592592592542E-2</v>
      </c>
      <c r="DI26" s="5">
        <f t="shared" si="112"/>
        <v>2.2099447513812098E-2</v>
      </c>
      <c r="DJ26" s="5">
        <f t="shared" si="112"/>
        <v>1.6216216216216273E-2</v>
      </c>
      <c r="DK26" s="5">
        <f t="shared" si="112"/>
        <v>6.5159574468085069E-2</v>
      </c>
    </row>
    <row r="27" spans="1:115">
      <c r="A27" s="312"/>
      <c r="D27" s="108"/>
      <c r="E27" s="108"/>
      <c r="F27" s="186"/>
      <c r="K27" s="197"/>
      <c r="P27" s="197"/>
      <c r="U27" s="197"/>
      <c r="Z27" s="197"/>
      <c r="AE27" s="197"/>
      <c r="AJ27" s="197"/>
      <c r="AO27" s="197"/>
      <c r="AT27" s="197"/>
      <c r="AY27" s="197"/>
      <c r="BD27" s="197"/>
      <c r="BI27" s="197"/>
      <c r="BJ27" s="332"/>
      <c r="BN27" s="197"/>
      <c r="BS27" s="197"/>
      <c r="BX27" s="197"/>
      <c r="CC27" s="197"/>
      <c r="CH27" s="197"/>
      <c r="CM27" s="197"/>
      <c r="CR27" s="197"/>
      <c r="CW27" s="197"/>
      <c r="DB27" s="197"/>
      <c r="DE27" s="1">
        <v>841</v>
      </c>
      <c r="DF27" s="1">
        <v>1105</v>
      </c>
      <c r="DG27" s="1">
        <v>1204</v>
      </c>
      <c r="DH27" s="1">
        <v>1278</v>
      </c>
      <c r="DI27" s="1">
        <v>1336</v>
      </c>
      <c r="DJ27" s="1">
        <v>1349</v>
      </c>
      <c r="DK27" s="1">
        <v>1490</v>
      </c>
    </row>
    <row r="28" spans="1:115" s="7" customFormat="1">
      <c r="A28" s="315" t="s">
        <v>196</v>
      </c>
      <c r="B28" s="144">
        <f>B23/B25</f>
        <v>-2.0945327815290788</v>
      </c>
      <c r="C28" s="144">
        <f t="shared" ref="C28:R28" si="113">C23/C25</f>
        <v>-0.10885218127911939</v>
      </c>
      <c r="D28" s="144">
        <f>D23/D25</f>
        <v>3.5347307850390496E-2</v>
      </c>
      <c r="E28" s="144">
        <f t="shared" si="113"/>
        <v>0.95717984465245787</v>
      </c>
      <c r="F28" s="280">
        <f t="shared" si="113"/>
        <v>-1.0733333333333381</v>
      </c>
      <c r="G28" s="144">
        <f>G23/G25</f>
        <v>-1.8914728682170538</v>
      </c>
      <c r="H28" s="144">
        <f>H23/H25</f>
        <v>-3.5822715689843454</v>
      </c>
      <c r="I28" s="144">
        <f t="shared" si="113"/>
        <v>-0.39146493414026345</v>
      </c>
      <c r="J28" s="144">
        <f t="shared" si="113"/>
        <v>-0.49730082095785222</v>
      </c>
      <c r="K28" s="280">
        <f t="shared" si="113"/>
        <v>-2.7358800183178147</v>
      </c>
      <c r="L28" s="144">
        <f>L21/L25</f>
        <v>-0.17218818771188968</v>
      </c>
      <c r="M28" s="144">
        <f>M21/M25</f>
        <v>-0.45011176985129736</v>
      </c>
      <c r="N28" s="144">
        <f>N21/N25</f>
        <v>-0.50021148965623319</v>
      </c>
      <c r="O28" s="144">
        <f t="shared" si="113"/>
        <v>-0.74351244084872548</v>
      </c>
      <c r="P28" s="280">
        <f>P21/P25</f>
        <v>-1.8567744687451528</v>
      </c>
      <c r="Q28" s="144">
        <f t="shared" si="113"/>
        <v>-0.67783085029758505</v>
      </c>
      <c r="R28" s="144">
        <f t="shared" si="113"/>
        <v>-0.52121006630500311</v>
      </c>
      <c r="S28" s="144">
        <f t="shared" ref="S28:AE28" si="114">S21/S25</f>
        <v>-0.5073998540610325</v>
      </c>
      <c r="T28" s="144">
        <f t="shared" si="114"/>
        <v>-0.84333240663515951</v>
      </c>
      <c r="U28" s="280">
        <f t="shared" si="114"/>
        <v>-2.5569102641056429</v>
      </c>
      <c r="V28" s="144">
        <f t="shared" si="114"/>
        <v>-0.60727480972437742</v>
      </c>
      <c r="W28" s="144">
        <f t="shared" si="114"/>
        <v>-0.62004362889772868</v>
      </c>
      <c r="X28" s="144">
        <f t="shared" si="114"/>
        <v>-0.48895492818226832</v>
      </c>
      <c r="Y28" s="144">
        <f t="shared" si="114"/>
        <v>-0.51241571315920786</v>
      </c>
      <c r="Z28" s="280">
        <f t="shared" si="114"/>
        <v>-2.2153574885907896</v>
      </c>
      <c r="AA28" s="144">
        <f t="shared" si="114"/>
        <v>-0.54258248316913615</v>
      </c>
      <c r="AB28" s="144">
        <f t="shared" si="114"/>
        <v>-0.4751407129455909</v>
      </c>
      <c r="AC28" s="144">
        <f t="shared" si="114"/>
        <v>-0.53260190757352077</v>
      </c>
      <c r="AD28" s="144">
        <f t="shared" si="114"/>
        <v>-0.45865543808418929</v>
      </c>
      <c r="AE28" s="280">
        <f t="shared" si="114"/>
        <v>-2.0015095967220198</v>
      </c>
      <c r="AF28" s="144">
        <f t="shared" ref="AF28:AY28" si="115">AF21/AF25</f>
        <v>-0.45182469630973221</v>
      </c>
      <c r="AG28" s="144">
        <f t="shared" si="115"/>
        <v>-0.75423996762321521</v>
      </c>
      <c r="AH28" s="144">
        <f t="shared" si="115"/>
        <v>-0.72085578681959728</v>
      </c>
      <c r="AI28" s="144">
        <f t="shared" si="115"/>
        <v>-0.89077873630216819</v>
      </c>
      <c r="AJ28" s="280">
        <f t="shared" si="115"/>
        <v>-2.8359482045648128</v>
      </c>
      <c r="AK28" s="144">
        <f>AK21/AK25</f>
        <v>-0.73657557475573576</v>
      </c>
      <c r="AL28" s="144">
        <f t="shared" si="115"/>
        <v>-1.3173246136902939</v>
      </c>
      <c r="AM28" s="144">
        <f t="shared" si="115"/>
        <v>-1.6343589965211001</v>
      </c>
      <c r="AN28" s="144">
        <f t="shared" si="115"/>
        <v>-1.4810553378008173</v>
      </c>
      <c r="AO28" s="280">
        <f t="shared" si="115"/>
        <v>-5.2089931314737505</v>
      </c>
      <c r="AP28" s="144">
        <f t="shared" si="115"/>
        <v>-1.4500721923455189</v>
      </c>
      <c r="AQ28" s="144">
        <f t="shared" si="115"/>
        <v>-1.5029250665258498</v>
      </c>
      <c r="AR28" s="144">
        <f t="shared" si="115"/>
        <v>-1.2517001195235544</v>
      </c>
      <c r="AS28" s="144">
        <f t="shared" si="115"/>
        <v>-1.3653409689436244</v>
      </c>
      <c r="AT28" s="280">
        <f t="shared" si="115"/>
        <v>-5.5666104381757586</v>
      </c>
      <c r="AU28" s="144">
        <f t="shared" si="115"/>
        <v>-1.2252006406184293</v>
      </c>
      <c r="AV28" s="144">
        <f t="shared" si="115"/>
        <v>-0.9746063857859093</v>
      </c>
      <c r="AW28" s="144">
        <f t="shared" si="115"/>
        <v>-0.94667928558404413</v>
      </c>
      <c r="AX28" s="144">
        <f t="shared" si="115"/>
        <v>-0.65374497319034897</v>
      </c>
      <c r="AY28" s="280">
        <f t="shared" si="115"/>
        <v>-3.7809768950494358</v>
      </c>
      <c r="AZ28" s="144">
        <f t="shared" ref="AZ28:DB28" si="116">AZ21/AZ25</f>
        <v>-0.55952952472395556</v>
      </c>
      <c r="BA28" s="144">
        <f t="shared" si="116"/>
        <v>-0.30494981807526084</v>
      </c>
      <c r="BB28" s="144">
        <f t="shared" si="116"/>
        <v>-0.25523732579276931</v>
      </c>
      <c r="BC28" s="144">
        <f t="shared" si="116"/>
        <v>-0.40912272692688001</v>
      </c>
      <c r="BD28" s="280">
        <f t="shared" si="116"/>
        <v>-1.5268525794191685</v>
      </c>
      <c r="BE28" s="144">
        <f t="shared" si="116"/>
        <v>-0.49674211502782945</v>
      </c>
      <c r="BF28" s="144">
        <f>BF21/BF25</f>
        <v>-0.74007977241399503</v>
      </c>
      <c r="BG28" s="144">
        <f>BG21/BG25</f>
        <v>-0.63813626655586864</v>
      </c>
      <c r="BH28" s="144">
        <f>BH21/BH25</f>
        <v>0.34106770401056596</v>
      </c>
      <c r="BI28" s="280">
        <f t="shared" si="116"/>
        <v>-1.5225166580115697</v>
      </c>
      <c r="BJ28" s="333">
        <f t="shared" si="116"/>
        <v>-0.59212858293366966</v>
      </c>
      <c r="BK28" s="144">
        <f t="shared" si="116"/>
        <v>-0.47820657497168495</v>
      </c>
      <c r="BL28" s="144">
        <f t="shared" si="116"/>
        <v>-0.39096246744922658</v>
      </c>
      <c r="BM28" s="144">
        <f t="shared" si="116"/>
        <v>-0.19722204708361477</v>
      </c>
      <c r="BN28" s="280">
        <f t="shared" si="116"/>
        <v>-1.6538375974133861</v>
      </c>
      <c r="BO28" s="144">
        <f t="shared" si="116"/>
        <v>-0.13975364915510252</v>
      </c>
      <c r="BP28" s="144">
        <f t="shared" si="116"/>
        <v>-0.22929336861048483</v>
      </c>
      <c r="BQ28" s="144">
        <f t="shared" si="116"/>
        <v>-0.16406772577450851</v>
      </c>
      <c r="BR28" s="144">
        <f t="shared" si="116"/>
        <v>-5.491767577229207E-2</v>
      </c>
      <c r="BS28" s="280">
        <f t="shared" si="116"/>
        <v>-0.586855485951713</v>
      </c>
      <c r="BT28" s="144">
        <f t="shared" si="116"/>
        <v>0.17118720382165578</v>
      </c>
      <c r="BU28" s="144">
        <f t="shared" si="116"/>
        <v>0.11603838822827528</v>
      </c>
      <c r="BV28" s="144">
        <f t="shared" si="116"/>
        <v>0.18567000912867102</v>
      </c>
      <c r="BW28" s="144">
        <f t="shared" si="116"/>
        <v>0.31732202988915337</v>
      </c>
      <c r="BX28" s="280">
        <f t="shared" si="116"/>
        <v>0.79208770259819483</v>
      </c>
      <c r="BY28" s="144">
        <f t="shared" si="116"/>
        <v>0.57512289786298687</v>
      </c>
      <c r="BZ28" s="144">
        <f t="shared" si="116"/>
        <v>0.49122737667453392</v>
      </c>
      <c r="CA28" s="144">
        <f t="shared" si="116"/>
        <v>0.58392339267478488</v>
      </c>
      <c r="CB28" s="144">
        <f t="shared" si="116"/>
        <v>0.70701350713947497</v>
      </c>
      <c r="CC28" s="280">
        <f t="shared" si="116"/>
        <v>2.3590848473965527</v>
      </c>
      <c r="CD28" s="144">
        <f t="shared" si="116"/>
        <v>1.0038558673382862</v>
      </c>
      <c r="CE28" s="144">
        <f t="shared" si="116"/>
        <v>0.92388685684716865</v>
      </c>
      <c r="CF28" s="144">
        <f t="shared" si="116"/>
        <v>1.0126016367853674</v>
      </c>
      <c r="CG28" s="144">
        <f t="shared" si="116"/>
        <v>1.1522159769183011</v>
      </c>
      <c r="CH28" s="280">
        <f t="shared" si="116"/>
        <v>4.0945252278597222</v>
      </c>
      <c r="CI28" s="144">
        <f t="shared" si="116"/>
        <v>1.4251647527855555</v>
      </c>
      <c r="CJ28" s="144">
        <f t="shared" si="116"/>
        <v>1.3150202958330051</v>
      </c>
      <c r="CK28" s="144">
        <f t="shared" si="116"/>
        <v>1.3814217229256369</v>
      </c>
      <c r="CL28" s="144">
        <f t="shared" si="116"/>
        <v>1.5020336449485465</v>
      </c>
      <c r="CM28" s="280">
        <f t="shared" si="116"/>
        <v>5.6247336978556177</v>
      </c>
      <c r="CN28" s="144">
        <f t="shared" si="116"/>
        <v>1.7828547620737802</v>
      </c>
      <c r="CO28" s="144">
        <f t="shared" si="116"/>
        <v>1.6645772252208757</v>
      </c>
      <c r="CP28" s="144">
        <f t="shared" si="116"/>
        <v>1.7294915349477631</v>
      </c>
      <c r="CQ28" s="144">
        <f t="shared" si="116"/>
        <v>1.8519422370887721</v>
      </c>
      <c r="CR28" s="280">
        <f t="shared" si="116"/>
        <v>7.0298676368824928</v>
      </c>
      <c r="CS28" s="144">
        <f t="shared" si="116"/>
        <v>2.1441560037945799</v>
      </c>
      <c r="CT28" s="144">
        <f t="shared" si="116"/>
        <v>2.0214860106703783</v>
      </c>
      <c r="CU28" s="144">
        <f t="shared" si="116"/>
        <v>2.0888589013567245</v>
      </c>
      <c r="CV28" s="144">
        <f t="shared" si="116"/>
        <v>2.2164665375212622</v>
      </c>
      <c r="CW28" s="280">
        <f t="shared" si="116"/>
        <v>8.4720139729449055</v>
      </c>
      <c r="CX28" s="144">
        <f t="shared" si="116"/>
        <v>2.4429568487483295</v>
      </c>
      <c r="CY28" s="144">
        <f t="shared" si="116"/>
        <v>2.2941569477658144</v>
      </c>
      <c r="CZ28" s="144">
        <f t="shared" si="116"/>
        <v>2.3411698456578862</v>
      </c>
      <c r="DA28" s="144">
        <f t="shared" si="116"/>
        <v>2.4512399046054378</v>
      </c>
      <c r="DB28" s="280">
        <f t="shared" si="116"/>
        <v>9.5297880697178297</v>
      </c>
      <c r="DF28" s="5">
        <f>+DF27/DE27-1</f>
        <v>0.31391200951248521</v>
      </c>
      <c r="DG28" s="5">
        <f t="shared" ref="DG28" si="117">+DG27/DF27-1</f>
        <v>8.9592760180995379E-2</v>
      </c>
      <c r="DH28" s="5">
        <f t="shared" ref="DH28" si="118">+DH27/DG27-1</f>
        <v>6.1461794019933569E-2</v>
      </c>
      <c r="DI28" s="5">
        <f t="shared" ref="DI28" si="119">+DI27/DH27-1</f>
        <v>4.5383411580594668E-2</v>
      </c>
      <c r="DJ28" s="5">
        <f t="shared" ref="DJ28" si="120">+DJ27/DI27-1</f>
        <v>9.7305389221555849E-3</v>
      </c>
      <c r="DK28" s="5">
        <f t="shared" ref="DK28" si="121">+DK27/DJ27-1</f>
        <v>0.10452186805040764</v>
      </c>
    </row>
    <row r="29" spans="1:115" s="205" customFormat="1" ht="13.9" customHeight="1">
      <c r="A29" s="316" t="s">
        <v>197</v>
      </c>
      <c r="B29" s="206">
        <f t="shared" ref="B29" si="122">B23/B26</f>
        <v>-2.0945327815290788</v>
      </c>
      <c r="C29" s="206">
        <f t="shared" ref="C29:R29" si="123">C23/C26</f>
        <v>-0.10885218127911939</v>
      </c>
      <c r="D29" s="206">
        <f>(D23+1)/D26</f>
        <v>3.1734856895291222E-2</v>
      </c>
      <c r="E29" s="206">
        <f t="shared" si="123"/>
        <v>-0.1777103978701372</v>
      </c>
      <c r="F29" s="281">
        <f t="shared" si="123"/>
        <v>-1.0733333333333381</v>
      </c>
      <c r="G29" s="206">
        <f t="shared" si="123"/>
        <v>-1.8914728682170538</v>
      </c>
      <c r="H29" s="206">
        <f t="shared" si="123"/>
        <v>-3.5822715689843454</v>
      </c>
      <c r="I29" s="206">
        <f t="shared" si="123"/>
        <v>-0.39146493414026345</v>
      </c>
      <c r="J29" s="206">
        <f t="shared" si="123"/>
        <v>-0.49730082095785222</v>
      </c>
      <c r="K29" s="281">
        <f t="shared" si="123"/>
        <v>-2.7358800183178147</v>
      </c>
      <c r="L29" s="206">
        <f>L21/L26</f>
        <v>-0.17218818771188968</v>
      </c>
      <c r="M29" s="206">
        <f>M21/M26</f>
        <v>-0.45011176985129736</v>
      </c>
      <c r="N29" s="206">
        <f>N21/N26</f>
        <v>-0.50021148965623319</v>
      </c>
      <c r="O29" s="206">
        <f t="shared" si="123"/>
        <v>-0.74351244084872548</v>
      </c>
      <c r="P29" s="281">
        <f>P21/P26</f>
        <v>-1.8567744687451528</v>
      </c>
      <c r="Q29" s="206">
        <f>(Q21-1.042)/Q26</f>
        <v>-0.69760383085421263</v>
      </c>
      <c r="R29" s="206">
        <f t="shared" si="123"/>
        <v>-0.52121006630500311</v>
      </c>
      <c r="S29" s="206">
        <f>S21/S26</f>
        <v>-0.5073998540610325</v>
      </c>
      <c r="T29" s="206">
        <f>(T21-0.106)/T26</f>
        <v>-0.83168605711368071</v>
      </c>
      <c r="U29" s="281">
        <f>(U21-1.148)/U26</f>
        <v>-2.5643981792403556</v>
      </c>
      <c r="V29" s="206">
        <f t="shared" ref="V29:AE29" si="124">V21/V26</f>
        <v>-0.60727480972437742</v>
      </c>
      <c r="W29" s="206">
        <f t="shared" si="124"/>
        <v>-0.62004362889772868</v>
      </c>
      <c r="X29" s="206">
        <f t="shared" si="124"/>
        <v>-0.48895492818226832</v>
      </c>
      <c r="Y29" s="206">
        <f t="shared" si="124"/>
        <v>-0.51241571315920786</v>
      </c>
      <c r="Z29" s="281">
        <f t="shared" si="124"/>
        <v>-2.2153574885907896</v>
      </c>
      <c r="AA29" s="206">
        <f t="shared" si="124"/>
        <v>-0.54258248316913615</v>
      </c>
      <c r="AB29" s="206">
        <f t="shared" si="124"/>
        <v>-0.4751407129455909</v>
      </c>
      <c r="AC29" s="206">
        <f t="shared" si="124"/>
        <v>-0.53260190757352077</v>
      </c>
      <c r="AD29" s="206">
        <f t="shared" si="124"/>
        <v>-0.45865543808418929</v>
      </c>
      <c r="AE29" s="281">
        <f t="shared" si="124"/>
        <v>-2.0015095967220198</v>
      </c>
      <c r="AF29" s="206">
        <f t="shared" ref="AF29:AO29" si="125">AF21/AF26</f>
        <v>-0.45182469630973221</v>
      </c>
      <c r="AG29" s="206">
        <f t="shared" si="125"/>
        <v>-0.75423996762321521</v>
      </c>
      <c r="AH29" s="206">
        <f t="shared" si="125"/>
        <v>-0.72085578681959728</v>
      </c>
      <c r="AI29" s="206">
        <f t="shared" si="125"/>
        <v>-0.89077873630216819</v>
      </c>
      <c r="AJ29" s="281">
        <f t="shared" si="125"/>
        <v>-2.8359482045648128</v>
      </c>
      <c r="AK29" s="206">
        <f t="shared" si="125"/>
        <v>-0.73657557475573576</v>
      </c>
      <c r="AL29" s="206">
        <f t="shared" si="125"/>
        <v>-1.3173246136902939</v>
      </c>
      <c r="AM29" s="206">
        <f t="shared" si="125"/>
        <v>-1.6343589965211001</v>
      </c>
      <c r="AN29" s="206">
        <f t="shared" si="125"/>
        <v>-1.4810553378008173</v>
      </c>
      <c r="AO29" s="281">
        <f t="shared" si="125"/>
        <v>-5.2089931314737505</v>
      </c>
      <c r="AP29" s="206">
        <f t="shared" ref="AP29:AY29" si="126">AP21/AP26</f>
        <v>-1.4500721923455189</v>
      </c>
      <c r="AQ29" s="206">
        <f t="shared" si="126"/>
        <v>-1.5029250665258498</v>
      </c>
      <c r="AR29" s="206">
        <f t="shared" si="126"/>
        <v>-1.2517001195235544</v>
      </c>
      <c r="AS29" s="206">
        <f t="shared" si="126"/>
        <v>-1.3653409689436244</v>
      </c>
      <c r="AT29" s="281">
        <f t="shared" si="126"/>
        <v>-5.5666104381757586</v>
      </c>
      <c r="AU29" s="206">
        <f t="shared" si="126"/>
        <v>-1.2252006406184293</v>
      </c>
      <c r="AV29" s="206">
        <f t="shared" si="126"/>
        <v>-0.9746063857859093</v>
      </c>
      <c r="AW29" s="206">
        <f t="shared" si="126"/>
        <v>-0.94667928558404413</v>
      </c>
      <c r="AX29" s="206">
        <f t="shared" si="126"/>
        <v>-0.65374497319034897</v>
      </c>
      <c r="AY29" s="281">
        <f t="shared" si="126"/>
        <v>-3.7809768950494358</v>
      </c>
      <c r="AZ29" s="206">
        <f t="shared" ref="AZ29:DB29" si="127">AZ21/AZ26</f>
        <v>-0.55952952472395556</v>
      </c>
      <c r="BA29" s="206">
        <f t="shared" si="127"/>
        <v>-0.30494981807526084</v>
      </c>
      <c r="BB29" s="206">
        <f t="shared" si="127"/>
        <v>-0.25523732579276931</v>
      </c>
      <c r="BC29" s="206">
        <f t="shared" si="127"/>
        <v>-0.40912272692688001</v>
      </c>
      <c r="BD29" s="281">
        <f t="shared" si="127"/>
        <v>-1.5268525794191685</v>
      </c>
      <c r="BE29" s="206">
        <f t="shared" si="127"/>
        <v>-0.49674211502782945</v>
      </c>
      <c r="BF29" s="206">
        <f>BF21/BF26</f>
        <v>-0.74007977241399503</v>
      </c>
      <c r="BG29" s="206">
        <f>BG21/BG26</f>
        <v>-0.63813626655586864</v>
      </c>
      <c r="BH29" s="206">
        <f>BH21/BH26</f>
        <v>0.34106770401056596</v>
      </c>
      <c r="BI29" s="281">
        <f t="shared" si="127"/>
        <v>-1.5225166580115697</v>
      </c>
      <c r="BJ29" s="334">
        <f t="shared" si="127"/>
        <v>-0.59212858293366966</v>
      </c>
      <c r="BK29" s="206">
        <f t="shared" si="127"/>
        <v>-0.47820657497168495</v>
      </c>
      <c r="BL29" s="206">
        <f t="shared" si="127"/>
        <v>-0.39096246744922658</v>
      </c>
      <c r="BM29" s="206">
        <f t="shared" si="127"/>
        <v>-0.19722204708361477</v>
      </c>
      <c r="BN29" s="281">
        <f t="shared" si="127"/>
        <v>-1.6538375974133861</v>
      </c>
      <c r="BO29" s="206">
        <f t="shared" si="127"/>
        <v>-0.13975364915510252</v>
      </c>
      <c r="BP29" s="206">
        <f t="shared" si="127"/>
        <v>-0.22929336861048483</v>
      </c>
      <c r="BQ29" s="206">
        <f t="shared" si="127"/>
        <v>-0.16406772577450851</v>
      </c>
      <c r="BR29" s="206">
        <f t="shared" si="127"/>
        <v>-5.491767577229207E-2</v>
      </c>
      <c r="BS29" s="281">
        <f t="shared" si="127"/>
        <v>-0.586855485951713</v>
      </c>
      <c r="BT29" s="206">
        <f t="shared" si="127"/>
        <v>0.17118720382165578</v>
      </c>
      <c r="BU29" s="206">
        <f t="shared" si="127"/>
        <v>0.11603838822827528</v>
      </c>
      <c r="BV29" s="206">
        <f t="shared" si="127"/>
        <v>0.18567000912867102</v>
      </c>
      <c r="BW29" s="206">
        <f t="shared" si="127"/>
        <v>0.31732202988915337</v>
      </c>
      <c r="BX29" s="281">
        <f t="shared" si="127"/>
        <v>0.79208770259819483</v>
      </c>
      <c r="BY29" s="206">
        <f t="shared" si="127"/>
        <v>0.57512289786298687</v>
      </c>
      <c r="BZ29" s="206">
        <f t="shared" si="127"/>
        <v>0.49122737667453392</v>
      </c>
      <c r="CA29" s="206">
        <f t="shared" si="127"/>
        <v>0.58392339267478488</v>
      </c>
      <c r="CB29" s="206">
        <f t="shared" si="127"/>
        <v>0.70701350713947497</v>
      </c>
      <c r="CC29" s="281">
        <f t="shared" si="127"/>
        <v>2.3590848473965527</v>
      </c>
      <c r="CD29" s="206">
        <f t="shared" si="127"/>
        <v>1.0038558673382862</v>
      </c>
      <c r="CE29" s="206">
        <f t="shared" si="127"/>
        <v>0.92388685684716865</v>
      </c>
      <c r="CF29" s="206">
        <f t="shared" si="127"/>
        <v>1.0126016367853674</v>
      </c>
      <c r="CG29" s="206">
        <f t="shared" si="127"/>
        <v>1.1522159769183011</v>
      </c>
      <c r="CH29" s="281">
        <f t="shared" si="127"/>
        <v>4.0945252278597222</v>
      </c>
      <c r="CI29" s="206">
        <f t="shared" si="127"/>
        <v>1.4251647527855555</v>
      </c>
      <c r="CJ29" s="206">
        <f t="shared" si="127"/>
        <v>1.3150202958330051</v>
      </c>
      <c r="CK29" s="206">
        <f t="shared" si="127"/>
        <v>1.3814217229256369</v>
      </c>
      <c r="CL29" s="206">
        <f t="shared" si="127"/>
        <v>1.5020336449485465</v>
      </c>
      <c r="CM29" s="281">
        <f t="shared" si="127"/>
        <v>5.6247336978556177</v>
      </c>
      <c r="CN29" s="206">
        <f t="shared" si="127"/>
        <v>1.7828547620737802</v>
      </c>
      <c r="CO29" s="206">
        <f t="shared" si="127"/>
        <v>1.6645772252208757</v>
      </c>
      <c r="CP29" s="206">
        <f t="shared" si="127"/>
        <v>1.7294915349477631</v>
      </c>
      <c r="CQ29" s="206">
        <f t="shared" si="127"/>
        <v>1.8519422370887721</v>
      </c>
      <c r="CR29" s="281">
        <f t="shared" si="127"/>
        <v>7.0298676368824928</v>
      </c>
      <c r="CS29" s="206">
        <f t="shared" si="127"/>
        <v>2.1441560037945799</v>
      </c>
      <c r="CT29" s="206">
        <f t="shared" si="127"/>
        <v>2.0214860106703783</v>
      </c>
      <c r="CU29" s="206">
        <f t="shared" si="127"/>
        <v>2.0888589013567245</v>
      </c>
      <c r="CV29" s="206">
        <f t="shared" si="127"/>
        <v>2.2164665375212622</v>
      </c>
      <c r="CW29" s="281">
        <f t="shared" si="127"/>
        <v>8.4720139729449055</v>
      </c>
      <c r="CX29" s="206">
        <f t="shared" si="127"/>
        <v>2.4429568487483295</v>
      </c>
      <c r="CY29" s="206">
        <f t="shared" si="127"/>
        <v>2.2941569477658144</v>
      </c>
      <c r="CZ29" s="206">
        <f t="shared" si="127"/>
        <v>2.3411698456578862</v>
      </c>
      <c r="DA29" s="206">
        <f t="shared" si="127"/>
        <v>2.4512399046054378</v>
      </c>
      <c r="DB29" s="281">
        <f t="shared" si="127"/>
        <v>9.5297880697178297</v>
      </c>
    </row>
    <row r="30" spans="1:115" s="7" customFormat="1" ht="14.2" customHeight="1">
      <c r="A30" s="315"/>
      <c r="F30" s="187"/>
      <c r="K30" s="187"/>
      <c r="P30" s="187"/>
      <c r="U30" s="187"/>
      <c r="Z30" s="187"/>
      <c r="AE30" s="187"/>
      <c r="AJ30" s="187"/>
      <c r="AO30" s="187"/>
      <c r="AT30" s="187"/>
      <c r="AY30" s="187"/>
      <c r="BD30" s="200"/>
      <c r="BE30" s="92"/>
      <c r="BI30" s="200"/>
      <c r="BJ30" s="335"/>
      <c r="BN30" s="187"/>
      <c r="BS30" s="187"/>
      <c r="BX30" s="187"/>
      <c r="CC30" s="187"/>
      <c r="CH30" s="187"/>
      <c r="CM30" s="187"/>
      <c r="CR30" s="187"/>
      <c r="CW30" s="187"/>
      <c r="DB30" s="187"/>
    </row>
    <row r="31" spans="1:115" s="205" customFormat="1" ht="14.2" customHeight="1">
      <c r="A31" s="316" t="s">
        <v>9</v>
      </c>
      <c r="B31" s="201">
        <f>B14+CF!B9</f>
        <v>-7.2820000000000018</v>
      </c>
      <c r="C31" s="201">
        <f>C14+CF!C9</f>
        <v>1.102999999999998</v>
      </c>
      <c r="D31" s="201">
        <f>D14+CF!D9</f>
        <v>6.141</v>
      </c>
      <c r="E31" s="201">
        <f>E14+CF!E9</f>
        <v>5.8509999999999902</v>
      </c>
      <c r="F31" s="202">
        <f>F14+CF!F9</f>
        <v>5.8129999999999775</v>
      </c>
      <c r="G31" s="201">
        <f>G14+CF!G9</f>
        <v>-4.6359999999999975</v>
      </c>
      <c r="H31" s="201">
        <f>H14+CF!H9</f>
        <v>-14.138999999999994</v>
      </c>
      <c r="I31" s="201">
        <f>I14+CF!I9</f>
        <v>-19.352000000000004</v>
      </c>
      <c r="J31" s="201">
        <f>J14+CF!J9</f>
        <v>-16.176000000000005</v>
      </c>
      <c r="K31" s="202">
        <f>K14+CF!K9</f>
        <v>-54.303000000000026</v>
      </c>
      <c r="L31" s="201">
        <f>L14+CF!L9</f>
        <v>-8.4110000000000049</v>
      </c>
      <c r="M31" s="201">
        <f>M14+CF!M9</f>
        <v>-21.280999999999992</v>
      </c>
      <c r="N31" s="201">
        <f>N14+CF!N9</f>
        <v>-24.906000000000002</v>
      </c>
      <c r="O31" s="201">
        <f>O14+CF!O9</f>
        <v>-35.713999999999992</v>
      </c>
      <c r="P31" s="202">
        <f>P14+CF!P9</f>
        <v>-90.311999999999998</v>
      </c>
      <c r="Q31" s="201">
        <f>Q14+CF!Q9</f>
        <v>-35.272999999999996</v>
      </c>
      <c r="R31" s="201">
        <f>R14+CF!R9</f>
        <v>-25.175000000000004</v>
      </c>
      <c r="S31" s="201">
        <f>S14+CF!S9</f>
        <v>-23.343000000000007</v>
      </c>
      <c r="T31" s="201">
        <f>T14+CF!T9</f>
        <v>-43.093000000000018</v>
      </c>
      <c r="U31" s="202">
        <f>U14+CF!U9</f>
        <v>-126.88400000000001</v>
      </c>
      <c r="V31" s="201">
        <f>V14+CF!V9</f>
        <v>-28.656999999999996</v>
      </c>
      <c r="W31" s="201">
        <f>W14+CF!W9</f>
        <v>-25.398999999999997</v>
      </c>
      <c r="X31" s="201">
        <f>X14+CF!X9</f>
        <v>-25.270999999999997</v>
      </c>
      <c r="Y31" s="201">
        <f>Y14+CF!Y9</f>
        <v>-27.800000000000018</v>
      </c>
      <c r="Z31" s="202">
        <f>Z14+CF!Z9</f>
        <v>-107.12699999999998</v>
      </c>
      <c r="AA31" s="201">
        <f>AA14+CF!AA9</f>
        <v>-29.826000000000001</v>
      </c>
      <c r="AB31" s="201">
        <f>AB14+CF!AB9</f>
        <v>-26.603999999999996</v>
      </c>
      <c r="AC31" s="201">
        <f>AC14+CF!AC9</f>
        <v>-33.512999999999984</v>
      </c>
      <c r="AD31" s="201">
        <f>AD14+CF!AD9</f>
        <v>-33.002000000000081</v>
      </c>
      <c r="AE31" s="202">
        <f>AE14+CF!AE9</f>
        <v>-122.94500000000006</v>
      </c>
      <c r="AF31" s="201">
        <f>AF14+CF!AF9</f>
        <v>-33.046000000000006</v>
      </c>
      <c r="AG31" s="201">
        <f>AG14+CF!AG9</f>
        <v>-49.45</v>
      </c>
      <c r="AH31" s="201">
        <f>AH14+CF!AH9</f>
        <v>-53.597999999999985</v>
      </c>
      <c r="AI31" s="201">
        <f>AI14+CF!AI9</f>
        <v>-71.569999999999965</v>
      </c>
      <c r="AJ31" s="202">
        <f>AJ14+CF!AJ9</f>
        <v>-207.66400000000004</v>
      </c>
      <c r="AK31" s="201">
        <f>AK14+CF!AK9</f>
        <v>-60.467999999999982</v>
      </c>
      <c r="AL31" s="201">
        <f>AL14+CF!AL9</f>
        <v>-112.581</v>
      </c>
      <c r="AM31" s="201">
        <f>AM14+CF!AM9</f>
        <v>-147.19999999999999</v>
      </c>
      <c r="AN31" s="201">
        <f>AN14+CF!AN9</f>
        <v>-136.67099999999999</v>
      </c>
      <c r="AO31" s="202">
        <f>AO14+CF!AO9</f>
        <v>-456.91999999999996</v>
      </c>
      <c r="AP31" s="201">
        <f>AP14+CF!AP9</f>
        <v>-134.12799999999999</v>
      </c>
      <c r="AQ31" s="201">
        <f>AQ14+CF!AQ9</f>
        <v>-138.45600000000002</v>
      </c>
      <c r="AR31" s="201">
        <f>AR14+CF!AR9</f>
        <v>-113.91100000000002</v>
      </c>
      <c r="AS31" s="201">
        <f>AS14+CF!AS9</f>
        <v>-137.84300000000007</v>
      </c>
      <c r="AT31" s="202">
        <f>AT14+CF!AT9</f>
        <v>-524.33800000000019</v>
      </c>
      <c r="AU31" s="201">
        <f>AU14+CF!AU9</f>
        <v>-133.22399999999999</v>
      </c>
      <c r="AV31" s="201">
        <f>AV14+CF!AV9</f>
        <v>-107.30200000000002</v>
      </c>
      <c r="AW31" s="201">
        <f>AW14+CF!AW9</f>
        <v>-103.99699999999997</v>
      </c>
      <c r="AX31" s="201">
        <f>AX14+CF!AX9</f>
        <v>-77.625000000000057</v>
      </c>
      <c r="AY31" s="202">
        <f>AY14+CF!AY9</f>
        <v>-422.14800000000002</v>
      </c>
      <c r="AZ31" s="201">
        <f>AZ14+CF!AZ9</f>
        <v>-67.250999999999962</v>
      </c>
      <c r="BA31" s="201">
        <f>BA14+CF!BA9</f>
        <v>-35.987000000000016</v>
      </c>
      <c r="BB31" s="201">
        <f>BB14+CF!BB9</f>
        <v>-31.138000000000019</v>
      </c>
      <c r="BC31" s="201">
        <f>BC14+CF!BC9</f>
        <v>-56.949999999999847</v>
      </c>
      <c r="BD31" s="202">
        <f>BD14+CF!BD9</f>
        <v>-191.32599999999988</v>
      </c>
      <c r="BE31" s="201">
        <f>BE14+CF!BE9</f>
        <v>-69.940000000000026</v>
      </c>
      <c r="BF31" s="201">
        <f>BF14+CF!BF9</f>
        <v>-100.51299999999996</v>
      </c>
      <c r="BG31" s="201">
        <f>BG14+CF!BG9</f>
        <v>-87.283999999999963</v>
      </c>
      <c r="BH31" s="201">
        <f>BH14+CF!BH9</f>
        <v>-12.817093333333339</v>
      </c>
      <c r="BI31" s="202">
        <f>BI14+CF!BI9</f>
        <v>-270.55409333333319</v>
      </c>
      <c r="BJ31" s="329">
        <f>BJ14+CF!BJ9</f>
        <v>-78.541988071793298</v>
      </c>
      <c r="BK31" s="201">
        <f>BK14+CF!BK9</f>
        <v>-63.450097550725623</v>
      </c>
      <c r="BL31" s="201">
        <f>BL14+CF!BL9</f>
        <v>-50.939247592997368</v>
      </c>
      <c r="BM31" s="201">
        <f>BM14+CF!BM9</f>
        <v>-23.227370680887695</v>
      </c>
      <c r="BN31" s="202">
        <f>BN14+CF!BN9</f>
        <v>-216.15870389640364</v>
      </c>
      <c r="BO31" s="201">
        <f>BO14+CF!BO9</f>
        <v>-11.863858541588879</v>
      </c>
      <c r="BP31" s="201">
        <f>BP14+CF!BP9</f>
        <v>-23.513322862668694</v>
      </c>
      <c r="BQ31" s="201">
        <f>BQ14+CF!BQ9</f>
        <v>-13.910691697054371</v>
      </c>
      <c r="BR31" s="201">
        <f>BR14+CF!BR9</f>
        <v>2.1909771783289926</v>
      </c>
      <c r="BS31" s="202">
        <f>BS14+CF!BS9</f>
        <v>-47.096895922983521</v>
      </c>
      <c r="BT31" s="201">
        <f>BT14+CF!BT9</f>
        <v>35.795729920963673</v>
      </c>
      <c r="BU31" s="201">
        <f>BU14+CF!BU9</f>
        <v>27.702019662860447</v>
      </c>
      <c r="BV31" s="201">
        <f>BV14+CF!BV9</f>
        <v>38.356924825234593</v>
      </c>
      <c r="BW31" s="201">
        <f>BW14+CF!BW9</f>
        <v>58.446151369729066</v>
      </c>
      <c r="BX31" s="202">
        <f>BX14+CF!BX9</f>
        <v>160.30082577878767</v>
      </c>
      <c r="BY31" s="201">
        <f>BY14+CF!BY9</f>
        <v>98.007088688340033</v>
      </c>
      <c r="BZ31" s="201">
        <f>BZ14+CF!BZ9</f>
        <v>85.372574137176017</v>
      </c>
      <c r="CA31" s="201">
        <f>CA14+CF!CA9</f>
        <v>100.0391589931664</v>
      </c>
      <c r="CB31" s="201">
        <f>CB14+CF!CB9</f>
        <v>119.5171531524519</v>
      </c>
      <c r="CC31" s="202">
        <f>CC14+CF!CC9</f>
        <v>402.93597497113433</v>
      </c>
      <c r="CD31" s="201">
        <f>CD14+CF!CD9</f>
        <v>166.53096133835214</v>
      </c>
      <c r="CE31" s="201">
        <f>CE14+CF!CE9</f>
        <v>154.27824518170308</v>
      </c>
      <c r="CF31" s="201">
        <f>CF14+CF!CF9</f>
        <v>168.89924995501087</v>
      </c>
      <c r="CG31" s="201">
        <f>CG14+CF!CG9</f>
        <v>191.75694416300857</v>
      </c>
      <c r="CH31" s="202">
        <f>CH14+CF!CH9</f>
        <v>681.46540063807538</v>
      </c>
      <c r="CI31" s="201">
        <f>CI14+CF!CI9</f>
        <v>236.47490256498142</v>
      </c>
      <c r="CJ31" s="201">
        <f>CJ14+CF!CJ9</f>
        <v>219.07964174090066</v>
      </c>
      <c r="CK31" s="201">
        <f>CK14+CF!CK9</f>
        <v>230.61917417324995</v>
      </c>
      <c r="CL31" s="201">
        <f>CL14+CF!CL9</f>
        <v>251.14738136568809</v>
      </c>
      <c r="CM31" s="202">
        <f>CM14+CF!CM9</f>
        <v>937.3210998448194</v>
      </c>
      <c r="CN31" s="201">
        <f>CN14+CF!CN9</f>
        <v>298.65361790199125</v>
      </c>
      <c r="CO31" s="201">
        <f>CO14+CF!CO9</f>
        <v>279.49897214088077</v>
      </c>
      <c r="CP31" s="201">
        <f>CP14+CF!CP9</f>
        <v>291.2663172886169</v>
      </c>
      <c r="CQ31" s="201">
        <f>CQ14+CF!CQ9</f>
        <v>312.84823751783881</v>
      </c>
      <c r="CR31" s="202">
        <f>CR14+CF!CR9</f>
        <v>1182.267144849327</v>
      </c>
      <c r="CS31" s="201">
        <f>CS14+CF!CS9</f>
        <v>363.87208699291619</v>
      </c>
      <c r="CT31" s="201">
        <f>CT14+CF!CT9</f>
        <v>343.51650490255531</v>
      </c>
      <c r="CU31" s="201">
        <f>CU14+CF!CU9</f>
        <v>356.20552300789137</v>
      </c>
      <c r="CV31" s="201">
        <f>CV14+CF!CV9</f>
        <v>379.47371680954484</v>
      </c>
      <c r="CW31" s="202">
        <f>CW14+CF!CW9</f>
        <v>1443.0678317129075</v>
      </c>
      <c r="CX31" s="201">
        <f>CX14+CF!CX9</f>
        <v>420.55423200857024</v>
      </c>
      <c r="CY31" s="201">
        <f>CY14+CF!CY9</f>
        <v>395.04776410836763</v>
      </c>
      <c r="CZ31" s="201">
        <f>CZ14+CF!CZ9</f>
        <v>404.5772666226834</v>
      </c>
      <c r="DA31" s="201">
        <f>DA14+CF!DA9</f>
        <v>425.47212863212917</v>
      </c>
      <c r="DB31" s="202">
        <f>DB14+CF!DB9</f>
        <v>1645.6513913717517</v>
      </c>
    </row>
    <row r="32" spans="1:115" s="7" customFormat="1" ht="14.2" customHeight="1">
      <c r="A32" s="315"/>
      <c r="B32" s="6"/>
      <c r="C32" s="6"/>
      <c r="D32" s="6"/>
      <c r="E32" s="6"/>
      <c r="F32" s="185"/>
      <c r="G32" s="6"/>
      <c r="H32" s="6"/>
      <c r="I32" s="6"/>
      <c r="J32" s="6"/>
      <c r="K32" s="185"/>
      <c r="L32" s="6"/>
      <c r="M32" s="6"/>
      <c r="N32" s="6"/>
      <c r="O32" s="6"/>
      <c r="P32" s="185"/>
      <c r="Q32" s="6"/>
      <c r="R32" s="6"/>
      <c r="S32" s="6"/>
      <c r="T32" s="6"/>
      <c r="U32" s="185"/>
      <c r="V32" s="6"/>
      <c r="W32" s="6"/>
      <c r="X32" s="6"/>
      <c r="Y32" s="6"/>
      <c r="Z32" s="185"/>
      <c r="AA32" s="6"/>
      <c r="AB32" s="6"/>
      <c r="AC32" s="6"/>
      <c r="AD32" s="6"/>
      <c r="AE32" s="185"/>
      <c r="AF32" s="6"/>
      <c r="AG32" s="6"/>
      <c r="AH32" s="6"/>
      <c r="AI32" s="6"/>
      <c r="AJ32" s="185"/>
      <c r="AK32" s="6"/>
      <c r="AL32" s="6"/>
      <c r="AM32" s="6"/>
      <c r="AN32" s="6"/>
      <c r="AO32" s="185"/>
      <c r="AP32" s="6"/>
      <c r="AQ32" s="6"/>
      <c r="AR32" s="6"/>
      <c r="AS32" s="6"/>
      <c r="AT32" s="185"/>
      <c r="AU32" s="6"/>
      <c r="AV32" s="6"/>
      <c r="AW32" s="6"/>
      <c r="AX32" s="6"/>
      <c r="AY32" s="185"/>
      <c r="AZ32" s="6"/>
      <c r="BA32" s="6"/>
      <c r="BB32" s="6"/>
      <c r="BC32" s="6"/>
      <c r="BD32" s="185"/>
      <c r="BE32" s="6"/>
      <c r="BF32" s="6"/>
      <c r="BG32" s="6"/>
      <c r="BH32" s="6"/>
      <c r="BI32" s="185"/>
      <c r="BJ32" s="330"/>
      <c r="BK32" s="6"/>
      <c r="BL32" s="6"/>
      <c r="BM32" s="6"/>
      <c r="BN32" s="185"/>
      <c r="BO32" s="6"/>
      <c r="BP32" s="6"/>
      <c r="BQ32" s="6"/>
      <c r="BR32" s="6"/>
      <c r="BS32" s="185"/>
      <c r="BT32" s="6"/>
      <c r="BU32" s="6"/>
      <c r="BV32" s="6"/>
      <c r="BW32" s="6"/>
      <c r="BX32" s="185"/>
      <c r="BY32" s="6"/>
      <c r="BZ32" s="6"/>
      <c r="CA32" s="6"/>
      <c r="CB32" s="6"/>
      <c r="CC32" s="185"/>
      <c r="CD32" s="6"/>
      <c r="CE32" s="6"/>
      <c r="CF32" s="6"/>
      <c r="CG32" s="6"/>
      <c r="CH32" s="185"/>
      <c r="CI32" s="6"/>
      <c r="CJ32" s="6"/>
      <c r="CK32" s="6"/>
      <c r="CL32" s="6"/>
      <c r="CM32" s="185"/>
      <c r="CN32" s="6"/>
      <c r="CO32" s="6"/>
      <c r="CP32" s="6"/>
      <c r="CQ32" s="6"/>
      <c r="CR32" s="185"/>
      <c r="CS32" s="6"/>
      <c r="CT32" s="6"/>
      <c r="CU32" s="6"/>
      <c r="CV32" s="6"/>
      <c r="CW32" s="185"/>
      <c r="CX32" s="6"/>
      <c r="CY32" s="6"/>
      <c r="CZ32" s="6"/>
      <c r="DA32" s="6"/>
      <c r="DB32" s="185"/>
    </row>
    <row r="33" spans="1:106" s="148" customFormat="1" ht="14.2" customHeight="1">
      <c r="A33" s="317" t="s">
        <v>465</v>
      </c>
      <c r="F33" s="188"/>
      <c r="K33" s="188"/>
      <c r="P33" s="188"/>
      <c r="U33" s="188"/>
      <c r="Z33" s="188"/>
      <c r="AE33" s="188"/>
      <c r="AJ33" s="188"/>
      <c r="AO33" s="188"/>
      <c r="AT33" s="188"/>
      <c r="AY33" s="188"/>
      <c r="BD33" s="188"/>
      <c r="BI33" s="188"/>
      <c r="BN33" s="188"/>
      <c r="BS33" s="188"/>
      <c r="BX33" s="188"/>
      <c r="CC33" s="188"/>
      <c r="CH33" s="188"/>
      <c r="CM33" s="188"/>
      <c r="CR33" s="188"/>
      <c r="CW33" s="188"/>
      <c r="DB33" s="188"/>
    </row>
    <row r="34" spans="1:106" s="207" customFormat="1" ht="14.2" customHeight="1">
      <c r="A34" s="318" t="str">
        <f>A7</f>
        <v>Net Sales</v>
      </c>
      <c r="B34" s="208" t="s">
        <v>290</v>
      </c>
      <c r="C34" s="208" t="s">
        <v>290</v>
      </c>
      <c r="D34" s="208" t="s">
        <v>290</v>
      </c>
      <c r="E34" s="208" t="s">
        <v>290</v>
      </c>
      <c r="F34" s="209" t="s">
        <v>290</v>
      </c>
      <c r="G34" s="136">
        <f>G7/B7-1</f>
        <v>0.73786407766990303</v>
      </c>
      <c r="H34" s="136">
        <f t="shared" ref="H34:BS34" si="128">H7/C7-1</f>
        <v>0.25814823082933369</v>
      </c>
      <c r="I34" s="136">
        <f t="shared" si="128"/>
        <v>-2.9238881445304066E-2</v>
      </c>
      <c r="J34" s="136">
        <f t="shared" si="128"/>
        <v>6.0700825916125245E-2</v>
      </c>
      <c r="K34" s="210">
        <f t="shared" si="128"/>
        <v>0.19502916083345379</v>
      </c>
      <c r="L34" s="136">
        <f t="shared" si="128"/>
        <v>0.30498577000105409</v>
      </c>
      <c r="M34" s="136">
        <f t="shared" si="128"/>
        <v>0.1529709228824272</v>
      </c>
      <c r="N34" s="136">
        <f t="shared" si="128"/>
        <v>0.19963936688853767</v>
      </c>
      <c r="O34" s="136">
        <f t="shared" si="128"/>
        <v>-6.8283187178711291E-2</v>
      </c>
      <c r="P34" s="210">
        <f t="shared" si="128"/>
        <v>0.14036405663103158</v>
      </c>
      <c r="Q34" s="136">
        <f t="shared" si="128"/>
        <v>-0.24233465800781873</v>
      </c>
      <c r="R34" s="136">
        <f t="shared" si="128"/>
        <v>3.1413511849799791E-2</v>
      </c>
      <c r="S34" s="136">
        <f t="shared" si="128"/>
        <v>5.134628588394663E-2</v>
      </c>
      <c r="T34" s="136">
        <f t="shared" si="128"/>
        <v>9.0590072820949219E-2</v>
      </c>
      <c r="U34" s="210">
        <f t="shared" si="128"/>
        <v>-2.8262251582409803E-2</v>
      </c>
      <c r="V34" s="136">
        <f t="shared" si="128"/>
        <v>0.32918274663653224</v>
      </c>
      <c r="W34" s="136">
        <f t="shared" si="128"/>
        <v>0.17628737154260787</v>
      </c>
      <c r="X34" s="136">
        <f t="shared" si="128"/>
        <v>0.15221688788477827</v>
      </c>
      <c r="Y34" s="136">
        <f t="shared" si="128"/>
        <v>0.2455128801264761</v>
      </c>
      <c r="Z34" s="210">
        <f t="shared" si="128"/>
        <v>0.22146212886189853</v>
      </c>
      <c r="AA34" s="136">
        <f t="shared" si="128"/>
        <v>7.1928136028232226E-2</v>
      </c>
      <c r="AB34" s="136">
        <f t="shared" si="128"/>
        <v>0.17894686771631063</v>
      </c>
      <c r="AC34" s="136">
        <f t="shared" si="128"/>
        <v>0.1934589460784315</v>
      </c>
      <c r="AD34" s="136">
        <f t="shared" si="128"/>
        <v>0.24303740760098536</v>
      </c>
      <c r="AE34" s="210">
        <f t="shared" si="128"/>
        <v>0.17338756627104557</v>
      </c>
      <c r="AF34" s="136">
        <f t="shared" si="128"/>
        <v>0.40685981084640255</v>
      </c>
      <c r="AG34" s="136">
        <f t="shared" si="128"/>
        <v>0.16296146863021965</v>
      </c>
      <c r="AH34" s="136">
        <f t="shared" si="128"/>
        <v>0.25971325520799904</v>
      </c>
      <c r="AI34" s="136">
        <f t="shared" si="128"/>
        <v>0.35004805382027993</v>
      </c>
      <c r="AJ34" s="210">
        <f t="shared" si="128"/>
        <v>0.29331388425815685</v>
      </c>
      <c r="AK34" s="136">
        <f t="shared" si="128"/>
        <v>0.6201761477258223</v>
      </c>
      <c r="AL34" s="136">
        <f t="shared" si="128"/>
        <v>0.64245073549819609</v>
      </c>
      <c r="AM34" s="136">
        <f t="shared" si="128"/>
        <v>0.61107771313287773</v>
      </c>
      <c r="AN34" s="136">
        <f t="shared" si="128"/>
        <v>0.53969638185409918</v>
      </c>
      <c r="AO34" s="210">
        <f t="shared" si="128"/>
        <v>0.59968798352962227</v>
      </c>
      <c r="AP34" s="136">
        <f t="shared" si="128"/>
        <v>0.27454108563775304</v>
      </c>
      <c r="AQ34" s="136">
        <f t="shared" si="128"/>
        <v>0.39551913030008579</v>
      </c>
      <c r="AR34" s="136">
        <f t="shared" si="128"/>
        <v>0.33216752257836002</v>
      </c>
      <c r="AS34" s="136">
        <f t="shared" si="128"/>
        <v>0.25558869084772362</v>
      </c>
      <c r="AT34" s="210">
        <f t="shared" si="128"/>
        <v>0.3113355055109146</v>
      </c>
      <c r="AU34" s="136">
        <f t="shared" si="128"/>
        <v>0.24531120417445762</v>
      </c>
      <c r="AV34" s="136">
        <f t="shared" si="128"/>
        <v>0.31889001009081741</v>
      </c>
      <c r="AW34" s="136">
        <f t="shared" si="128"/>
        <v>0.2737838081628583</v>
      </c>
      <c r="AX34" s="136">
        <f t="shared" si="128"/>
        <v>0.43200062600114197</v>
      </c>
      <c r="AY34" s="210">
        <f t="shared" si="128"/>
        <v>0.31985121101360359</v>
      </c>
      <c r="AZ34" s="136">
        <f t="shared" si="128"/>
        <v>0.5211246049736098</v>
      </c>
      <c r="BA34" s="136">
        <f t="shared" si="128"/>
        <v>0.58127266606478867</v>
      </c>
      <c r="BB34" s="136">
        <f t="shared" si="128"/>
        <v>0.6390166451737942</v>
      </c>
      <c r="BC34" s="136">
        <f t="shared" si="128"/>
        <v>0.53022612944182868</v>
      </c>
      <c r="BD34" s="210">
        <f t="shared" si="128"/>
        <v>0.56748240992969534</v>
      </c>
      <c r="BE34" s="136">
        <f t="shared" si="128"/>
        <v>0.36462891002091147</v>
      </c>
      <c r="BF34" s="136">
        <f t="shared" si="128"/>
        <v>0.32236283449175152</v>
      </c>
      <c r="BG34" s="136">
        <f t="shared" si="128"/>
        <v>0.34661109064530948</v>
      </c>
      <c r="BH34" s="136">
        <f t="shared" si="128"/>
        <v>0.39793009719342654</v>
      </c>
      <c r="BI34" s="210">
        <f t="shared" si="128"/>
        <v>0.35900645349107885</v>
      </c>
      <c r="BJ34" s="336">
        <f t="shared" si="128"/>
        <v>0.22856917556976519</v>
      </c>
      <c r="BK34" s="136">
        <f t="shared" si="128"/>
        <v>0.19009846878670733</v>
      </c>
      <c r="BL34" s="136">
        <f t="shared" si="128"/>
        <v>0.14252143647524473</v>
      </c>
      <c r="BM34" s="136">
        <f t="shared" si="128"/>
        <v>7.4841274720548245E-2</v>
      </c>
      <c r="BN34" s="210">
        <f t="shared" si="128"/>
        <v>0.15299177991613355</v>
      </c>
      <c r="BO34" s="136">
        <f t="shared" si="128"/>
        <v>0.236184688804427</v>
      </c>
      <c r="BP34" s="136">
        <f t="shared" si="128"/>
        <v>0.17303605091150254</v>
      </c>
      <c r="BQ34" s="136">
        <f t="shared" si="128"/>
        <v>0.16874328579185183</v>
      </c>
      <c r="BR34" s="136">
        <f t="shared" si="128"/>
        <v>0.13674879181129285</v>
      </c>
      <c r="BS34" s="210">
        <f t="shared" si="128"/>
        <v>0.17682414655444489</v>
      </c>
      <c r="BT34" s="136">
        <f t="shared" ref="BT34:DB34" si="129">BT7/BO7-1</f>
        <v>0.15056362458048067</v>
      </c>
      <c r="BU34" s="136">
        <f t="shared" si="129"/>
        <v>0.16116840176798286</v>
      </c>
      <c r="BV34" s="136">
        <f t="shared" si="129"/>
        <v>0.15540704853376641</v>
      </c>
      <c r="BW34" s="136">
        <f t="shared" si="129"/>
        <v>0.15675042243039483</v>
      </c>
      <c r="BX34" s="210">
        <f t="shared" si="129"/>
        <v>0.15598141075437422</v>
      </c>
      <c r="BY34" s="136">
        <f t="shared" si="129"/>
        <v>0.15500018764211232</v>
      </c>
      <c r="BZ34" s="136">
        <f t="shared" si="129"/>
        <v>0.14766406391444509</v>
      </c>
      <c r="CA34" s="136">
        <f t="shared" si="129"/>
        <v>0.15091063370641122</v>
      </c>
      <c r="CB34" s="136">
        <f t="shared" si="129"/>
        <v>0.14461680760482287</v>
      </c>
      <c r="CC34" s="210">
        <f t="shared" si="129"/>
        <v>0.14947018377025212</v>
      </c>
      <c r="CD34" s="136">
        <f t="shared" si="129"/>
        <v>0.14041581305649253</v>
      </c>
      <c r="CE34" s="136">
        <f t="shared" si="129"/>
        <v>0.14251815541049351</v>
      </c>
      <c r="CF34" s="136">
        <f t="shared" si="129"/>
        <v>0.13808627978232613</v>
      </c>
      <c r="CG34" s="136">
        <f t="shared" si="129"/>
        <v>0.13830415577293165</v>
      </c>
      <c r="CH34" s="210">
        <f t="shared" si="129"/>
        <v>0.13979406732034017</v>
      </c>
      <c r="CI34" s="136">
        <f t="shared" si="129"/>
        <v>0.12412112138193554</v>
      </c>
      <c r="CJ34" s="136">
        <f t="shared" si="129"/>
        <v>0.1198244038844003</v>
      </c>
      <c r="CK34" s="136">
        <f t="shared" si="129"/>
        <v>0.11374325006861508</v>
      </c>
      <c r="CL34" s="136">
        <f t="shared" si="129"/>
        <v>0.10846275907613001</v>
      </c>
      <c r="CM34" s="210">
        <f t="shared" si="129"/>
        <v>0.11639793089679773</v>
      </c>
      <c r="CN34" s="136">
        <f t="shared" si="129"/>
        <v>0.10545612248735825</v>
      </c>
      <c r="CO34" s="136">
        <f t="shared" si="129"/>
        <v>0.10524357307198562</v>
      </c>
      <c r="CP34" s="136">
        <f t="shared" si="129"/>
        <v>0.10339165456777843</v>
      </c>
      <c r="CQ34" s="136">
        <f t="shared" si="129"/>
        <v>0.10216539779741773</v>
      </c>
      <c r="CR34" s="210">
        <f t="shared" si="129"/>
        <v>0.10403885284539549</v>
      </c>
      <c r="CS34" s="136">
        <f t="shared" si="129"/>
        <v>0.10006449402632511</v>
      </c>
      <c r="CT34" s="136">
        <f t="shared" si="129"/>
        <v>0.10036930038695435</v>
      </c>
      <c r="CU34" s="136">
        <f t="shared" si="129"/>
        <v>9.9378126260859956E-2</v>
      </c>
      <c r="CV34" s="136">
        <f t="shared" si="129"/>
        <v>9.8751431045132509E-2</v>
      </c>
      <c r="CW34" s="210">
        <f t="shared" si="129"/>
        <v>9.9630154375282443E-2</v>
      </c>
      <c r="CX34" s="136">
        <f t="shared" si="129"/>
        <v>8.778118739921581E-2</v>
      </c>
      <c r="CY34" s="136">
        <f t="shared" si="129"/>
        <v>8.5185001794980453E-2</v>
      </c>
      <c r="CZ34" s="136">
        <f t="shared" si="129"/>
        <v>8.1617088955915129E-2</v>
      </c>
      <c r="DA34" s="136">
        <f t="shared" si="129"/>
        <v>7.8500219884834355E-2</v>
      </c>
      <c r="DB34" s="210">
        <f t="shared" si="129"/>
        <v>8.3213020338612553E-2</v>
      </c>
    </row>
    <row r="35" spans="1:106" s="207" customFormat="1" ht="14.2" hidden="1" customHeight="1" outlineLevel="1">
      <c r="A35" s="318" t="s">
        <v>200</v>
      </c>
      <c r="B35" s="208" t="s">
        <v>290</v>
      </c>
      <c r="C35" s="208" t="s">
        <v>290</v>
      </c>
      <c r="D35" s="208" t="s">
        <v>290</v>
      </c>
      <c r="E35" s="208" t="s">
        <v>290</v>
      </c>
      <c r="F35" s="209" t="s">
        <v>290</v>
      </c>
      <c r="G35" s="136">
        <f>G9/B9-1</f>
        <v>0.98262395787626211</v>
      </c>
      <c r="H35" s="136">
        <f t="shared" ref="H35:BS35" si="130">H9/C9-1</f>
        <v>0.15057662584710529</v>
      </c>
      <c r="I35" s="136">
        <f t="shared" si="130"/>
        <v>-0.43171996542783064</v>
      </c>
      <c r="J35" s="136">
        <f t="shared" si="130"/>
        <v>-0.22496510175593287</v>
      </c>
      <c r="K35" s="210">
        <f t="shared" si="130"/>
        <v>-4.182067669637668E-2</v>
      </c>
      <c r="L35" s="136">
        <f t="shared" si="130"/>
        <v>0.30851628895184113</v>
      </c>
      <c r="M35" s="136">
        <f t="shared" si="130"/>
        <v>8.555928700594162E-2</v>
      </c>
      <c r="N35" s="136">
        <f t="shared" si="130"/>
        <v>0.35693052194953334</v>
      </c>
      <c r="O35" s="136">
        <f t="shared" si="130"/>
        <v>-0.46445160678737252</v>
      </c>
      <c r="P35" s="210">
        <f t="shared" si="130"/>
        <v>5.1477228744678305E-2</v>
      </c>
      <c r="Q35" s="136">
        <f t="shared" si="130"/>
        <v>-0.55344699276097686</v>
      </c>
      <c r="R35" s="136">
        <f t="shared" si="130"/>
        <v>-9.2951311217933985E-2</v>
      </c>
      <c r="S35" s="136">
        <f t="shared" si="130"/>
        <v>0.12308946403097609</v>
      </c>
      <c r="T35" s="136">
        <f t="shared" si="130"/>
        <v>0.50809806177537675</v>
      </c>
      <c r="U35" s="210">
        <f t="shared" si="130"/>
        <v>-0.12462576687116578</v>
      </c>
      <c r="V35" s="136">
        <f t="shared" si="130"/>
        <v>0.64745095068555436</v>
      </c>
      <c r="W35" s="136">
        <f t="shared" si="130"/>
        <v>0.1582537517053213</v>
      </c>
      <c r="X35" s="136">
        <f t="shared" si="130"/>
        <v>7.0631464344039552E-2</v>
      </c>
      <c r="Y35" s="136">
        <f t="shared" si="130"/>
        <v>0.41877934272300466</v>
      </c>
      <c r="Z35" s="210">
        <f t="shared" si="130"/>
        <v>0.28392414112106357</v>
      </c>
      <c r="AA35" s="136">
        <f t="shared" si="130"/>
        <v>8.1524737906933709E-2</v>
      </c>
      <c r="AB35" s="136">
        <f t="shared" si="130"/>
        <v>0.38307511099030545</v>
      </c>
      <c r="AC35" s="136">
        <f t="shared" si="130"/>
        <v>0.44184568450489392</v>
      </c>
      <c r="AD35" s="136">
        <f t="shared" si="130"/>
        <v>0.60398742554599294</v>
      </c>
      <c r="AE35" s="210">
        <f t="shared" si="130"/>
        <v>0.38492778305439934</v>
      </c>
      <c r="AF35" s="136">
        <f t="shared" si="130"/>
        <v>1.0846902767739466</v>
      </c>
      <c r="AG35" s="136">
        <f t="shared" si="130"/>
        <v>0.29489027186374006</v>
      </c>
      <c r="AH35" s="136">
        <f t="shared" si="130"/>
        <v>0.36125069793411457</v>
      </c>
      <c r="AI35" s="136">
        <f t="shared" si="130"/>
        <v>0.35375728505854265</v>
      </c>
      <c r="AJ35" s="210">
        <f t="shared" si="130"/>
        <v>0.4771240284412499</v>
      </c>
      <c r="AK35" s="136">
        <f t="shared" si="130"/>
        <v>0.74374923522453806</v>
      </c>
      <c r="AL35" s="136">
        <f t="shared" si="130"/>
        <v>0.6673159132876334</v>
      </c>
      <c r="AM35" s="136">
        <f t="shared" si="130"/>
        <v>0.65677216009671469</v>
      </c>
      <c r="AN35" s="136">
        <f t="shared" si="130"/>
        <v>0.50308594940566809</v>
      </c>
      <c r="AO35" s="210">
        <f t="shared" si="130"/>
        <v>0.63870106998959364</v>
      </c>
      <c r="AP35" s="136">
        <f t="shared" si="130"/>
        <v>6.333111118908108E-2</v>
      </c>
      <c r="AQ35" s="136">
        <f t="shared" si="130"/>
        <v>0.34968292016870461</v>
      </c>
      <c r="AR35" s="136">
        <f t="shared" si="130"/>
        <v>0.22646426477294912</v>
      </c>
      <c r="AS35" s="136">
        <f t="shared" si="130"/>
        <v>0.14009074088155415</v>
      </c>
      <c r="AT35" s="210">
        <f t="shared" si="130"/>
        <v>0.18529446246434</v>
      </c>
      <c r="AU35" s="136">
        <f t="shared" si="130"/>
        <v>2.9851074594689608E-2</v>
      </c>
      <c r="AV35" s="136">
        <f t="shared" si="130"/>
        <v>0.32926047907557088</v>
      </c>
      <c r="AW35" s="136">
        <f t="shared" si="130"/>
        <v>0.28547144754316078</v>
      </c>
      <c r="AX35" s="136">
        <f t="shared" si="130"/>
        <v>0.77698977323254947</v>
      </c>
      <c r="AY35" s="210">
        <f t="shared" si="130"/>
        <v>0.35380777325354584</v>
      </c>
      <c r="AZ35" s="136">
        <f t="shared" si="130"/>
        <v>1.2278814935064934</v>
      </c>
      <c r="BA35" s="136">
        <f t="shared" si="130"/>
        <v>1.0563358843177877</v>
      </c>
      <c r="BB35" s="136">
        <f t="shared" si="130"/>
        <v>1.2459357824703496</v>
      </c>
      <c r="BC35" s="136">
        <f t="shared" si="130"/>
        <v>0.87440103091493815</v>
      </c>
      <c r="BD35" s="210">
        <f t="shared" si="130"/>
        <v>1.0764662905386211</v>
      </c>
      <c r="BE35" s="136">
        <f t="shared" si="130"/>
        <v>0.518521004213786</v>
      </c>
      <c r="BF35" s="136">
        <f t="shared" si="130"/>
        <v>0.42534502327570634</v>
      </c>
      <c r="BG35" s="136">
        <f t="shared" si="130"/>
        <v>0.41448479652029291</v>
      </c>
      <c r="BH35" s="136">
        <f t="shared" si="130"/>
        <v>0.48655711224877929</v>
      </c>
      <c r="BI35" s="210">
        <f t="shared" si="130"/>
        <v>0.45938359471362178</v>
      </c>
      <c r="BJ35" s="336">
        <f t="shared" si="130"/>
        <v>0.21882299526422866</v>
      </c>
      <c r="BK35" s="136">
        <f t="shared" si="130"/>
        <v>0.18537087584092737</v>
      </c>
      <c r="BL35" s="136">
        <f t="shared" si="130"/>
        <v>0.14224621931896508</v>
      </c>
      <c r="BM35" s="136">
        <f t="shared" si="130"/>
        <v>7.8681276068620631E-2</v>
      </c>
      <c r="BN35" s="210">
        <f t="shared" si="130"/>
        <v>0.14953961447184838</v>
      </c>
      <c r="BO35" s="136">
        <f t="shared" si="130"/>
        <v>0.28093057694488577</v>
      </c>
      <c r="BP35" s="136">
        <f t="shared" si="130"/>
        <v>0.20112509180298965</v>
      </c>
      <c r="BQ35" s="136">
        <f t="shared" si="130"/>
        <v>0.18488877333286657</v>
      </c>
      <c r="BR35" s="136">
        <f t="shared" si="130"/>
        <v>0.1474341469304441</v>
      </c>
      <c r="BS35" s="210">
        <f t="shared" si="130"/>
        <v>0.19989316360654397</v>
      </c>
      <c r="BT35" s="136">
        <f t="shared" ref="BT35:DB35" si="131">BT9/BO9-1</f>
        <v>0.17824763347458217</v>
      </c>
      <c r="BU35" s="136">
        <f t="shared" si="131"/>
        <v>0.18761970391122862</v>
      </c>
      <c r="BV35" s="136">
        <f t="shared" si="131"/>
        <v>0.18269457172993064</v>
      </c>
      <c r="BW35" s="136">
        <f t="shared" si="131"/>
        <v>0.18185834776204346</v>
      </c>
      <c r="BX35" s="210">
        <f t="shared" si="131"/>
        <v>0.18258302923683067</v>
      </c>
      <c r="BY35" s="136">
        <f t="shared" si="131"/>
        <v>0.17720602273464436</v>
      </c>
      <c r="BZ35" s="136">
        <f t="shared" si="131"/>
        <v>0.16995253888387318</v>
      </c>
      <c r="CA35" s="136">
        <f t="shared" si="131"/>
        <v>0.17071115345133347</v>
      </c>
      <c r="CB35" s="136">
        <f t="shared" si="131"/>
        <v>0.16216944918281739</v>
      </c>
      <c r="CC35" s="210">
        <f t="shared" si="131"/>
        <v>0.16979736111389543</v>
      </c>
      <c r="CD35" s="136">
        <f t="shared" si="131"/>
        <v>0.1599696171394378</v>
      </c>
      <c r="CE35" s="136">
        <f t="shared" si="131"/>
        <v>0.16188620542937282</v>
      </c>
      <c r="CF35" s="136">
        <f t="shared" si="131"/>
        <v>0.1560110691479708</v>
      </c>
      <c r="CG35" s="136">
        <f t="shared" si="131"/>
        <v>0.1545083802108973</v>
      </c>
      <c r="CH35" s="210">
        <f t="shared" si="131"/>
        <v>0.15797862456551193</v>
      </c>
      <c r="CI35" s="136">
        <f t="shared" si="131"/>
        <v>0.13866672847797012</v>
      </c>
      <c r="CJ35" s="136">
        <f t="shared" si="131"/>
        <v>0.13305840348235298</v>
      </c>
      <c r="CK35" s="136">
        <f t="shared" si="131"/>
        <v>0.12526328446566892</v>
      </c>
      <c r="CL35" s="136">
        <f t="shared" si="131"/>
        <v>0.11800934411015218</v>
      </c>
      <c r="CM35" s="210">
        <f t="shared" si="131"/>
        <v>0.12845590581603594</v>
      </c>
      <c r="CN35" s="136">
        <f t="shared" si="131"/>
        <v>0.11616688902545413</v>
      </c>
      <c r="CO35" s="136">
        <f t="shared" si="131"/>
        <v>0.11559862752352057</v>
      </c>
      <c r="CP35" s="136">
        <f t="shared" si="131"/>
        <v>0.11317590584374959</v>
      </c>
      <c r="CQ35" s="136">
        <f t="shared" si="131"/>
        <v>0.11086940636443576</v>
      </c>
      <c r="CR35" s="210">
        <f t="shared" si="131"/>
        <v>0.11388564632378384</v>
      </c>
      <c r="CS35" s="136">
        <f t="shared" si="131"/>
        <v>0.1098957671873988</v>
      </c>
      <c r="CT35" s="136">
        <f t="shared" si="131"/>
        <v>0.11006764454385265</v>
      </c>
      <c r="CU35" s="136">
        <f t="shared" si="131"/>
        <v>0.10864788947467807</v>
      </c>
      <c r="CV35" s="136">
        <f t="shared" si="131"/>
        <v>0.10716261008148398</v>
      </c>
      <c r="CW35" s="210">
        <f t="shared" si="131"/>
        <v>0.10890807042826367</v>
      </c>
      <c r="CX35" s="136">
        <f t="shared" si="131"/>
        <v>9.4101705309238559E-2</v>
      </c>
      <c r="CY35" s="136">
        <f t="shared" si="131"/>
        <v>9.0735224301784045E-2</v>
      </c>
      <c r="CZ35" s="136">
        <f t="shared" si="131"/>
        <v>8.6417684912480919E-2</v>
      </c>
      <c r="DA35" s="136">
        <f t="shared" si="131"/>
        <v>8.23409071179384E-2</v>
      </c>
      <c r="DB35" s="210">
        <f t="shared" si="131"/>
        <v>8.8276920267167824E-2</v>
      </c>
    </row>
    <row r="36" spans="1:106" s="61" customFormat="1" ht="14.2" customHeight="1" collapsed="1">
      <c r="A36" s="319" t="str">
        <f>A10</f>
        <v>Research &amp; Development</v>
      </c>
      <c r="B36" s="183" t="s">
        <v>290</v>
      </c>
      <c r="C36" s="183" t="s">
        <v>290</v>
      </c>
      <c r="D36" s="183" t="s">
        <v>290</v>
      </c>
      <c r="E36" s="183" t="s">
        <v>290</v>
      </c>
      <c r="F36" s="189" t="s">
        <v>290</v>
      </c>
      <c r="G36" s="112">
        <f>G10/B10-1</f>
        <v>0.309911586784551</v>
      </c>
      <c r="H36" s="112">
        <f t="shared" ref="H36:Q37" si="132">H10/C10-1</f>
        <v>0.63537117903930129</v>
      </c>
      <c r="I36" s="112">
        <f t="shared" si="132"/>
        <v>0.67795059469350427</v>
      </c>
      <c r="J36" s="112">
        <f t="shared" si="132"/>
        <v>0.77866666666666551</v>
      </c>
      <c r="K36" s="194">
        <f t="shared" si="132"/>
        <v>0.60253296321998584</v>
      </c>
      <c r="L36" s="112">
        <f t="shared" si="132"/>
        <v>0.55577264653641212</v>
      </c>
      <c r="M36" s="112">
        <f t="shared" si="132"/>
        <v>0.52781486426346236</v>
      </c>
      <c r="N36" s="112">
        <f t="shared" si="132"/>
        <v>0.54648309705561626</v>
      </c>
      <c r="O36" s="112">
        <f t="shared" si="132"/>
        <v>0.4316591704147934</v>
      </c>
      <c r="P36" s="194">
        <f t="shared" si="132"/>
        <v>0.51066363537945225</v>
      </c>
      <c r="Q36" s="112">
        <f t="shared" si="132"/>
        <v>0.44422879324123765</v>
      </c>
      <c r="R36" s="112">
        <f t="shared" ref="R36:AA37" si="133">R10/M10-1</f>
        <v>0.14438294980095145</v>
      </c>
      <c r="S36" s="112">
        <f t="shared" si="133"/>
        <v>0.11141472014103115</v>
      </c>
      <c r="T36" s="112">
        <f t="shared" si="133"/>
        <v>0.13613753381621385</v>
      </c>
      <c r="U36" s="194">
        <f t="shared" si="133"/>
        <v>0.19592948258563858</v>
      </c>
      <c r="V36" s="112">
        <f t="shared" si="133"/>
        <v>0.13359683794466393</v>
      </c>
      <c r="W36" s="112">
        <f t="shared" si="133"/>
        <v>5.5998642457153469E-3</v>
      </c>
      <c r="X36" s="112">
        <f t="shared" si="133"/>
        <v>-1.7130620985010614E-2</v>
      </c>
      <c r="Y36" s="112">
        <f t="shared" si="133"/>
        <v>-1.9125892925724086E-2</v>
      </c>
      <c r="Z36" s="194">
        <f t="shared" si="133"/>
        <v>2.5786992649408758E-2</v>
      </c>
      <c r="AA36" s="112">
        <f t="shared" si="133"/>
        <v>-0.20258019525801951</v>
      </c>
      <c r="AB36" s="112">
        <f t="shared" ref="AB36:AE37" si="134">AB10/W10-1</f>
        <v>2.2949713128585847E-2</v>
      </c>
      <c r="AC36" s="112">
        <f t="shared" si="134"/>
        <v>3.2518357137093501E-2</v>
      </c>
      <c r="AD36" s="112">
        <f t="shared" si="134"/>
        <v>0.17478465152701639</v>
      </c>
      <c r="AE36" s="194">
        <f t="shared" si="134"/>
        <v>3.8944601304713444E-5</v>
      </c>
      <c r="AF36" s="112">
        <f t="shared" ref="AF36:AN36" si="135">AF10/AA10-1</f>
        <v>0.59379099256668133</v>
      </c>
      <c r="AG36" s="112">
        <f t="shared" si="135"/>
        <v>0.89747608050148453</v>
      </c>
      <c r="AH36" s="112">
        <f t="shared" si="135"/>
        <v>1.0647858705845579</v>
      </c>
      <c r="AI36" s="112">
        <f t="shared" si="135"/>
        <v>1.1586455139314755</v>
      </c>
      <c r="AJ36" s="194">
        <f t="shared" si="135"/>
        <v>0.94783573806881249</v>
      </c>
      <c r="AK36" s="112">
        <f t="shared" si="135"/>
        <v>1.2051028806584361</v>
      </c>
      <c r="AL36" s="112">
        <f t="shared" si="135"/>
        <v>1.3365355357530975</v>
      </c>
      <c r="AM36" s="112">
        <f t="shared" si="135"/>
        <v>2.7264675826047462</v>
      </c>
      <c r="AN36" s="112">
        <f t="shared" si="135"/>
        <v>1.2174839426877493</v>
      </c>
      <c r="AO36" s="194">
        <f t="shared" ref="AO36:BH36" si="136">AO10/AJ10-1</f>
        <v>1.6411555955415609</v>
      </c>
      <c r="AP36" s="112">
        <f t="shared" si="136"/>
        <v>1.0009455558873293</v>
      </c>
      <c r="AQ36" s="112">
        <f t="shared" si="136"/>
        <v>0.53631492781663925</v>
      </c>
      <c r="AR36" s="112">
        <f t="shared" si="136"/>
        <v>-0.33463339325797037</v>
      </c>
      <c r="AS36" s="112">
        <f t="shared" si="136"/>
        <v>0.22419963515338814</v>
      </c>
      <c r="AT36" s="194">
        <f t="shared" si="136"/>
        <v>0.19759810452370852</v>
      </c>
      <c r="AU36" s="112">
        <f t="shared" si="136"/>
        <v>2.3528241351008505E-2</v>
      </c>
      <c r="AV36" s="112">
        <f t="shared" si="136"/>
        <v>-5.3366432550254306E-2</v>
      </c>
      <c r="AW36" s="112">
        <f t="shared" si="136"/>
        <v>0.17898030834987022</v>
      </c>
      <c r="AX36" s="112">
        <f t="shared" si="136"/>
        <v>-5.6272821376164517E-2</v>
      </c>
      <c r="AY36" s="194">
        <f t="shared" si="136"/>
        <v>1.3472812603700701E-2</v>
      </c>
      <c r="AZ36" s="112">
        <f t="shared" si="136"/>
        <v>7.6920273127111027E-2</v>
      </c>
      <c r="BA36" s="112">
        <f t="shared" si="136"/>
        <v>0.13989484860501689</v>
      </c>
      <c r="BB36" s="112">
        <f t="shared" si="136"/>
        <v>0.25501391856023825</v>
      </c>
      <c r="BC36" s="112">
        <f t="shared" si="136"/>
        <v>0.56044790511547204</v>
      </c>
      <c r="BD36" s="194">
        <f t="shared" si="136"/>
        <v>0.26026107185400926</v>
      </c>
      <c r="BE36" s="112">
        <f t="shared" si="136"/>
        <v>0.45625416022654197</v>
      </c>
      <c r="BF36" s="112">
        <f t="shared" si="136"/>
        <v>0.6432346900986432</v>
      </c>
      <c r="BG36" s="112">
        <f t="shared" si="136"/>
        <v>0.78902518286203605</v>
      </c>
      <c r="BH36" s="112">
        <f t="shared" si="136"/>
        <v>0.35324924108418743</v>
      </c>
      <c r="BI36" s="194">
        <f>BI10/BD10-1</f>
        <v>0.54429922452231683</v>
      </c>
      <c r="BJ36" s="354">
        <f t="shared" ref="BJ36:BM36" si="137">BJ10/BE10-1</f>
        <v>0.53395621252266068</v>
      </c>
      <c r="BK36" s="112">
        <f t="shared" si="137"/>
        <v>0.35220963346923728</v>
      </c>
      <c r="BL36" s="112">
        <f t="shared" si="137"/>
        <v>0.17638917721956959</v>
      </c>
      <c r="BM36" s="304">
        <f t="shared" si="137"/>
        <v>0.18726204814119285</v>
      </c>
      <c r="BN36" s="194">
        <f>BN10/BI10-1</f>
        <v>0.29464357244716477</v>
      </c>
      <c r="BO36" s="303">
        <f>BS36</f>
        <v>0.09</v>
      </c>
      <c r="BP36" s="303">
        <f>BS36</f>
        <v>0.09</v>
      </c>
      <c r="BQ36" s="303">
        <f>BS36</f>
        <v>0.09</v>
      </c>
      <c r="BR36" s="303">
        <f>BS36</f>
        <v>0.09</v>
      </c>
      <c r="BS36" s="302">
        <v>0.09</v>
      </c>
      <c r="BT36" s="303">
        <f>BX36</f>
        <v>0.08</v>
      </c>
      <c r="BU36" s="303">
        <f>BX36</f>
        <v>0.08</v>
      </c>
      <c r="BV36" s="303">
        <f>BX36</f>
        <v>0.08</v>
      </c>
      <c r="BW36" s="303">
        <f>BX36</f>
        <v>0.08</v>
      </c>
      <c r="BX36" s="302">
        <v>0.08</v>
      </c>
      <c r="BY36" s="303">
        <f>CC36</f>
        <v>7.4999999999999997E-2</v>
      </c>
      <c r="BZ36" s="303">
        <f>CC36</f>
        <v>7.4999999999999997E-2</v>
      </c>
      <c r="CA36" s="303">
        <f>CC36</f>
        <v>7.4999999999999997E-2</v>
      </c>
      <c r="CB36" s="303">
        <f>CC36</f>
        <v>7.4999999999999997E-2</v>
      </c>
      <c r="CC36" s="302">
        <v>7.4999999999999997E-2</v>
      </c>
      <c r="CD36" s="303">
        <f>CH36</f>
        <v>7.0000000000000007E-2</v>
      </c>
      <c r="CE36" s="303">
        <f>CH36</f>
        <v>7.0000000000000007E-2</v>
      </c>
      <c r="CF36" s="303">
        <f>CH36</f>
        <v>7.0000000000000007E-2</v>
      </c>
      <c r="CG36" s="303">
        <f>CH36</f>
        <v>7.0000000000000007E-2</v>
      </c>
      <c r="CH36" s="302">
        <v>7.0000000000000007E-2</v>
      </c>
      <c r="CI36" s="303">
        <f>CM36</f>
        <v>7.0000000000000007E-2</v>
      </c>
      <c r="CJ36" s="303">
        <f>CM36</f>
        <v>7.0000000000000007E-2</v>
      </c>
      <c r="CK36" s="303">
        <f>CM36</f>
        <v>7.0000000000000007E-2</v>
      </c>
      <c r="CL36" s="303">
        <f>CM36</f>
        <v>7.0000000000000007E-2</v>
      </c>
      <c r="CM36" s="302">
        <v>7.0000000000000007E-2</v>
      </c>
      <c r="CN36" s="303">
        <f>CR36</f>
        <v>7.0000000000000007E-2</v>
      </c>
      <c r="CO36" s="303">
        <f>CR36</f>
        <v>7.0000000000000007E-2</v>
      </c>
      <c r="CP36" s="303">
        <f>CR36</f>
        <v>7.0000000000000007E-2</v>
      </c>
      <c r="CQ36" s="303">
        <f>CR36</f>
        <v>7.0000000000000007E-2</v>
      </c>
      <c r="CR36" s="302">
        <f>CM36</f>
        <v>7.0000000000000007E-2</v>
      </c>
      <c r="CS36" s="303">
        <f>CW36</f>
        <v>7.0000000000000007E-2</v>
      </c>
      <c r="CT36" s="303">
        <f>CW36</f>
        <v>7.0000000000000007E-2</v>
      </c>
      <c r="CU36" s="303">
        <f>CW36</f>
        <v>7.0000000000000007E-2</v>
      </c>
      <c r="CV36" s="303">
        <f>CW36</f>
        <v>7.0000000000000007E-2</v>
      </c>
      <c r="CW36" s="302">
        <f>CR36</f>
        <v>7.0000000000000007E-2</v>
      </c>
      <c r="CX36" s="303">
        <f>DB36</f>
        <v>7.0000000000000007E-2</v>
      </c>
      <c r="CY36" s="303">
        <f>DB36</f>
        <v>7.0000000000000007E-2</v>
      </c>
      <c r="CZ36" s="303">
        <f>DB36</f>
        <v>7.0000000000000007E-2</v>
      </c>
      <c r="DA36" s="303">
        <f>DB36</f>
        <v>7.0000000000000007E-2</v>
      </c>
      <c r="DB36" s="302">
        <f>CW36</f>
        <v>7.0000000000000007E-2</v>
      </c>
    </row>
    <row r="37" spans="1:106" s="61" customFormat="1" ht="14.2" customHeight="1">
      <c r="A37" s="319" t="str">
        <f>A11</f>
        <v>Selling, General &amp; Administrative</v>
      </c>
      <c r="B37" s="183" t="s">
        <v>290</v>
      </c>
      <c r="C37" s="183" t="s">
        <v>290</v>
      </c>
      <c r="D37" s="183" t="s">
        <v>290</v>
      </c>
      <c r="E37" s="183" t="s">
        <v>290</v>
      </c>
      <c r="F37" s="189" t="s">
        <v>290</v>
      </c>
      <c r="G37" s="112">
        <f>G11/B11-1</f>
        <v>0.61617636831490374</v>
      </c>
      <c r="H37" s="112">
        <f t="shared" si="132"/>
        <v>1.0198489751887809</v>
      </c>
      <c r="I37" s="112">
        <f t="shared" si="132"/>
        <v>0.70950131877568534</v>
      </c>
      <c r="J37" s="112">
        <f t="shared" si="132"/>
        <v>0.65905498937271778</v>
      </c>
      <c r="K37" s="194">
        <f t="shared" si="132"/>
        <v>0.74203953222321095</v>
      </c>
      <c r="L37" s="112">
        <f t="shared" si="132"/>
        <v>0.30849003829768917</v>
      </c>
      <c r="M37" s="112">
        <f t="shared" si="132"/>
        <v>0.18304493341878514</v>
      </c>
      <c r="N37" s="112">
        <f t="shared" si="132"/>
        <v>0.25360602798708287</v>
      </c>
      <c r="O37" s="112">
        <f t="shared" si="132"/>
        <v>0.23359174824255979</v>
      </c>
      <c r="P37" s="194">
        <f t="shared" si="132"/>
        <v>0.24160639200269984</v>
      </c>
      <c r="Q37" s="112">
        <f t="shared" si="132"/>
        <v>0.23592475664298873</v>
      </c>
      <c r="R37" s="112">
        <f t="shared" si="133"/>
        <v>3.2563878773286703E-2</v>
      </c>
      <c r="S37" s="112">
        <f t="shared" si="133"/>
        <v>-1.3166180090446011E-2</v>
      </c>
      <c r="T37" s="112">
        <f t="shared" si="133"/>
        <v>0.30314488855750588</v>
      </c>
      <c r="U37" s="194">
        <f t="shared" si="133"/>
        <v>0.14089887310286064</v>
      </c>
      <c r="V37" s="112">
        <f t="shared" si="133"/>
        <v>9.1267095950187116E-3</v>
      </c>
      <c r="W37" s="112">
        <f t="shared" si="133"/>
        <v>9.1258853362091497E-2</v>
      </c>
      <c r="X37" s="112">
        <f t="shared" si="133"/>
        <v>0.1129995939439643</v>
      </c>
      <c r="Y37" s="112">
        <f t="shared" si="133"/>
        <v>-0.15947033941598376</v>
      </c>
      <c r="Z37" s="194">
        <f t="shared" si="133"/>
        <v>-2.7944831493953437E-3</v>
      </c>
      <c r="AA37" s="112">
        <f t="shared" si="133"/>
        <v>0.15575477916941338</v>
      </c>
      <c r="AB37" s="112">
        <f t="shared" si="134"/>
        <v>0.2564636752136753</v>
      </c>
      <c r="AC37" s="112">
        <f t="shared" si="134"/>
        <v>0.47795382290092259</v>
      </c>
      <c r="AD37" s="112">
        <f t="shared" si="134"/>
        <v>0.42433082926117649</v>
      </c>
      <c r="AE37" s="194">
        <f t="shared" si="134"/>
        <v>0.33126711090448868</v>
      </c>
      <c r="AF37" s="112">
        <f t="shared" ref="AF37:AO37" si="138">AF11/AA11-1</f>
        <v>0.49847143639350233</v>
      </c>
      <c r="AG37" s="112">
        <f t="shared" si="138"/>
        <v>0.44951320096934655</v>
      </c>
      <c r="AH37" s="112">
        <f t="shared" si="138"/>
        <v>0.33435599047870923</v>
      </c>
      <c r="AI37" s="112">
        <f t="shared" si="138"/>
        <v>0.60581699011726209</v>
      </c>
      <c r="AJ37" s="194">
        <f t="shared" si="138"/>
        <v>0.47265928139065672</v>
      </c>
      <c r="AK37" s="112">
        <f t="shared" si="138"/>
        <v>0.64936587445379934</v>
      </c>
      <c r="AL37" s="112">
        <f t="shared" si="138"/>
        <v>0.86918519387575532</v>
      </c>
      <c r="AM37" s="112">
        <f t="shared" si="138"/>
        <v>0.69778535373556405</v>
      </c>
      <c r="AN37" s="112">
        <f t="shared" si="138"/>
        <v>0.55995960884353679</v>
      </c>
      <c r="AO37" s="194">
        <f t="shared" si="138"/>
        <v>0.68309801170515128</v>
      </c>
      <c r="AP37" s="112">
        <f t="shared" ref="AP37:BH37" si="139">AP11/AK11-1</f>
        <v>0.36279215744193771</v>
      </c>
      <c r="AQ37" s="112">
        <f t="shared" si="139"/>
        <v>0.17270273663068036</v>
      </c>
      <c r="AR37" s="112">
        <f t="shared" si="139"/>
        <v>0.14929369187064623</v>
      </c>
      <c r="AS37" s="112">
        <f t="shared" si="139"/>
        <v>-2.0025756161377806E-2</v>
      </c>
      <c r="AT37" s="194">
        <f t="shared" si="139"/>
        <v>0.15176485321915956</v>
      </c>
      <c r="AU37" s="112">
        <f t="shared" si="139"/>
        <v>1.3499600363060082E-2</v>
      </c>
      <c r="AV37" s="112">
        <f t="shared" si="139"/>
        <v>2.0338801616399671E-2</v>
      </c>
      <c r="AW37" s="112">
        <f t="shared" si="139"/>
        <v>4.7911855729445119E-2</v>
      </c>
      <c r="AX37" s="112">
        <f t="shared" si="139"/>
        <v>0.12242911376562748</v>
      </c>
      <c r="AY37" s="194">
        <f t="shared" si="139"/>
        <v>5.0486670710221615E-2</v>
      </c>
      <c r="AZ37" s="112">
        <f t="shared" si="139"/>
        <v>0.29841539294378672</v>
      </c>
      <c r="BA37" s="112">
        <f t="shared" si="139"/>
        <v>0.2980630524300365</v>
      </c>
      <c r="BB37" s="112">
        <f t="shared" si="139"/>
        <v>0.38394230396401752</v>
      </c>
      <c r="BC37" s="112">
        <f t="shared" si="139"/>
        <v>0.45522517499845105</v>
      </c>
      <c r="BD37" s="194">
        <f t="shared" si="139"/>
        <v>0.36067358124685622</v>
      </c>
      <c r="BE37" s="112">
        <f t="shared" si="139"/>
        <v>0.37361924664655799</v>
      </c>
      <c r="BF37" s="112">
        <f t="shared" si="139"/>
        <v>0.56870658954865738</v>
      </c>
      <c r="BG37" s="112">
        <f t="shared" si="139"/>
        <v>0.44076692473640455</v>
      </c>
      <c r="BH37" s="112">
        <f t="shared" si="139"/>
        <v>0.24734267847793023</v>
      </c>
      <c r="BI37" s="194">
        <f>BI11/BD11-1</f>
        <v>0.40135668727728291</v>
      </c>
      <c r="BJ37" s="354">
        <f t="shared" ref="BJ37" si="140">BJ11/BE11-1</f>
        <v>4.9223574554829508E-2</v>
      </c>
      <c r="BK37" s="112">
        <f t="shared" ref="BK37" si="141">BK11/BF11-1</f>
        <v>-6.6169911994564345E-2</v>
      </c>
      <c r="BL37" s="112">
        <f t="shared" ref="BL37" si="142">BL11/BG11-1</f>
        <v>-2.7697652862133992E-2</v>
      </c>
      <c r="BM37" s="304">
        <f t="shared" ref="BM37" si="143">BM11/BH11-1</f>
        <v>5.7941041969544971E-2</v>
      </c>
      <c r="BN37" s="194">
        <f>BN11/BI11-1</f>
        <v>8.6430570127937756E-4</v>
      </c>
      <c r="BO37" s="303">
        <f>BS37</f>
        <v>0.09</v>
      </c>
      <c r="BP37" s="303">
        <f>BS37</f>
        <v>0.09</v>
      </c>
      <c r="BQ37" s="303">
        <f>BS37</f>
        <v>0.09</v>
      </c>
      <c r="BR37" s="303">
        <f>BS37</f>
        <v>0.09</v>
      </c>
      <c r="BS37" s="302">
        <v>0.09</v>
      </c>
      <c r="BT37" s="303">
        <f>BX37</f>
        <v>0.08</v>
      </c>
      <c r="BU37" s="303">
        <f>BX37</f>
        <v>0.08</v>
      </c>
      <c r="BV37" s="303">
        <f>BX37</f>
        <v>0.08</v>
      </c>
      <c r="BW37" s="303">
        <f>BX37</f>
        <v>0.08</v>
      </c>
      <c r="BX37" s="302">
        <v>0.08</v>
      </c>
      <c r="BY37" s="303">
        <f>CC37</f>
        <v>7.4999999999999997E-2</v>
      </c>
      <c r="BZ37" s="303">
        <f>CC37</f>
        <v>7.4999999999999997E-2</v>
      </c>
      <c r="CA37" s="303">
        <f>CC37</f>
        <v>7.4999999999999997E-2</v>
      </c>
      <c r="CB37" s="303">
        <f>CC37</f>
        <v>7.4999999999999997E-2</v>
      </c>
      <c r="CC37" s="302">
        <v>7.4999999999999997E-2</v>
      </c>
      <c r="CD37" s="303">
        <f>CH37</f>
        <v>7.0000000000000007E-2</v>
      </c>
      <c r="CE37" s="303">
        <f>CH37</f>
        <v>7.0000000000000007E-2</v>
      </c>
      <c r="CF37" s="303">
        <f>CH37</f>
        <v>7.0000000000000007E-2</v>
      </c>
      <c r="CG37" s="303">
        <f>CH37</f>
        <v>7.0000000000000007E-2</v>
      </c>
      <c r="CH37" s="302">
        <v>7.0000000000000007E-2</v>
      </c>
      <c r="CI37" s="303">
        <f>CM37</f>
        <v>0.06</v>
      </c>
      <c r="CJ37" s="303">
        <f>CM37</f>
        <v>0.06</v>
      </c>
      <c r="CK37" s="303">
        <f>CM37</f>
        <v>0.06</v>
      </c>
      <c r="CL37" s="303">
        <f>CM37</f>
        <v>0.06</v>
      </c>
      <c r="CM37" s="302">
        <v>0.06</v>
      </c>
      <c r="CN37" s="303">
        <f>CR37</f>
        <v>0.06</v>
      </c>
      <c r="CO37" s="303">
        <f>CR37</f>
        <v>0.06</v>
      </c>
      <c r="CP37" s="303">
        <f>CR37</f>
        <v>0.06</v>
      </c>
      <c r="CQ37" s="303">
        <f>CR37</f>
        <v>0.06</v>
      </c>
      <c r="CR37" s="302">
        <v>0.06</v>
      </c>
      <c r="CS37" s="303">
        <f>CW37</f>
        <v>0.06</v>
      </c>
      <c r="CT37" s="303">
        <f>CW37</f>
        <v>0.06</v>
      </c>
      <c r="CU37" s="303">
        <f>CW37</f>
        <v>0.06</v>
      </c>
      <c r="CV37" s="303">
        <f>CW37</f>
        <v>0.06</v>
      </c>
      <c r="CW37" s="302">
        <v>0.06</v>
      </c>
      <c r="CX37" s="303">
        <f>DB37</f>
        <v>0.06</v>
      </c>
      <c r="CY37" s="303">
        <f>DB37</f>
        <v>0.06</v>
      </c>
      <c r="CZ37" s="303">
        <f>DB37</f>
        <v>0.06</v>
      </c>
      <c r="DA37" s="303">
        <f>DB37</f>
        <v>0.06</v>
      </c>
      <c r="DB37" s="302">
        <v>0.06</v>
      </c>
    </row>
    <row r="38" spans="1:106" s="61" customFormat="1" ht="14.2" customHeight="1">
      <c r="A38" s="320" t="s">
        <v>501</v>
      </c>
      <c r="B38" s="183" t="s">
        <v>290</v>
      </c>
      <c r="C38" s="183" t="s">
        <v>290</v>
      </c>
      <c r="D38" s="183" t="s">
        <v>290</v>
      </c>
      <c r="E38" s="183" t="s">
        <v>290</v>
      </c>
      <c r="F38" s="189" t="s">
        <v>290</v>
      </c>
      <c r="G38" s="112">
        <f>G13/B13-1</f>
        <v>0.54569791722439365</v>
      </c>
      <c r="H38" s="112">
        <f t="shared" ref="H38" si="144">H13/C13-1</f>
        <v>0.93193543018805114</v>
      </c>
      <c r="I38" s="112">
        <f t="shared" ref="I38" si="145">I13/D13-1</f>
        <v>0.70282950423216461</v>
      </c>
      <c r="J38" s="112">
        <f t="shared" ref="J38" si="146">J13/E13-1</f>
        <v>0.68261193050024049</v>
      </c>
      <c r="K38" s="194">
        <f t="shared" ref="K38" si="147">K13/F13-1</f>
        <v>0.71197088298349698</v>
      </c>
      <c r="L38" s="112">
        <f t="shared" ref="L38" si="148">L13/G13-1</f>
        <v>0.35671481519969528</v>
      </c>
      <c r="M38" s="112">
        <f t="shared" ref="M38" si="149">M13/H13-1</f>
        <v>0.24977747150199558</v>
      </c>
      <c r="N38" s="112">
        <f t="shared" ref="N38" si="150">N13/I13-1</f>
        <v>0.31463386922683623</v>
      </c>
      <c r="O38" s="112">
        <f t="shared" ref="O38" si="151">O13/J13-1</f>
        <v>0.27482703012016896</v>
      </c>
      <c r="P38" s="194">
        <f t="shared" ref="P38" si="152">P13/K13-1</f>
        <v>0.29589073011620104</v>
      </c>
      <c r="Q38" s="112">
        <f t="shared" ref="Q38" si="153">Q13/L13-1</f>
        <v>0.28250823397247671</v>
      </c>
      <c r="R38" s="112">
        <f t="shared" ref="R38" si="154">R13/M13-1</f>
        <v>5.9022193631392827E-2</v>
      </c>
      <c r="S38" s="112">
        <f>S13/N13-1</f>
        <v>1.7371389062939002E-2</v>
      </c>
      <c r="T38" s="112">
        <f t="shared" ref="T38" si="155">T13/O13-1</f>
        <v>0.2640985881008735</v>
      </c>
      <c r="U38" s="194">
        <f t="shared" ref="U38" si="156">U13/P13-1</f>
        <v>0.15384183203362034</v>
      </c>
      <c r="V38" s="112">
        <f t="shared" ref="V38" si="157">V13/Q13-1</f>
        <v>4.0472208950469879E-2</v>
      </c>
      <c r="W38" s="112">
        <f t="shared" ref="W38" si="158">W13/R13-1</f>
        <v>6.935676320642159E-2</v>
      </c>
      <c r="X38" s="112">
        <f t="shared" ref="X38" si="159">X13/S13-1</f>
        <v>7.8153205768046297E-2</v>
      </c>
      <c r="Y38" s="112">
        <f t="shared" ref="Y38" si="160">Y13/T13-1</f>
        <v>-0.12997934017689983</v>
      </c>
      <c r="Z38" s="194">
        <f t="shared" ref="Z38" si="161">Z13/U13-1</f>
        <v>4.1729561279642002E-3</v>
      </c>
      <c r="AA38" s="112">
        <f t="shared" ref="AA38" si="162">AA13/V13-1</f>
        <v>5.7438056060461262E-2</v>
      </c>
      <c r="AB38" s="112">
        <f t="shared" ref="AB38" si="163">AB13/W13-1</f>
        <v>0.20031648137628832</v>
      </c>
      <c r="AC38" s="112">
        <f t="shared" ref="AC38" si="164">AC13/X13-1</f>
        <v>0.36921622313707703</v>
      </c>
      <c r="AD38" s="112">
        <f t="shared" ref="AD38" si="165">AD13/Y13-1</f>
        <v>0.36521158377084717</v>
      </c>
      <c r="AE38" s="194">
        <f t="shared" ref="AE38" si="166">AE13/Z13-1</f>
        <v>0.24878410683373176</v>
      </c>
      <c r="AF38" s="112">
        <f t="shared" ref="AF38" si="167">AF13/AA13-1</f>
        <v>0.51819349702354023</v>
      </c>
      <c r="AG38" s="112">
        <f t="shared" ref="AG38" si="168">AG13/AB13-1</f>
        <v>0.5413075076902274</v>
      </c>
      <c r="AH38" s="112">
        <f t="shared" ref="AH38" si="169">AH13/AC13-1</f>
        <v>0.46881788493907428</v>
      </c>
      <c r="AI38" s="112">
        <f t="shared" ref="AI38" si="170">AI13/AD13-1</f>
        <v>0.71851771324518654</v>
      </c>
      <c r="AJ38" s="194">
        <f t="shared" ref="AJ38" si="171">AJ13/AE13-1</f>
        <v>0.56741854441955009</v>
      </c>
      <c r="AK38" s="112">
        <f t="shared" ref="AK38" si="172">AK13/AF13-1</f>
        <v>0.77007603747050246</v>
      </c>
      <c r="AL38" s="112">
        <f t="shared" ref="AL38" si="173">AL13/AG13-1</f>
        <v>0.98708234184641364</v>
      </c>
      <c r="AM38" s="112">
        <f t="shared" ref="AM38" si="174">AM13/AH13-1</f>
        <v>1.2227641798646416</v>
      </c>
      <c r="AN38" s="112">
        <f t="shared" ref="AN38" si="175">AN13/AI13-1</f>
        <v>0.72833375506072873</v>
      </c>
      <c r="AO38" s="194">
        <f t="shared" ref="AO38" si="176">AO13/AJ13-1</f>
        <v>0.92052261545550462</v>
      </c>
      <c r="AP38" s="112">
        <f t="shared" ref="AP38" si="177">AP13/AK13-1</f>
        <v>0.53546997037436062</v>
      </c>
      <c r="AQ38" s="112">
        <f t="shared" ref="AQ38" si="178">AQ13/AL13-1</f>
        <v>0.28056156461083392</v>
      </c>
      <c r="AR38" s="112">
        <f t="shared" ref="AR38" si="179">AR13/AM13-1</f>
        <v>-6.0654264085096554E-2</v>
      </c>
      <c r="AS38" s="112">
        <f t="shared" ref="AS38" si="180">AS13/AN13-1</f>
        <v>6.0213568069103163E-2</v>
      </c>
      <c r="AT38" s="194">
        <f t="shared" ref="AT38" si="181">AT13/AO13-1</f>
        <v>0.16738515199124926</v>
      </c>
      <c r="AU38" s="112">
        <f t="shared" ref="AU38" si="182">AU13/AP13-1</f>
        <v>1.7035887181645837E-2</v>
      </c>
      <c r="AV38" s="112">
        <f t="shared" ref="AV38" si="183">AV13/AQ13-1</f>
        <v>-5.8910225470591993E-3</v>
      </c>
      <c r="AW38" s="112">
        <f t="shared" ref="AW38" si="184">AW13/AR13-1</f>
        <v>8.8189626460640547E-2</v>
      </c>
      <c r="AX38" s="112">
        <f t="shared" ref="AX38" si="185">AX13/AS13-1</f>
        <v>5.4636154539923432E-2</v>
      </c>
      <c r="AY38" s="194">
        <f t="shared" ref="AY38" si="186">AY13/AT13-1</f>
        <v>3.7545607432436734E-2</v>
      </c>
      <c r="AZ38" s="112">
        <f t="shared" ref="AZ38" si="187">AZ13/AU13-1</f>
        <v>0.21981348061724715</v>
      </c>
      <c r="BA38" s="112">
        <f t="shared" ref="BA38" si="188">BA13/AV13-1</f>
        <v>0.24446313307121081</v>
      </c>
      <c r="BB38" s="112">
        <f t="shared" ref="BB38" si="189">BB13/AW13-1</f>
        <v>0.34101656629752086</v>
      </c>
      <c r="BC38" s="112">
        <f t="shared" ref="BC38" si="190">BC13/AX13-1</f>
        <v>0.49094494954867929</v>
      </c>
      <c r="BD38" s="194">
        <f t="shared" ref="BD38" si="191">BD13/AY13-1</f>
        <v>0.3263811455987049</v>
      </c>
      <c r="BE38" s="112">
        <f t="shared" ref="BE38" si="192">BE13/AZ13-1</f>
        <v>0.39950868635455894</v>
      </c>
      <c r="BF38" s="112">
        <f t="shared" ref="BF38" si="193">BF13/BA13-1</f>
        <v>0.59184043138702913</v>
      </c>
      <c r="BG38" s="112">
        <f t="shared" ref="BG38:BH38" si="194">BG13/BB13-1</f>
        <v>0.54928074320523335</v>
      </c>
      <c r="BH38" s="112">
        <f t="shared" si="194"/>
        <v>0.2849705525580577</v>
      </c>
      <c r="BI38" s="194">
        <f t="shared" ref="BI38" si="195">BI13/BD13-1</f>
        <v>0.44774025815527208</v>
      </c>
      <c r="BJ38" s="337">
        <f t="shared" ref="BJ38" si="196">BJ13/BE13-1</f>
        <v>0.20724752615282038</v>
      </c>
      <c r="BK38" s="112">
        <f t="shared" ref="BK38" si="197">BK13/BF13-1</f>
        <v>6.7889779769615854E-2</v>
      </c>
      <c r="BL38" s="112">
        <f t="shared" ref="BL38" si="198">BL13/BG13-1</f>
        <v>4.5734275600778584E-2</v>
      </c>
      <c r="BM38" s="112">
        <f t="shared" ref="BM38" si="199">BM13/BH13-1</f>
        <v>0.10632935723972947</v>
      </c>
      <c r="BN38" s="194">
        <f t="shared" ref="BN38" si="200">BN13/BI13-1</f>
        <v>0.10255111916148452</v>
      </c>
      <c r="BO38" s="112">
        <f t="shared" ref="BO38" si="201">BO13/BJ13-1</f>
        <v>9.0000000000000302E-2</v>
      </c>
      <c r="BP38" s="112">
        <f t="shared" ref="BP38" si="202">BP13/BK13-1</f>
        <v>9.000000000000008E-2</v>
      </c>
      <c r="BQ38" s="112">
        <f t="shared" ref="BQ38" si="203">BQ13/BL13-1</f>
        <v>9.000000000000008E-2</v>
      </c>
      <c r="BR38" s="112">
        <f t="shared" ref="BR38" si="204">BR13/BM13-1</f>
        <v>9.0000000000000302E-2</v>
      </c>
      <c r="BS38" s="194">
        <f t="shared" ref="BS38" si="205">BS13/BN13-1</f>
        <v>9.000000000000008E-2</v>
      </c>
      <c r="BT38" s="112">
        <f t="shared" ref="BT38" si="206">BT13/BO13-1</f>
        <v>8.0000000000000071E-2</v>
      </c>
      <c r="BU38" s="112">
        <f t="shared" ref="BU38" si="207">BU13/BP13-1</f>
        <v>7.9999999999999849E-2</v>
      </c>
      <c r="BV38" s="112">
        <f t="shared" ref="BV38" si="208">BV13/BQ13-1</f>
        <v>8.0000000000000071E-2</v>
      </c>
      <c r="BW38" s="112">
        <f t="shared" ref="BW38" si="209">BW13/BR13-1</f>
        <v>7.9999999999999849E-2</v>
      </c>
      <c r="BX38" s="194">
        <f t="shared" ref="BX38" si="210">BX13/BS13-1</f>
        <v>8.0000000000000071E-2</v>
      </c>
      <c r="BY38" s="112">
        <f t="shared" ref="BY38" si="211">BY13/BT13-1</f>
        <v>7.4999999999999956E-2</v>
      </c>
      <c r="BZ38" s="112">
        <f t="shared" ref="BZ38" si="212">BZ13/BU13-1</f>
        <v>7.4999999999999956E-2</v>
      </c>
      <c r="CA38" s="112">
        <f t="shared" ref="CA38" si="213">CA13/BV13-1</f>
        <v>7.4999999999999956E-2</v>
      </c>
      <c r="CB38" s="112">
        <f t="shared" ref="CB38" si="214">CB13/BW13-1</f>
        <v>7.5000000000000178E-2</v>
      </c>
      <c r="CC38" s="194">
        <f t="shared" ref="CC38" si="215">CC13/BX13-1</f>
        <v>7.4999999999999956E-2</v>
      </c>
      <c r="CD38" s="112">
        <f t="shared" ref="CD38" si="216">CD13/BY13-1</f>
        <v>7.0000000000000062E-2</v>
      </c>
      <c r="CE38" s="112">
        <f t="shared" ref="CE38" si="217">CE13/BZ13-1</f>
        <v>7.0000000000000284E-2</v>
      </c>
      <c r="CF38" s="112">
        <f t="shared" ref="CF38" si="218">CF13/CA13-1</f>
        <v>7.0000000000000062E-2</v>
      </c>
      <c r="CG38" s="112">
        <f t="shared" ref="CG38" si="219">CG13/CB13-1</f>
        <v>7.0000000000000062E-2</v>
      </c>
      <c r="CH38" s="194">
        <f t="shared" ref="CH38" si="220">CH13/CC13-1</f>
        <v>6.999999999999984E-2</v>
      </c>
      <c r="CI38" s="112">
        <f t="shared" ref="CI38" si="221">CI13/CD13-1</f>
        <v>6.4142259414226022E-2</v>
      </c>
      <c r="CJ38" s="112">
        <f t="shared" ref="CJ38" si="222">CJ13/CE13-1</f>
        <v>6.4057377049180353E-2</v>
      </c>
      <c r="CK38" s="112">
        <f t="shared" ref="CK38" si="223">CK13/CF13-1</f>
        <v>6.4047619047619131E-2</v>
      </c>
      <c r="CL38" s="112">
        <f t="shared" ref="CL38" si="224">CL13/CG13-1</f>
        <v>6.4015444015443901E-2</v>
      </c>
      <c r="CM38" s="194">
        <f t="shared" ref="CM38" si="225">CM13/CH13-1</f>
        <v>6.4064386317907562E-2</v>
      </c>
      <c r="CN38" s="112">
        <f t="shared" ref="CN38" si="226">CN13/CI13-1</f>
        <v>6.4165061141037372E-2</v>
      </c>
      <c r="CO38" s="112">
        <f t="shared" ref="CO38" si="227">CO13/CJ13-1</f>
        <v>6.4080036975696197E-2</v>
      </c>
      <c r="CP38" s="112">
        <f t="shared" ref="CP38" si="228">CP13/CK13-1</f>
        <v>6.4070261803535589E-2</v>
      </c>
      <c r="CQ38" s="112">
        <f t="shared" ref="CQ38" si="229">CQ13/CL13-1</f>
        <v>6.4038028884534359E-2</v>
      </c>
      <c r="CR38" s="194">
        <f t="shared" ref="CR38" si="230">CR13/CM13-1</f>
        <v>6.4087058467589442E-2</v>
      </c>
      <c r="CS38" s="112">
        <f t="shared" ref="CS38" si="231">CS13/CN13-1</f>
        <v>6.4187898648101926E-2</v>
      </c>
      <c r="CT38" s="112">
        <f t="shared" ref="CT38" si="232">CT13/CO13-1</f>
        <v>6.4102736084028944E-2</v>
      </c>
      <c r="CU38" s="112">
        <f t="shared" ref="CU38" si="233">CU13/CP13-1</f>
        <v>6.409294412795763E-2</v>
      </c>
      <c r="CV38" s="112">
        <f t="shared" ref="CV38" si="234">CV13/CQ13-1</f>
        <v>6.4060654590495592E-2</v>
      </c>
      <c r="CW38" s="194">
        <f t="shared" ref="CW38" si="235">CW13/CR13-1</f>
        <v>6.4109769520755755E-2</v>
      </c>
      <c r="CX38" s="112">
        <f t="shared" ref="CX38" si="236">CX13/CS13-1</f>
        <v>6.421077101060968E-2</v>
      </c>
      <c r="CY38" s="112">
        <f t="shared" ref="CY38" si="237">CY13/CT13-1</f>
        <v>6.4125473472670613E-2</v>
      </c>
      <c r="CZ38" s="112">
        <f t="shared" ref="CZ38" si="238">CZ13/CU13-1</f>
        <v>6.4115665122188581E-2</v>
      </c>
      <c r="DA38" s="112">
        <f t="shared" ref="DA38" si="239">DA13/CV13-1</f>
        <v>6.4083320244091135E-2</v>
      </c>
      <c r="DB38" s="194">
        <f t="shared" ref="DB38" si="240">DB13/CW13-1</f>
        <v>6.4132518573895902E-2</v>
      </c>
    </row>
    <row r="39" spans="1:106" s="207" customFormat="1" ht="14.2" customHeight="1">
      <c r="A39" s="318" t="s">
        <v>476</v>
      </c>
      <c r="B39" s="208" t="s">
        <v>290</v>
      </c>
      <c r="C39" s="208" t="s">
        <v>290</v>
      </c>
      <c r="D39" s="208" t="s">
        <v>290</v>
      </c>
      <c r="E39" s="208" t="s">
        <v>290</v>
      </c>
      <c r="F39" s="209" t="s">
        <v>290</v>
      </c>
      <c r="G39" s="136">
        <f>G14/B14-1</f>
        <v>-0.13801153529250265</v>
      </c>
      <c r="H39" s="136">
        <f t="shared" ref="H39:BS39" si="241">H14/C14-1</f>
        <v>11.839834024896241</v>
      </c>
      <c r="I39" s="136">
        <f t="shared" si="241"/>
        <v>-5.3400292948315551</v>
      </c>
      <c r="J39" s="136">
        <f t="shared" si="241"/>
        <v>-4.9670706608735529</v>
      </c>
      <c r="K39" s="210">
        <f t="shared" si="241"/>
        <v>-90.981954887221079</v>
      </c>
      <c r="L39" s="136">
        <f t="shared" si="241"/>
        <v>0.53018958101003788</v>
      </c>
      <c r="M39" s="136">
        <f t="shared" si="241"/>
        <v>0.45520941054808706</v>
      </c>
      <c r="N39" s="136">
        <f t="shared" si="241"/>
        <v>0.28513572151776656</v>
      </c>
      <c r="O39" s="136">
        <f t="shared" si="241"/>
        <v>1.1739105372377208</v>
      </c>
      <c r="P39" s="210">
        <f t="shared" si="241"/>
        <v>0.61248704836391532</v>
      </c>
      <c r="Q39" s="136">
        <f t="shared" si="241"/>
        <v>2.85538781884435</v>
      </c>
      <c r="R39" s="136">
        <f t="shared" si="241"/>
        <v>0.20084388185654078</v>
      </c>
      <c r="S39" s="136">
        <f>S14/N14-1</f>
        <v>-6.0476458450571924E-2</v>
      </c>
      <c r="T39" s="136">
        <f t="shared" si="241"/>
        <v>0.19099514756184943</v>
      </c>
      <c r="U39" s="210">
        <f t="shared" si="241"/>
        <v>0.38905356106458844</v>
      </c>
      <c r="V39" s="136">
        <f t="shared" si="241"/>
        <v>-0.17590667278766448</v>
      </c>
      <c r="W39" s="136">
        <f t="shared" si="241"/>
        <v>6.6945297185334596E-3</v>
      </c>
      <c r="X39" s="136">
        <f t="shared" si="241"/>
        <v>8.4774188395958516E-2</v>
      </c>
      <c r="Y39" s="136">
        <f t="shared" si="241"/>
        <v>-0.33816457387122612</v>
      </c>
      <c r="Z39" s="210">
        <f t="shared" si="241"/>
        <v>-0.14473949278876663</v>
      </c>
      <c r="AA39" s="136">
        <f t="shared" si="241"/>
        <v>4.0272634924796158E-2</v>
      </c>
      <c r="AB39" s="136">
        <f t="shared" si="241"/>
        <v>5.2097876405319932E-2</v>
      </c>
      <c r="AC39" s="136">
        <f t="shared" si="241"/>
        <v>0.30611794154457739</v>
      </c>
      <c r="AD39" s="136">
        <f t="shared" si="241"/>
        <v>0.17102297574595671</v>
      </c>
      <c r="AE39" s="210">
        <f t="shared" si="241"/>
        <v>0.13999197403775776</v>
      </c>
      <c r="AF39" s="136">
        <f t="shared" si="241"/>
        <v>9.846909846909857E-2</v>
      </c>
      <c r="AG39" s="136">
        <f t="shared" si="241"/>
        <v>0.80402290822740641</v>
      </c>
      <c r="AH39" s="136">
        <f t="shared" si="241"/>
        <v>0.57198015895383603</v>
      </c>
      <c r="AI39" s="136">
        <f t="shared" si="241"/>
        <v>1.1248455947832521</v>
      </c>
      <c r="AJ39" s="210">
        <f t="shared" si="241"/>
        <v>0.65507556916012954</v>
      </c>
      <c r="AK39" s="136">
        <f t="shared" si="241"/>
        <v>0.80709451709107505</v>
      </c>
      <c r="AL39" s="136">
        <f t="shared" si="241"/>
        <v>1.2317847464188927</v>
      </c>
      <c r="AM39" s="136">
        <f t="shared" si="241"/>
        <v>1.6928124495759906</v>
      </c>
      <c r="AN39" s="136">
        <f t="shared" si="241"/>
        <v>0.88819489508976956</v>
      </c>
      <c r="AO39" s="210">
        <f t="shared" si="241"/>
        <v>1.1646961997808361</v>
      </c>
      <c r="AP39" s="136">
        <f t="shared" si="241"/>
        <v>1.1760794706190398</v>
      </c>
      <c r="AQ39" s="136">
        <f t="shared" si="241"/>
        <v>0.24104463371901419</v>
      </c>
      <c r="AR39" s="136">
        <f t="shared" si="241"/>
        <v>-0.20736099922102291</v>
      </c>
      <c r="AS39" s="136">
        <f t="shared" si="241"/>
        <v>1.5085990863918708E-2</v>
      </c>
      <c r="AT39" s="210">
        <f t="shared" si="241"/>
        <v>0.15563871552029851</v>
      </c>
      <c r="AU39" s="136">
        <f t="shared" si="241"/>
        <v>8.539342230000635E-3</v>
      </c>
      <c r="AV39" s="136">
        <f t="shared" si="241"/>
        <v>-0.21427123737638465</v>
      </c>
      <c r="AW39" s="136">
        <f t="shared" si="241"/>
        <v>-6.7785505493398235E-2</v>
      </c>
      <c r="AX39" s="136">
        <f t="shared" si="241"/>
        <v>-0.40372285272936304</v>
      </c>
      <c r="AY39" s="210">
        <f t="shared" si="241"/>
        <v>-0.17520885701611744</v>
      </c>
      <c r="AZ39" s="136">
        <f t="shared" si="241"/>
        <v>-0.46266476742756757</v>
      </c>
      <c r="BA39" s="136">
        <f t="shared" si="241"/>
        <v>-0.60950313984309679</v>
      </c>
      <c r="BB39" s="136">
        <f t="shared" si="241"/>
        <v>-0.64554612459678118</v>
      </c>
      <c r="BC39" s="136">
        <f t="shared" si="241"/>
        <v>-0.23417242358285473</v>
      </c>
      <c r="BD39" s="210">
        <f t="shared" si="241"/>
        <v>-0.50185660343533289</v>
      </c>
      <c r="BE39" s="136">
        <f t="shared" si="241"/>
        <v>6.5438544554189848E-2</v>
      </c>
      <c r="BF39" s="136">
        <f t="shared" si="241"/>
        <v>1.5140540294291815</v>
      </c>
      <c r="BG39" s="136">
        <f t="shared" si="241"/>
        <v>1.4804514718592685</v>
      </c>
      <c r="BH39" s="136">
        <f t="shared" si="241"/>
        <v>-0.64803830707445076</v>
      </c>
      <c r="BI39" s="210">
        <f t="shared" si="241"/>
        <v>0.39414918981169089</v>
      </c>
      <c r="BJ39" s="336">
        <f t="shared" si="241"/>
        <v>0.16093731645713527</v>
      </c>
      <c r="BK39" s="136">
        <f t="shared" si="241"/>
        <v>-0.30103909551307217</v>
      </c>
      <c r="BL39" s="136">
        <f t="shared" si="241"/>
        <v>-0.33445607807516653</v>
      </c>
      <c r="BM39" s="136">
        <f t="shared" si="241"/>
        <v>0.64680408505355591</v>
      </c>
      <c r="BN39" s="210">
        <f t="shared" si="241"/>
        <v>-0.12384381818352541</v>
      </c>
      <c r="BO39" s="136">
        <f t="shared" si="241"/>
        <v>-0.71194669192652615</v>
      </c>
      <c r="BP39" s="136">
        <f t="shared" si="241"/>
        <v>-0.50181798469672612</v>
      </c>
      <c r="BQ39" s="136">
        <f t="shared" si="241"/>
        <v>-0.55153133122119424</v>
      </c>
      <c r="BR39" s="136">
        <f t="shared" si="241"/>
        <v>-0.64541380001983062</v>
      </c>
      <c r="BS39" s="210">
        <f t="shared" si="241"/>
        <v>-0.6046855439833192</v>
      </c>
      <c r="BT39" s="136">
        <f t="shared" ref="BT39:DB39" si="242">BT14/BO14-1</f>
        <v>-1.7550370581523995</v>
      </c>
      <c r="BU39" s="136">
        <f t="shared" si="242"/>
        <v>-1.3018726242476844</v>
      </c>
      <c r="BV39" s="136">
        <f t="shared" si="242"/>
        <v>-1.7544082895009114</v>
      </c>
      <c r="BW39" s="136">
        <f t="shared" si="242"/>
        <v>-4.1405025609668797</v>
      </c>
      <c r="BX39" s="210">
        <f t="shared" si="242"/>
        <v>-1.8883076836400878</v>
      </c>
      <c r="BY39" s="136">
        <f t="shared" si="242"/>
        <v>3.0539796581674938</v>
      </c>
      <c r="BZ39" s="136">
        <f t="shared" si="242"/>
        <v>4.8716327263379915</v>
      </c>
      <c r="CA39" s="136">
        <f t="shared" si="242"/>
        <v>2.7552618078450029</v>
      </c>
      <c r="CB39" s="136">
        <f t="shared" si="242"/>
        <v>1.4342461695513617</v>
      </c>
      <c r="CC39" s="210">
        <f t="shared" si="242"/>
        <v>2.4964858747381347</v>
      </c>
      <c r="CD39" s="136">
        <f t="shared" si="242"/>
        <v>0.83147882622178249</v>
      </c>
      <c r="CE39" s="136">
        <f t="shared" si="242"/>
        <v>0.99488889190393692</v>
      </c>
      <c r="CF39" s="136">
        <f t="shared" si="242"/>
        <v>0.82089385378247592</v>
      </c>
      <c r="CG39" s="136">
        <f t="shared" si="242"/>
        <v>0.69912733168686336</v>
      </c>
      <c r="CH39" s="210">
        <f t="shared" si="242"/>
        <v>0.82186820418549233</v>
      </c>
      <c r="CI39" s="136">
        <f t="shared" si="242"/>
        <v>0.46363193688246729</v>
      </c>
      <c r="CJ39" s="136">
        <f t="shared" si="242"/>
        <v>0.46857708133761378</v>
      </c>
      <c r="CK39" s="136">
        <f t="shared" si="242"/>
        <v>0.40333221362186933</v>
      </c>
      <c r="CL39" s="136">
        <f t="shared" si="242"/>
        <v>0.33713615720911627</v>
      </c>
      <c r="CM39" s="210">
        <f t="shared" si="242"/>
        <v>0.41382975872769445</v>
      </c>
      <c r="CN39" s="136">
        <f t="shared" si="242"/>
        <v>0.2810303446446083</v>
      </c>
      <c r="CO39" s="136">
        <f t="shared" si="242"/>
        <v>0.29710564657449678</v>
      </c>
      <c r="CP39" s="136">
        <f t="shared" si="242"/>
        <v>0.28230638170124833</v>
      </c>
      <c r="CQ39" s="136">
        <f t="shared" si="242"/>
        <v>0.26210710326828623</v>
      </c>
      <c r="CR39" s="210">
        <f t="shared" si="242"/>
        <v>0.27998705744870045</v>
      </c>
      <c r="CS39" s="136">
        <f t="shared" si="242"/>
        <v>0.23027354929420119</v>
      </c>
      <c r="CT39" s="136">
        <f t="shared" si="242"/>
        <v>0.24291557597750235</v>
      </c>
      <c r="CU39" s="136">
        <f t="shared" si="242"/>
        <v>0.23598789868265269</v>
      </c>
      <c r="CV39" s="136">
        <f t="shared" si="242"/>
        <v>0.22451205404283447</v>
      </c>
      <c r="CW39" s="210">
        <f t="shared" si="242"/>
        <v>0.23312746836240161</v>
      </c>
      <c r="CX39" s="136">
        <f t="shared" si="242"/>
        <v>0.16219611933372446</v>
      </c>
      <c r="CY39" s="136">
        <f t="shared" si="242"/>
        <v>0.15657845531070547</v>
      </c>
      <c r="CZ39" s="136">
        <f t="shared" si="242"/>
        <v>0.14129318654568768</v>
      </c>
      <c r="DA39" s="136">
        <f t="shared" si="242"/>
        <v>0.12553563654148259</v>
      </c>
      <c r="DB39" s="210">
        <f t="shared" si="242"/>
        <v>0.14604963611274169</v>
      </c>
    </row>
    <row r="40" spans="1:106" s="207" customFormat="1" ht="14.2" customHeight="1">
      <c r="A40" s="318" t="s">
        <v>9</v>
      </c>
      <c r="B40" s="208" t="s">
        <v>290</v>
      </c>
      <c r="C40" s="208" t="s">
        <v>290</v>
      </c>
      <c r="D40" s="208" t="s">
        <v>290</v>
      </c>
      <c r="E40" s="208" t="s">
        <v>290</v>
      </c>
      <c r="F40" s="209" t="s">
        <v>290</v>
      </c>
      <c r="G40" s="136">
        <f>G31/B31-1</f>
        <v>-0.36336171381488658</v>
      </c>
      <c r="H40" s="136">
        <f t="shared" ref="H40:BS40" si="243">H31/C31-1</f>
        <v>-13.818676337262032</v>
      </c>
      <c r="I40" s="136">
        <f t="shared" si="243"/>
        <v>-4.1512782934375512</v>
      </c>
      <c r="J40" s="136">
        <f t="shared" si="243"/>
        <v>-3.7646556144248904</v>
      </c>
      <c r="K40" s="210">
        <f t="shared" si="243"/>
        <v>-10.341648030277007</v>
      </c>
      <c r="L40" s="136">
        <f t="shared" si="243"/>
        <v>0.81427955133736174</v>
      </c>
      <c r="M40" s="136">
        <f t="shared" si="243"/>
        <v>0.50512766107928431</v>
      </c>
      <c r="N40" s="136">
        <f t="shared" si="243"/>
        <v>0.28699875981810652</v>
      </c>
      <c r="O40" s="136">
        <f t="shared" si="243"/>
        <v>1.2078387734915914</v>
      </c>
      <c r="P40" s="210">
        <f t="shared" si="243"/>
        <v>0.66311253521904789</v>
      </c>
      <c r="Q40" s="136">
        <f t="shared" si="243"/>
        <v>3.1936749494709282</v>
      </c>
      <c r="R40" s="136">
        <f t="shared" si="243"/>
        <v>0.18298012311451606</v>
      </c>
      <c r="S40" s="136">
        <f>S31/N31-1</f>
        <v>-6.2755962418694078E-2</v>
      </c>
      <c r="T40" s="136">
        <f t="shared" si="243"/>
        <v>0.20661365290922395</v>
      </c>
      <c r="U40" s="210">
        <f t="shared" si="243"/>
        <v>0.40495172291611325</v>
      </c>
      <c r="V40" s="136">
        <f t="shared" si="243"/>
        <v>-0.18756556006010261</v>
      </c>
      <c r="W40" s="136">
        <f t="shared" si="243"/>
        <v>8.8977159880831991E-3</v>
      </c>
      <c r="X40" s="136">
        <f t="shared" si="243"/>
        <v>8.2594353767724282E-2</v>
      </c>
      <c r="Y40" s="136">
        <f t="shared" si="243"/>
        <v>-0.35488362379040661</v>
      </c>
      <c r="Z40" s="210">
        <f t="shared" si="243"/>
        <v>-0.15570915166608901</v>
      </c>
      <c r="AA40" s="136">
        <f t="shared" si="243"/>
        <v>4.0792825487664608E-2</v>
      </c>
      <c r="AB40" s="136">
        <f t="shared" si="243"/>
        <v>4.744281270916173E-2</v>
      </c>
      <c r="AC40" s="136">
        <f t="shared" si="243"/>
        <v>0.32614459261604156</v>
      </c>
      <c r="AD40" s="136">
        <f t="shared" si="243"/>
        <v>0.18712230215827552</v>
      </c>
      <c r="AE40" s="210">
        <f t="shared" si="243"/>
        <v>0.14765651983160244</v>
      </c>
      <c r="AF40" s="136">
        <f t="shared" si="243"/>
        <v>0.10795949842419383</v>
      </c>
      <c r="AG40" s="136">
        <f t="shared" si="243"/>
        <v>0.85874304615847286</v>
      </c>
      <c r="AH40" s="136">
        <f t="shared" si="243"/>
        <v>0.59931966699489791</v>
      </c>
      <c r="AI40" s="136">
        <f t="shared" si="243"/>
        <v>1.1686564450639292</v>
      </c>
      <c r="AJ40" s="210">
        <f t="shared" si="243"/>
        <v>0.68908048314286829</v>
      </c>
      <c r="AK40" s="136">
        <f t="shared" si="243"/>
        <v>0.8298129879561813</v>
      </c>
      <c r="AL40" s="136">
        <f t="shared" si="243"/>
        <v>1.2766632962588473</v>
      </c>
      <c r="AM40" s="136">
        <f t="shared" si="243"/>
        <v>1.7463711332512415</v>
      </c>
      <c r="AN40" s="136">
        <f t="shared" si="243"/>
        <v>0.9096129663266741</v>
      </c>
      <c r="AO40" s="210">
        <f t="shared" si="243"/>
        <v>1.2002850758918244</v>
      </c>
      <c r="AP40" s="136">
        <f t="shared" si="243"/>
        <v>1.2181649798240395</v>
      </c>
      <c r="AQ40" s="136">
        <f t="shared" si="243"/>
        <v>0.22983451914621478</v>
      </c>
      <c r="AR40" s="136">
        <f t="shared" si="243"/>
        <v>-0.2261480978260868</v>
      </c>
      <c r="AS40" s="136">
        <f t="shared" si="243"/>
        <v>8.5753378551418624E-3</v>
      </c>
      <c r="AT40" s="210">
        <f t="shared" si="243"/>
        <v>0.14754880504245871</v>
      </c>
      <c r="AU40" s="136">
        <f t="shared" si="243"/>
        <v>-6.7398306095669547E-3</v>
      </c>
      <c r="AV40" s="136">
        <f t="shared" si="243"/>
        <v>-0.22501011151557171</v>
      </c>
      <c r="AW40" s="136">
        <f t="shared" si="243"/>
        <v>-8.7032858986402006E-2</v>
      </c>
      <c r="AX40" s="136">
        <f t="shared" si="243"/>
        <v>-0.43685932546447759</v>
      </c>
      <c r="AY40" s="210">
        <f t="shared" si="243"/>
        <v>-0.19489337030693965</v>
      </c>
      <c r="AZ40" s="136">
        <f t="shared" si="243"/>
        <v>-0.49520356692487866</v>
      </c>
      <c r="BA40" s="136">
        <f t="shared" si="243"/>
        <v>-0.66461948519132907</v>
      </c>
      <c r="BB40" s="136">
        <f t="shared" si="243"/>
        <v>-0.70058751694760391</v>
      </c>
      <c r="BC40" s="136">
        <f t="shared" si="243"/>
        <v>-0.26634460547504279</v>
      </c>
      <c r="BD40" s="210">
        <f t="shared" si="243"/>
        <v>-0.54677980234420187</v>
      </c>
      <c r="BE40" s="136">
        <f t="shared" si="243"/>
        <v>3.9984535545940725E-2</v>
      </c>
      <c r="BF40" s="136">
        <f t="shared" si="243"/>
        <v>1.7930363742462534</v>
      </c>
      <c r="BG40" s="136">
        <f t="shared" si="243"/>
        <v>1.8031344338107749</v>
      </c>
      <c r="BH40" s="136">
        <f t="shared" si="243"/>
        <v>-0.77494129353233765</v>
      </c>
      <c r="BI40" s="210">
        <f t="shared" si="243"/>
        <v>0.41409998292617489</v>
      </c>
      <c r="BJ40" s="336">
        <f t="shared" si="243"/>
        <v>0.12299096470965498</v>
      </c>
      <c r="BK40" s="136">
        <f t="shared" si="243"/>
        <v>-0.36873740162242052</v>
      </c>
      <c r="BL40" s="136">
        <f t="shared" si="243"/>
        <v>-0.41639650344854284</v>
      </c>
      <c r="BM40" s="136">
        <f t="shared" si="243"/>
        <v>0.81221826796567109</v>
      </c>
      <c r="BN40" s="210">
        <f t="shared" si="243"/>
        <v>-0.20105180729944572</v>
      </c>
      <c r="BO40" s="136">
        <f t="shared" si="243"/>
        <v>-0.84894883828577883</v>
      </c>
      <c r="BP40" s="136">
        <f t="shared" si="243"/>
        <v>-0.62942022517978313</v>
      </c>
      <c r="BQ40" s="136">
        <f t="shared" si="243"/>
        <v>-0.72691603519156267</v>
      </c>
      <c r="BR40" s="136">
        <f t="shared" si="243"/>
        <v>-1.0943273867899221</v>
      </c>
      <c r="BS40" s="210">
        <f t="shared" si="243"/>
        <v>-0.78211890118680949</v>
      </c>
      <c r="BT40" s="136">
        <f t="shared" ref="BT40:DB40" si="244">BT31/BO31-1</f>
        <v>-4.0172080858416654</v>
      </c>
      <c r="BU40" s="136">
        <f t="shared" si="244"/>
        <v>-2.1781414232542184</v>
      </c>
      <c r="BV40" s="136">
        <f t="shared" si="244"/>
        <v>-3.757370061860891</v>
      </c>
      <c r="BW40" s="136">
        <f t="shared" si="244"/>
        <v>25.675837588734989</v>
      </c>
      <c r="BX40" s="210">
        <f t="shared" si="244"/>
        <v>-4.4036388733755185</v>
      </c>
      <c r="BY40" s="136">
        <f t="shared" si="244"/>
        <v>1.7379547478075716</v>
      </c>
      <c r="BZ40" s="136">
        <f t="shared" si="244"/>
        <v>2.0818176860813273</v>
      </c>
      <c r="CA40" s="136">
        <f t="shared" si="244"/>
        <v>1.6081120801256663</v>
      </c>
      <c r="CB40" s="136">
        <f t="shared" si="244"/>
        <v>1.0449105775398113</v>
      </c>
      <c r="CC40" s="210">
        <f t="shared" si="244"/>
        <v>1.513623825788514</v>
      </c>
      <c r="CD40" s="136">
        <f t="shared" si="244"/>
        <v>0.69917261666568042</v>
      </c>
      <c r="CE40" s="136">
        <f t="shared" si="244"/>
        <v>0.80711717716054743</v>
      </c>
      <c r="CF40" s="136">
        <f t="shared" si="244"/>
        <v>0.6883313659858763</v>
      </c>
      <c r="CG40" s="136">
        <f t="shared" si="244"/>
        <v>0.60443031903889244</v>
      </c>
      <c r="CH40" s="210">
        <f t="shared" si="244"/>
        <v>0.69124983364142256</v>
      </c>
      <c r="CI40" s="136">
        <f t="shared" si="244"/>
        <v>0.42000562937074193</v>
      </c>
      <c r="CJ40" s="136">
        <f t="shared" si="244"/>
        <v>0.42002938575608595</v>
      </c>
      <c r="CK40" s="136">
        <f t="shared" si="244"/>
        <v>0.36542450149825534</v>
      </c>
      <c r="CL40" s="136">
        <f t="shared" si="244"/>
        <v>0.3097172697547419</v>
      </c>
      <c r="CM40" s="210">
        <f t="shared" si="244"/>
        <v>0.37544928761926744</v>
      </c>
      <c r="CN40" s="136">
        <f t="shared" si="244"/>
        <v>0.26294001884586304</v>
      </c>
      <c r="CO40" s="136">
        <f t="shared" si="244"/>
        <v>0.27578706044916923</v>
      </c>
      <c r="CP40" s="136">
        <f t="shared" si="244"/>
        <v>0.26297528526316949</v>
      </c>
      <c r="CQ40" s="136">
        <f t="shared" si="244"/>
        <v>0.2456758888610906</v>
      </c>
      <c r="CR40" s="210">
        <f t="shared" si="244"/>
        <v>0.26132564928396507</v>
      </c>
      <c r="CS40" s="136">
        <f t="shared" si="244"/>
        <v>0.21837495071741464</v>
      </c>
      <c r="CT40" s="136">
        <f t="shared" si="244"/>
        <v>0.22904389333284092</v>
      </c>
      <c r="CU40" s="136">
        <f t="shared" si="244"/>
        <v>0.22295473889253725</v>
      </c>
      <c r="CV40" s="136">
        <f t="shared" si="244"/>
        <v>0.2129642149187656</v>
      </c>
      <c r="CW40" s="210">
        <f t="shared" si="244"/>
        <v>0.22059370253143418</v>
      </c>
      <c r="CX40" s="136">
        <f t="shared" si="244"/>
        <v>0.15577491937917598</v>
      </c>
      <c r="CY40" s="136">
        <f t="shared" si="244"/>
        <v>0.15001101394074245</v>
      </c>
      <c r="CZ40" s="136">
        <f t="shared" si="244"/>
        <v>0.13579728693235449</v>
      </c>
      <c r="DA40" s="136">
        <f t="shared" si="244"/>
        <v>0.12121633142163213</v>
      </c>
      <c r="DB40" s="210">
        <f t="shared" si="244"/>
        <v>0.14038394814634558</v>
      </c>
    </row>
    <row r="41" spans="1:106" s="61" customFormat="1" ht="14.2" hidden="1" customHeight="1" outlineLevel="1">
      <c r="A41" s="319" t="str">
        <f>A18</f>
        <v>Income Before Taxes</v>
      </c>
      <c r="B41" s="183" t="s">
        <v>290</v>
      </c>
      <c r="C41" s="183" t="s">
        <v>290</v>
      </c>
      <c r="D41" s="183" t="s">
        <v>290</v>
      </c>
      <c r="E41" s="183" t="s">
        <v>290</v>
      </c>
      <c r="F41" s="189" t="s">
        <v>290</v>
      </c>
      <c r="G41" s="112">
        <f>G18/B18-1</f>
        <v>4.0349417637270735E-2</v>
      </c>
      <c r="H41" s="112">
        <f t="shared" ref="H41:BS41" si="245">H18/C18-1</f>
        <v>37.289883268482342</v>
      </c>
      <c r="I41" s="112">
        <f t="shared" si="245"/>
        <v>-5.734156820622986</v>
      </c>
      <c r="J41" s="112">
        <f t="shared" si="245"/>
        <v>-19.309409888357404</v>
      </c>
      <c r="K41" s="194">
        <f t="shared" si="245"/>
        <v>12.640333850931622</v>
      </c>
      <c r="L41" s="112">
        <f t="shared" si="245"/>
        <v>-0.13184726109556122</v>
      </c>
      <c r="M41" s="112">
        <f t="shared" si="245"/>
        <v>0.17656623139068128</v>
      </c>
      <c r="N41" s="112">
        <f t="shared" si="245"/>
        <v>0.46988088485535995</v>
      </c>
      <c r="O41" s="112">
        <f t="shared" si="245"/>
        <v>0.6493031358885013</v>
      </c>
      <c r="P41" s="194">
        <f t="shared" si="245"/>
        <v>0.3606972607612946</v>
      </c>
      <c r="Q41" s="112">
        <f t="shared" si="245"/>
        <v>3.1351755900978677</v>
      </c>
      <c r="R41" s="112">
        <f t="shared" si="245"/>
        <v>0.19485230609777227</v>
      </c>
      <c r="S41" s="112">
        <f>S18/N18-1</f>
        <v>4.0248514316585826E-2</v>
      </c>
      <c r="T41" s="112">
        <f t="shared" si="245"/>
        <v>0.19681525298405056</v>
      </c>
      <c r="U41" s="194">
        <f t="shared" si="245"/>
        <v>0.42078788575970227</v>
      </c>
      <c r="V41" s="112">
        <f t="shared" si="245"/>
        <v>-8.7570306844127699E-2</v>
      </c>
      <c r="W41" s="112">
        <f t="shared" si="245"/>
        <v>0.2184111609079078</v>
      </c>
      <c r="X41" s="112">
        <f t="shared" si="245"/>
        <v>9.4261230849129518E-2</v>
      </c>
      <c r="Y41" s="112">
        <f t="shared" si="245"/>
        <v>-0.29712495311224363</v>
      </c>
      <c r="Z41" s="194">
        <f t="shared" si="245"/>
        <v>-5.9082879434712465E-2</v>
      </c>
      <c r="AA41" s="112">
        <f t="shared" si="245"/>
        <v>3.8084775244896063E-2</v>
      </c>
      <c r="AB41" s="112">
        <f t="shared" si="245"/>
        <v>-9.4627866275103112E-2</v>
      </c>
      <c r="AC41" s="112">
        <f t="shared" si="245"/>
        <v>0.2706285171876055</v>
      </c>
      <c r="AD41" s="112">
        <f t="shared" si="245"/>
        <v>0.10491288651703212</v>
      </c>
      <c r="AE41" s="194">
        <f t="shared" si="245"/>
        <v>7.3400452152418527E-2</v>
      </c>
      <c r="AF41" s="112">
        <f t="shared" si="245"/>
        <v>3.9156892142164557E-2</v>
      </c>
      <c r="AG41" s="112">
        <f t="shared" si="245"/>
        <v>0.95347465679368337</v>
      </c>
      <c r="AH41" s="112">
        <f t="shared" si="245"/>
        <v>0.55540140337771171</v>
      </c>
      <c r="AI41" s="112">
        <f t="shared" si="245"/>
        <v>1.1699576668466003</v>
      </c>
      <c r="AJ41" s="194">
        <f t="shared" si="245"/>
        <v>0.6736022038246261</v>
      </c>
      <c r="AK41" s="112">
        <f t="shared" si="245"/>
        <v>0.80256867238111318</v>
      </c>
      <c r="AL41" s="112">
        <f t="shared" si="245"/>
        <v>0.9419677300325382</v>
      </c>
      <c r="AM41" s="112">
        <f t="shared" si="245"/>
        <v>1.5901574668084679</v>
      </c>
      <c r="AN41" s="112">
        <f t="shared" si="245"/>
        <v>0.8408138682308588</v>
      </c>
      <c r="AO41" s="194">
        <f t="shared" si="245"/>
        <v>1.0514184937621107</v>
      </c>
      <c r="AP41" s="112">
        <f t="shared" si="245"/>
        <v>1.1722877006858248</v>
      </c>
      <c r="AQ41" s="112">
        <f t="shared" si="245"/>
        <v>0.25196918399778911</v>
      </c>
      <c r="AR41" s="112">
        <f t="shared" si="245"/>
        <v>-0.19672717399222517</v>
      </c>
      <c r="AS41" s="112">
        <f t="shared" si="245"/>
        <v>1.1081553978122161E-2</v>
      </c>
      <c r="AT41" s="194">
        <f t="shared" si="245"/>
        <v>0.16073725636704084</v>
      </c>
      <c r="AU41" s="112">
        <f t="shared" si="245"/>
        <v>-1.1841116633915183E-2</v>
      </c>
      <c r="AV41" s="112">
        <f t="shared" si="245"/>
        <v>-0.23367458160294707</v>
      </c>
      <c r="AW41" s="112">
        <f t="shared" si="245"/>
        <v>-0.10278247248443917</v>
      </c>
      <c r="AX41" s="112">
        <f t="shared" si="245"/>
        <v>-0.45241713095841063</v>
      </c>
      <c r="AY41" s="194">
        <f t="shared" si="245"/>
        <v>-0.20535239136755934</v>
      </c>
      <c r="AZ41" s="112">
        <f t="shared" si="245"/>
        <v>-0.50890135037323547</v>
      </c>
      <c r="BA41" s="112">
        <f t="shared" si="245"/>
        <v>-0.67077463203852905</v>
      </c>
      <c r="BB41" s="112">
        <f t="shared" si="245"/>
        <v>-0.71641489322600771</v>
      </c>
      <c r="BC41" s="112">
        <f t="shared" si="245"/>
        <v>-0.29180369989722765</v>
      </c>
      <c r="BD41" s="194">
        <f t="shared" si="245"/>
        <v>-0.56336501507375814</v>
      </c>
      <c r="BE41" s="112">
        <f t="shared" si="245"/>
        <v>-6.0740498131626186E-3</v>
      </c>
      <c r="BF41" s="112">
        <f t="shared" si="245"/>
        <v>1.75246089904845</v>
      </c>
      <c r="BG41" s="112">
        <f t="shared" si="245"/>
        <v>1.8299202903246679</v>
      </c>
      <c r="BH41" s="112">
        <f t="shared" si="245"/>
        <v>-0.75826288865508018</v>
      </c>
      <c r="BI41" s="194">
        <f t="shared" si="245"/>
        <v>0.41299524063015536</v>
      </c>
      <c r="BJ41" s="337">
        <f t="shared" si="245"/>
        <v>0.23811212655402847</v>
      </c>
      <c r="BK41" s="112">
        <f t="shared" si="245"/>
        <v>-0.33189233190125222</v>
      </c>
      <c r="BL41" s="112">
        <f t="shared" si="245"/>
        <v>-0.36578741748443833</v>
      </c>
      <c r="BM41" s="112">
        <f t="shared" si="245"/>
        <v>1.1121639134409667</v>
      </c>
      <c r="BN41" s="194">
        <f t="shared" si="245"/>
        <v>-0.12920439582143783</v>
      </c>
      <c r="BO41" s="112">
        <f t="shared" si="245"/>
        <v>-0.7569003375642136</v>
      </c>
      <c r="BP41" s="112">
        <f t="shared" si="245"/>
        <v>-0.50612939673030766</v>
      </c>
      <c r="BQ41" s="112">
        <f t="shared" si="245"/>
        <v>-0.56775964032995041</v>
      </c>
      <c r="BR41" s="112">
        <f t="shared" si="245"/>
        <v>-0.71319024986349877</v>
      </c>
      <c r="BS41" s="194">
        <f t="shared" si="245"/>
        <v>-0.63450997155002042</v>
      </c>
      <c r="BT41" s="112">
        <f t="shared" ref="BT41:DB41" si="246">BT18/BO18-1</f>
        <v>-2.2616688079508922</v>
      </c>
      <c r="BU41" s="112">
        <f t="shared" si="246"/>
        <v>-1.5212516201380377</v>
      </c>
      <c r="BV41" s="112">
        <f t="shared" si="246"/>
        <v>-2.1656168725430365</v>
      </c>
      <c r="BW41" s="112">
        <f t="shared" si="246"/>
        <v>-6.95148440259978</v>
      </c>
      <c r="BX41" s="194">
        <f t="shared" si="246"/>
        <v>-2.3902065384173126</v>
      </c>
      <c r="BY41" s="112">
        <f t="shared" si="246"/>
        <v>2.4604022472148053</v>
      </c>
      <c r="BZ41" s="112">
        <f t="shared" si="246"/>
        <v>3.3603173544552973</v>
      </c>
      <c r="CA41" s="112">
        <f t="shared" si="246"/>
        <v>2.2393012596785318</v>
      </c>
      <c r="CB41" s="112">
        <f t="shared" si="246"/>
        <v>1.2949049979544176</v>
      </c>
      <c r="CC41" s="194">
        <f t="shared" si="246"/>
        <v>2.0676620591988311</v>
      </c>
      <c r="CD41" s="112">
        <f t="shared" si="246"/>
        <v>0.79782712043011195</v>
      </c>
      <c r="CE41" s="112">
        <f t="shared" si="246"/>
        <v>0.93719549792737911</v>
      </c>
      <c r="CF41" s="112">
        <f t="shared" si="246"/>
        <v>0.78615842244534706</v>
      </c>
      <c r="CG41" s="112">
        <f t="shared" si="246"/>
        <v>0.67858526639396999</v>
      </c>
      <c r="CH41" s="194">
        <f t="shared" si="246"/>
        <v>0.78771059860340564</v>
      </c>
      <c r="CI41" s="112">
        <f t="shared" si="246"/>
        <v>0.46228133253959736</v>
      </c>
      <c r="CJ41" s="112">
        <f t="shared" si="246"/>
        <v>0.4660571201653696</v>
      </c>
      <c r="CK41" s="112">
        <f t="shared" si="246"/>
        <v>0.40515709527240107</v>
      </c>
      <c r="CL41" s="112">
        <f t="shared" si="246"/>
        <v>0.34271237796479603</v>
      </c>
      <c r="CM41" s="194">
        <f t="shared" si="246"/>
        <v>0.41493222935144392</v>
      </c>
      <c r="CN41" s="112">
        <f t="shared" si="246"/>
        <v>0.28851096081823124</v>
      </c>
      <c r="CO41" s="112">
        <f t="shared" si="246"/>
        <v>0.30379321704037698</v>
      </c>
      <c r="CP41" s="112">
        <f t="shared" si="246"/>
        <v>0.28952386619743997</v>
      </c>
      <c r="CQ41" s="112">
        <f t="shared" si="246"/>
        <v>0.26994525762888544</v>
      </c>
      <c r="CR41" s="194">
        <f t="shared" si="246"/>
        <v>0.28730781845715625</v>
      </c>
      <c r="CS41" s="112">
        <f t="shared" si="246"/>
        <v>0.23873280700642052</v>
      </c>
      <c r="CT41" s="112">
        <f t="shared" si="246"/>
        <v>0.25084649690206362</v>
      </c>
      <c r="CU41" s="112">
        <f t="shared" si="246"/>
        <v>0.24402150858888705</v>
      </c>
      <c r="CV41" s="112">
        <f t="shared" si="246"/>
        <v>0.23273852063317202</v>
      </c>
      <c r="CW41" s="194">
        <f t="shared" si="246"/>
        <v>0.24129995653844416</v>
      </c>
      <c r="CX41" s="112">
        <f t="shared" si="246"/>
        <v>0.17353660356695189</v>
      </c>
      <c r="CY41" s="112">
        <f t="shared" si="246"/>
        <v>0.16893297491342141</v>
      </c>
      <c r="CZ41" s="112">
        <f t="shared" si="246"/>
        <v>0.15441255484580774</v>
      </c>
      <c r="DA41" s="112">
        <f t="shared" si="246"/>
        <v>0.13910003106436775</v>
      </c>
      <c r="DB41" s="194">
        <f t="shared" si="246"/>
        <v>0.15860074631078502</v>
      </c>
    </row>
    <row r="42" spans="1:106" s="207" customFormat="1" ht="14.2" customHeight="1" collapsed="1">
      <c r="A42" s="318" t="s">
        <v>474</v>
      </c>
      <c r="B42" s="208" t="s">
        <v>290</v>
      </c>
      <c r="C42" s="208" t="s">
        <v>290</v>
      </c>
      <c r="D42" s="208" t="s">
        <v>290</v>
      </c>
      <c r="E42" s="208" t="s">
        <v>290</v>
      </c>
      <c r="F42" s="209" t="s">
        <v>290</v>
      </c>
      <c r="G42" s="136">
        <f>G21/B21-1</f>
        <v>4.0349417637270735E-2</v>
      </c>
      <c r="H42" s="136">
        <f t="shared" ref="H42:BS42" si="247">H21/C21-1</f>
        <v>37.289883268482342</v>
      </c>
      <c r="I42" s="136">
        <f t="shared" si="247"/>
        <v>-5.734156820622986</v>
      </c>
      <c r="J42" s="136">
        <f t="shared" si="247"/>
        <v>-19.309409888357404</v>
      </c>
      <c r="K42" s="210">
        <f t="shared" si="247"/>
        <v>12.640333850931622</v>
      </c>
      <c r="L42" s="136">
        <f t="shared" si="247"/>
        <v>-0.13184726109556122</v>
      </c>
      <c r="M42" s="136">
        <f t="shared" si="247"/>
        <v>0.17656623139068128</v>
      </c>
      <c r="N42" s="136">
        <f t="shared" si="247"/>
        <v>0.47572319909245597</v>
      </c>
      <c r="O42" s="136">
        <f t="shared" si="247"/>
        <v>0.65100174216027828</v>
      </c>
      <c r="P42" s="210">
        <f t="shared" si="247"/>
        <v>0.36271789398790433</v>
      </c>
      <c r="Q42" s="136">
        <f t="shared" si="247"/>
        <v>3.1405872193436943</v>
      </c>
      <c r="R42" s="136">
        <f t="shared" si="247"/>
        <v>0.19761616859561304</v>
      </c>
      <c r="S42" s="136">
        <f>S21/N21-1</f>
        <v>4.2356920475074222E-2</v>
      </c>
      <c r="T42" s="136">
        <f t="shared" si="247"/>
        <v>0.20035877278602943</v>
      </c>
      <c r="U42" s="210">
        <f t="shared" si="247"/>
        <v>0.42342191823735198</v>
      </c>
      <c r="V42" s="136">
        <f t="shared" si="247"/>
        <v>-8.5870804482633956E-2</v>
      </c>
      <c r="W42" s="136">
        <f t="shared" si="247"/>
        <v>0.21967402278955683</v>
      </c>
      <c r="X42" s="136">
        <f t="shared" si="247"/>
        <v>9.2075666506876486E-2</v>
      </c>
      <c r="Y42" s="136">
        <f t="shared" si="247"/>
        <v>-0.300228561381917</v>
      </c>
      <c r="Z42" s="210">
        <f t="shared" si="247"/>
        <v>-5.9861789691447842E-2</v>
      </c>
      <c r="AA42" s="136">
        <f t="shared" si="247"/>
        <v>3.7051683752623576E-2</v>
      </c>
      <c r="AB42" s="136">
        <f t="shared" si="247"/>
        <v>-4.1627246925260208E-2</v>
      </c>
      <c r="AC42" s="136">
        <f t="shared" si="247"/>
        <v>0.26705159373311682</v>
      </c>
      <c r="AD42" s="136">
        <f t="shared" si="247"/>
        <v>0.10495901510631112</v>
      </c>
      <c r="AE42" s="210">
        <f t="shared" si="247"/>
        <v>8.6310220515942504E-2</v>
      </c>
      <c r="AF42" s="136">
        <f t="shared" si="247"/>
        <v>3.7575899797601009E-2</v>
      </c>
      <c r="AG42" s="136">
        <f t="shared" si="247"/>
        <v>0.83973963474827285</v>
      </c>
      <c r="AH42" s="136">
        <f t="shared" si="247"/>
        <v>0.55424383744170602</v>
      </c>
      <c r="AI42" s="136">
        <f t="shared" si="247"/>
        <v>1.1718159338316743</v>
      </c>
      <c r="AJ42" s="210">
        <f t="shared" si="247"/>
        <v>0.65027475487555142</v>
      </c>
      <c r="AK42" s="136">
        <f t="shared" si="247"/>
        <v>0.80518489200497467</v>
      </c>
      <c r="AL42" s="136">
        <f t="shared" si="247"/>
        <v>0.94553716652413766</v>
      </c>
      <c r="AM42" s="136">
        <f t="shared" si="247"/>
        <v>1.5937108859283655</v>
      </c>
      <c r="AN42" s="136">
        <f t="shared" si="247"/>
        <v>0.8395780712201133</v>
      </c>
      <c r="AO42" s="210">
        <f t="shared" si="247"/>
        <v>1.0532333955767958</v>
      </c>
      <c r="AP42" s="136">
        <f t="shared" si="247"/>
        <v>1.1705323164142647</v>
      </c>
      <c r="AQ42" s="136">
        <f t="shared" si="247"/>
        <v>0.25102132280695733</v>
      </c>
      <c r="AR42" s="136">
        <f t="shared" si="247"/>
        <v>-0.19694856319369602</v>
      </c>
      <c r="AS42" s="136">
        <f t="shared" si="247"/>
        <v>1.4292421957258661E-2</v>
      </c>
      <c r="AT42" s="210">
        <f t="shared" si="247"/>
        <v>0.16128984388911993</v>
      </c>
      <c r="AU42" s="136">
        <f t="shared" si="247"/>
        <v>-1.1962913525019103E-2</v>
      </c>
      <c r="AV42" s="136">
        <f t="shared" si="247"/>
        <v>-0.23663633044209131</v>
      </c>
      <c r="AW42" s="136">
        <f t="shared" si="247"/>
        <v>-0.10248600592690205</v>
      </c>
      <c r="AX42" s="136">
        <f t="shared" si="247"/>
        <v>-0.4526944091798587</v>
      </c>
      <c r="AY42" s="210">
        <f t="shared" si="247"/>
        <v>-0.20627638969768125</v>
      </c>
      <c r="AZ42" s="136">
        <f t="shared" si="247"/>
        <v>-0.5063496352337209</v>
      </c>
      <c r="BA42" s="136">
        <f t="shared" si="247"/>
        <v>-0.66188641101775214</v>
      </c>
      <c r="BB42" s="136">
        <f t="shared" si="247"/>
        <v>-0.71024488672842301</v>
      </c>
      <c r="BC42" s="136">
        <f t="shared" si="247"/>
        <v>-0.31090207737950559</v>
      </c>
      <c r="BD42" s="210">
        <f t="shared" si="247"/>
        <v>-0.56203872576190061</v>
      </c>
      <c r="BE42" s="136">
        <f t="shared" si="247"/>
        <v>-9.8078373940434505E-3</v>
      </c>
      <c r="BF42" s="136">
        <f t="shared" si="247"/>
        <v>1.6942664958360001</v>
      </c>
      <c r="BG42" s="136">
        <f t="shared" si="247"/>
        <v>1.7710812864016172</v>
      </c>
      <c r="BH42" s="136">
        <f t="shared" si="247"/>
        <v>-1.8788752301426443</v>
      </c>
      <c r="BI42" s="210">
        <f t="shared" si="247"/>
        <v>9.3128039238339122E-2</v>
      </c>
      <c r="BJ42" s="336">
        <f t="shared" si="247"/>
        <v>0.23491215347685235</v>
      </c>
      <c r="BK42" s="136">
        <f t="shared" si="247"/>
        <v>-0.33371255430240099</v>
      </c>
      <c r="BL42" s="136">
        <f t="shared" si="247"/>
        <v>-0.36728702916063227</v>
      </c>
      <c r="BM42" s="136">
        <f t="shared" si="247"/>
        <v>-1.5955964346886102</v>
      </c>
      <c r="BN42" s="210">
        <f t="shared" si="247"/>
        <v>0.12149655423052752</v>
      </c>
      <c r="BO42" s="136">
        <f t="shared" si="247"/>
        <v>-0.7569003375642136</v>
      </c>
      <c r="BP42" s="136">
        <f t="shared" si="247"/>
        <v>-0.50612939673030766</v>
      </c>
      <c r="BQ42" s="136">
        <f t="shared" si="247"/>
        <v>-0.56775964032995041</v>
      </c>
      <c r="BR42" s="136">
        <f t="shared" si="247"/>
        <v>-0.71319024986349877</v>
      </c>
      <c r="BS42" s="210">
        <f t="shared" si="247"/>
        <v>-0.63450997155002042</v>
      </c>
      <c r="BT42" s="136">
        <f t="shared" ref="BT42:DB42" si="248">BT21/BO21-1</f>
        <v>-2.2616688079508922</v>
      </c>
      <c r="BU42" s="136">
        <f t="shared" si="248"/>
        <v>-1.5212516201380377</v>
      </c>
      <c r="BV42" s="136">
        <f t="shared" si="248"/>
        <v>-2.1656168725430365</v>
      </c>
      <c r="BW42" s="136">
        <f t="shared" si="248"/>
        <v>-6.95148440259978</v>
      </c>
      <c r="BX42" s="210">
        <f t="shared" si="248"/>
        <v>-2.3902065384173126</v>
      </c>
      <c r="BY42" s="136">
        <f t="shared" si="248"/>
        <v>2.4604022472148053</v>
      </c>
      <c r="BZ42" s="136">
        <f t="shared" si="248"/>
        <v>3.3603173544552973</v>
      </c>
      <c r="CA42" s="136">
        <f t="shared" si="248"/>
        <v>2.2393012596785318</v>
      </c>
      <c r="CB42" s="136">
        <f t="shared" si="248"/>
        <v>1.2949049979544176</v>
      </c>
      <c r="CC42" s="210">
        <f t="shared" si="248"/>
        <v>2.0676620591988311</v>
      </c>
      <c r="CD42" s="136">
        <f t="shared" si="248"/>
        <v>0.79782712043011195</v>
      </c>
      <c r="CE42" s="136">
        <f t="shared" si="248"/>
        <v>0.93719549792737911</v>
      </c>
      <c r="CF42" s="136">
        <f t="shared" si="248"/>
        <v>0.78615842244534706</v>
      </c>
      <c r="CG42" s="136">
        <f t="shared" si="248"/>
        <v>0.67858526639396999</v>
      </c>
      <c r="CH42" s="210">
        <f t="shared" si="248"/>
        <v>0.78771059860340564</v>
      </c>
      <c r="CI42" s="136">
        <f t="shared" si="248"/>
        <v>0.46228133253959736</v>
      </c>
      <c r="CJ42" s="136">
        <f t="shared" si="248"/>
        <v>0.4660571201653696</v>
      </c>
      <c r="CK42" s="136">
        <f t="shared" si="248"/>
        <v>0.40515709527240107</v>
      </c>
      <c r="CL42" s="136">
        <f t="shared" si="248"/>
        <v>0.34271237796479603</v>
      </c>
      <c r="CM42" s="210">
        <f t="shared" si="248"/>
        <v>0.41493222935144392</v>
      </c>
      <c r="CN42" s="136">
        <f t="shared" si="248"/>
        <v>0.28851096081823124</v>
      </c>
      <c r="CO42" s="136">
        <f t="shared" si="248"/>
        <v>0.30379321704037698</v>
      </c>
      <c r="CP42" s="136">
        <f t="shared" si="248"/>
        <v>0.28952386619743997</v>
      </c>
      <c r="CQ42" s="136">
        <f t="shared" si="248"/>
        <v>0.26994525762888544</v>
      </c>
      <c r="CR42" s="210">
        <f t="shared" si="248"/>
        <v>0.28730781845715625</v>
      </c>
      <c r="CS42" s="136">
        <f t="shared" si="248"/>
        <v>0.23873280700642052</v>
      </c>
      <c r="CT42" s="136">
        <f t="shared" si="248"/>
        <v>0.25084649690206362</v>
      </c>
      <c r="CU42" s="136">
        <f t="shared" si="248"/>
        <v>0.24402150858888705</v>
      </c>
      <c r="CV42" s="136">
        <f t="shared" si="248"/>
        <v>0.23273852063317202</v>
      </c>
      <c r="CW42" s="210">
        <f t="shared" si="248"/>
        <v>0.24129995653844416</v>
      </c>
      <c r="CX42" s="136">
        <f t="shared" si="248"/>
        <v>0.17353660356695189</v>
      </c>
      <c r="CY42" s="136">
        <f t="shared" si="248"/>
        <v>0.16893297491342141</v>
      </c>
      <c r="CZ42" s="136">
        <f t="shared" si="248"/>
        <v>0.15441255484580774</v>
      </c>
      <c r="DA42" s="136">
        <f t="shared" si="248"/>
        <v>0.13910003106436775</v>
      </c>
      <c r="DB42" s="210">
        <f t="shared" si="248"/>
        <v>0.15860074631078502</v>
      </c>
    </row>
    <row r="43" spans="1:106" s="207" customFormat="1" ht="14.2" hidden="1" customHeight="1" outlineLevel="1">
      <c r="A43" s="318" t="s">
        <v>477</v>
      </c>
      <c r="B43" s="208" t="s">
        <v>290</v>
      </c>
      <c r="C43" s="208" t="s">
        <v>290</v>
      </c>
      <c r="D43" s="208" t="s">
        <v>290</v>
      </c>
      <c r="E43" s="208" t="s">
        <v>290</v>
      </c>
      <c r="F43" s="209" t="s">
        <v>290</v>
      </c>
      <c r="G43" s="136">
        <f>G23/B23-1</f>
        <v>4.0349417637270735E-2</v>
      </c>
      <c r="H43" s="136">
        <f t="shared" ref="H43:BS43" si="249">H23/C23-1</f>
        <v>37.289883268482342</v>
      </c>
      <c r="I43" s="136">
        <f t="shared" si="249"/>
        <v>-103.29069767441852</v>
      </c>
      <c r="J43" s="136">
        <f t="shared" si="249"/>
        <v>-6.0794839783603942</v>
      </c>
      <c r="K43" s="210">
        <f t="shared" si="249"/>
        <v>12.915178571428514</v>
      </c>
      <c r="L43" s="136">
        <f t="shared" si="249"/>
        <v>-0.3128748500599754</v>
      </c>
      <c r="M43" s="136">
        <f t="shared" si="249"/>
        <v>0.14872211777856803</v>
      </c>
      <c r="N43" s="136">
        <f t="shared" si="249"/>
        <v>0.51335682619074707</v>
      </c>
      <c r="O43" s="136">
        <f t="shared" si="249"/>
        <v>0.59618220547271772</v>
      </c>
      <c r="P43" s="210">
        <f t="shared" si="249"/>
        <v>0.32616367465930129</v>
      </c>
      <c r="Q43" s="136">
        <f t="shared" si="249"/>
        <v>4.202356706430022</v>
      </c>
      <c r="R43" s="136">
        <f t="shared" si="249"/>
        <v>0.22390304317055998</v>
      </c>
      <c r="S43" s="136">
        <f t="shared" si="249"/>
        <v>1.5999399083602484E-2</v>
      </c>
      <c r="T43" s="136">
        <f t="shared" si="249"/>
        <v>0.17723143253092499</v>
      </c>
      <c r="U43" s="210">
        <f t="shared" si="249"/>
        <v>0.43419862422954769</v>
      </c>
      <c r="V43" s="136">
        <f t="shared" si="249"/>
        <v>-7.6899415564441687E-2</v>
      </c>
      <c r="W43" s="136">
        <f t="shared" si="249"/>
        <v>0.22074448861582918</v>
      </c>
      <c r="X43" s="136">
        <f t="shared" si="249"/>
        <v>9.6111193257429672E-2</v>
      </c>
      <c r="Y43" s="136">
        <f t="shared" si="249"/>
        <v>-0.31332839204743601</v>
      </c>
      <c r="Z43" s="210">
        <f t="shared" si="249"/>
        <v>-6.1713908547541441E-2</v>
      </c>
      <c r="AA43" s="136">
        <f t="shared" si="249"/>
        <v>2.4052588531095598E-2</v>
      </c>
      <c r="AB43" s="136">
        <f t="shared" si="249"/>
        <v>-7.1733080703416441E-2</v>
      </c>
      <c r="AC43" s="136">
        <f t="shared" si="249"/>
        <v>0.26338864157560993</v>
      </c>
      <c r="AD43" s="136">
        <f t="shared" si="249"/>
        <v>0.1150195244293486</v>
      </c>
      <c r="AE43" s="210">
        <f t="shared" si="249"/>
        <v>7.6629670157887242E-2</v>
      </c>
      <c r="AF43" s="136">
        <f t="shared" si="249"/>
        <v>-9.406892471527839E-2</v>
      </c>
      <c r="AG43" s="136">
        <f t="shared" si="249"/>
        <v>0.89867644713761807</v>
      </c>
      <c r="AH43" s="136">
        <f t="shared" si="249"/>
        <v>0.57287384549677056</v>
      </c>
      <c r="AI43" s="136">
        <f t="shared" si="249"/>
        <v>1.2015261089915095</v>
      </c>
      <c r="AJ43" s="210">
        <f t="shared" si="249"/>
        <v>0.64365054013241885</v>
      </c>
      <c r="AK43" s="136">
        <f t="shared" si="249"/>
        <v>1.1196734693877537</v>
      </c>
      <c r="AL43" s="136">
        <f t="shared" si="249"/>
        <v>0.96163472359867619</v>
      </c>
      <c r="AM43" s="136">
        <f t="shared" si="249"/>
        <v>1.583422432666362</v>
      </c>
      <c r="AN43" s="136">
        <f t="shared" si="249"/>
        <v>0.86676495693334443</v>
      </c>
      <c r="AO43" s="210">
        <f t="shared" si="249"/>
        <v>1.1124366726589305</v>
      </c>
      <c r="AP43" s="136">
        <f t="shared" si="249"/>
        <v>1.3139798197643078</v>
      </c>
      <c r="AQ43" s="136">
        <f t="shared" si="249"/>
        <v>0.26427017862341806</v>
      </c>
      <c r="AR43" s="136">
        <f t="shared" si="249"/>
        <v>-0.18085965984115382</v>
      </c>
      <c r="AS43" s="136">
        <f t="shared" si="249"/>
        <v>-3.4750800182898334E-2</v>
      </c>
      <c r="AT43" s="210">
        <f t="shared" si="249"/>
        <v>0.17482467768712584</v>
      </c>
      <c r="AU43" s="136">
        <f t="shared" si="249"/>
        <v>-0.11875882086650869</v>
      </c>
      <c r="AV43" s="136">
        <f t="shared" si="249"/>
        <v>-0.26710194792880171</v>
      </c>
      <c r="AW43" s="136">
        <f t="shared" si="249"/>
        <v>-0.15613672088024944</v>
      </c>
      <c r="AX43" s="136">
        <f t="shared" si="249"/>
        <v>-0.4565264200508159</v>
      </c>
      <c r="AY43" s="210">
        <f t="shared" si="249"/>
        <v>-0.24978909862353504</v>
      </c>
      <c r="AZ43" s="136">
        <f t="shared" si="249"/>
        <v>-0.49607548367114163</v>
      </c>
      <c r="BA43" s="136">
        <f t="shared" si="249"/>
        <v>-0.66148528759426284</v>
      </c>
      <c r="BB43" s="136">
        <f t="shared" si="249"/>
        <v>-0.70539710899708208</v>
      </c>
      <c r="BC43" s="136">
        <f t="shared" si="249"/>
        <v>-0.29543053354464088</v>
      </c>
      <c r="BD43" s="210">
        <f t="shared" si="249"/>
        <v>-0.5547465861967531</v>
      </c>
      <c r="BE43" s="136">
        <f t="shared" si="249"/>
        <v>1.2442658831297582E-3</v>
      </c>
      <c r="BF43" s="136">
        <f t="shared" si="249"/>
        <v>1.7580671580671559</v>
      </c>
      <c r="BG43" s="136">
        <f t="shared" si="249"/>
        <v>1.8208651891996483</v>
      </c>
      <c r="BH43" s="136">
        <f t="shared" si="249"/>
        <v>-1.8844798500468629</v>
      </c>
      <c r="BI43" s="210">
        <f t="shared" si="249"/>
        <v>0.10863414764099399</v>
      </c>
      <c r="BJ43" s="336">
        <f t="shared" si="249"/>
        <v>0.23613289471509691</v>
      </c>
      <c r="BK43" s="136">
        <f t="shared" si="249"/>
        <v>-0.3352959358413089</v>
      </c>
      <c r="BL43" s="136">
        <f t="shared" si="249"/>
        <v>-0.36770705458165676</v>
      </c>
      <c r="BM43" s="136">
        <f t="shared" si="249"/>
        <v>-1.5943733721261013</v>
      </c>
      <c r="BN43" s="210">
        <f t="shared" si="249"/>
        <v>0.12003769201642966</v>
      </c>
      <c r="BO43" s="136">
        <f t="shared" si="249"/>
        <v>-0.75781712487647646</v>
      </c>
      <c r="BP43" s="136">
        <f t="shared" si="249"/>
        <v>-0.50688308450843189</v>
      </c>
      <c r="BQ43" s="136">
        <f t="shared" si="249"/>
        <v>-0.56878651198279917</v>
      </c>
      <c r="BR43" s="136">
        <f t="shared" si="249"/>
        <v>-0.71573311709451781</v>
      </c>
      <c r="BS43" s="210">
        <f t="shared" si="249"/>
        <v>-0.63559902197495965</v>
      </c>
      <c r="BT43" s="136">
        <f t="shared" ref="BT43:DB43" si="250">BT23/BO23-1</f>
        <v>-2.2729801848412174</v>
      </c>
      <c r="BU43" s="136">
        <f t="shared" si="250"/>
        <v>-1.525845515127455</v>
      </c>
      <c r="BV43" s="136">
        <f t="shared" si="250"/>
        <v>-2.1747001156448595</v>
      </c>
      <c r="BW43" s="136">
        <f t="shared" si="250"/>
        <v>-7.0386749839441203</v>
      </c>
      <c r="BX43" s="210">
        <f t="shared" si="250"/>
        <v>-2.401464647009159</v>
      </c>
      <c r="BY43" s="136">
        <f t="shared" si="250"/>
        <v>2.4507357098008193</v>
      </c>
      <c r="BZ43" s="136">
        <f t="shared" si="250"/>
        <v>3.3410198064287462</v>
      </c>
      <c r="CA43" s="136">
        <f t="shared" si="250"/>
        <v>2.2313057744698237</v>
      </c>
      <c r="CB43" s="136">
        <f t="shared" si="250"/>
        <v>1.2922153943856665</v>
      </c>
      <c r="CC43" s="210">
        <f t="shared" si="250"/>
        <v>2.0607129775389939</v>
      </c>
      <c r="CD43" s="136">
        <f t="shared" si="250"/>
        <v>0.7969187522383494</v>
      </c>
      <c r="CE43" s="136">
        <f t="shared" si="250"/>
        <v>0.93595567329107476</v>
      </c>
      <c r="CF43" s="136">
        <f t="shared" si="250"/>
        <v>0.78528973346043918</v>
      </c>
      <c r="CG43" s="136">
        <f t="shared" si="250"/>
        <v>0.6779703736527749</v>
      </c>
      <c r="CH43" s="210">
        <f t="shared" si="250"/>
        <v>0.78684564673638757</v>
      </c>
      <c r="CI43" s="136">
        <f t="shared" si="250"/>
        <v>0.46198842467100887</v>
      </c>
      <c r="CJ43" s="136">
        <f t="shared" si="250"/>
        <v>0.46573864629471062</v>
      </c>
      <c r="CK43" s="136">
        <f t="shared" si="250"/>
        <v>0.4049063290807724</v>
      </c>
      <c r="CL43" s="136">
        <f t="shared" si="250"/>
        <v>0.34252730608246895</v>
      </c>
      <c r="CM43" s="210">
        <f t="shared" si="250"/>
        <v>0.41467724391134153</v>
      </c>
      <c r="CN43" s="136">
        <f t="shared" si="250"/>
        <v>0.28838592251689232</v>
      </c>
      <c r="CO43" s="136">
        <f t="shared" si="250"/>
        <v>0.30365158673450887</v>
      </c>
      <c r="CP43" s="136">
        <f t="shared" si="250"/>
        <v>0.28939631558856327</v>
      </c>
      <c r="CQ43" s="136">
        <f t="shared" si="250"/>
        <v>0.26983667428141334</v>
      </c>
      <c r="CR43" s="210">
        <f t="shared" si="250"/>
        <v>0.28718301451889228</v>
      </c>
      <c r="CS43" s="136">
        <f t="shared" si="250"/>
        <v>0.2386525012121965</v>
      </c>
      <c r="CT43" s="136">
        <f t="shared" si="250"/>
        <v>0.25075679025530428</v>
      </c>
      <c r="CU43" s="136">
        <f t="shared" si="250"/>
        <v>0.24393813282050592</v>
      </c>
      <c r="CV43" s="136">
        <f t="shared" si="250"/>
        <v>0.23266479679661645</v>
      </c>
      <c r="CW43" s="210">
        <f t="shared" si="250"/>
        <v>0.24121852403451682</v>
      </c>
      <c r="CX43" s="136">
        <f t="shared" si="250"/>
        <v>0.17348947585162078</v>
      </c>
      <c r="CY43" s="136">
        <f t="shared" si="250"/>
        <v>0.16888467368864268</v>
      </c>
      <c r="CZ43" s="136">
        <f t="shared" si="250"/>
        <v>0.15437014218013911</v>
      </c>
      <c r="DA43" s="136">
        <f t="shared" si="250"/>
        <v>0.1390642855219324</v>
      </c>
      <c r="DB43" s="210">
        <f t="shared" si="250"/>
        <v>0.15855762444699639</v>
      </c>
    </row>
    <row r="44" spans="1:106" s="61" customFormat="1" ht="14.2" customHeight="1" collapsed="1">
      <c r="A44" s="321"/>
      <c r="B44" s="68"/>
      <c r="C44" s="68"/>
      <c r="D44" s="68"/>
      <c r="E44" s="68"/>
      <c r="F44" s="194"/>
      <c r="G44" s="112"/>
      <c r="H44" s="112"/>
      <c r="I44" s="112"/>
      <c r="J44" s="112"/>
      <c r="K44" s="194"/>
      <c r="L44" s="112"/>
      <c r="M44" s="112"/>
      <c r="N44" s="112"/>
      <c r="O44" s="112"/>
      <c r="P44" s="194"/>
      <c r="Q44" s="112"/>
      <c r="R44" s="112"/>
      <c r="S44" s="112"/>
      <c r="T44" s="112"/>
      <c r="U44" s="194"/>
      <c r="V44" s="112"/>
      <c r="W44" s="112"/>
      <c r="X44" s="112"/>
      <c r="Y44" s="112"/>
      <c r="Z44" s="194"/>
      <c r="AA44" s="112"/>
      <c r="AB44" s="112"/>
      <c r="AC44" s="112"/>
      <c r="AD44" s="112"/>
      <c r="AE44" s="194"/>
      <c r="AF44" s="112"/>
      <c r="AG44" s="112"/>
      <c r="AH44" s="112"/>
      <c r="AI44" s="112"/>
      <c r="AJ44" s="194"/>
      <c r="AK44" s="112"/>
      <c r="AL44" s="112"/>
      <c r="AM44" s="112"/>
      <c r="AN44" s="112"/>
      <c r="AO44" s="194"/>
      <c r="AP44" s="112"/>
      <c r="AQ44" s="112"/>
      <c r="AR44" s="112"/>
      <c r="AS44" s="112"/>
      <c r="AT44" s="194"/>
      <c r="AU44" s="112"/>
      <c r="AV44" s="112"/>
      <c r="AW44" s="112"/>
      <c r="AX44" s="112"/>
      <c r="AY44" s="194"/>
      <c r="AZ44" s="112"/>
      <c r="BA44" s="112"/>
      <c r="BB44" s="112"/>
      <c r="BC44" s="112"/>
      <c r="BD44" s="194"/>
      <c r="BE44" s="112"/>
      <c r="BF44" s="112"/>
      <c r="BG44" s="112"/>
      <c r="BH44" s="112"/>
      <c r="BI44" s="194"/>
      <c r="BJ44" s="337"/>
      <c r="BK44" s="112"/>
      <c r="BL44" s="112"/>
      <c r="BM44" s="112"/>
      <c r="BN44" s="194"/>
      <c r="BO44" s="112"/>
      <c r="BP44" s="112"/>
      <c r="BQ44" s="112"/>
      <c r="BR44" s="112"/>
      <c r="BS44" s="194"/>
      <c r="BT44" s="112"/>
      <c r="BU44" s="112"/>
      <c r="BV44" s="112"/>
      <c r="BW44" s="112"/>
      <c r="BX44" s="194"/>
      <c r="BY44" s="112"/>
      <c r="BZ44" s="112"/>
      <c r="CA44" s="112"/>
      <c r="CB44" s="112"/>
      <c r="CC44" s="194"/>
      <c r="CD44" s="112"/>
      <c r="CE44" s="112"/>
      <c r="CF44" s="112"/>
      <c r="CG44" s="112"/>
      <c r="CH44" s="194"/>
      <c r="CI44" s="112"/>
      <c r="CJ44" s="112"/>
      <c r="CK44" s="112"/>
      <c r="CL44" s="112"/>
      <c r="CM44" s="194"/>
      <c r="CN44" s="112"/>
      <c r="CO44" s="112"/>
      <c r="CP44" s="112"/>
      <c r="CQ44" s="112"/>
      <c r="CR44" s="194"/>
      <c r="CS44" s="112"/>
      <c r="CT44" s="112"/>
      <c r="CU44" s="112"/>
      <c r="CV44" s="112"/>
      <c r="CW44" s="194"/>
      <c r="CX44" s="112"/>
      <c r="CY44" s="112"/>
      <c r="CZ44" s="112"/>
      <c r="DA44" s="112"/>
      <c r="DB44" s="194"/>
    </row>
    <row r="45" spans="1:106" s="207" customFormat="1" ht="14.2" customHeight="1">
      <c r="A45" s="318" t="s">
        <v>478</v>
      </c>
      <c r="B45" s="208" t="s">
        <v>290</v>
      </c>
      <c r="C45" s="208" t="s">
        <v>290</v>
      </c>
      <c r="D45" s="208" t="s">
        <v>290</v>
      </c>
      <c r="E45" s="208" t="s">
        <v>290</v>
      </c>
      <c r="F45" s="209" t="s">
        <v>290</v>
      </c>
      <c r="G45" s="136">
        <f>G29/B29-1</f>
        <v>-9.6947593803609289E-2</v>
      </c>
      <c r="H45" s="136">
        <f t="shared" ref="H45:BS45" si="251">H29/C29-1</f>
        <v>31.909506515066191</v>
      </c>
      <c r="I45" s="136">
        <f t="shared" si="251"/>
        <v>-13.335487613254324</v>
      </c>
      <c r="J45" s="136">
        <f t="shared" si="251"/>
        <v>1.7983777365759845</v>
      </c>
      <c r="K45" s="210">
        <f t="shared" si="251"/>
        <v>1.5489565388054061</v>
      </c>
      <c r="L45" s="136">
        <f t="shared" si="251"/>
        <v>-0.90896608108674681</v>
      </c>
      <c r="M45" s="136">
        <f t="shared" si="251"/>
        <v>-0.87435018222839145</v>
      </c>
      <c r="N45" s="136">
        <f t="shared" si="251"/>
        <v>0.27779386103840764</v>
      </c>
      <c r="O45" s="136">
        <f t="shared" si="251"/>
        <v>0.49509594497882481</v>
      </c>
      <c r="P45" s="210">
        <f t="shared" si="251"/>
        <v>-0.32132459891760512</v>
      </c>
      <c r="Q45" s="136">
        <f t="shared" si="251"/>
        <v>3.0514035261319075</v>
      </c>
      <c r="R45" s="136">
        <f t="shared" si="251"/>
        <v>0.15795698138974323</v>
      </c>
      <c r="S45" s="136">
        <f t="shared" si="251"/>
        <v>1.4370650321805734E-2</v>
      </c>
      <c r="T45" s="136">
        <f t="shared" si="251"/>
        <v>0.11859064007631703</v>
      </c>
      <c r="U45" s="210">
        <f t="shared" si="251"/>
        <v>0.38110374868167463</v>
      </c>
      <c r="V45" s="136">
        <f t="shared" si="251"/>
        <v>-0.12948469766748238</v>
      </c>
      <c r="W45" s="136">
        <f t="shared" si="251"/>
        <v>0.18962328048148236</v>
      </c>
      <c r="X45" s="136">
        <f t="shared" si="251"/>
        <v>-3.635185491508941E-2</v>
      </c>
      <c r="Y45" s="136">
        <f t="shared" si="251"/>
        <v>-0.383883246837734</v>
      </c>
      <c r="Z45" s="210">
        <f t="shared" si="251"/>
        <v>-0.13611017722410068</v>
      </c>
      <c r="AA45" s="136">
        <f t="shared" si="251"/>
        <v>-0.10652891494808259</v>
      </c>
      <c r="AB45" s="136">
        <f t="shared" si="251"/>
        <v>-0.23369793543356987</v>
      </c>
      <c r="AC45" s="136">
        <f t="shared" si="251"/>
        <v>8.9265854326315619E-2</v>
      </c>
      <c r="AD45" s="136">
        <f t="shared" si="251"/>
        <v>-0.10491535230949334</v>
      </c>
      <c r="AE45" s="210">
        <f t="shared" si="251"/>
        <v>-9.6529744282851881E-2</v>
      </c>
      <c r="AF45" s="136">
        <f t="shared" si="251"/>
        <v>-0.16727002746071429</v>
      </c>
      <c r="AG45" s="136">
        <f t="shared" si="251"/>
        <v>0.5874033671991068</v>
      </c>
      <c r="AH45" s="136">
        <f t="shared" si="251"/>
        <v>0.35346076791902936</v>
      </c>
      <c r="AI45" s="136">
        <f t="shared" si="251"/>
        <v>0.94215234866278808</v>
      </c>
      <c r="AJ45" s="210">
        <f t="shared" si="251"/>
        <v>0.4169046249937538</v>
      </c>
      <c r="AK45" s="136">
        <f t="shared" si="251"/>
        <v>0.63022424575659497</v>
      </c>
      <c r="AL45" s="136">
        <f t="shared" si="251"/>
        <v>0.74655901336213826</v>
      </c>
      <c r="AM45" s="136">
        <f t="shared" si="251"/>
        <v>1.2672482158073008</v>
      </c>
      <c r="AN45" s="136">
        <f t="shared" si="251"/>
        <v>0.66265232592891254</v>
      </c>
      <c r="AO45" s="210">
        <f t="shared" si="251"/>
        <v>0.83677301408016747</v>
      </c>
      <c r="AP45" s="136">
        <f t="shared" si="251"/>
        <v>0.96866722444114961</v>
      </c>
      <c r="AQ45" s="136">
        <f t="shared" si="251"/>
        <v>0.14089196459756659</v>
      </c>
      <c r="AR45" s="136">
        <f t="shared" si="251"/>
        <v>-0.23413391905454928</v>
      </c>
      <c r="AS45" s="136">
        <f t="shared" si="251"/>
        <v>-7.8129672743365797E-2</v>
      </c>
      <c r="AT45" s="210">
        <f t="shared" si="251"/>
        <v>6.8653825734807494E-2</v>
      </c>
      <c r="AU45" s="136">
        <f t="shared" si="251"/>
        <v>-0.15507610787526083</v>
      </c>
      <c r="AV45" s="136">
        <f t="shared" si="251"/>
        <v>-0.35152696066291444</v>
      </c>
      <c r="AW45" s="136">
        <f t="shared" si="251"/>
        <v>-0.24368523193527625</v>
      </c>
      <c r="AX45" s="136">
        <f t="shared" si="251"/>
        <v>-0.52118555872811989</v>
      </c>
      <c r="AY45" s="210">
        <f t="shared" si="251"/>
        <v>-0.32077573290928818</v>
      </c>
      <c r="AZ45" s="136">
        <f t="shared" si="251"/>
        <v>-0.54331600378405875</v>
      </c>
      <c r="BA45" s="136">
        <f t="shared" si="251"/>
        <v>-0.68710463780785358</v>
      </c>
      <c r="BB45" s="136">
        <f t="shared" si="251"/>
        <v>-0.73038670045969867</v>
      </c>
      <c r="BC45" s="136">
        <f t="shared" si="251"/>
        <v>-0.37418604546920631</v>
      </c>
      <c r="BD45" s="210">
        <f t="shared" si="251"/>
        <v>-0.59617510981928246</v>
      </c>
      <c r="BE45" s="136">
        <f t="shared" si="251"/>
        <v>-0.11221464984730223</v>
      </c>
      <c r="BF45" s="136">
        <f t="shared" si="251"/>
        <v>1.426890355551369</v>
      </c>
      <c r="BG45" s="136">
        <f t="shared" si="251"/>
        <v>1.5001682828865723</v>
      </c>
      <c r="BH45" s="136">
        <f t="shared" si="251"/>
        <v>-1.8336562150249915</v>
      </c>
      <c r="BI45" s="210">
        <f t="shared" si="251"/>
        <v>-2.8397773734306631E-3</v>
      </c>
      <c r="BJ45" s="336">
        <f t="shared" si="251"/>
        <v>0.19202412080662068</v>
      </c>
      <c r="BK45" s="136">
        <f t="shared" si="251"/>
        <v>-0.35384455460541919</v>
      </c>
      <c r="BL45" s="136">
        <f t="shared" si="251"/>
        <v>-0.38733701884815552</v>
      </c>
      <c r="BM45" s="136">
        <f t="shared" si="251"/>
        <v>-1.5782489657170971</v>
      </c>
      <c r="BN45" s="210">
        <f t="shared" si="251"/>
        <v>8.6252546867581437E-2</v>
      </c>
      <c r="BO45" s="136">
        <f t="shared" si="251"/>
        <v>-0.76398091025651815</v>
      </c>
      <c r="BP45" s="136">
        <f t="shared" si="251"/>
        <v>-0.52051397740806582</v>
      </c>
      <c r="BQ45" s="136">
        <f t="shared" si="251"/>
        <v>-0.58034916536888392</v>
      </c>
      <c r="BR45" s="136">
        <f t="shared" si="251"/>
        <v>-0.7215439319063095</v>
      </c>
      <c r="BS45" s="210">
        <f t="shared" si="251"/>
        <v>-0.64515531218448585</v>
      </c>
      <c r="BT45" s="136">
        <f t="shared" ref="BT45:DB45" si="252">BT29/BO29-1</f>
        <v>-2.2249211727678571</v>
      </c>
      <c r="BU45" s="136">
        <f t="shared" si="252"/>
        <v>-1.5060695341145998</v>
      </c>
      <c r="BV45" s="136">
        <f t="shared" si="252"/>
        <v>-2.1316668665466372</v>
      </c>
      <c r="BW45" s="136">
        <f t="shared" si="252"/>
        <v>-6.7781401966988133</v>
      </c>
      <c r="BX45" s="210">
        <f t="shared" si="252"/>
        <v>-2.349715085842051</v>
      </c>
      <c r="BY45" s="136">
        <f t="shared" si="252"/>
        <v>2.3596138322473834</v>
      </c>
      <c r="BZ45" s="136">
        <f t="shared" si="252"/>
        <v>3.2333178198595114</v>
      </c>
      <c r="CA45" s="136">
        <f t="shared" si="252"/>
        <v>2.144952679299545</v>
      </c>
      <c r="CB45" s="136">
        <f t="shared" si="252"/>
        <v>1.2280631048101145</v>
      </c>
      <c r="CC45" s="210">
        <f t="shared" si="252"/>
        <v>1.9783126788338161</v>
      </c>
      <c r="CD45" s="136">
        <f t="shared" si="252"/>
        <v>0.74546322371855478</v>
      </c>
      <c r="CE45" s="136">
        <f t="shared" si="252"/>
        <v>0.88077232808483363</v>
      </c>
      <c r="CF45" s="136">
        <f t="shared" si="252"/>
        <v>0.73413439072363751</v>
      </c>
      <c r="CG45" s="136">
        <f t="shared" si="252"/>
        <v>0.62969443339220321</v>
      </c>
      <c r="CH45" s="210">
        <f t="shared" si="252"/>
        <v>0.73564135786738372</v>
      </c>
      <c r="CI45" s="136">
        <f t="shared" si="252"/>
        <v>0.41969061411611364</v>
      </c>
      <c r="CJ45" s="136">
        <f t="shared" si="252"/>
        <v>0.42335642734501899</v>
      </c>
      <c r="CK45" s="136">
        <f t="shared" si="252"/>
        <v>0.36423018958485565</v>
      </c>
      <c r="CL45" s="136">
        <f t="shared" si="252"/>
        <v>0.30360425045125861</v>
      </c>
      <c r="CM45" s="210">
        <f t="shared" si="252"/>
        <v>0.37372061102081955</v>
      </c>
      <c r="CN45" s="136">
        <f t="shared" si="252"/>
        <v>0.25098151535750635</v>
      </c>
      <c r="CO45" s="136">
        <f t="shared" si="252"/>
        <v>0.26581865732075438</v>
      </c>
      <c r="CP45" s="136">
        <f t="shared" si="252"/>
        <v>0.25196491863829129</v>
      </c>
      <c r="CQ45" s="136">
        <f t="shared" si="252"/>
        <v>0.23295656080474281</v>
      </c>
      <c r="CR45" s="210">
        <f t="shared" si="252"/>
        <v>0.24981341597782136</v>
      </c>
      <c r="CS45" s="136">
        <f t="shared" si="252"/>
        <v>0.20265321068584496</v>
      </c>
      <c r="CT45" s="136">
        <f t="shared" si="252"/>
        <v>0.21441407466219764</v>
      </c>
      <c r="CU45" s="136">
        <f t="shared" si="252"/>
        <v>0.20778787241639529</v>
      </c>
      <c r="CV45" s="136">
        <f t="shared" si="252"/>
        <v>0.19683351517783687</v>
      </c>
      <c r="CW45" s="210">
        <f t="shared" si="252"/>
        <v>0.20514558887227574</v>
      </c>
      <c r="CX45" s="136">
        <f t="shared" si="252"/>
        <v>0.13935592579315692</v>
      </c>
      <c r="CY45" s="136">
        <f t="shared" si="252"/>
        <v>0.13488638341108827</v>
      </c>
      <c r="CZ45" s="136">
        <f t="shared" si="252"/>
        <v>0.12078888819981315</v>
      </c>
      <c r="DA45" s="136">
        <f t="shared" si="252"/>
        <v>0.10592236025666746</v>
      </c>
      <c r="DB45" s="210">
        <f t="shared" si="252"/>
        <v>0.1248550935056163</v>
      </c>
    </row>
    <row r="46" spans="1:106" s="8" customFormat="1" ht="14.2" customHeight="1">
      <c r="A46" s="322"/>
      <c r="F46" s="191"/>
      <c r="K46" s="191"/>
      <c r="P46" s="191"/>
      <c r="U46" s="191"/>
      <c r="Z46" s="191"/>
      <c r="AE46" s="191"/>
      <c r="AJ46" s="191"/>
      <c r="AO46" s="191"/>
      <c r="AT46" s="191"/>
      <c r="AW46" s="106"/>
      <c r="AY46" s="191"/>
      <c r="BD46" s="191"/>
      <c r="BI46" s="191"/>
      <c r="BJ46" s="338"/>
      <c r="BN46" s="191"/>
      <c r="BS46" s="191"/>
      <c r="BX46" s="191"/>
      <c r="CC46" s="191"/>
      <c r="CH46" s="191"/>
      <c r="CM46" s="191"/>
      <c r="CR46" s="191"/>
      <c r="CW46" s="191"/>
      <c r="DB46" s="191"/>
    </row>
    <row r="47" spans="1:106" s="149" customFormat="1" ht="14.2" customHeight="1">
      <c r="A47" s="323" t="s">
        <v>466</v>
      </c>
      <c r="F47" s="192"/>
      <c r="K47" s="192"/>
      <c r="P47" s="192"/>
      <c r="U47" s="192"/>
      <c r="Z47" s="192"/>
      <c r="AE47" s="192"/>
      <c r="AJ47" s="192"/>
      <c r="AL47" s="150"/>
      <c r="AM47" s="150"/>
      <c r="AN47" s="150"/>
      <c r="AO47" s="192"/>
      <c r="AT47" s="192"/>
      <c r="AX47" s="151"/>
      <c r="AY47" s="199"/>
      <c r="BD47" s="192"/>
      <c r="BI47" s="192"/>
      <c r="BJ47" s="149">
        <f t="shared" ref="BJ47:BM47" si="253">BJ53*100</f>
        <v>-14.909105170359096</v>
      </c>
      <c r="BK47" s="149">
        <f t="shared" si="253"/>
        <v>-11.859305948028247</v>
      </c>
      <c r="BL47" s="149">
        <f t="shared" si="253"/>
        <v>-9.5984131454516195</v>
      </c>
      <c r="BM47" s="149">
        <f t="shared" si="253"/>
        <v>-5.2458713237045629</v>
      </c>
      <c r="BN47" s="192"/>
      <c r="BS47" s="192"/>
      <c r="BX47" s="192"/>
      <c r="CC47" s="192"/>
      <c r="CH47" s="192"/>
      <c r="CM47" s="192"/>
      <c r="CR47" s="192"/>
      <c r="CW47" s="192"/>
      <c r="DB47" s="192"/>
    </row>
    <row r="48" spans="1:106" s="207" customFormat="1" ht="14.2" customHeight="1">
      <c r="A48" s="318" t="s">
        <v>10</v>
      </c>
      <c r="B48" s="211">
        <f>B9/B$7</f>
        <v>0.41747572815533973</v>
      </c>
      <c r="C48" s="211">
        <f t="shared" ref="C48:BN48" si="254">C9/C$7</f>
        <v>0.46941622948989842</v>
      </c>
      <c r="D48" s="211">
        <f t="shared" si="254"/>
        <v>0.55007131434498857</v>
      </c>
      <c r="E48" s="211">
        <f t="shared" si="254"/>
        <v>0.54570603800817885</v>
      </c>
      <c r="F48" s="212">
        <f t="shared" si="254"/>
        <v>0.50783795491214079</v>
      </c>
      <c r="G48" s="211">
        <f t="shared" si="254"/>
        <v>0.4762727943501634</v>
      </c>
      <c r="H48" s="211">
        <f t="shared" si="254"/>
        <v>0.42928116752057138</v>
      </c>
      <c r="I48" s="211">
        <f t="shared" si="254"/>
        <v>0.32200975045079139</v>
      </c>
      <c r="J48" s="211">
        <f t="shared" si="254"/>
        <v>0.39873752645902621</v>
      </c>
      <c r="K48" s="212">
        <f t="shared" si="254"/>
        <v>0.40718657245672557</v>
      </c>
      <c r="L48" s="211">
        <f t="shared" si="254"/>
        <v>0.47756130658137053</v>
      </c>
      <c r="M48" s="211">
        <f t="shared" si="254"/>
        <v>0.40418205601723611</v>
      </c>
      <c r="N48" s="211">
        <f t="shared" si="254"/>
        <v>0.3642301768449962</v>
      </c>
      <c r="O48" s="211">
        <f t="shared" si="254"/>
        <v>0.22919328992474503</v>
      </c>
      <c r="P48" s="212">
        <f t="shared" si="254"/>
        <v>0.3754480039065019</v>
      </c>
      <c r="Q48" s="211">
        <f t="shared" si="254"/>
        <v>0.28146521396132279</v>
      </c>
      <c r="R48" s="211">
        <f t="shared" si="254"/>
        <v>0.3554469664472088</v>
      </c>
      <c r="S48" s="211">
        <f t="shared" si="254"/>
        <v>0.38908500423609144</v>
      </c>
      <c r="T48" s="211">
        <f t="shared" si="254"/>
        <v>0.3169348088905421</v>
      </c>
      <c r="U48" s="212">
        <f t="shared" si="254"/>
        <v>0.33821626157325102</v>
      </c>
      <c r="V48" s="211">
        <f t="shared" si="254"/>
        <v>0.34886108437600261</v>
      </c>
      <c r="W48" s="211">
        <f t="shared" si="254"/>
        <v>0.34999762165247594</v>
      </c>
      <c r="X48" s="211">
        <f t="shared" si="254"/>
        <v>0.36153492647058832</v>
      </c>
      <c r="Y48" s="211">
        <f t="shared" si="254"/>
        <v>0.3610244157395654</v>
      </c>
      <c r="Z48" s="212">
        <f t="shared" si="254"/>
        <v>0.35551165516545452</v>
      </c>
      <c r="AA48" s="211">
        <f t="shared" si="254"/>
        <v>0.35198431701185207</v>
      </c>
      <c r="AB48" s="211">
        <f t="shared" si="254"/>
        <v>0.41059780781386601</v>
      </c>
      <c r="AC48" s="211">
        <f t="shared" si="254"/>
        <v>0.43677880604294766</v>
      </c>
      <c r="AD48" s="211">
        <f t="shared" si="254"/>
        <v>0.46585776069197415</v>
      </c>
      <c r="AE48" s="212">
        <f t="shared" si="254"/>
        <v>0.41960387393823911</v>
      </c>
      <c r="AF48" s="211">
        <f t="shared" si="254"/>
        <v>0.52157171424924476</v>
      </c>
      <c r="AG48" s="211">
        <f t="shared" si="254"/>
        <v>0.45717688962901282</v>
      </c>
      <c r="AH48" s="211">
        <f t="shared" si="254"/>
        <v>0.47198475693630726</v>
      </c>
      <c r="AI48" s="211">
        <f t="shared" si="254"/>
        <v>0.46713769599031857</v>
      </c>
      <c r="AJ48" s="212">
        <f t="shared" si="254"/>
        <v>0.47923939591565323</v>
      </c>
      <c r="AK48" s="211">
        <f t="shared" si="254"/>
        <v>0.5613527140943827</v>
      </c>
      <c r="AL48" s="211">
        <f t="shared" si="254"/>
        <v>0.46409812287890945</v>
      </c>
      <c r="AM48" s="211">
        <f t="shared" si="254"/>
        <v>0.48537149940549984</v>
      </c>
      <c r="AN48" s="211">
        <f t="shared" si="254"/>
        <v>0.45603023788057423</v>
      </c>
      <c r="AO48" s="212">
        <f t="shared" si="254"/>
        <v>0.49092705512193718</v>
      </c>
      <c r="AP48" s="211">
        <f t="shared" si="254"/>
        <v>0.46832841402543618</v>
      </c>
      <c r="AQ48" s="211">
        <f t="shared" si="254"/>
        <v>0.44885469223007063</v>
      </c>
      <c r="AR48" s="211">
        <f t="shared" si="254"/>
        <v>0.44685881397855076</v>
      </c>
      <c r="AS48" s="211">
        <f t="shared" si="254"/>
        <v>0.41408134332480229</v>
      </c>
      <c r="AT48" s="212">
        <f t="shared" si="254"/>
        <v>0.44374084089429444</v>
      </c>
      <c r="AU48" s="211">
        <f t="shared" si="254"/>
        <v>0.38729959132348318</v>
      </c>
      <c r="AV48" s="211">
        <f t="shared" si="254"/>
        <v>0.45238404921118269</v>
      </c>
      <c r="AW48" s="211">
        <f t="shared" si="254"/>
        <v>0.45095897967246357</v>
      </c>
      <c r="AX48" s="211">
        <f t="shared" si="254"/>
        <v>0.51383937898780152</v>
      </c>
      <c r="AY48" s="212">
        <f t="shared" si="254"/>
        <v>0.45515721370699941</v>
      </c>
      <c r="AZ48" s="211">
        <f t="shared" si="254"/>
        <v>0.56724977633715035</v>
      </c>
      <c r="BA48" s="211">
        <f t="shared" si="254"/>
        <v>0.58829421000554005</v>
      </c>
      <c r="BB48" s="211">
        <f t="shared" si="254"/>
        <v>0.61794668886069148</v>
      </c>
      <c r="BC48" s="211">
        <f t="shared" si="254"/>
        <v>0.62941093683372529</v>
      </c>
      <c r="BD48" s="212">
        <f t="shared" si="254"/>
        <v>0.60295324857933041</v>
      </c>
      <c r="BE48" s="211">
        <f t="shared" si="254"/>
        <v>0.63121973576709245</v>
      </c>
      <c r="BF48" s="211">
        <f t="shared" si="254"/>
        <v>0.63410903768752291</v>
      </c>
      <c r="BG48" s="211">
        <f>BG9/BG$7</f>
        <v>0.649093270154665</v>
      </c>
      <c r="BH48" s="211">
        <f>BH9/BH$7</f>
        <v>0.6693148009015778</v>
      </c>
      <c r="BI48" s="212">
        <f t="shared" si="254"/>
        <v>0.64748778572429011</v>
      </c>
      <c r="BJ48" s="339">
        <f t="shared" si="254"/>
        <v>0.62621229989817107</v>
      </c>
      <c r="BK48" s="211">
        <f t="shared" si="254"/>
        <v>0.63159007854922311</v>
      </c>
      <c r="BL48" s="211">
        <f t="shared" si="254"/>
        <v>0.64893691282230437</v>
      </c>
      <c r="BM48" s="211">
        <f t="shared" si="254"/>
        <v>0.67170600953693205</v>
      </c>
      <c r="BN48" s="212">
        <f t="shared" si="254"/>
        <v>0.64554914661305851</v>
      </c>
      <c r="BO48" s="211">
        <f t="shared" ref="BO48:DB48" si="255">BO9/BO$7</f>
        <v>0.64887916009890934</v>
      </c>
      <c r="BP48" s="211">
        <f t="shared" si="255"/>
        <v>0.646713875920362</v>
      </c>
      <c r="BQ48" s="211">
        <f t="shared" si="255"/>
        <v>0.65790158707391166</v>
      </c>
      <c r="BR48" s="211">
        <f t="shared" si="255"/>
        <v>0.67801999667223711</v>
      </c>
      <c r="BS48" s="212">
        <f t="shared" si="255"/>
        <v>0.65820370023926222</v>
      </c>
      <c r="BT48" s="211">
        <f t="shared" si="255"/>
        <v>0.66449200936304731</v>
      </c>
      <c r="BU48" s="211">
        <f t="shared" si="255"/>
        <v>0.66144595449410981</v>
      </c>
      <c r="BV48" s="211">
        <f t="shared" si="255"/>
        <v>0.67343940540456382</v>
      </c>
      <c r="BW48" s="211">
        <f t="shared" si="255"/>
        <v>0.69273680603725429</v>
      </c>
      <c r="BX48" s="212">
        <f t="shared" si="255"/>
        <v>0.67335038300994765</v>
      </c>
      <c r="BY48" s="211">
        <f t="shared" si="255"/>
        <v>0.67726741852583205</v>
      </c>
      <c r="BZ48" s="211">
        <f t="shared" si="255"/>
        <v>0.67429171839307467</v>
      </c>
      <c r="CA48" s="211">
        <f t="shared" si="255"/>
        <v>0.68502540509315746</v>
      </c>
      <c r="CB48" s="211">
        <f t="shared" si="255"/>
        <v>0.70335989035985902</v>
      </c>
      <c r="CC48" s="212">
        <f t="shared" si="255"/>
        <v>0.6852578799099186</v>
      </c>
      <c r="CD48" s="211">
        <f t="shared" si="255"/>
        <v>0.68887998497922298</v>
      </c>
      <c r="CE48" s="211">
        <f t="shared" si="255"/>
        <v>0.68572236014463706</v>
      </c>
      <c r="CF48" s="211">
        <f t="shared" si="255"/>
        <v>0.69581451336600197</v>
      </c>
      <c r="CG48" s="211">
        <f t="shared" si="255"/>
        <v>0.71337250558774168</v>
      </c>
      <c r="CH48" s="212">
        <f t="shared" si="255"/>
        <v>0.69619065408571601</v>
      </c>
      <c r="CI48" s="211">
        <f t="shared" si="255"/>
        <v>0.69779377318872815</v>
      </c>
      <c r="CJ48" s="211">
        <f t="shared" si="255"/>
        <v>0.693826174820387</v>
      </c>
      <c r="CK48" s="211">
        <f t="shared" si="255"/>
        <v>0.70301169020855692</v>
      </c>
      <c r="CL48" s="211">
        <f t="shared" si="255"/>
        <v>0.71951639380569399</v>
      </c>
      <c r="CM48" s="212">
        <f t="shared" si="255"/>
        <v>0.70371006021649429</v>
      </c>
      <c r="CN48" s="211">
        <f t="shared" si="255"/>
        <v>0.70455469842522211</v>
      </c>
      <c r="CO48" s="211">
        <f t="shared" si="255"/>
        <v>0.70032664946254752</v>
      </c>
      <c r="CP48" s="211">
        <f t="shared" si="255"/>
        <v>0.70924559908259155</v>
      </c>
      <c r="CQ48" s="211">
        <f t="shared" si="255"/>
        <v>0.72519855082886875</v>
      </c>
      <c r="CR48" s="212">
        <f t="shared" si="255"/>
        <v>0.70998636798750914</v>
      </c>
      <c r="CS48" s="211">
        <f t="shared" si="255"/>
        <v>0.71085130170143918</v>
      </c>
      <c r="CT48" s="211">
        <f t="shared" si="255"/>
        <v>0.70649913070711412</v>
      </c>
      <c r="CU48" s="211">
        <f t="shared" si="255"/>
        <v>0.71522583336858669</v>
      </c>
      <c r="CV48" s="211">
        <f t="shared" si="255"/>
        <v>0.73075010204925894</v>
      </c>
      <c r="CW48" s="212">
        <f t="shared" si="255"/>
        <v>0.71597674020014768</v>
      </c>
      <c r="CX48" s="211">
        <f t="shared" si="255"/>
        <v>0.71498168052745026</v>
      </c>
      <c r="CY48" s="211">
        <f t="shared" si="255"/>
        <v>0.7101125490365251</v>
      </c>
      <c r="CZ48" s="211">
        <f t="shared" si="255"/>
        <v>0.71840025644192673</v>
      </c>
      <c r="DA48" s="211">
        <f t="shared" si="255"/>
        <v>0.73335240340792707</v>
      </c>
      <c r="DB48" s="212">
        <f t="shared" si="255"/>
        <v>0.71932385152125544</v>
      </c>
    </row>
    <row r="49" spans="1:106" s="61" customFormat="1" ht="14.2" customHeight="1">
      <c r="A49" s="319" t="s">
        <v>480</v>
      </c>
      <c r="B49" s="183" t="s">
        <v>290</v>
      </c>
      <c r="C49" s="183" t="s">
        <v>290</v>
      </c>
      <c r="D49" s="183" t="s">
        <v>290</v>
      </c>
      <c r="E49" s="183" t="s">
        <v>290</v>
      </c>
      <c r="F49" s="189" t="s">
        <v>290</v>
      </c>
      <c r="G49" s="184">
        <f>+(G48-B48)*10000</f>
        <v>587.97066194823662</v>
      </c>
      <c r="H49" s="184">
        <f t="shared" ref="H49:BS49" si="256">+(H48-C48)*10000</f>
        <v>-401.35061969327035</v>
      </c>
      <c r="I49" s="184">
        <f t="shared" si="256"/>
        <v>-2280.6156389419716</v>
      </c>
      <c r="J49" s="184">
        <f t="shared" si="256"/>
        <v>-1469.6851154915264</v>
      </c>
      <c r="K49" s="282">
        <f t="shared" si="256"/>
        <v>-1006.5138245541522</v>
      </c>
      <c r="L49" s="184">
        <f t="shared" si="256"/>
        <v>12.885122312071285</v>
      </c>
      <c r="M49" s="184">
        <f t="shared" si="256"/>
        <v>-250.99111503335268</v>
      </c>
      <c r="N49" s="184">
        <f t="shared" si="256"/>
        <v>422.20426394204816</v>
      </c>
      <c r="O49" s="184">
        <f t="shared" si="256"/>
        <v>-1695.4423653428119</v>
      </c>
      <c r="P49" s="282">
        <f t="shared" si="256"/>
        <v>-317.3856855022367</v>
      </c>
      <c r="Q49" s="184">
        <f t="shared" si="256"/>
        <v>-1960.9609262004774</v>
      </c>
      <c r="R49" s="184">
        <f t="shared" si="256"/>
        <v>-487.3508957002731</v>
      </c>
      <c r="S49" s="184">
        <f t="shared" si="256"/>
        <v>248.54827391095236</v>
      </c>
      <c r="T49" s="184">
        <f t="shared" si="256"/>
        <v>877.4151896579707</v>
      </c>
      <c r="U49" s="282">
        <f t="shared" si="256"/>
        <v>-372.31742333250884</v>
      </c>
      <c r="V49" s="184">
        <f t="shared" si="256"/>
        <v>673.95870414679814</v>
      </c>
      <c r="W49" s="184">
        <f t="shared" si="256"/>
        <v>-54.493447947328576</v>
      </c>
      <c r="X49" s="184">
        <f t="shared" si="256"/>
        <v>-275.50077765503113</v>
      </c>
      <c r="Y49" s="184">
        <f t="shared" si="256"/>
        <v>440.89606849023301</v>
      </c>
      <c r="Z49" s="282">
        <f t="shared" si="256"/>
        <v>172.95393592203501</v>
      </c>
      <c r="AA49" s="184">
        <f t="shared" si="256"/>
        <v>31.2323263584946</v>
      </c>
      <c r="AB49" s="184">
        <f t="shared" si="256"/>
        <v>606.0018616139007</v>
      </c>
      <c r="AC49" s="184">
        <f t="shared" si="256"/>
        <v>752.43879572359344</v>
      </c>
      <c r="AD49" s="184">
        <f t="shared" si="256"/>
        <v>1048.3334495240877</v>
      </c>
      <c r="AE49" s="282">
        <f t="shared" si="256"/>
        <v>640.92218772784588</v>
      </c>
      <c r="AF49" s="184">
        <f t="shared" si="256"/>
        <v>1695.8739723739268</v>
      </c>
      <c r="AG49" s="184">
        <f t="shared" si="256"/>
        <v>465.79081815146805</v>
      </c>
      <c r="AH49" s="184">
        <f t="shared" si="256"/>
        <v>352.05950893359596</v>
      </c>
      <c r="AI49" s="184">
        <f t="shared" si="256"/>
        <v>12.799352983444145</v>
      </c>
      <c r="AJ49" s="282">
        <f t="shared" si="256"/>
        <v>596.35521977414123</v>
      </c>
      <c r="AK49" s="184">
        <f t="shared" si="256"/>
        <v>397.80999845137944</v>
      </c>
      <c r="AL49" s="184">
        <f t="shared" si="256"/>
        <v>69.212332498966305</v>
      </c>
      <c r="AM49" s="184">
        <f t="shared" si="256"/>
        <v>133.86742469192581</v>
      </c>
      <c r="AN49" s="184">
        <f t="shared" si="256"/>
        <v>-111.0745810974434</v>
      </c>
      <c r="AO49" s="282">
        <f t="shared" si="256"/>
        <v>116.87659206283951</v>
      </c>
      <c r="AP49" s="184">
        <f t="shared" si="256"/>
        <v>-930.24300068946525</v>
      </c>
      <c r="AQ49" s="184">
        <f t="shared" si="256"/>
        <v>-152.43430648838819</v>
      </c>
      <c r="AR49" s="184">
        <f t="shared" si="256"/>
        <v>-385.12685426949076</v>
      </c>
      <c r="AS49" s="184">
        <f t="shared" si="256"/>
        <v>-419.48894555771943</v>
      </c>
      <c r="AT49" s="282">
        <f t="shared" si="256"/>
        <v>-471.86214227642745</v>
      </c>
      <c r="AU49" s="184">
        <f t="shared" si="256"/>
        <v>-810.28822701952993</v>
      </c>
      <c r="AV49" s="184">
        <f t="shared" si="256"/>
        <v>35.293569811120641</v>
      </c>
      <c r="AW49" s="184">
        <f t="shared" si="256"/>
        <v>41.001656939128054</v>
      </c>
      <c r="AX49" s="184">
        <f t="shared" si="256"/>
        <v>997.58035662999237</v>
      </c>
      <c r="AY49" s="282">
        <f t="shared" si="256"/>
        <v>114.16372812704967</v>
      </c>
      <c r="AZ49" s="184">
        <f t="shared" si="256"/>
        <v>1799.5018501366717</v>
      </c>
      <c r="BA49" s="184">
        <f t="shared" si="256"/>
        <v>1359.1016079435735</v>
      </c>
      <c r="BB49" s="184">
        <f t="shared" si="256"/>
        <v>1669.8770918822793</v>
      </c>
      <c r="BC49" s="184">
        <f t="shared" si="256"/>
        <v>1155.7155784592376</v>
      </c>
      <c r="BD49" s="282">
        <f t="shared" si="256"/>
        <v>1477.9603487233101</v>
      </c>
      <c r="BE49" s="184">
        <f t="shared" si="256"/>
        <v>639.69959429942105</v>
      </c>
      <c r="BF49" s="184">
        <f t="shared" si="256"/>
        <v>458.1482768198286</v>
      </c>
      <c r="BG49" s="184">
        <f t="shared" si="256"/>
        <v>311.4658129397352</v>
      </c>
      <c r="BH49" s="184">
        <f t="shared" si="256"/>
        <v>399.0386406785251</v>
      </c>
      <c r="BI49" s="282">
        <f t="shared" si="256"/>
        <v>445.34537144959694</v>
      </c>
      <c r="BJ49" s="340">
        <f t="shared" si="256"/>
        <v>-50.074358689213838</v>
      </c>
      <c r="BK49" s="184">
        <f t="shared" si="256"/>
        <v>-25.189591382998032</v>
      </c>
      <c r="BL49" s="184">
        <f t="shared" si="256"/>
        <v>-1.5635733236063487</v>
      </c>
      <c r="BM49" s="184">
        <f t="shared" si="256"/>
        <v>23.91208635354247</v>
      </c>
      <c r="BN49" s="282">
        <f t="shared" si="256"/>
        <v>-19.386391112315991</v>
      </c>
      <c r="BO49" s="184">
        <f t="shared" si="256"/>
        <v>226.6686020073827</v>
      </c>
      <c r="BP49" s="184">
        <f t="shared" si="256"/>
        <v>151.23797371138892</v>
      </c>
      <c r="BQ49" s="184">
        <f t="shared" si="256"/>
        <v>89.646742516072962</v>
      </c>
      <c r="BR49" s="184">
        <f t="shared" si="256"/>
        <v>63.139871353050658</v>
      </c>
      <c r="BS49" s="282">
        <f t="shared" si="256"/>
        <v>126.54553626203713</v>
      </c>
      <c r="BT49" s="184">
        <f t="shared" ref="BT49:DB49" si="257">+(BT48-BO48)*10000</f>
        <v>156.12849264137972</v>
      </c>
      <c r="BU49" s="184">
        <f t="shared" si="257"/>
        <v>147.32078573747808</v>
      </c>
      <c r="BV49" s="184">
        <f t="shared" si="257"/>
        <v>155.37818330652152</v>
      </c>
      <c r="BW49" s="184">
        <f t="shared" si="257"/>
        <v>147.16809365017181</v>
      </c>
      <c r="BX49" s="282">
        <f t="shared" si="257"/>
        <v>151.46682770685427</v>
      </c>
      <c r="BY49" s="184">
        <f t="shared" si="257"/>
        <v>127.75409162784746</v>
      </c>
      <c r="BZ49" s="184">
        <f t="shared" si="257"/>
        <v>128.45763898964856</v>
      </c>
      <c r="CA49" s="184">
        <f t="shared" si="257"/>
        <v>115.8599968859364</v>
      </c>
      <c r="CB49" s="184">
        <f t="shared" si="257"/>
        <v>106.23084322604726</v>
      </c>
      <c r="CC49" s="282">
        <f t="shared" si="257"/>
        <v>119.07496899970948</v>
      </c>
      <c r="CD49" s="184">
        <f t="shared" si="257"/>
        <v>116.12566453390927</v>
      </c>
      <c r="CE49" s="184">
        <f t="shared" si="257"/>
        <v>114.30641751562388</v>
      </c>
      <c r="CF49" s="184">
        <f t="shared" si="257"/>
        <v>107.89108272844517</v>
      </c>
      <c r="CG49" s="184">
        <f t="shared" si="257"/>
        <v>100.12615227882659</v>
      </c>
      <c r="CH49" s="282">
        <f t="shared" si="257"/>
        <v>109.32774175797411</v>
      </c>
      <c r="CI49" s="184">
        <f t="shared" si="257"/>
        <v>89.137882095051694</v>
      </c>
      <c r="CJ49" s="184">
        <f t="shared" si="257"/>
        <v>81.038146757499433</v>
      </c>
      <c r="CK49" s="184">
        <f t="shared" si="257"/>
        <v>71.971768425549413</v>
      </c>
      <c r="CL49" s="184">
        <f t="shared" si="257"/>
        <v>61.438882179523091</v>
      </c>
      <c r="CM49" s="282">
        <f t="shared" si="257"/>
        <v>75.194061307782832</v>
      </c>
      <c r="CN49" s="184">
        <f t="shared" si="257"/>
        <v>67.609252364939636</v>
      </c>
      <c r="CO49" s="184">
        <f t="shared" si="257"/>
        <v>65.004746421605248</v>
      </c>
      <c r="CP49" s="184">
        <f t="shared" si="257"/>
        <v>62.339088740346327</v>
      </c>
      <c r="CQ49" s="184">
        <f t="shared" si="257"/>
        <v>56.821570231747607</v>
      </c>
      <c r="CR49" s="282">
        <f t="shared" si="257"/>
        <v>62.763077710148437</v>
      </c>
      <c r="CS49" s="184">
        <f t="shared" si="257"/>
        <v>62.966032762170613</v>
      </c>
      <c r="CT49" s="184">
        <f t="shared" si="257"/>
        <v>61.724812445665968</v>
      </c>
      <c r="CU49" s="184">
        <f t="shared" si="257"/>
        <v>59.802342859951452</v>
      </c>
      <c r="CV49" s="184">
        <f t="shared" si="257"/>
        <v>55.515512203901942</v>
      </c>
      <c r="CW49" s="282">
        <f t="shared" si="257"/>
        <v>59.903722126385397</v>
      </c>
      <c r="CX49" s="184">
        <f t="shared" si="257"/>
        <v>41.303788260110828</v>
      </c>
      <c r="CY49" s="184">
        <f t="shared" si="257"/>
        <v>36.134183294109775</v>
      </c>
      <c r="CZ49" s="184">
        <f t="shared" si="257"/>
        <v>31.744230733400379</v>
      </c>
      <c r="DA49" s="184">
        <f t="shared" si="257"/>
        <v>26.023013586681245</v>
      </c>
      <c r="DB49" s="282">
        <f t="shared" si="257"/>
        <v>33.47111321107765</v>
      </c>
    </row>
    <row r="50" spans="1:106" s="61" customFormat="1" ht="14.2" customHeight="1" collapsed="1">
      <c r="A50" s="319" t="s">
        <v>149</v>
      </c>
      <c r="B50" s="182">
        <f>B10/B$7</f>
        <v>0.15746473713134274</v>
      </c>
      <c r="C50" s="182">
        <f t="shared" ref="C50:BN50" si="258">C10/C$7</f>
        <v>0.11502399821408639</v>
      </c>
      <c r="D50" s="182">
        <f t="shared" si="258"/>
        <v>9.4480701906037939E-2</v>
      </c>
      <c r="E50" s="182">
        <f t="shared" si="258"/>
        <v>9.0209285542458564E-2</v>
      </c>
      <c r="F50" s="193">
        <f t="shared" si="258"/>
        <v>0.10855740195493727</v>
      </c>
      <c r="G50" s="182">
        <f t="shared" si="258"/>
        <v>0.11868873194898281</v>
      </c>
      <c r="H50" s="182">
        <f t="shared" si="258"/>
        <v>0.14951094550535629</v>
      </c>
      <c r="I50" s="182">
        <f t="shared" si="258"/>
        <v>0.16330892010418291</v>
      </c>
      <c r="J50" s="182">
        <f t="shared" si="258"/>
        <v>0.15127003326277594</v>
      </c>
      <c r="K50" s="193">
        <f t="shared" si="258"/>
        <v>0.14557537233064538</v>
      </c>
      <c r="L50" s="182">
        <f t="shared" si="258"/>
        <v>0.14149785144260282</v>
      </c>
      <c r="M50" s="182">
        <f t="shared" si="258"/>
        <v>0.1981186518928901</v>
      </c>
      <c r="N50" s="182">
        <f t="shared" si="258"/>
        <v>0.21052533912301211</v>
      </c>
      <c r="O50" s="182">
        <f t="shared" si="258"/>
        <v>0.23243879186190392</v>
      </c>
      <c r="P50" s="193">
        <f t="shared" si="258"/>
        <v>0.19284667901268693</v>
      </c>
      <c r="Q50" s="182">
        <f t="shared" si="258"/>
        <v>0.26971706360205538</v>
      </c>
      <c r="R50" s="182">
        <f t="shared" si="258"/>
        <v>0.21981834119775445</v>
      </c>
      <c r="S50" s="182">
        <f t="shared" si="258"/>
        <v>0.22255365715899464</v>
      </c>
      <c r="T50" s="182">
        <f t="shared" si="258"/>
        <v>0.24214637775504513</v>
      </c>
      <c r="U50" s="193">
        <f t="shared" si="258"/>
        <v>0.23733875670217458</v>
      </c>
      <c r="V50" s="182">
        <f t="shared" si="258"/>
        <v>0.23002887391722809</v>
      </c>
      <c r="W50" s="182">
        <f t="shared" si="258"/>
        <v>0.18792116570739983</v>
      </c>
      <c r="X50" s="182">
        <f t="shared" si="258"/>
        <v>0.18984375000000001</v>
      </c>
      <c r="Y50" s="182">
        <f t="shared" si="258"/>
        <v>0.19069663256925259</v>
      </c>
      <c r="Z50" s="193">
        <f t="shared" si="258"/>
        <v>0.19931768961475466</v>
      </c>
      <c r="AA50" s="182">
        <f t="shared" si="258"/>
        <v>0.17112115407637976</v>
      </c>
      <c r="AB50" s="182">
        <f t="shared" si="258"/>
        <v>0.16305561159303342</v>
      </c>
      <c r="AC50" s="182">
        <f t="shared" si="258"/>
        <v>0.16424289876650963</v>
      </c>
      <c r="AD50" s="182">
        <f t="shared" si="258"/>
        <v>0.18022585295530999</v>
      </c>
      <c r="AE50" s="193">
        <f t="shared" si="258"/>
        <v>0.16987179487179488</v>
      </c>
      <c r="AF50" s="182">
        <f t="shared" si="258"/>
        <v>0.19385823086414503</v>
      </c>
      <c r="AG50" s="182">
        <f t="shared" si="258"/>
        <v>0.266039874178925</v>
      </c>
      <c r="AH50" s="182">
        <f t="shared" si="258"/>
        <v>0.26920921512486878</v>
      </c>
      <c r="AI50" s="182">
        <f t="shared" si="258"/>
        <v>0.28817028243962317</v>
      </c>
      <c r="AJ50" s="193">
        <f t="shared" si="258"/>
        <v>0.25584071814938425</v>
      </c>
      <c r="AK50" s="182">
        <f t="shared" si="258"/>
        <v>0.26384621444890888</v>
      </c>
      <c r="AL50" s="182">
        <f t="shared" si="258"/>
        <v>0.37846591469167618</v>
      </c>
      <c r="AM50" s="182">
        <f t="shared" si="258"/>
        <v>0.6226884059804193</v>
      </c>
      <c r="AN50" s="182">
        <f t="shared" si="258"/>
        <v>0.4150253138220405</v>
      </c>
      <c r="AO50" s="193">
        <f t="shared" si="258"/>
        <v>0.42240433838647073</v>
      </c>
      <c r="AP50" s="182">
        <f t="shared" si="258"/>
        <v>0.41422117826438576</v>
      </c>
      <c r="AQ50" s="182">
        <f t="shared" si="258"/>
        <v>0.41664984863773968</v>
      </c>
      <c r="AR50" s="182">
        <f t="shared" si="258"/>
        <v>0.31100898702507157</v>
      </c>
      <c r="AS50" s="182">
        <f t="shared" si="258"/>
        <v>0.40464989965569947</v>
      </c>
      <c r="AT50" s="193">
        <f t="shared" si="258"/>
        <v>0.38576751172243617</v>
      </c>
      <c r="AU50" s="182">
        <f t="shared" si="258"/>
        <v>0.34045070236105823</v>
      </c>
      <c r="AV50" s="182">
        <f t="shared" si="258"/>
        <v>0.29905051185138715</v>
      </c>
      <c r="AW50" s="182">
        <f t="shared" si="258"/>
        <v>0.28786162068682775</v>
      </c>
      <c r="AX50" s="182">
        <f t="shared" si="258"/>
        <v>0.26667523826360873</v>
      </c>
      <c r="AY50" s="193">
        <f t="shared" si="258"/>
        <v>0.2962189085057701</v>
      </c>
      <c r="AZ50" s="182">
        <f t="shared" si="258"/>
        <v>0.24103105174565795</v>
      </c>
      <c r="BA50" s="182">
        <f t="shared" si="258"/>
        <v>0.21557707614110042</v>
      </c>
      <c r="BB50" s="182">
        <f t="shared" si="258"/>
        <v>0.22041895769946199</v>
      </c>
      <c r="BC50" s="182">
        <f t="shared" si="258"/>
        <v>0.27194204104095898</v>
      </c>
      <c r="BD50" s="193">
        <f t="shared" si="258"/>
        <v>0.23816098781845363</v>
      </c>
      <c r="BE50" s="182">
        <f t="shared" si="258"/>
        <v>0.25721459458382323</v>
      </c>
      <c r="BF50" s="182">
        <f t="shared" si="258"/>
        <v>0.26788693743139402</v>
      </c>
      <c r="BG50" s="182">
        <f t="shared" si="258"/>
        <v>0.29283515399800403</v>
      </c>
      <c r="BH50" s="182">
        <f t="shared" si="258"/>
        <v>0.26325018782870024</v>
      </c>
      <c r="BI50" s="193">
        <f t="shared" si="258"/>
        <v>0.27063287878781306</v>
      </c>
      <c r="BJ50" s="341">
        <f t="shared" si="258"/>
        <v>0.32115076070533238</v>
      </c>
      <c r="BK50" s="182">
        <f t="shared" si="258"/>
        <v>0.30437758469229936</v>
      </c>
      <c r="BL50" s="182">
        <f t="shared" si="258"/>
        <v>0.30151566077871306</v>
      </c>
      <c r="BM50" s="182">
        <f t="shared" si="258"/>
        <v>0.29078429022584429</v>
      </c>
      <c r="BN50" s="193">
        <f t="shared" si="258"/>
        <v>0.30388171287830024</v>
      </c>
      <c r="BO50" s="182">
        <f t="shared" ref="BO50:DB50" si="259">BO10/BO$7</f>
        <v>0.28317316363735789</v>
      </c>
      <c r="BP50" s="182">
        <f t="shared" si="259"/>
        <v>0.28283151831250597</v>
      </c>
      <c r="BQ50" s="182">
        <f t="shared" si="259"/>
        <v>0.28120124773690364</v>
      </c>
      <c r="BR50" s="182">
        <f t="shared" si="259"/>
        <v>0.27882578686636222</v>
      </c>
      <c r="BS50" s="193">
        <f t="shared" si="259"/>
        <v>0.28146182078872151</v>
      </c>
      <c r="BT50" s="182">
        <f t="shared" si="259"/>
        <v>0.26580626242191291</v>
      </c>
      <c r="BU50" s="182">
        <f t="shared" si="259"/>
        <v>0.26306093010490056</v>
      </c>
      <c r="BV50" s="182">
        <f t="shared" si="259"/>
        <v>0.2628487925023944</v>
      </c>
      <c r="BW50" s="182">
        <f t="shared" si="259"/>
        <v>0.26032568821801427</v>
      </c>
      <c r="BX50" s="193">
        <f t="shared" si="259"/>
        <v>0.2629616390227657</v>
      </c>
      <c r="BY50" s="182">
        <f t="shared" si="259"/>
        <v>0.24739539885866768</v>
      </c>
      <c r="BZ50" s="182">
        <f t="shared" si="259"/>
        <v>0.24640529293757629</v>
      </c>
      <c r="CA50" s="182">
        <f t="shared" si="259"/>
        <v>0.24551206989034874</v>
      </c>
      <c r="CB50" s="182">
        <f t="shared" si="259"/>
        <v>0.2444924038988803</v>
      </c>
      <c r="CC50" s="193">
        <f t="shared" si="259"/>
        <v>0.24592526708459103</v>
      </c>
      <c r="CD50" s="182">
        <f t="shared" si="259"/>
        <v>0.23211978801776001</v>
      </c>
      <c r="CE50" s="182">
        <f t="shared" si="259"/>
        <v>0.23076540376592874</v>
      </c>
      <c r="CF50" s="182">
        <f t="shared" si="259"/>
        <v>0.23082425247488053</v>
      </c>
      <c r="CG50" s="182">
        <f t="shared" si="259"/>
        <v>0.22982159104406114</v>
      </c>
      <c r="CH50" s="193">
        <f t="shared" si="259"/>
        <v>0.23086629710150666</v>
      </c>
      <c r="CI50" s="182">
        <f t="shared" si="259"/>
        <v>0.22094431681318508</v>
      </c>
      <c r="CJ50" s="182">
        <f t="shared" si="259"/>
        <v>0.22049794697547356</v>
      </c>
      <c r="CK50" s="182">
        <f t="shared" si="259"/>
        <v>0.22175842604020829</v>
      </c>
      <c r="CL50" s="182">
        <f t="shared" si="259"/>
        <v>0.22184696815804905</v>
      </c>
      <c r="CM50" s="193">
        <f t="shared" si="259"/>
        <v>0.22127140427443867</v>
      </c>
      <c r="CN50" s="182">
        <f t="shared" si="259"/>
        <v>0.21385780419594319</v>
      </c>
      <c r="CO50" s="182">
        <f t="shared" si="259"/>
        <v>0.21346679502328142</v>
      </c>
      <c r="CP50" s="182">
        <f t="shared" si="259"/>
        <v>0.21504740848884799</v>
      </c>
      <c r="CQ50" s="182">
        <f t="shared" si="259"/>
        <v>0.21537262592664261</v>
      </c>
      <c r="CR50" s="193">
        <f t="shared" si="259"/>
        <v>0.21444933931759394</v>
      </c>
      <c r="CS50" s="182">
        <f t="shared" si="259"/>
        <v>0.20801312262350252</v>
      </c>
      <c r="CT50" s="182">
        <f t="shared" si="259"/>
        <v>0.20757528458362934</v>
      </c>
      <c r="CU50" s="182">
        <f t="shared" si="259"/>
        <v>0.20930080523402114</v>
      </c>
      <c r="CV50" s="182">
        <f t="shared" si="259"/>
        <v>0.20973689155726946</v>
      </c>
      <c r="CW50" s="193">
        <f t="shared" si="259"/>
        <v>0.20867088098378481</v>
      </c>
      <c r="CX50" s="182">
        <f t="shared" si="259"/>
        <v>0.2046128796723371</v>
      </c>
      <c r="CY50" s="182">
        <f t="shared" si="259"/>
        <v>0.20467068208379544</v>
      </c>
      <c r="CZ50" s="182">
        <f t="shared" si="259"/>
        <v>0.2070528136871278</v>
      </c>
      <c r="DA50" s="182">
        <f t="shared" si="259"/>
        <v>0.20808384627890242</v>
      </c>
      <c r="DB50" s="193">
        <f t="shared" si="259"/>
        <v>0.20612551590531383</v>
      </c>
    </row>
    <row r="51" spans="1:106" s="61" customFormat="1" ht="14.2" customHeight="1" collapsed="1">
      <c r="A51" s="319" t="str">
        <f>A11</f>
        <v>Selling, General &amp; Administrative</v>
      </c>
      <c r="B51" s="182">
        <f>B11/B$7</f>
        <v>0.52679978017952012</v>
      </c>
      <c r="C51" s="182">
        <f t="shared" ref="C51:BN51" si="260">C11/C$7</f>
        <v>0.3880176358968635</v>
      </c>
      <c r="D51" s="182">
        <f t="shared" si="260"/>
        <v>0.35231447465099192</v>
      </c>
      <c r="E51" s="182">
        <f t="shared" si="260"/>
        <v>0.36783337342634914</v>
      </c>
      <c r="F51" s="193">
        <f t="shared" si="260"/>
        <v>0.39510575118181424</v>
      </c>
      <c r="G51" s="182">
        <f t="shared" si="260"/>
        <v>0.48991251185833246</v>
      </c>
      <c r="H51" s="182">
        <f t="shared" si="260"/>
        <v>0.62292900392574346</v>
      </c>
      <c r="I51" s="182">
        <f t="shared" si="260"/>
        <v>0.62042251953429361</v>
      </c>
      <c r="J51" s="182">
        <f t="shared" si="260"/>
        <v>0.57533262775929861</v>
      </c>
      <c r="K51" s="193">
        <f t="shared" si="260"/>
        <v>0.57596070499855534</v>
      </c>
      <c r="L51" s="182">
        <f t="shared" si="260"/>
        <v>0.49122807017543862</v>
      </c>
      <c r="M51" s="182">
        <f t="shared" si="260"/>
        <v>0.63917743921206516</v>
      </c>
      <c r="N51" s="182">
        <f t="shared" si="260"/>
        <v>0.64833268385013643</v>
      </c>
      <c r="O51" s="182">
        <f t="shared" si="260"/>
        <v>0.76173958903831707</v>
      </c>
      <c r="P51" s="193">
        <f t="shared" si="260"/>
        <v>0.6270949077273188</v>
      </c>
      <c r="Q51" s="182">
        <f t="shared" si="260"/>
        <v>0.80130487622865176</v>
      </c>
      <c r="R51" s="182">
        <f t="shared" si="260"/>
        <v>0.63989033328981482</v>
      </c>
      <c r="S51" s="182">
        <f t="shared" si="260"/>
        <v>0.60854984467664508</v>
      </c>
      <c r="T51" s="182">
        <f t="shared" si="260"/>
        <v>0.91020180414768015</v>
      </c>
      <c r="U51" s="193">
        <f t="shared" si="260"/>
        <v>0.7362602458530666</v>
      </c>
      <c r="V51" s="182">
        <f t="shared" si="260"/>
        <v>0.60835739493102337</v>
      </c>
      <c r="W51" s="182">
        <f t="shared" si="260"/>
        <v>0.5936355420254007</v>
      </c>
      <c r="X51" s="182">
        <f t="shared" si="260"/>
        <v>0.58783700980392162</v>
      </c>
      <c r="Y51" s="182">
        <f t="shared" si="260"/>
        <v>0.61424624804002126</v>
      </c>
      <c r="Z51" s="193">
        <f t="shared" si="260"/>
        <v>0.6010851762441104</v>
      </c>
      <c r="AA51" s="182">
        <f t="shared" si="260"/>
        <v>0.6559320004788699</v>
      </c>
      <c r="AB51" s="182">
        <f t="shared" si="260"/>
        <v>0.63266760809629474</v>
      </c>
      <c r="AC51" s="182">
        <f t="shared" si="260"/>
        <v>0.72796467673824594</v>
      </c>
      <c r="AD51" s="182">
        <f t="shared" si="260"/>
        <v>0.70383229216722754</v>
      </c>
      <c r="AE51" s="193">
        <f t="shared" si="260"/>
        <v>0.6819613135402609</v>
      </c>
      <c r="AF51" s="182">
        <f t="shared" si="260"/>
        <v>0.69864485384844488</v>
      </c>
      <c r="AG51" s="182">
        <f t="shared" si="260"/>
        <v>0.78855583310204469</v>
      </c>
      <c r="AH51" s="182">
        <f t="shared" si="260"/>
        <v>0.77109931426591805</v>
      </c>
      <c r="AI51" s="182">
        <f t="shared" si="260"/>
        <v>0.83717453594119828</v>
      </c>
      <c r="AJ51" s="193">
        <f t="shared" si="260"/>
        <v>0.77652971189626729</v>
      </c>
      <c r="AK51" s="182">
        <f t="shared" si="260"/>
        <v>0.71123191260274687</v>
      </c>
      <c r="AL51" s="182">
        <f t="shared" si="260"/>
        <v>0.89741314970498354</v>
      </c>
      <c r="AM51" s="182">
        <f t="shared" si="260"/>
        <v>0.81259961041260853</v>
      </c>
      <c r="AN51" s="182">
        <f t="shared" si="260"/>
        <v>0.84819220010634089</v>
      </c>
      <c r="AO51" s="193">
        <f t="shared" si="260"/>
        <v>0.8170190859587585</v>
      </c>
      <c r="AP51" s="182">
        <f t="shared" si="260"/>
        <v>0.76047864093173223</v>
      </c>
      <c r="AQ51" s="182">
        <f t="shared" si="260"/>
        <v>0.75412714429868821</v>
      </c>
      <c r="AR51" s="182">
        <f t="shared" si="260"/>
        <v>0.70104967313434963</v>
      </c>
      <c r="AS51" s="182">
        <f t="shared" si="260"/>
        <v>0.66200541306869454</v>
      </c>
      <c r="AT51" s="193">
        <f t="shared" si="260"/>
        <v>0.71759962546725153</v>
      </c>
      <c r="AU51" s="182">
        <f t="shared" si="260"/>
        <v>0.61891742087062995</v>
      </c>
      <c r="AV51" s="182">
        <f t="shared" si="260"/>
        <v>0.58341876941439308</v>
      </c>
      <c r="AW51" s="182">
        <f t="shared" si="260"/>
        <v>0.57673700923572335</v>
      </c>
      <c r="AX51" s="182">
        <f t="shared" si="260"/>
        <v>0.51889233538515955</v>
      </c>
      <c r="AY51" s="193">
        <f t="shared" si="260"/>
        <v>0.57114683471107208</v>
      </c>
      <c r="AZ51" s="182">
        <f t="shared" si="260"/>
        <v>0.52830116848542863</v>
      </c>
      <c r="BA51" s="182">
        <f t="shared" si="260"/>
        <v>0.47892711037350821</v>
      </c>
      <c r="BB51" s="182">
        <f t="shared" si="260"/>
        <v>0.48698147617553295</v>
      </c>
      <c r="BC51" s="182">
        <f t="shared" si="260"/>
        <v>0.49345987173912575</v>
      </c>
      <c r="BD51" s="193">
        <f t="shared" si="260"/>
        <v>0.49579147050139927</v>
      </c>
      <c r="BE51" s="182">
        <f t="shared" si="260"/>
        <v>0.53178167905465989</v>
      </c>
      <c r="BF51" s="182">
        <f t="shared" si="260"/>
        <v>0.56814672521039145</v>
      </c>
      <c r="BG51" s="182">
        <f t="shared" si="260"/>
        <v>0.52103150546368271</v>
      </c>
      <c r="BH51" s="182">
        <f t="shared" si="260"/>
        <v>0.44030353117956422</v>
      </c>
      <c r="BI51" s="193">
        <f t="shared" si="260"/>
        <v>0.51124164340602563</v>
      </c>
      <c r="BJ51" s="341">
        <f t="shared" si="260"/>
        <v>0.45415259089642968</v>
      </c>
      <c r="BK51" s="182">
        <f t="shared" si="260"/>
        <v>0.44580555333720617</v>
      </c>
      <c r="BL51" s="182">
        <f t="shared" si="260"/>
        <v>0.44340538349810743</v>
      </c>
      <c r="BM51" s="182">
        <f t="shared" si="260"/>
        <v>0.43338043254813335</v>
      </c>
      <c r="BN51" s="193">
        <f t="shared" si="260"/>
        <v>0.44378764999553749</v>
      </c>
      <c r="BO51" s="182">
        <f t="shared" ref="BO51:DB51" si="261">BO11/BO$7</f>
        <v>0.40044689807303141</v>
      </c>
      <c r="BP51" s="182">
        <f t="shared" si="261"/>
        <v>0.4142481833870037</v>
      </c>
      <c r="BQ51" s="182">
        <f t="shared" si="261"/>
        <v>0.41353124667191704</v>
      </c>
      <c r="BR51" s="182">
        <f t="shared" si="261"/>
        <v>0.41555766311813602</v>
      </c>
      <c r="BS51" s="193">
        <f t="shared" si="261"/>
        <v>0.41104572837956849</v>
      </c>
      <c r="BT51" s="182">
        <f t="shared" si="261"/>
        <v>0.37588764382896783</v>
      </c>
      <c r="BU51" s="182">
        <f t="shared" si="261"/>
        <v>0.38529126126475338</v>
      </c>
      <c r="BV51" s="182">
        <f t="shared" si="261"/>
        <v>0.38654234191528591</v>
      </c>
      <c r="BW51" s="182">
        <f t="shared" si="261"/>
        <v>0.38798540070954046</v>
      </c>
      <c r="BX51" s="193">
        <f t="shared" si="261"/>
        <v>0.38402813619661336</v>
      </c>
      <c r="BY51" s="182">
        <f t="shared" si="261"/>
        <v>0.34985207919407563</v>
      </c>
      <c r="BZ51" s="182">
        <f t="shared" si="261"/>
        <v>0.36089664117119757</v>
      </c>
      <c r="CA51" s="182">
        <f t="shared" si="261"/>
        <v>0.36104716160345396</v>
      </c>
      <c r="CB51" s="182">
        <f t="shared" si="261"/>
        <v>0.36438771734929271</v>
      </c>
      <c r="CC51" s="193">
        <f t="shared" si="261"/>
        <v>0.35914828608888294</v>
      </c>
      <c r="CD51" s="182">
        <f t="shared" si="261"/>
        <v>0.32825020527764043</v>
      </c>
      <c r="CE51" s="182">
        <f t="shared" si="261"/>
        <v>0.33798973278848149</v>
      </c>
      <c r="CF51" s="182">
        <f t="shared" si="261"/>
        <v>0.33944743011011835</v>
      </c>
      <c r="CG51" s="182">
        <f t="shared" si="261"/>
        <v>0.34252256357528338</v>
      </c>
      <c r="CH51" s="193">
        <f t="shared" si="261"/>
        <v>0.33715622596507161</v>
      </c>
      <c r="CI51" s="182">
        <f t="shared" si="261"/>
        <v>0.3095264477964379</v>
      </c>
      <c r="CJ51" s="182">
        <f t="shared" si="261"/>
        <v>0.31993329982186619</v>
      </c>
      <c r="CK51" s="182">
        <f t="shared" si="261"/>
        <v>0.32306752556709833</v>
      </c>
      <c r="CL51" s="182">
        <f t="shared" si="261"/>
        <v>0.32754724001049113</v>
      </c>
      <c r="CM51" s="193">
        <f t="shared" si="261"/>
        <v>0.32012384619513723</v>
      </c>
      <c r="CN51" s="182">
        <f t="shared" si="261"/>
        <v>0.29679878557819128</v>
      </c>
      <c r="CO51" s="182">
        <f t="shared" si="261"/>
        <v>0.30683670647238437</v>
      </c>
      <c r="CP51" s="182">
        <f t="shared" si="261"/>
        <v>0.31036266740232837</v>
      </c>
      <c r="CQ51" s="182">
        <f t="shared" si="261"/>
        <v>0.31501630799240293</v>
      </c>
      <c r="CR51" s="193">
        <f t="shared" si="261"/>
        <v>0.30735447044485842</v>
      </c>
      <c r="CS51" s="182">
        <f t="shared" si="261"/>
        <v>0.28598933464473225</v>
      </c>
      <c r="CT51" s="182">
        <f t="shared" si="261"/>
        <v>0.29557977375991096</v>
      </c>
      <c r="CU51" s="182">
        <f t="shared" si="261"/>
        <v>0.29924592784594561</v>
      </c>
      <c r="CV51" s="182">
        <f t="shared" si="261"/>
        <v>0.30390612201917672</v>
      </c>
      <c r="CW51" s="193">
        <f t="shared" si="261"/>
        <v>0.296277559664267</v>
      </c>
      <c r="CX51" s="182">
        <f t="shared" si="261"/>
        <v>0.27868536267686028</v>
      </c>
      <c r="CY51" s="182">
        <f t="shared" si="261"/>
        <v>0.28871995066947942</v>
      </c>
      <c r="CZ51" s="182">
        <f t="shared" si="261"/>
        <v>0.29326522921609544</v>
      </c>
      <c r="DA51" s="182">
        <f t="shared" si="261"/>
        <v>0.298693021476367</v>
      </c>
      <c r="DB51" s="193">
        <f t="shared" si="261"/>
        <v>0.28992839575169582</v>
      </c>
    </row>
    <row r="52" spans="1:106" s="61" customFormat="1" ht="14.2" customHeight="1">
      <c r="A52" s="320" t="s">
        <v>501</v>
      </c>
      <c r="B52" s="182">
        <f>B13/B7</f>
        <v>0.6842645173108628</v>
      </c>
      <c r="C52" s="182">
        <f t="shared" ref="C52:BN52" si="262">C13/C7</f>
        <v>0.50304163411094993</v>
      </c>
      <c r="D52" s="182">
        <f t="shared" si="262"/>
        <v>0.44679517655702988</v>
      </c>
      <c r="E52" s="182">
        <f t="shared" si="262"/>
        <v>0.45804265896880769</v>
      </c>
      <c r="F52" s="193">
        <f t="shared" si="262"/>
        <v>0.50366315313675158</v>
      </c>
      <c r="G52" s="182">
        <f t="shared" si="262"/>
        <v>0.60860124380731528</v>
      </c>
      <c r="H52" s="182">
        <f t="shared" si="262"/>
        <v>0.77243994943109973</v>
      </c>
      <c r="I52" s="182">
        <f t="shared" si="262"/>
        <v>0.78373143963847647</v>
      </c>
      <c r="J52" s="182">
        <f t="shared" si="262"/>
        <v>0.72660266102207449</v>
      </c>
      <c r="K52" s="193">
        <f t="shared" si="262"/>
        <v>0.72153607732920078</v>
      </c>
      <c r="L52" s="182">
        <f t="shared" si="262"/>
        <v>0.63272592161804142</v>
      </c>
      <c r="M52" s="182">
        <f t="shared" si="262"/>
        <v>0.83729609110495529</v>
      </c>
      <c r="N52" s="182">
        <f t="shared" si="262"/>
        <v>0.8588580229731485</v>
      </c>
      <c r="O52" s="182">
        <f t="shared" si="262"/>
        <v>0.99417838090022093</v>
      </c>
      <c r="P52" s="193">
        <f t="shared" si="262"/>
        <v>0.81994158674000561</v>
      </c>
      <c r="Q52" s="182">
        <f t="shared" si="262"/>
        <v>1.071021939830707</v>
      </c>
      <c r="R52" s="182">
        <f t="shared" si="262"/>
        <v>0.85970867448756927</v>
      </c>
      <c r="S52" s="182">
        <f t="shared" si="262"/>
        <v>0.83110350183563975</v>
      </c>
      <c r="T52" s="182">
        <f t="shared" si="262"/>
        <v>1.1523481819027253</v>
      </c>
      <c r="U52" s="193">
        <f t="shared" si="262"/>
        <v>0.97359900255524112</v>
      </c>
      <c r="V52" s="182">
        <f t="shared" si="262"/>
        <v>0.83838626884825151</v>
      </c>
      <c r="W52" s="182">
        <f t="shared" si="262"/>
        <v>0.78155670773280062</v>
      </c>
      <c r="X52" s="182">
        <f t="shared" si="262"/>
        <v>0.7776807598039216</v>
      </c>
      <c r="Y52" s="182">
        <f t="shared" si="262"/>
        <v>0.80494288060927388</v>
      </c>
      <c r="Z52" s="193">
        <f t="shared" si="262"/>
        <v>0.800402865858865</v>
      </c>
      <c r="AA52" s="182">
        <f t="shared" si="262"/>
        <v>0.82705315455524964</v>
      </c>
      <c r="AB52" s="182">
        <f t="shared" si="262"/>
        <v>0.79572321968932824</v>
      </c>
      <c r="AC52" s="182">
        <f t="shared" si="262"/>
        <v>0.89220757550475538</v>
      </c>
      <c r="AD52" s="182">
        <f t="shared" si="262"/>
        <v>0.88405814512253755</v>
      </c>
      <c r="AE52" s="193">
        <f t="shared" si="262"/>
        <v>0.85183310841205595</v>
      </c>
      <c r="AF52" s="182">
        <f t="shared" si="262"/>
        <v>0.89250308471258999</v>
      </c>
      <c r="AG52" s="182">
        <f t="shared" si="262"/>
        <v>1.0545957072809695</v>
      </c>
      <c r="AH52" s="182">
        <f t="shared" si="262"/>
        <v>1.0403085293907868</v>
      </c>
      <c r="AI52" s="182">
        <f t="shared" si="262"/>
        <v>1.1253448183808215</v>
      </c>
      <c r="AJ52" s="193">
        <f t="shared" si="262"/>
        <v>1.0323704300456518</v>
      </c>
      <c r="AK52" s="182">
        <f t="shared" si="262"/>
        <v>0.97507812705165564</v>
      </c>
      <c r="AL52" s="182">
        <f t="shared" si="262"/>
        <v>1.2758790643966598</v>
      </c>
      <c r="AM52" s="182">
        <f t="shared" si="262"/>
        <v>1.4352880163930277</v>
      </c>
      <c r="AN52" s="182">
        <f t="shared" si="262"/>
        <v>1.2632175139283814</v>
      </c>
      <c r="AO52" s="193">
        <f t="shared" si="262"/>
        <v>1.2394234243452291</v>
      </c>
      <c r="AP52" s="182">
        <f t="shared" si="262"/>
        <v>1.174699819196118</v>
      </c>
      <c r="AQ52" s="182">
        <f t="shared" si="262"/>
        <v>1.170776992936428</v>
      </c>
      <c r="AR52" s="182">
        <f t="shared" si="262"/>
        <v>1.0120586601594213</v>
      </c>
      <c r="AS52" s="182">
        <f t="shared" si="262"/>
        <v>1.0666553127243941</v>
      </c>
      <c r="AT52" s="193">
        <f t="shared" si="262"/>
        <v>1.1033671371896878</v>
      </c>
      <c r="AU52" s="182">
        <f t="shared" si="262"/>
        <v>0.95936812323168807</v>
      </c>
      <c r="AV52" s="182">
        <f t="shared" si="262"/>
        <v>0.88246928126578028</v>
      </c>
      <c r="AW52" s="182">
        <f t="shared" si="262"/>
        <v>0.8645986299225511</v>
      </c>
      <c r="AX52" s="182">
        <f t="shared" si="262"/>
        <v>0.78556757364876828</v>
      </c>
      <c r="AY52" s="193">
        <f t="shared" si="262"/>
        <v>0.86736574321684223</v>
      </c>
      <c r="AZ52" s="182">
        <f t="shared" si="262"/>
        <v>0.76933222023108649</v>
      </c>
      <c r="BA52" s="182">
        <f t="shared" si="262"/>
        <v>0.69450418651460866</v>
      </c>
      <c r="BB52" s="182">
        <f t="shared" si="262"/>
        <v>0.70740043387499485</v>
      </c>
      <c r="BC52" s="182">
        <f t="shared" si="262"/>
        <v>0.76540191278008474</v>
      </c>
      <c r="BD52" s="193">
        <f t="shared" si="262"/>
        <v>0.7339524583198529</v>
      </c>
      <c r="BE52" s="182">
        <f t="shared" si="262"/>
        <v>0.78899627363848324</v>
      </c>
      <c r="BF52" s="182">
        <f t="shared" si="262"/>
        <v>0.83603366264178558</v>
      </c>
      <c r="BG52" s="182">
        <f t="shared" si="262"/>
        <v>0.81386665946168668</v>
      </c>
      <c r="BH52" s="182">
        <f t="shared" si="262"/>
        <v>0.70355371900826447</v>
      </c>
      <c r="BI52" s="193">
        <f t="shared" si="262"/>
        <v>0.78187452219383857</v>
      </c>
      <c r="BJ52" s="341">
        <f t="shared" si="262"/>
        <v>0.775303351601762</v>
      </c>
      <c r="BK52" s="182">
        <f t="shared" si="262"/>
        <v>0.75018313802950554</v>
      </c>
      <c r="BL52" s="182">
        <f t="shared" si="262"/>
        <v>0.74492104427682049</v>
      </c>
      <c r="BM52" s="182">
        <f t="shared" si="262"/>
        <v>0.72416472277397759</v>
      </c>
      <c r="BN52" s="193">
        <f t="shared" si="262"/>
        <v>0.74766936287383767</v>
      </c>
      <c r="BO52" s="182">
        <f t="shared" ref="BO52:DB52" si="263">BO13/BO7</f>
        <v>0.68362006171038936</v>
      </c>
      <c r="BP52" s="182">
        <f t="shared" si="263"/>
        <v>0.69707970169950972</v>
      </c>
      <c r="BQ52" s="182">
        <f t="shared" si="263"/>
        <v>0.69473249440882068</v>
      </c>
      <c r="BR52" s="182">
        <f t="shared" si="263"/>
        <v>0.6943834499844983</v>
      </c>
      <c r="BS52" s="193">
        <f t="shared" si="263"/>
        <v>0.69250754916828994</v>
      </c>
      <c r="BT52" s="182">
        <f t="shared" si="263"/>
        <v>0.64169390625088074</v>
      </c>
      <c r="BU52" s="182">
        <f t="shared" si="263"/>
        <v>0.64835219136965394</v>
      </c>
      <c r="BV52" s="182">
        <f t="shared" si="263"/>
        <v>0.64939113441768026</v>
      </c>
      <c r="BW52" s="182">
        <f t="shared" si="263"/>
        <v>0.64831108892755462</v>
      </c>
      <c r="BX52" s="193">
        <f t="shared" si="263"/>
        <v>0.64698977521937906</v>
      </c>
      <c r="BY52" s="182">
        <f t="shared" si="263"/>
        <v>0.59724747805274325</v>
      </c>
      <c r="BZ52" s="182">
        <f t="shared" si="263"/>
        <v>0.60730193410877387</v>
      </c>
      <c r="CA52" s="182">
        <f t="shared" si="263"/>
        <v>0.60655923149380275</v>
      </c>
      <c r="CB52" s="182">
        <f t="shared" si="263"/>
        <v>0.60888012124817303</v>
      </c>
      <c r="CC52" s="193">
        <f t="shared" si="263"/>
        <v>0.605073553173474</v>
      </c>
      <c r="CD52" s="182">
        <f t="shared" si="263"/>
        <v>0.56036999329540038</v>
      </c>
      <c r="CE52" s="182">
        <f t="shared" si="263"/>
        <v>0.56875513655441023</v>
      </c>
      <c r="CF52" s="182">
        <f t="shared" si="263"/>
        <v>0.57027168258499894</v>
      </c>
      <c r="CG52" s="182">
        <f t="shared" si="263"/>
        <v>0.57234415461934451</v>
      </c>
      <c r="CH52" s="193">
        <f t="shared" si="263"/>
        <v>0.5680225230665783</v>
      </c>
      <c r="CI52" s="182">
        <f t="shared" si="263"/>
        <v>0.53047076460962295</v>
      </c>
      <c r="CJ52" s="182">
        <f t="shared" si="263"/>
        <v>0.54043124679733978</v>
      </c>
      <c r="CK52" s="182">
        <f t="shared" si="263"/>
        <v>0.54482595160730662</v>
      </c>
      <c r="CL52" s="182">
        <f t="shared" si="263"/>
        <v>0.54939420816854023</v>
      </c>
      <c r="CM52" s="193">
        <f t="shared" si="263"/>
        <v>0.54139525046957593</v>
      </c>
      <c r="CN52" s="182">
        <f t="shared" si="263"/>
        <v>0.51065658977413442</v>
      </c>
      <c r="CO52" s="182">
        <f t="shared" si="263"/>
        <v>0.52030350149566584</v>
      </c>
      <c r="CP52" s="182">
        <f t="shared" si="263"/>
        <v>0.52541007589117639</v>
      </c>
      <c r="CQ52" s="182">
        <f t="shared" si="263"/>
        <v>0.53038893391904551</v>
      </c>
      <c r="CR52" s="193">
        <f t="shared" si="263"/>
        <v>0.52180380976245233</v>
      </c>
      <c r="CS52" s="182">
        <f t="shared" si="263"/>
        <v>0.49400245726823477</v>
      </c>
      <c r="CT52" s="182">
        <f t="shared" si="263"/>
        <v>0.50315505834354024</v>
      </c>
      <c r="CU52" s="182">
        <f t="shared" si="263"/>
        <v>0.50854673307996678</v>
      </c>
      <c r="CV52" s="182">
        <f t="shared" si="263"/>
        <v>0.51364301357644615</v>
      </c>
      <c r="CW52" s="193">
        <f t="shared" si="263"/>
        <v>0.50494844064805178</v>
      </c>
      <c r="CX52" s="182">
        <f t="shared" si="263"/>
        <v>0.48329824234919738</v>
      </c>
      <c r="CY52" s="182">
        <f t="shared" si="263"/>
        <v>0.49339063275327483</v>
      </c>
      <c r="CZ52" s="182">
        <f t="shared" si="263"/>
        <v>0.50031804290322324</v>
      </c>
      <c r="DA52" s="182">
        <f t="shared" si="263"/>
        <v>0.50677686775526942</v>
      </c>
      <c r="DB52" s="193">
        <f t="shared" si="263"/>
        <v>0.49605391165700968</v>
      </c>
    </row>
    <row r="53" spans="1:106" s="207" customFormat="1" ht="14.2" customHeight="1" collapsed="1">
      <c r="A53" s="318" t="s">
        <v>479</v>
      </c>
      <c r="B53" s="136">
        <f>B14/B7</f>
        <v>-0.26678878915552307</v>
      </c>
      <c r="C53" s="136">
        <f t="shared" ref="C53:BN53" si="264">C14/C7</f>
        <v>-3.3625404621051506E-2</v>
      </c>
      <c r="D53" s="136">
        <f t="shared" si="264"/>
        <v>0.10327613778795867</v>
      </c>
      <c r="E53" s="136">
        <f t="shared" si="264"/>
        <v>8.7663379039371173E-2</v>
      </c>
      <c r="F53" s="210">
        <f t="shared" si="264"/>
        <v>4.1748017753892482E-3</v>
      </c>
      <c r="G53" s="136">
        <f t="shared" si="264"/>
        <v>-0.13232844945715183</v>
      </c>
      <c r="H53" s="136">
        <f t="shared" si="264"/>
        <v>-0.3431587819105284</v>
      </c>
      <c r="I53" s="136">
        <f t="shared" si="264"/>
        <v>-0.46172168918768514</v>
      </c>
      <c r="J53" s="136">
        <f t="shared" si="264"/>
        <v>-0.32786513456304833</v>
      </c>
      <c r="K53" s="210">
        <f t="shared" si="264"/>
        <v>-0.31434950487247526</v>
      </c>
      <c r="L53" s="136">
        <f t="shared" si="264"/>
        <v>-0.15516461503667092</v>
      </c>
      <c r="M53" s="136">
        <f t="shared" si="264"/>
        <v>-0.43311403508771917</v>
      </c>
      <c r="N53" s="136">
        <f t="shared" si="264"/>
        <v>-0.4946278461281523</v>
      </c>
      <c r="O53" s="136">
        <f t="shared" si="264"/>
        <v>-0.76498509097547596</v>
      </c>
      <c r="P53" s="210">
        <f t="shared" si="264"/>
        <v>-0.44449358283350376</v>
      </c>
      <c r="Q53" s="136">
        <f t="shared" si="264"/>
        <v>-0.78955672586938441</v>
      </c>
      <c r="R53" s="136">
        <f t="shared" si="264"/>
        <v>-0.50426170804036052</v>
      </c>
      <c r="S53" s="136">
        <f t="shared" si="264"/>
        <v>-0.44201849759954825</v>
      </c>
      <c r="T53" s="136">
        <f t="shared" si="264"/>
        <v>-0.83541337301218321</v>
      </c>
      <c r="U53" s="210">
        <f t="shared" si="264"/>
        <v>-0.6353827409819901</v>
      </c>
      <c r="V53" s="136">
        <f t="shared" si="264"/>
        <v>-0.48952518447224885</v>
      </c>
      <c r="W53" s="136">
        <f t="shared" si="264"/>
        <v>-0.43155908608032467</v>
      </c>
      <c r="X53" s="136">
        <f t="shared" si="264"/>
        <v>-0.41614583333333327</v>
      </c>
      <c r="Y53" s="136">
        <f t="shared" si="264"/>
        <v>-0.44391846486970848</v>
      </c>
      <c r="Z53" s="210">
        <f t="shared" si="264"/>
        <v>-0.44489121069341048</v>
      </c>
      <c r="AA53" s="136">
        <f t="shared" si="264"/>
        <v>-0.47506883754339763</v>
      </c>
      <c r="AB53" s="136">
        <f t="shared" si="264"/>
        <v>-0.38512541187546223</v>
      </c>
      <c r="AC53" s="136">
        <f t="shared" si="264"/>
        <v>-0.45542876946180777</v>
      </c>
      <c r="AD53" s="136">
        <f t="shared" si="264"/>
        <v>-0.4182003844305634</v>
      </c>
      <c r="AE53" s="210">
        <f t="shared" si="264"/>
        <v>-0.43222923447381678</v>
      </c>
      <c r="AF53" s="136">
        <f t="shared" si="264"/>
        <v>-0.37093137046334518</v>
      </c>
      <c r="AG53" s="136">
        <f t="shared" si="264"/>
        <v>-0.59741881765195681</v>
      </c>
      <c r="AH53" s="136">
        <f t="shared" si="264"/>
        <v>-0.56832377245447951</v>
      </c>
      <c r="AI53" s="136">
        <f t="shared" si="264"/>
        <v>-0.65820712239050283</v>
      </c>
      <c r="AJ53" s="210">
        <f t="shared" si="264"/>
        <v>-0.55313103412999842</v>
      </c>
      <c r="AK53" s="136">
        <f t="shared" si="264"/>
        <v>-0.41372541295727289</v>
      </c>
      <c r="AL53" s="136">
        <f t="shared" si="264"/>
        <v>-0.81178094151775015</v>
      </c>
      <c r="AM53" s="136">
        <f t="shared" si="264"/>
        <v>-0.9499165169875281</v>
      </c>
      <c r="AN53" s="136">
        <f t="shared" si="264"/>
        <v>-0.80718727604780716</v>
      </c>
      <c r="AO53" s="210">
        <f t="shared" si="264"/>
        <v>-0.74849636922329199</v>
      </c>
      <c r="AP53" s="136">
        <f t="shared" si="264"/>
        <v>-0.70637140517068187</v>
      </c>
      <c r="AQ53" s="136">
        <f t="shared" si="264"/>
        <v>-0.72192230070635732</v>
      </c>
      <c r="AR53" s="136">
        <f t="shared" si="264"/>
        <v>-0.56519984618087049</v>
      </c>
      <c r="AS53" s="136">
        <f t="shared" si="264"/>
        <v>-0.65257396939959178</v>
      </c>
      <c r="AT53" s="210">
        <f t="shared" si="264"/>
        <v>-0.65962629629539349</v>
      </c>
      <c r="AU53" s="136">
        <f t="shared" si="264"/>
        <v>-0.57206853190820495</v>
      </c>
      <c r="AV53" s="136">
        <f t="shared" si="264"/>
        <v>-0.43008523205459753</v>
      </c>
      <c r="AW53" s="136">
        <f t="shared" si="264"/>
        <v>-0.41363965025008753</v>
      </c>
      <c r="AX53" s="136">
        <f t="shared" si="264"/>
        <v>-0.2717281946609667</v>
      </c>
      <c r="AY53" s="210">
        <f t="shared" si="264"/>
        <v>-0.41220852950984282</v>
      </c>
      <c r="AZ53" s="136">
        <f t="shared" si="264"/>
        <v>-0.20208244389393612</v>
      </c>
      <c r="BA53" s="136">
        <f t="shared" si="264"/>
        <v>-0.1062099765090686</v>
      </c>
      <c r="BB53" s="136">
        <f t="shared" si="264"/>
        <v>-8.9453745014303379E-2</v>
      </c>
      <c r="BC53" s="136">
        <f t="shared" si="264"/>
        <v>-0.13599097594635942</v>
      </c>
      <c r="BD53" s="210">
        <f t="shared" si="264"/>
        <v>-0.13099920974052254</v>
      </c>
      <c r="BE53" s="136">
        <f t="shared" si="264"/>
        <v>-0.15777653787139076</v>
      </c>
      <c r="BF53" s="136">
        <f t="shared" si="264"/>
        <v>-0.20192462495426264</v>
      </c>
      <c r="BG53" s="136">
        <f t="shared" si="264"/>
        <v>-0.16477338930702159</v>
      </c>
      <c r="BH53" s="136">
        <f t="shared" si="264"/>
        <v>-3.4238918106686701E-2</v>
      </c>
      <c r="BI53" s="210">
        <f t="shared" si="264"/>
        <v>-0.13438673646954846</v>
      </c>
      <c r="BJ53" s="336">
        <f t="shared" si="264"/>
        <v>-0.14909105170359097</v>
      </c>
      <c r="BK53" s="136">
        <f t="shared" si="264"/>
        <v>-0.11859305948028247</v>
      </c>
      <c r="BL53" s="136">
        <f t="shared" si="264"/>
        <v>-9.5984131454516189E-2</v>
      </c>
      <c r="BM53" s="136">
        <f t="shared" si="264"/>
        <v>-5.245871323704563E-2</v>
      </c>
      <c r="BN53" s="210">
        <f t="shared" si="264"/>
        <v>-0.10212021626077926</v>
      </c>
      <c r="BO53" s="136">
        <f t="shared" ref="BO53:DB53" si="265">BO14/BO7</f>
        <v>-3.4740901611480073E-2</v>
      </c>
      <c r="BP53" s="136">
        <f t="shared" si="265"/>
        <v>-5.0365825779147687E-2</v>
      </c>
      <c r="BQ53" s="136">
        <f t="shared" si="265"/>
        <v>-3.6830907334909013E-2</v>
      </c>
      <c r="BR53" s="136">
        <f t="shared" si="265"/>
        <v>-1.6363453312261203E-2</v>
      </c>
      <c r="BS53" s="210">
        <f t="shared" si="265"/>
        <v>-3.4303848929027804E-2</v>
      </c>
      <c r="BT53" s="136">
        <f t="shared" si="265"/>
        <v>2.279810311216654E-2</v>
      </c>
      <c r="BU53" s="136">
        <f t="shared" si="265"/>
        <v>1.3093763124455883E-2</v>
      </c>
      <c r="BV53" s="136">
        <f t="shared" si="265"/>
        <v>2.4048270986883512E-2</v>
      </c>
      <c r="BW53" s="136">
        <f t="shared" si="265"/>
        <v>4.4425717109699649E-2</v>
      </c>
      <c r="BX53" s="210">
        <f t="shared" si="265"/>
        <v>2.6360607790568563E-2</v>
      </c>
      <c r="BY53" s="136">
        <f t="shared" si="265"/>
        <v>8.0019940473088788E-2</v>
      </c>
      <c r="BZ53" s="136">
        <f t="shared" si="265"/>
        <v>6.6989784284300857E-2</v>
      </c>
      <c r="CA53" s="136">
        <f t="shared" si="265"/>
        <v>7.8466173599354802E-2</v>
      </c>
      <c r="CB53" s="136">
        <f t="shared" si="265"/>
        <v>9.4479769111685999E-2</v>
      </c>
      <c r="CC53" s="210">
        <f t="shared" si="265"/>
        <v>8.0184326736444669E-2</v>
      </c>
      <c r="CD53" s="136">
        <f t="shared" si="265"/>
        <v>0.12850999168382254</v>
      </c>
      <c r="CE53" s="136">
        <f t="shared" si="265"/>
        <v>0.11696722359022682</v>
      </c>
      <c r="CF53" s="136">
        <f t="shared" si="265"/>
        <v>0.12554283078100312</v>
      </c>
      <c r="CG53" s="136">
        <f t="shared" si="265"/>
        <v>0.14102835096839708</v>
      </c>
      <c r="CH53" s="210">
        <f t="shared" si="265"/>
        <v>0.12816813101913771</v>
      </c>
      <c r="CI53" s="136">
        <f t="shared" si="265"/>
        <v>0.16732300857910518</v>
      </c>
      <c r="CJ53" s="136">
        <f t="shared" si="265"/>
        <v>0.15339492802304727</v>
      </c>
      <c r="CK53" s="136">
        <f t="shared" si="265"/>
        <v>0.15818573860125029</v>
      </c>
      <c r="CL53" s="136">
        <f t="shared" si="265"/>
        <v>0.17012218563715376</v>
      </c>
      <c r="CM53" s="210">
        <f t="shared" si="265"/>
        <v>0.16231480974691831</v>
      </c>
      <c r="CN53" s="136">
        <f t="shared" si="265"/>
        <v>0.19389810865108767</v>
      </c>
      <c r="CO53" s="136">
        <f t="shared" si="265"/>
        <v>0.18002314796688171</v>
      </c>
      <c r="CP53" s="136">
        <f t="shared" si="265"/>
        <v>0.18383552319141513</v>
      </c>
      <c r="CQ53" s="136">
        <f t="shared" si="265"/>
        <v>0.19480961690982315</v>
      </c>
      <c r="CR53" s="210">
        <f t="shared" si="265"/>
        <v>0.18818255822505683</v>
      </c>
      <c r="CS53" s="136">
        <f t="shared" si="265"/>
        <v>0.2168488444332044</v>
      </c>
      <c r="CT53" s="136">
        <f t="shared" si="265"/>
        <v>0.20334407236357382</v>
      </c>
      <c r="CU53" s="136">
        <f t="shared" si="265"/>
        <v>0.20667910028861985</v>
      </c>
      <c r="CV53" s="136">
        <f t="shared" si="265"/>
        <v>0.21710708847281279</v>
      </c>
      <c r="CW53" s="210">
        <f t="shared" si="265"/>
        <v>0.21102829955209587</v>
      </c>
      <c r="CX53" s="136">
        <f t="shared" si="265"/>
        <v>0.23168343817825282</v>
      </c>
      <c r="CY53" s="136">
        <f t="shared" si="265"/>
        <v>0.21672191628325027</v>
      </c>
      <c r="CZ53" s="136">
        <f t="shared" si="265"/>
        <v>0.21808221353870347</v>
      </c>
      <c r="DA53" s="136">
        <f t="shared" si="265"/>
        <v>0.22657553565265762</v>
      </c>
      <c r="DB53" s="210">
        <f t="shared" si="265"/>
        <v>0.22326993986424581</v>
      </c>
    </row>
    <row r="54" spans="1:106" s="61" customFormat="1" ht="14.2" customHeight="1">
      <c r="A54" s="319" t="s">
        <v>480</v>
      </c>
      <c r="B54" s="183" t="s">
        <v>290</v>
      </c>
      <c r="C54" s="183" t="s">
        <v>290</v>
      </c>
      <c r="D54" s="183" t="s">
        <v>290</v>
      </c>
      <c r="E54" s="183" t="s">
        <v>290</v>
      </c>
      <c r="F54" s="189" t="s">
        <v>290</v>
      </c>
      <c r="G54" s="184">
        <f>+(G53-B53)*10000</f>
        <v>1344.6033969837124</v>
      </c>
      <c r="H54" s="184">
        <f t="shared" ref="H54" si="266">+(H53-C53)*10000</f>
        <v>-3095.333772894769</v>
      </c>
      <c r="I54" s="184">
        <f t="shared" ref="I54" si="267">+(I53-D53)*10000</f>
        <v>-5649.9782697564378</v>
      </c>
      <c r="J54" s="184">
        <f t="shared" ref="J54" si="268">+(J53-E53)*10000</f>
        <v>-4155.2851360241948</v>
      </c>
      <c r="K54" s="282">
        <f t="shared" ref="K54" si="269">+(K53-F53)*10000</f>
        <v>-3185.2430664786452</v>
      </c>
      <c r="L54" s="184">
        <f t="shared" ref="L54" si="270">+(L53-G53)*10000</f>
        <v>-228.3616557951909</v>
      </c>
      <c r="M54" s="184">
        <f t="shared" ref="M54" si="271">+(M53-H53)*10000</f>
        <v>-899.55253177190775</v>
      </c>
      <c r="N54" s="184">
        <f t="shared" ref="N54" si="272">+(N53-I53)*10000</f>
        <v>-329.06156940467167</v>
      </c>
      <c r="O54" s="184">
        <f t="shared" ref="O54" si="273">+(O53-J53)*10000</f>
        <v>-4371.1995641242765</v>
      </c>
      <c r="P54" s="282">
        <f t="shared" ref="P54" si="274">+(P53-K53)*10000</f>
        <v>-1301.4407796102851</v>
      </c>
      <c r="Q54" s="184">
        <f t="shared" ref="Q54" si="275">+(Q53-L53)*10000</f>
        <v>-6343.9211083271348</v>
      </c>
      <c r="R54" s="184">
        <f t="shared" ref="R54" si="276">+(R53-M53)*10000</f>
        <v>-711.47672952641346</v>
      </c>
      <c r="S54" s="184">
        <f t="shared" ref="S54" si="277">+(S53-N53)*10000</f>
        <v>526.0934852860405</v>
      </c>
      <c r="T54" s="184">
        <f t="shared" ref="T54" si="278">+(T53-O53)*10000</f>
        <v>-704.28282036707253</v>
      </c>
      <c r="U54" s="282">
        <f t="shared" ref="U54" si="279">+(U53-P53)*10000</f>
        <v>-1908.8915814848633</v>
      </c>
      <c r="V54" s="184">
        <f t="shared" ref="V54" si="280">+(V53-Q53)*10000</f>
        <v>3000.3154139713556</v>
      </c>
      <c r="W54" s="184">
        <f t="shared" ref="W54" si="281">+(W53-R53)*10000</f>
        <v>727.02621960035856</v>
      </c>
      <c r="X54" s="184">
        <f t="shared" ref="X54" si="282">+(X53-S53)*10000</f>
        <v>258.72664266214986</v>
      </c>
      <c r="Y54" s="184">
        <f t="shared" ref="Y54" si="283">+(Y53-T53)*10000</f>
        <v>3914.9490814247474</v>
      </c>
      <c r="Z54" s="282">
        <f t="shared" ref="Z54" si="284">+(Z53-U53)*10000</f>
        <v>1904.9153028857963</v>
      </c>
      <c r="AA54" s="184">
        <f t="shared" ref="AA54" si="285">+(AA53-V53)*10000</f>
        <v>144.56346928851227</v>
      </c>
      <c r="AB54" s="184">
        <f t="shared" ref="AB54" si="286">+(AB53-W53)*10000</f>
        <v>464.33674204862439</v>
      </c>
      <c r="AC54" s="184">
        <f t="shared" ref="AC54" si="287">+(AC53-X53)*10000</f>
        <v>-392.829361284745</v>
      </c>
      <c r="AD54" s="184">
        <f t="shared" ref="AD54" si="288">+(AD53-Y53)*10000</f>
        <v>257.18080439145086</v>
      </c>
      <c r="AE54" s="282">
        <f t="shared" ref="AE54" si="289">+(AE53-Z53)*10000</f>
        <v>126.61976219593696</v>
      </c>
      <c r="AF54" s="184">
        <f t="shared" ref="AF54" si="290">+(AF53-AA53)*10000</f>
        <v>1041.3746708005244</v>
      </c>
      <c r="AG54" s="184">
        <f t="shared" ref="AG54" si="291">+(AG53-AB53)*10000</f>
        <v>-2122.9340577649459</v>
      </c>
      <c r="AH54" s="184">
        <f t="shared" ref="AH54" si="292">+(AH53-AC53)*10000</f>
        <v>-1128.9500299267174</v>
      </c>
      <c r="AI54" s="184">
        <f t="shared" ref="AI54" si="293">+(AI53-AD53)*10000</f>
        <v>-2400.0673795993944</v>
      </c>
      <c r="AJ54" s="282">
        <f t="shared" ref="AJ54" si="294">+(AJ53-AE53)*10000</f>
        <v>-1209.0179965618165</v>
      </c>
      <c r="AK54" s="184">
        <f t="shared" ref="AK54" si="295">+(AK53-AF53)*10000</f>
        <v>-427.94042493927708</v>
      </c>
      <c r="AL54" s="184">
        <f t="shared" ref="AL54" si="296">+(AL53-AG53)*10000</f>
        <v>-2143.6212386579332</v>
      </c>
      <c r="AM54" s="184">
        <f t="shared" ref="AM54" si="297">+(AM53-AH53)*10000</f>
        <v>-3815.9274453304861</v>
      </c>
      <c r="AN54" s="184">
        <f t="shared" ref="AN54" si="298">+(AN53-AI53)*10000</f>
        <v>-1489.8015365730432</v>
      </c>
      <c r="AO54" s="282">
        <f t="shared" ref="AO54" si="299">+(AO53-AJ53)*10000</f>
        <v>-1953.6533509329356</v>
      </c>
      <c r="AP54" s="184">
        <f t="shared" ref="AP54" si="300">+(AP53-AK53)*10000</f>
        <v>-2926.45992213409</v>
      </c>
      <c r="AQ54" s="184">
        <f t="shared" ref="AQ54" si="301">+(AQ53-AL53)*10000</f>
        <v>898.58640811392831</v>
      </c>
      <c r="AR54" s="184">
        <f t="shared" ref="AR54" si="302">+(AR53-AM53)*10000</f>
        <v>3847.1667080665761</v>
      </c>
      <c r="AS54" s="184">
        <f t="shared" ref="AS54" si="303">+(AS53-AN53)*10000</f>
        <v>1546.1330664821537</v>
      </c>
      <c r="AT54" s="282">
        <f t="shared" ref="AT54" si="304">+(AT53-AO53)*10000</f>
        <v>888.70072927898502</v>
      </c>
      <c r="AU54" s="184">
        <f t="shared" ref="AU54" si="305">+(AU53-AP53)*10000</f>
        <v>1343.0287326247692</v>
      </c>
      <c r="AV54" s="184">
        <f t="shared" ref="AV54" si="306">+(AV53-AQ53)*10000</f>
        <v>2918.3706865175977</v>
      </c>
      <c r="AW54" s="184">
        <f t="shared" ref="AW54" si="307">+(AW53-AR53)*10000</f>
        <v>1515.6019593078297</v>
      </c>
      <c r="AX54" s="184">
        <f t="shared" ref="AX54" si="308">+(AX53-AS53)*10000</f>
        <v>3808.457747386251</v>
      </c>
      <c r="AY54" s="282">
        <f t="shared" ref="AY54" si="309">+(AY53-AT53)*10000</f>
        <v>2474.1776678555066</v>
      </c>
      <c r="AZ54" s="184">
        <f t="shared" ref="AZ54" si="310">+(AZ53-AU53)*10000</f>
        <v>3699.8608801426881</v>
      </c>
      <c r="BA54" s="184">
        <f t="shared" ref="BA54" si="311">+(BA53-AV53)*10000</f>
        <v>3238.7525554552894</v>
      </c>
      <c r="BB54" s="184">
        <f t="shared" ref="BB54" si="312">+(BB53-AW53)*10000</f>
        <v>3241.8590523578418</v>
      </c>
      <c r="BC54" s="184">
        <f t="shared" ref="BC54" si="313">+(BC53-AX53)*10000</f>
        <v>1357.3721871460727</v>
      </c>
      <c r="BD54" s="282">
        <f t="shared" ref="BD54" si="314">+(BD53-AY53)*10000</f>
        <v>2812.0931976932029</v>
      </c>
      <c r="BE54" s="184">
        <f t="shared" ref="BE54" si="315">+(BE53-AZ53)*10000</f>
        <v>443.05906022545361</v>
      </c>
      <c r="BF54" s="184">
        <f t="shared" ref="BF54" si="316">+(BF53-BA53)*10000</f>
        <v>-957.1464844519403</v>
      </c>
      <c r="BG54" s="184">
        <f t="shared" ref="BG54:BH54" si="317">+(BG53-BB53)*10000</f>
        <v>-753.19644292718215</v>
      </c>
      <c r="BH54" s="184">
        <f t="shared" si="317"/>
        <v>1017.5205783967273</v>
      </c>
      <c r="BI54" s="282">
        <f t="shared" ref="BI54" si="318">+(BI53-BD53)*10000</f>
        <v>-33.875267290259245</v>
      </c>
      <c r="BJ54" s="340">
        <f t="shared" ref="BJ54" si="319">+(BJ53-BE53)*10000</f>
        <v>86.854861677997945</v>
      </c>
      <c r="BK54" s="184">
        <f t="shared" ref="BK54" si="320">+(BK53-BF53)*10000</f>
        <v>833.31565473980174</v>
      </c>
      <c r="BL54" s="184">
        <f t="shared" ref="BL54" si="321">+(BL53-BG53)*10000</f>
        <v>687.89257852505409</v>
      </c>
      <c r="BM54" s="184">
        <f t="shared" ref="BM54" si="322">+(BM53-BH53)*10000</f>
        <v>-182.19795130358929</v>
      </c>
      <c r="BN54" s="282">
        <f t="shared" ref="BN54" si="323">+(BN53-BI53)*10000</f>
        <v>322.66520208769202</v>
      </c>
      <c r="BO54" s="184">
        <f t="shared" ref="BO54" si="324">+(BO53-BJ53)*10000</f>
        <v>1143.5015009211088</v>
      </c>
      <c r="BP54" s="184">
        <f t="shared" ref="BP54" si="325">+(BP53-BK53)*10000</f>
        <v>682.27233701134787</v>
      </c>
      <c r="BQ54" s="184">
        <f t="shared" ref="BQ54" si="326">+(BQ53-BL53)*10000</f>
        <v>591.53224119607171</v>
      </c>
      <c r="BR54" s="184">
        <f t="shared" ref="BR54" si="327">+(BR53-BM53)*10000</f>
        <v>360.95259924784426</v>
      </c>
      <c r="BS54" s="282">
        <f t="shared" ref="BS54" si="328">+(BS53-BN53)*10000</f>
        <v>678.16367331751451</v>
      </c>
      <c r="BT54" s="184">
        <f t="shared" ref="BT54" si="329">+(BT53-BO53)*10000</f>
        <v>575.3900472364661</v>
      </c>
      <c r="BU54" s="184">
        <f t="shared" ref="BU54" si="330">+(BU53-BP53)*10000</f>
        <v>634.5958890360356</v>
      </c>
      <c r="BV54" s="184">
        <f t="shared" ref="BV54" si="331">+(BV53-BQ53)*10000</f>
        <v>608.79178321792529</v>
      </c>
      <c r="BW54" s="184">
        <f t="shared" ref="BW54" si="332">+(BW53-BR53)*10000</f>
        <v>607.89170421960853</v>
      </c>
      <c r="BX54" s="282">
        <f t="shared" ref="BX54" si="333">+(BX53-BS53)*10000</f>
        <v>606.64456719596365</v>
      </c>
      <c r="BY54" s="184">
        <f t="shared" ref="BY54" si="334">+(BY53-BT53)*10000</f>
        <v>572.21837360922245</v>
      </c>
      <c r="BZ54" s="184">
        <f t="shared" ref="BZ54" si="335">+(BZ53-BU53)*10000</f>
        <v>538.96021159844975</v>
      </c>
      <c r="CA54" s="184">
        <f t="shared" ref="CA54" si="336">+(CA53-BV53)*10000</f>
        <v>544.17902612471289</v>
      </c>
      <c r="CB54" s="184">
        <f t="shared" ref="CB54" si="337">+(CB53-BW53)*10000</f>
        <v>500.54052001986349</v>
      </c>
      <c r="CC54" s="282">
        <f t="shared" ref="CC54" si="338">+(CC53-BX53)*10000</f>
        <v>538.23718945876101</v>
      </c>
      <c r="CD54" s="184">
        <f t="shared" ref="CD54" si="339">+(CD53-BY53)*10000</f>
        <v>484.90051210733753</v>
      </c>
      <c r="CE54" s="184">
        <f t="shared" ref="CE54" si="340">+(CE53-BZ53)*10000</f>
        <v>499.77439305925964</v>
      </c>
      <c r="CF54" s="184">
        <f t="shared" ref="CF54" si="341">+(CF53-CA53)*10000</f>
        <v>470.76657181648318</v>
      </c>
      <c r="CG54" s="184">
        <f t="shared" ref="CG54" si="342">+(CG53-CB53)*10000</f>
        <v>465.48581856711081</v>
      </c>
      <c r="CH54" s="282">
        <f t="shared" ref="CH54" si="343">+(CH53-CC53)*10000</f>
        <v>479.8380428269304</v>
      </c>
      <c r="CI54" s="184">
        <f t="shared" ref="CI54" si="344">+(CI53-CD53)*10000</f>
        <v>388.1301689528263</v>
      </c>
      <c r="CJ54" s="184">
        <f t="shared" ref="CJ54" si="345">+(CJ53-CE53)*10000</f>
        <v>364.27704432820451</v>
      </c>
      <c r="CK54" s="184">
        <f t="shared" ref="CK54" si="346">+(CK53-CF53)*10000</f>
        <v>326.42907820247177</v>
      </c>
      <c r="CL54" s="184">
        <f t="shared" ref="CL54" si="347">+(CL53-CG53)*10000</f>
        <v>290.93834668756676</v>
      </c>
      <c r="CM54" s="282">
        <f t="shared" ref="CM54" si="348">+(CM53-CH53)*10000</f>
        <v>341.46678727780602</v>
      </c>
      <c r="CN54" s="184">
        <f t="shared" ref="CN54" si="349">+(CN53-CI53)*10000</f>
        <v>265.75100071982496</v>
      </c>
      <c r="CO54" s="184">
        <f t="shared" ref="CO54" si="350">+(CO53-CJ53)*10000</f>
        <v>266.28219943834438</v>
      </c>
      <c r="CP54" s="184">
        <f t="shared" ref="CP54" si="351">+(CP53-CK53)*10000</f>
        <v>256.49784590164842</v>
      </c>
      <c r="CQ54" s="184">
        <f t="shared" ref="CQ54" si="352">+(CQ53-CL53)*10000</f>
        <v>246.87431272669397</v>
      </c>
      <c r="CR54" s="282">
        <f t="shared" ref="CR54" si="353">+(CR53-CM53)*10000</f>
        <v>258.67748478138526</v>
      </c>
      <c r="CS54" s="184">
        <f t="shared" ref="CS54" si="354">+(CS53-CN53)*10000</f>
        <v>229.50735782116732</v>
      </c>
      <c r="CT54" s="184">
        <f t="shared" ref="CT54" si="355">+(CT53-CO53)*10000</f>
        <v>233.20924396692118</v>
      </c>
      <c r="CU54" s="184">
        <f t="shared" ref="CU54" si="356">+(CU53-CP53)*10000</f>
        <v>228.43577097204721</v>
      </c>
      <c r="CV54" s="184">
        <f t="shared" ref="CV54" si="357">+(CV53-CQ53)*10000</f>
        <v>222.97471562989639</v>
      </c>
      <c r="CW54" s="282">
        <f t="shared" ref="CW54" si="358">+(CW53-CR53)*10000</f>
        <v>228.45741327039036</v>
      </c>
      <c r="CX54" s="184">
        <f t="shared" ref="CX54" si="359">+(CX53-CS53)*10000</f>
        <v>148.3459374504842</v>
      </c>
      <c r="CY54" s="184">
        <f t="shared" ref="CY54" si="360">+(CY53-CT53)*10000</f>
        <v>133.77843919676445</v>
      </c>
      <c r="CZ54" s="184">
        <f t="shared" ref="CZ54" si="361">+(CZ53-CU53)*10000</f>
        <v>114.03113250083614</v>
      </c>
      <c r="DA54" s="184">
        <f t="shared" ref="DA54" si="362">+(DA53-CV53)*10000</f>
        <v>94.684471798448243</v>
      </c>
      <c r="DB54" s="282">
        <f t="shared" ref="DB54" si="363">+(DB53-CW53)*10000</f>
        <v>122.41640312149943</v>
      </c>
    </row>
    <row r="55" spans="1:106" s="61" customFormat="1" ht="14.2" customHeight="1">
      <c r="A55" s="319" t="s">
        <v>492</v>
      </c>
      <c r="B55" s="183" t="s">
        <v>290</v>
      </c>
      <c r="C55" s="183" t="s">
        <v>290</v>
      </c>
      <c r="D55" s="183" t="s">
        <v>290</v>
      </c>
      <c r="E55" s="183" t="s">
        <v>290</v>
      </c>
      <c r="F55" s="189" t="s">
        <v>290</v>
      </c>
      <c r="G55" s="13">
        <f t="shared" ref="G55:J55" si="364">(G14-B14)/(G7-B7)</f>
        <v>4.9900695134061777E-2</v>
      </c>
      <c r="H55" s="13">
        <f t="shared" si="364"/>
        <v>-1.5422116527942908</v>
      </c>
      <c r="I55" s="13">
        <f t="shared" si="364"/>
        <v>18.861788617886159</v>
      </c>
      <c r="J55" s="13">
        <f t="shared" si="364"/>
        <v>-7.1733817701453289</v>
      </c>
      <c r="K55" s="239">
        <f>(K14-F14)/(K7-F7)</f>
        <v>-1.9475632524303095</v>
      </c>
      <c r="L55" s="13">
        <f t="shared" ref="L55:AY55" si="365">(L14-G14)/(L7-G7)</f>
        <v>-0.23004078247045046</v>
      </c>
      <c r="M55" s="13">
        <f t="shared" si="365"/>
        <v>-1.0211686240394375</v>
      </c>
      <c r="N55" s="13">
        <f t="shared" si="365"/>
        <v>-0.65945584299732329</v>
      </c>
      <c r="O55" s="13">
        <f t="shared" si="365"/>
        <v>5.6365900913368812</v>
      </c>
      <c r="P55" s="239">
        <f t="shared" si="365"/>
        <v>-1.3716830719712545</v>
      </c>
      <c r="Q55" s="13">
        <f t="shared" si="365"/>
        <v>1.828278114792347</v>
      </c>
      <c r="R55" s="13">
        <f t="shared" si="365"/>
        <v>-2.7691365584813381</v>
      </c>
      <c r="S55" s="13">
        <f t="shared" si="365"/>
        <v>0.58258041199855337</v>
      </c>
      <c r="T55" s="13">
        <f t="shared" si="365"/>
        <v>-1.6128526645768153</v>
      </c>
      <c r="U55" s="239">
        <f t="shared" si="365"/>
        <v>6.1188264058679538</v>
      </c>
      <c r="V55" s="13">
        <f t="shared" si="365"/>
        <v>0.42191851803873326</v>
      </c>
      <c r="W55" s="13">
        <f t="shared" si="365"/>
        <v>-1.9149386373253297E-2</v>
      </c>
      <c r="X55" s="13">
        <f t="shared" si="365"/>
        <v>-0.24617346938775392</v>
      </c>
      <c r="Y55" s="13">
        <f t="shared" si="365"/>
        <v>1.1506818181818192</v>
      </c>
      <c r="Z55" s="239">
        <f t="shared" si="365"/>
        <v>0.41526276356630692</v>
      </c>
      <c r="AA55" s="13">
        <f t="shared" si="365"/>
        <v>-0.2740856378233737</v>
      </c>
      <c r="AB55" s="13">
        <f t="shared" si="365"/>
        <v>-0.12564238880028344</v>
      </c>
      <c r="AC55" s="13">
        <f t="shared" si="365"/>
        <v>-0.65848444057328248</v>
      </c>
      <c r="AD55" s="13">
        <f t="shared" si="365"/>
        <v>-0.31238095238095648</v>
      </c>
      <c r="AE55" s="239">
        <f t="shared" si="365"/>
        <v>-0.35920222053095963</v>
      </c>
      <c r="AF55" s="13">
        <f t="shared" si="365"/>
        <v>-0.11497719582168621</v>
      </c>
      <c r="AG55" s="13">
        <f t="shared" si="365"/>
        <v>-1.9001402987538192</v>
      </c>
      <c r="AH55" s="13">
        <f t="shared" si="365"/>
        <v>-1.0030147276860732</v>
      </c>
      <c r="AI55" s="13">
        <f t="shared" si="365"/>
        <v>-1.3438465234401731</v>
      </c>
      <c r="AJ55" s="239">
        <f t="shared" si="365"/>
        <v>-0.96532359010791924</v>
      </c>
      <c r="AK55" s="13">
        <f t="shared" si="365"/>
        <v>-0.48272845773874817</v>
      </c>
      <c r="AL55" s="13">
        <f t="shared" si="365"/>
        <v>-1.1454440724340278</v>
      </c>
      <c r="AM55" s="13">
        <f t="shared" si="365"/>
        <v>-1.5743751354776314</v>
      </c>
      <c r="AN55" s="13">
        <f t="shared" si="365"/>
        <v>-1.0832316570486407</v>
      </c>
      <c r="AO55" s="239">
        <f t="shared" si="365"/>
        <v>-1.0742746747071188</v>
      </c>
      <c r="AP55" s="13">
        <f t="shared" si="365"/>
        <v>-1.7723174785374369</v>
      </c>
      <c r="AQ55" s="13">
        <f t="shared" si="365"/>
        <v>-0.49473065831167484</v>
      </c>
      <c r="AR55" s="13">
        <f t="shared" si="365"/>
        <v>0.59300089488014296</v>
      </c>
      <c r="AS55" s="13">
        <f t="shared" si="365"/>
        <v>-4.7643813314039614E-2</v>
      </c>
      <c r="AT55" s="239">
        <f t="shared" si="365"/>
        <v>-0.37417837482540578</v>
      </c>
      <c r="AU55" s="13">
        <f t="shared" si="365"/>
        <v>-2.458895911639318E-2</v>
      </c>
      <c r="AV55" s="13">
        <f t="shared" si="365"/>
        <v>0.48508005822416284</v>
      </c>
      <c r="AW55" s="13">
        <f t="shared" si="365"/>
        <v>0.13993653435988229</v>
      </c>
      <c r="AX55" s="13">
        <f t="shared" si="365"/>
        <v>0.60985796937764358</v>
      </c>
      <c r="AY55" s="239">
        <f t="shared" si="365"/>
        <v>0.36133166126038296</v>
      </c>
      <c r="AZ55" s="297">
        <f>(AZ14-AU14)/(AZ7-AU7)</f>
        <v>0.50789379688058123</v>
      </c>
      <c r="BA55" s="297">
        <f t="shared" ref="BA55" si="366">(BA14-AV14)/(BA7-AV7)</f>
        <v>0.45097303665093752</v>
      </c>
      <c r="BB55" s="297">
        <f t="shared" ref="BB55" si="367">(BB14-AW14)/(BB7-AW7)</f>
        <v>0.41786622494925663</v>
      </c>
      <c r="BC55" s="297">
        <f t="shared" ref="BC55" si="368">(BC14-AX14)/(BC7-AX7)</f>
        <v>0.12000775964499748</v>
      </c>
      <c r="BD55" s="298">
        <f t="shared" ref="BD55" si="369">(BD14-AY14)/(BD7-AY7)</f>
        <v>0.36453918025848892</v>
      </c>
      <c r="BE55" s="297">
        <f>(BE14-AZ14)/(BE7-AZ7)</f>
        <v>-3.6266957021083436E-2</v>
      </c>
      <c r="BF55" s="297">
        <f t="shared" ref="BF55:BI55" si="370">(BF14-BA14)/(BF7-BA7)</f>
        <v>-0.49884051662676593</v>
      </c>
      <c r="BG55" s="297">
        <f t="shared" si="370"/>
        <v>-0.38207643103165451</v>
      </c>
      <c r="BH55" s="297">
        <f t="shared" si="370"/>
        <v>0.2214644291830081</v>
      </c>
      <c r="BI55" s="298">
        <f t="shared" si="370"/>
        <v>-0.14382257444985397</v>
      </c>
      <c r="BJ55" s="342">
        <f>(BJ14-BE14)/(BJ7-BE7)</f>
        <v>-0.11109167516408566</v>
      </c>
      <c r="BK55" s="297">
        <f t="shared" ref="BK55" si="371">(BK14-BF14)/(BK7-BF7)</f>
        <v>0.31976694418433982</v>
      </c>
      <c r="BL55" s="297">
        <f t="shared" ref="BL55" si="372">(BL14-BG14)/(BL7-BG7)</f>
        <v>0.38667489552247986</v>
      </c>
      <c r="BM55" s="297">
        <f t="shared" ref="BM55" si="373">(BM14-BH14)/(BM7-BH7)</f>
        <v>-0.29590452837568787</v>
      </c>
      <c r="BN55" s="298">
        <f t="shared" ref="BN55" si="374">(BN14-BI14)/(BN7-BI7)</f>
        <v>0.1087834037013975</v>
      </c>
      <c r="BO55" s="297">
        <f>(BO14-BJ14)/(BO7-BJ7)</f>
        <v>0.44941474230834527</v>
      </c>
      <c r="BP55" s="297">
        <f t="shared" ref="BP55" si="375">(BP14-BK14)/(BP7-BK7)</f>
        <v>0.34392908179493259</v>
      </c>
      <c r="BQ55" s="297">
        <f t="shared" ref="BQ55" si="376">(BQ14-BL14)/(BQ7-BL7)</f>
        <v>0.31372066478852262</v>
      </c>
      <c r="BR55" s="297">
        <f t="shared" ref="BR55" si="377">(BR14-BM14)/(BR7-BM7)</f>
        <v>0.24758959114749704</v>
      </c>
      <c r="BS55" s="298">
        <f t="shared" ref="BS55" si="378">(BS14-BN14)/(BS7-BN7)</f>
        <v>0.34922050932862969</v>
      </c>
      <c r="BT55" s="297">
        <f>(BT14-BO14)/(BT7-BO7)</f>
        <v>0.40495551253937084</v>
      </c>
      <c r="BU55" s="297">
        <f t="shared" ref="BU55" si="379">(BU14-BP14)/(BU7-BP7)</f>
        <v>0.40684085130964265</v>
      </c>
      <c r="BV55" s="297">
        <f t="shared" ref="BV55" si="380">(BV14-BQ14)/(BV7-BQ7)</f>
        <v>0.41578840694709301</v>
      </c>
      <c r="BW55" s="297">
        <f t="shared" ref="BW55" si="381">(BW14-BR14)/(BW7-BR7)</f>
        <v>0.43223437165386447</v>
      </c>
      <c r="BX55" s="298">
        <f t="shared" ref="BX55" si="382">(BX14-BS14)/(BX7-BS7)</f>
        <v>0.41528167489852935</v>
      </c>
      <c r="BY55" s="297">
        <f>(BY14-BT14)/(BY7-BT7)</f>
        <v>0.44919263781875018</v>
      </c>
      <c r="BZ55" s="297">
        <f t="shared" ref="BZ55" si="383">(BZ14-BU14)/(BZ7-BU7)</f>
        <v>0.43198055950142983</v>
      </c>
      <c r="CA55" s="297">
        <f t="shared" ref="CA55" si="384">(CA14-BV14)/(CA7-BV7)</f>
        <v>0.43906304656947609</v>
      </c>
      <c r="CB55" s="297">
        <f t="shared" ref="CB55" si="385">(CB14-BW14)/(CB7-BW7)</f>
        <v>0.44059480809638735</v>
      </c>
      <c r="CC55" s="298">
        <f t="shared" ref="CC55" si="386">(CC14-BX14)/(CC7-BX7)</f>
        <v>0.44028102019209442</v>
      </c>
      <c r="CD55" s="297">
        <f>(CD14-BY14)/(CD7-BY7)</f>
        <v>0.47384183255864692</v>
      </c>
      <c r="CE55" s="297">
        <f t="shared" ref="CE55" si="387">(CE14-BZ14)/(CE7-BZ7)</f>
        <v>0.46764141777956708</v>
      </c>
      <c r="CF55" s="297">
        <f t="shared" ref="CF55" si="388">(CF14-CA14)/(CF7-CA7)</f>
        <v>0.46646487789428737</v>
      </c>
      <c r="CG55" s="297">
        <f t="shared" ref="CG55" si="389">(CG14-CB14)/(CG7-CB7)</f>
        <v>0.47759511280261679</v>
      </c>
      <c r="CH55" s="298">
        <f t="shared" ref="CH55" si="390">(CH14-CC14)/(CH7-CC7)</f>
        <v>0.47141448762408139</v>
      </c>
      <c r="CI55" s="297">
        <f>(CI14-CD14)/(CI7-CD7)</f>
        <v>0.4800257658789715</v>
      </c>
      <c r="CJ55" s="297">
        <f t="shared" ref="CJ55" si="391">(CJ14-CE14)/(CJ7-CE7)</f>
        <v>0.45740398838076712</v>
      </c>
      <c r="CK55" s="297">
        <f t="shared" ref="CK55" si="392">(CK14-CF14)/(CK7-CF7)</f>
        <v>0.4451733866643704</v>
      </c>
      <c r="CL55" s="297">
        <f t="shared" ref="CL55" si="393">(CL14-CG14)/(CL7-CG7)</f>
        <v>0.43836019577605972</v>
      </c>
      <c r="CM55" s="298">
        <f t="shared" ref="CM55" si="394">(CM14-CH14)/(CM7-CH7)</f>
        <v>0.45567637094216135</v>
      </c>
      <c r="CN55" s="297">
        <f>(CN14-CI14)/(CN7-CI7)</f>
        <v>0.44589959936745871</v>
      </c>
      <c r="CO55" s="297">
        <f t="shared" ref="CO55" si="395">(CO14-CJ14)/(CO7-CJ7)</f>
        <v>0.43303831237621782</v>
      </c>
      <c r="CP55" s="297">
        <f t="shared" ref="CP55" si="396">(CP14-CK14)/(CP7-CK7)</f>
        <v>0.43191922682680012</v>
      </c>
      <c r="CQ55" s="297">
        <f t="shared" ref="CQ55" si="397">(CQ14-CL14)/(CQ7-CL7)</f>
        <v>0.43645142328365805</v>
      </c>
      <c r="CR55" s="298">
        <f t="shared" ref="CR55" si="398">(CR14-CM14)/(CR7-CM7)</f>
        <v>0.43681802248357438</v>
      </c>
      <c r="CS55" s="297">
        <f>(CS14-CN14)/(CS7-CN7)</f>
        <v>0.44620827912018585</v>
      </c>
      <c r="CT55" s="297">
        <f t="shared" ref="CT55" si="399">(CT14-CO14)/(CT7-CO7)</f>
        <v>0.4356952425598673</v>
      </c>
      <c r="CU55" s="297">
        <f t="shared" ref="CU55" si="400">(CU14-CP14)/(CU7-CP7)</f>
        <v>0.43654434283950194</v>
      </c>
      <c r="CV55" s="297">
        <f t="shared" ref="CV55" si="401">(CV14-CQ14)/(CV7-CQ7)</f>
        <v>0.44290099674335687</v>
      </c>
      <c r="CW55" s="298">
        <f t="shared" ref="CW55" si="402">(CW14-CR14)/(CW7-CR7)</f>
        <v>0.44033378914297516</v>
      </c>
      <c r="CX55" s="297">
        <f>(CX14-CS14)/(CX7-CS7)</f>
        <v>0.40067857465986451</v>
      </c>
      <c r="CY55" s="297">
        <f t="shared" ref="CY55" si="403">(CY14-CT14)/(CY7-CT7)</f>
        <v>0.37376650908461789</v>
      </c>
      <c r="CZ55" s="297">
        <f t="shared" ref="CZ55" si="404">(CZ14-CU14)/(CZ7-CU7)</f>
        <v>0.3577969889118231</v>
      </c>
      <c r="DA55" s="297">
        <f t="shared" ref="DA55" si="405">(DA14-CV14)/(DA7-CV7)</f>
        <v>0.34719235932188752</v>
      </c>
      <c r="DB55" s="298">
        <f t="shared" ref="DB55" si="406">(DB14-CW14)/(DB7-CW7)</f>
        <v>0.37038201754555011</v>
      </c>
    </row>
    <row r="56" spans="1:106" s="207" customFormat="1" ht="14.2" customHeight="1">
      <c r="A56" s="318" t="s">
        <v>9</v>
      </c>
      <c r="B56" s="211">
        <f>B31/B$7</f>
        <v>-0.26678878915552307</v>
      </c>
      <c r="C56" s="211">
        <f t="shared" ref="C56:BN56" si="407">C31/C$7</f>
        <v>3.0779104810804724E-2</v>
      </c>
      <c r="D56" s="211">
        <f t="shared" si="407"/>
        <v>0.13270951290141331</v>
      </c>
      <c r="E56" s="211">
        <f t="shared" si="407"/>
        <v>0.11729211771309421</v>
      </c>
      <c r="F56" s="212">
        <f t="shared" si="407"/>
        <v>3.6493417624569043E-2</v>
      </c>
      <c r="G56" s="211">
        <f t="shared" si="407"/>
        <v>-9.7733740908611727E-2</v>
      </c>
      <c r="H56" s="211">
        <f t="shared" si="407"/>
        <v>-0.3135937188102999</v>
      </c>
      <c r="I56" s="211">
        <f t="shared" si="407"/>
        <v>-0.43080073907526556</v>
      </c>
      <c r="J56" s="211">
        <f t="shared" si="407"/>
        <v>-0.30571514968249192</v>
      </c>
      <c r="K56" s="212">
        <f t="shared" si="407"/>
        <v>-0.2852722544719079</v>
      </c>
      <c r="L56" s="211">
        <f t="shared" si="407"/>
        <v>-0.13587606216277348</v>
      </c>
      <c r="M56" s="211">
        <f t="shared" si="407"/>
        <v>-0.40937596183441044</v>
      </c>
      <c r="N56" s="211">
        <f t="shared" si="407"/>
        <v>-0.46217224294382903</v>
      </c>
      <c r="O56" s="211">
        <f t="shared" si="407"/>
        <v>-0.72443660114809605</v>
      </c>
      <c r="P56" s="212">
        <f t="shared" si="407"/>
        <v>-0.41604245556814723</v>
      </c>
      <c r="Q56" s="211">
        <f t="shared" si="407"/>
        <v>-0.75207351655615007</v>
      </c>
      <c r="R56" s="211">
        <f t="shared" si="407"/>
        <v>-0.469533916481713</v>
      </c>
      <c r="S56" s="211">
        <f t="shared" si="407"/>
        <v>-0.41201284947754885</v>
      </c>
      <c r="T56" s="211">
        <f t="shared" si="407"/>
        <v>-0.80150655630986756</v>
      </c>
      <c r="U56" s="212">
        <f t="shared" si="407"/>
        <v>-0.60151987067351231</v>
      </c>
      <c r="V56" s="211">
        <f t="shared" si="407"/>
        <v>-0.45968880333654144</v>
      </c>
      <c r="W56" s="211">
        <f t="shared" si="407"/>
        <v>-0.40271765843758417</v>
      </c>
      <c r="X56" s="211">
        <f t="shared" si="407"/>
        <v>-0.38711703431372546</v>
      </c>
      <c r="Y56" s="211">
        <f t="shared" si="407"/>
        <v>-0.41514223848278997</v>
      </c>
      <c r="Z56" s="212">
        <f t="shared" si="407"/>
        <v>-0.41577852468814758</v>
      </c>
      <c r="AA56" s="211">
        <f t="shared" si="407"/>
        <v>-0.44633664551658087</v>
      </c>
      <c r="AB56" s="211">
        <f t="shared" si="407"/>
        <v>-0.35779705467016332</v>
      </c>
      <c r="AC56" s="211">
        <f t="shared" si="407"/>
        <v>-0.43015569446405399</v>
      </c>
      <c r="AD56" s="211">
        <f t="shared" si="407"/>
        <v>-0.39646804420951587</v>
      </c>
      <c r="AE56" s="212">
        <f t="shared" si="407"/>
        <v>-0.40666097748141117</v>
      </c>
      <c r="AF56" s="211">
        <f t="shared" si="407"/>
        <v>-0.3515083180870528</v>
      </c>
      <c r="AG56" s="211">
        <f t="shared" si="407"/>
        <v>-0.57186141178647432</v>
      </c>
      <c r="AH56" s="211">
        <f t="shared" si="407"/>
        <v>-0.54612147580571191</v>
      </c>
      <c r="AI56" s="211">
        <f t="shared" si="407"/>
        <v>-0.63686842620441664</v>
      </c>
      <c r="AJ56" s="212">
        <f t="shared" si="407"/>
        <v>-0.53110318282374913</v>
      </c>
      <c r="AK56" s="211">
        <f t="shared" si="407"/>
        <v>-0.39699046718663816</v>
      </c>
      <c r="AL56" s="211">
        <f t="shared" si="407"/>
        <v>-0.79267880528917234</v>
      </c>
      <c r="AM56" s="211">
        <f t="shared" si="407"/>
        <v>-0.93096207847403156</v>
      </c>
      <c r="AN56" s="211">
        <f t="shared" si="407"/>
        <v>-0.78987793883070934</v>
      </c>
      <c r="AO56" s="212">
        <f t="shared" si="407"/>
        <v>-0.73050396012061014</v>
      </c>
      <c r="AP56" s="211">
        <f t="shared" si="407"/>
        <v>-0.6909077797180283</v>
      </c>
      <c r="AQ56" s="211">
        <f t="shared" si="407"/>
        <v>-0.69856710393541888</v>
      </c>
      <c r="AR56" s="211">
        <f t="shared" si="407"/>
        <v>-0.54079292811804203</v>
      </c>
      <c r="AS56" s="211">
        <f t="shared" si="407"/>
        <v>-0.63448437758915965</v>
      </c>
      <c r="AT56" s="212">
        <f t="shared" si="407"/>
        <v>-0.63926351646261648</v>
      </c>
      <c r="AU56" s="211">
        <f t="shared" si="407"/>
        <v>-0.55106801899435787</v>
      </c>
      <c r="AV56" s="211">
        <f t="shared" si="407"/>
        <v>-0.41048338969564363</v>
      </c>
      <c r="AW56" s="211">
        <f t="shared" si="407"/>
        <v>-0.38760594246867375</v>
      </c>
      <c r="AX56" s="211">
        <f t="shared" si="407"/>
        <v>-0.24951382973594141</v>
      </c>
      <c r="AY56" s="212">
        <f t="shared" si="407"/>
        <v>-0.3899494813735081</v>
      </c>
      <c r="AZ56" s="211">
        <f t="shared" si="407"/>
        <v>-0.18287599152664502</v>
      </c>
      <c r="BA56" s="211">
        <f t="shared" si="407"/>
        <v>-8.7061601399295072E-2</v>
      </c>
      <c r="BB56" s="211">
        <f t="shared" si="407"/>
        <v>-7.0807125737337398E-2</v>
      </c>
      <c r="BC56" s="211">
        <f t="shared" si="407"/>
        <v>-0.11962752672451604</v>
      </c>
      <c r="BD56" s="212">
        <f t="shared" si="407"/>
        <v>-0.11274957849881335</v>
      </c>
      <c r="BE56" s="211">
        <f t="shared" si="407"/>
        <v>-0.1393699061435148</v>
      </c>
      <c r="BF56" s="211">
        <f t="shared" si="407"/>
        <v>-0.18388766922795455</v>
      </c>
      <c r="BG56" s="211">
        <f t="shared" si="407"/>
        <v>-0.14739362663230784</v>
      </c>
      <c r="BH56" s="211">
        <f t="shared" si="407"/>
        <v>-1.9259343851740555E-2</v>
      </c>
      <c r="BI56" s="212">
        <f t="shared" si="407"/>
        <v>-0.11732039728032978</v>
      </c>
      <c r="BJ56" s="339">
        <f t="shared" si="407"/>
        <v>-0.12739302634629071</v>
      </c>
      <c r="BK56" s="211">
        <f t="shared" si="407"/>
        <v>-9.7539330510003255E-2</v>
      </c>
      <c r="BL56" s="211">
        <f t="shared" si="407"/>
        <v>-7.528912204692681E-2</v>
      </c>
      <c r="BM56" s="211">
        <f t="shared" si="407"/>
        <v>-3.2471896621415933E-2</v>
      </c>
      <c r="BN56" s="212">
        <f t="shared" si="407"/>
        <v>-8.1295392566327285E-2</v>
      </c>
      <c r="BO56" s="211">
        <f t="shared" ref="BO56:DB56" si="408">BO31/BO$7</f>
        <v>-1.5566334705624194E-2</v>
      </c>
      <c r="BP56" s="211">
        <f t="shared" si="408"/>
        <v>-3.0814145147904485E-2</v>
      </c>
      <c r="BQ56" s="211">
        <f t="shared" si="408"/>
        <v>-1.759176048792532E-2</v>
      </c>
      <c r="BR56" s="211">
        <f t="shared" si="408"/>
        <v>2.6945171831061366E-3</v>
      </c>
      <c r="BS56" s="212">
        <f t="shared" si="408"/>
        <v>-1.5051296757175783E-2</v>
      </c>
      <c r="BT56" s="211">
        <f t="shared" si="408"/>
        <v>4.0820750749748544E-2</v>
      </c>
      <c r="BU56" s="211">
        <f t="shared" si="408"/>
        <v>3.1264561424199151E-2</v>
      </c>
      <c r="BV56" s="211">
        <f t="shared" si="408"/>
        <v>4.1982601513803224E-2</v>
      </c>
      <c r="BW56" s="211">
        <f t="shared" si="408"/>
        <v>6.2138298255879958E-2</v>
      </c>
      <c r="BX56" s="212">
        <f t="shared" si="408"/>
        <v>4.4316611202253726E-2</v>
      </c>
      <c r="BY56" s="211">
        <f t="shared" si="408"/>
        <v>9.6766536941009632E-2</v>
      </c>
      <c r="BZ56" s="211">
        <f t="shared" si="408"/>
        <v>8.3954600805428437E-2</v>
      </c>
      <c r="CA56" s="211">
        <f t="shared" si="408"/>
        <v>9.5137995041918874E-2</v>
      </c>
      <c r="CB56" s="211">
        <f t="shared" si="408"/>
        <v>0.11101292810793872</v>
      </c>
      <c r="CC56" s="212">
        <f t="shared" si="408"/>
        <v>9.6910116825140752E-2</v>
      </c>
      <c r="CD56" s="211">
        <f t="shared" si="408"/>
        <v>0.14417815668396611</v>
      </c>
      <c r="CE56" s="211">
        <f t="shared" si="408"/>
        <v>0.13279071365184281</v>
      </c>
      <c r="CF56" s="211">
        <f t="shared" si="408"/>
        <v>0.14113557467453341</v>
      </c>
      <c r="CG56" s="211">
        <f t="shared" si="408"/>
        <v>0.15647180655395196</v>
      </c>
      <c r="CH56" s="212">
        <f t="shared" si="408"/>
        <v>0.14379722061899985</v>
      </c>
      <c r="CI56" s="211">
        <f t="shared" si="408"/>
        <v>0.18212787770755498</v>
      </c>
      <c r="CJ56" s="211">
        <f t="shared" si="408"/>
        <v>0.16838953936621337</v>
      </c>
      <c r="CK56" s="211">
        <f t="shared" si="408"/>
        <v>0.17302908159647404</v>
      </c>
      <c r="CL56" s="211">
        <f t="shared" si="408"/>
        <v>0.18488111178786037</v>
      </c>
      <c r="CM56" s="212">
        <f t="shared" si="408"/>
        <v>0.17716423435428036</v>
      </c>
      <c r="CN56" s="211">
        <f t="shared" si="408"/>
        <v>0.20807391684328649</v>
      </c>
      <c r="CO56" s="211">
        <f t="shared" si="408"/>
        <v>0.19437271627040617</v>
      </c>
      <c r="CP56" s="211">
        <f t="shared" si="408"/>
        <v>0.19805429267428559</v>
      </c>
      <c r="CQ56" s="211">
        <f t="shared" si="408"/>
        <v>0.20895406780162773</v>
      </c>
      <c r="CR56" s="212">
        <f t="shared" si="408"/>
        <v>0.2024039211581096</v>
      </c>
      <c r="CS56" s="211">
        <f t="shared" si="408"/>
        <v>0.23045198673001802</v>
      </c>
      <c r="CT56" s="211">
        <f t="shared" si="408"/>
        <v>0.21710220366803309</v>
      </c>
      <c r="CU56" s="211">
        <f t="shared" si="408"/>
        <v>0.2203167681785905</v>
      </c>
      <c r="CV56" s="211">
        <f t="shared" si="408"/>
        <v>0.23067438152412559</v>
      </c>
      <c r="CW56" s="212">
        <f t="shared" si="408"/>
        <v>0.22466913129861577</v>
      </c>
      <c r="CX56" s="211">
        <f t="shared" si="408"/>
        <v>0.24485680527393308</v>
      </c>
      <c r="CY56" s="211">
        <f t="shared" si="408"/>
        <v>0.23007130116622587</v>
      </c>
      <c r="CZ56" s="211">
        <f t="shared" si="408"/>
        <v>0.23135284207140216</v>
      </c>
      <c r="DA56" s="211">
        <f t="shared" si="408"/>
        <v>0.23981069177069983</v>
      </c>
      <c r="DB56" s="212">
        <f t="shared" si="408"/>
        <v>0.23652694914693156</v>
      </c>
    </row>
    <row r="57" spans="1:106" s="61" customFormat="1" ht="14.2" customHeight="1">
      <c r="A57" s="319" t="s">
        <v>480</v>
      </c>
      <c r="B57" s="183" t="s">
        <v>290</v>
      </c>
      <c r="C57" s="183" t="s">
        <v>290</v>
      </c>
      <c r="D57" s="183" t="s">
        <v>290</v>
      </c>
      <c r="E57" s="183" t="s">
        <v>290</v>
      </c>
      <c r="F57" s="189" t="s">
        <v>290</v>
      </c>
      <c r="G57" s="184">
        <f>+(G56-B56)*10000</f>
        <v>1690.5504824691134</v>
      </c>
      <c r="H57" s="184">
        <f t="shared" ref="H57" si="409">+(H56-C56)*10000</f>
        <v>-3443.7282362110459</v>
      </c>
      <c r="I57" s="184">
        <f t="shared" ref="I57" si="410">+(I56-D56)*10000</f>
        <v>-5635.1025197667877</v>
      </c>
      <c r="J57" s="184">
        <f t="shared" ref="J57" si="411">+(J56-E56)*10000</f>
        <v>-4230.0726739558613</v>
      </c>
      <c r="K57" s="282">
        <f t="shared" ref="K57" si="412">+(K56-F56)*10000</f>
        <v>-3217.6567209647692</v>
      </c>
      <c r="L57" s="184">
        <f t="shared" ref="L57" si="413">+(L56-G56)*10000</f>
        <v>-381.42321254161754</v>
      </c>
      <c r="M57" s="184">
        <f t="shared" ref="M57" si="414">+(M56-H56)*10000</f>
        <v>-957.82243024110539</v>
      </c>
      <c r="N57" s="184">
        <f t="shared" ref="N57" si="415">+(N56-I56)*10000</f>
        <v>-313.71503868563468</v>
      </c>
      <c r="O57" s="184">
        <f t="shared" ref="O57" si="416">+(O56-J56)*10000</f>
        <v>-4187.2145146560415</v>
      </c>
      <c r="P57" s="282">
        <f t="shared" ref="P57" si="417">+(P56-K56)*10000</f>
        <v>-1307.7020109623932</v>
      </c>
      <c r="Q57" s="184">
        <f t="shared" ref="Q57" si="418">+(Q56-L56)*10000</f>
        <v>-6161.9745439337657</v>
      </c>
      <c r="R57" s="184">
        <f t="shared" ref="R57" si="419">+(R56-M56)*10000</f>
        <v>-601.57954647302563</v>
      </c>
      <c r="S57" s="184">
        <f t="shared" ref="S57" si="420">+(S56-N56)*10000</f>
        <v>501.59393466280176</v>
      </c>
      <c r="T57" s="184">
        <f t="shared" ref="T57" si="421">+(T56-O56)*10000</f>
        <v>-770.69955161771509</v>
      </c>
      <c r="U57" s="282">
        <f t="shared" ref="U57" si="422">+(U56-P56)*10000</f>
        <v>-1854.7741510536509</v>
      </c>
      <c r="V57" s="184">
        <f t="shared" ref="V57" si="423">+(V56-Q56)*10000</f>
        <v>2923.8471321960865</v>
      </c>
      <c r="W57" s="184">
        <f t="shared" ref="W57" si="424">+(W56-R56)*10000</f>
        <v>668.16258044128824</v>
      </c>
      <c r="X57" s="184">
        <f t="shared" ref="X57" si="425">+(X56-S56)*10000</f>
        <v>248.95815163823386</v>
      </c>
      <c r="Y57" s="184">
        <f t="shared" ref="Y57" si="426">+(Y56-T56)*10000</f>
        <v>3863.6431782707759</v>
      </c>
      <c r="Z57" s="282">
        <f t="shared" ref="Z57" si="427">+(Z56-U56)*10000</f>
        <v>1857.4134598536473</v>
      </c>
      <c r="AA57" s="184">
        <f t="shared" ref="AA57" si="428">+(AA56-V56)*10000</f>
        <v>133.52157819960576</v>
      </c>
      <c r="AB57" s="184">
        <f t="shared" ref="AB57" si="429">+(AB56-W56)*10000</f>
        <v>449.20603767420852</v>
      </c>
      <c r="AC57" s="184">
        <f t="shared" ref="AC57" si="430">+(AC56-X56)*10000</f>
        <v>-430.38660150328536</v>
      </c>
      <c r="AD57" s="184">
        <f t="shared" ref="AD57" si="431">+(AD56-Y56)*10000</f>
        <v>186.74194273274102</v>
      </c>
      <c r="AE57" s="282">
        <f t="shared" ref="AE57" si="432">+(AE56-Z56)*10000</f>
        <v>91.175472067364097</v>
      </c>
      <c r="AF57" s="184">
        <f t="shared" ref="AF57" si="433">+(AF56-AA56)*10000</f>
        <v>948.28327429528065</v>
      </c>
      <c r="AG57" s="184">
        <f t="shared" ref="AG57" si="434">+(AG56-AB56)*10000</f>
        <v>-2140.6435711631102</v>
      </c>
      <c r="AH57" s="184">
        <f t="shared" ref="AH57" si="435">+(AH56-AC56)*10000</f>
        <v>-1159.6578134165791</v>
      </c>
      <c r="AI57" s="184">
        <f t="shared" ref="AI57" si="436">+(AI56-AD56)*10000</f>
        <v>-2404.0038199490077</v>
      </c>
      <c r="AJ57" s="282">
        <f t="shared" ref="AJ57" si="437">+(AJ56-AE56)*10000</f>
        <v>-1244.4220534233796</v>
      </c>
      <c r="AK57" s="184">
        <f t="shared" ref="AK57" si="438">+(AK56-AF56)*10000</f>
        <v>-454.82149099585365</v>
      </c>
      <c r="AL57" s="184">
        <f t="shared" ref="AL57" si="439">+(AL56-AG56)*10000</f>
        <v>-2208.1739350269804</v>
      </c>
      <c r="AM57" s="184">
        <f t="shared" ref="AM57" si="440">+(AM56-AH56)*10000</f>
        <v>-3848.4060266831966</v>
      </c>
      <c r="AN57" s="184">
        <f t="shared" ref="AN57" si="441">+(AN56-AI56)*10000</f>
        <v>-1530.0951262629269</v>
      </c>
      <c r="AO57" s="282">
        <f t="shared" ref="AO57" si="442">+(AO56-AJ56)*10000</f>
        <v>-1994.0077729686102</v>
      </c>
      <c r="AP57" s="184">
        <f t="shared" ref="AP57" si="443">+(AP56-AK56)*10000</f>
        <v>-2939.1731253139014</v>
      </c>
      <c r="AQ57" s="184">
        <f t="shared" ref="AQ57" si="444">+(AQ56-AL56)*10000</f>
        <v>941.1170135375346</v>
      </c>
      <c r="AR57" s="184">
        <f t="shared" ref="AR57" si="445">+(AR56-AM56)*10000</f>
        <v>3901.6915035598954</v>
      </c>
      <c r="AS57" s="184">
        <f t="shared" ref="AS57" si="446">+(AS56-AN56)*10000</f>
        <v>1553.9356124154967</v>
      </c>
      <c r="AT57" s="282">
        <f t="shared" ref="AT57" si="447">+(AT56-AO56)*10000</f>
        <v>912.4044365799366</v>
      </c>
      <c r="AU57" s="184">
        <f t="shared" ref="AU57" si="448">+(AU56-AP56)*10000</f>
        <v>1398.3976072367043</v>
      </c>
      <c r="AV57" s="184">
        <f t="shared" ref="AV57" si="449">+(AV56-AQ56)*10000</f>
        <v>2880.8371423977524</v>
      </c>
      <c r="AW57" s="184">
        <f t="shared" ref="AW57" si="450">+(AW56-AR56)*10000</f>
        <v>1531.8698564936828</v>
      </c>
      <c r="AX57" s="184">
        <f t="shared" ref="AX57" si="451">+(AX56-AS56)*10000</f>
        <v>3849.7054785321825</v>
      </c>
      <c r="AY57" s="282">
        <f t="shared" ref="AY57" si="452">+(AY56-AT56)*10000</f>
        <v>2493.1403508910839</v>
      </c>
      <c r="AZ57" s="184">
        <f t="shared" ref="AZ57" si="453">+(AZ56-AU56)*10000</f>
        <v>3681.9202746771284</v>
      </c>
      <c r="BA57" s="184">
        <f t="shared" ref="BA57" si="454">+(BA56-AV56)*10000</f>
        <v>3234.2178829634854</v>
      </c>
      <c r="BB57" s="184">
        <f t="shared" ref="BB57" si="455">+(BB56-AW56)*10000</f>
        <v>3167.9881673133636</v>
      </c>
      <c r="BC57" s="184">
        <f t="shared" ref="BC57" si="456">+(BC56-AX56)*10000</f>
        <v>1298.8630301142537</v>
      </c>
      <c r="BD57" s="282">
        <f t="shared" ref="BD57" si="457">+(BD56-AY56)*10000</f>
        <v>2771.9990287469477</v>
      </c>
      <c r="BE57" s="184">
        <f t="shared" ref="BE57" si="458">+(BE56-AZ56)*10000</f>
        <v>435.06085383130221</v>
      </c>
      <c r="BF57" s="184">
        <f t="shared" ref="BF57" si="459">+(BF56-BA56)*10000</f>
        <v>-968.26067828659473</v>
      </c>
      <c r="BG57" s="184">
        <f t="shared" ref="BG57:BH57" si="460">+(BG56-BB56)*10000</f>
        <v>-765.86500894970447</v>
      </c>
      <c r="BH57" s="184">
        <f t="shared" si="460"/>
        <v>1003.6818287277549</v>
      </c>
      <c r="BI57" s="282">
        <f t="shared" ref="BI57" si="461">+(BI56-BD56)*10000</f>
        <v>-45.708187815164251</v>
      </c>
      <c r="BJ57" s="340">
        <f t="shared" ref="BJ57" si="462">+(BJ56-BE56)*10000</f>
        <v>119.76879797224088</v>
      </c>
      <c r="BK57" s="184">
        <f t="shared" ref="BK57" si="463">+(BK56-BF56)*10000</f>
        <v>863.48338717951287</v>
      </c>
      <c r="BL57" s="184">
        <f t="shared" ref="BL57" si="464">+(BL56-BG56)*10000</f>
        <v>721.04504585381039</v>
      </c>
      <c r="BM57" s="184">
        <f t="shared" ref="BM57" si="465">+(BM56-BH56)*10000</f>
        <v>-132.12552769675378</v>
      </c>
      <c r="BN57" s="282">
        <f t="shared" ref="BN57" si="466">+(BN56-BI56)*10000</f>
        <v>360.25004714002495</v>
      </c>
      <c r="BO57" s="184">
        <f t="shared" ref="BO57" si="467">+(BO56-BJ56)*10000</f>
        <v>1118.2669164066651</v>
      </c>
      <c r="BP57" s="184">
        <f t="shared" ref="BP57" si="468">+(BP56-BK56)*10000</f>
        <v>667.25185362098773</v>
      </c>
      <c r="BQ57" s="184">
        <f t="shared" ref="BQ57" si="469">+(BQ56-BL56)*10000</f>
        <v>576.9736155900149</v>
      </c>
      <c r="BR57" s="184">
        <f t="shared" ref="BR57" si="470">+(BR56-BM56)*10000</f>
        <v>351.66413804522068</v>
      </c>
      <c r="BS57" s="282">
        <f t="shared" ref="BS57" si="471">+(BS56-BN56)*10000</f>
        <v>662.44095809151497</v>
      </c>
      <c r="BT57" s="184">
        <f t="shared" ref="BT57" si="472">+(BT56-BO56)*10000</f>
        <v>563.87085455372733</v>
      </c>
      <c r="BU57" s="184">
        <f t="shared" ref="BU57" si="473">+(BU56-BP56)*10000</f>
        <v>620.78706572103636</v>
      </c>
      <c r="BV57" s="184">
        <f t="shared" ref="BV57" si="474">+(BV56-BQ56)*10000</f>
        <v>595.74362001728537</v>
      </c>
      <c r="BW57" s="184">
        <f t="shared" ref="BW57" si="475">+(BW56-BR56)*10000</f>
        <v>594.43781072773822</v>
      </c>
      <c r="BX57" s="282">
        <f t="shared" ref="BX57" si="476">+(BX56-BS56)*10000</f>
        <v>593.6790795942951</v>
      </c>
      <c r="BY57" s="184">
        <f t="shared" ref="BY57" si="477">+(BY56-BT56)*10000</f>
        <v>559.45786191261084</v>
      </c>
      <c r="BZ57" s="184">
        <f t="shared" ref="BZ57" si="478">+(BZ56-BU56)*10000</f>
        <v>526.9003938122928</v>
      </c>
      <c r="CA57" s="184">
        <f t="shared" ref="CA57" si="479">+(CA56-BV56)*10000</f>
        <v>531.55393528115655</v>
      </c>
      <c r="CB57" s="184">
        <f t="shared" ref="CB57" si="480">+(CB56-BW56)*10000</f>
        <v>488.74629852058769</v>
      </c>
      <c r="CC57" s="282">
        <f t="shared" ref="CC57" si="481">+(CC56-BX56)*10000</f>
        <v>525.93505622887028</v>
      </c>
      <c r="CD57" s="184">
        <f t="shared" ref="CD57" si="482">+(CD56-BY56)*10000</f>
        <v>474.11619742956475</v>
      </c>
      <c r="CE57" s="184">
        <f t="shared" ref="CE57" si="483">+(CE56-BZ56)*10000</f>
        <v>488.36112846414369</v>
      </c>
      <c r="CF57" s="184">
        <f t="shared" ref="CF57" si="484">+(CF56-CA56)*10000</f>
        <v>459.97579632614543</v>
      </c>
      <c r="CG57" s="184">
        <f t="shared" ref="CG57" si="485">+(CG56-CB56)*10000</f>
        <v>454.58878446013233</v>
      </c>
      <c r="CH57" s="282">
        <f t="shared" ref="CH57" si="486">+(CH56-CC56)*10000</f>
        <v>468.87103793859103</v>
      </c>
      <c r="CI57" s="184">
        <f t="shared" ref="CI57" si="487">+(CI56-CD56)*10000</f>
        <v>379.4972102358887</v>
      </c>
      <c r="CJ57" s="184">
        <f t="shared" ref="CJ57" si="488">+(CJ56-CE56)*10000</f>
        <v>355.98825714370565</v>
      </c>
      <c r="CK57" s="184">
        <f t="shared" ref="CK57" si="489">+(CK56-CF56)*10000</f>
        <v>318.93506921940622</v>
      </c>
      <c r="CL57" s="184">
        <f t="shared" ref="CL57" si="490">+(CL56-CG56)*10000</f>
        <v>284.09305233908418</v>
      </c>
      <c r="CM57" s="282">
        <f t="shared" ref="CM57" si="491">+(CM56-CH56)*10000</f>
        <v>333.67013735280506</v>
      </c>
      <c r="CN57" s="184">
        <f t="shared" ref="CN57" si="492">+(CN56-CI56)*10000</f>
        <v>259.46039135731513</v>
      </c>
      <c r="CO57" s="184">
        <f t="shared" ref="CO57" si="493">+(CO56-CJ56)*10000</f>
        <v>259.831769041928</v>
      </c>
      <c r="CP57" s="184">
        <f t="shared" ref="CP57" si="494">+(CP56-CK56)*10000</f>
        <v>250.25211077811554</v>
      </c>
      <c r="CQ57" s="184">
        <f t="shared" ref="CQ57" si="495">+(CQ56-CL56)*10000</f>
        <v>240.72956013767356</v>
      </c>
      <c r="CR57" s="282">
        <f t="shared" ref="CR57" si="496">+(CR56-CM56)*10000</f>
        <v>252.39686803829235</v>
      </c>
      <c r="CS57" s="184">
        <f t="shared" ref="CS57" si="497">+(CS56-CN56)*10000</f>
        <v>223.78069886731521</v>
      </c>
      <c r="CT57" s="184">
        <f t="shared" ref="CT57" si="498">+(CT56-CO56)*10000</f>
        <v>227.29487397626923</v>
      </c>
      <c r="CU57" s="184">
        <f t="shared" ref="CU57" si="499">+(CU56-CP56)*10000</f>
        <v>222.62475504304908</v>
      </c>
      <c r="CV57" s="184">
        <f t="shared" ref="CV57" si="500">+(CV56-CQ56)*10000</f>
        <v>217.20313722497858</v>
      </c>
      <c r="CW57" s="282">
        <f t="shared" ref="CW57" si="501">+(CW56-CR56)*10000</f>
        <v>222.6521014050617</v>
      </c>
      <c r="CX57" s="184">
        <f t="shared" ref="CX57" si="502">+(CX56-CS56)*10000</f>
        <v>144.04818543915064</v>
      </c>
      <c r="CY57" s="184">
        <f t="shared" ref="CY57" si="503">+(CY56-CT56)*10000</f>
        <v>129.69097498192778</v>
      </c>
      <c r="CZ57" s="184">
        <f t="shared" ref="CZ57" si="504">+(CZ56-CU56)*10000</f>
        <v>110.36073892811665</v>
      </c>
      <c r="DA57" s="184">
        <f t="shared" ref="DA57" si="505">+(DA56-CV56)*10000</f>
        <v>91.363102465742415</v>
      </c>
      <c r="DB57" s="282">
        <f t="shared" ref="DB57" si="506">+(DB56-CW56)*10000</f>
        <v>118.578178483158</v>
      </c>
    </row>
    <row r="58" spans="1:106" s="207" customFormat="1" ht="14.2" customHeight="1" collapsed="1">
      <c r="A58" s="318" t="s">
        <v>202</v>
      </c>
      <c r="B58" s="136">
        <f>B7/B18</f>
        <v>-2.8384983361064884</v>
      </c>
      <c r="C58" s="136">
        <f t="shared" ref="C58:BN58" si="507">C7/C18</f>
        <v>-69.719844357976413</v>
      </c>
      <c r="D58" s="136">
        <f t="shared" si="507"/>
        <v>12.425886143931256</v>
      </c>
      <c r="E58" s="136">
        <f t="shared" si="507"/>
        <v>39.779904306220395</v>
      </c>
      <c r="F58" s="210">
        <f t="shared" si="507"/>
        <v>-30.917895962732782</v>
      </c>
      <c r="G58" s="136">
        <f t="shared" si="507"/>
        <v>-4.7416033586565387</v>
      </c>
      <c r="H58" s="136">
        <f t="shared" si="507"/>
        <v>-2.2908896905645046</v>
      </c>
      <c r="I58" s="136">
        <f t="shared" si="507"/>
        <v>-2.5479863868406123</v>
      </c>
      <c r="J58" s="136">
        <f t="shared" si="507"/>
        <v>-2.3045296167247371</v>
      </c>
      <c r="K58" s="210">
        <f t="shared" si="507"/>
        <v>-2.7087157595161857</v>
      </c>
      <c r="L58" s="136">
        <f t="shared" si="507"/>
        <v>-7.1274611398963694</v>
      </c>
      <c r="M58" s="136">
        <f t="shared" si="507"/>
        <v>-2.244947313871136</v>
      </c>
      <c r="N58" s="136">
        <f t="shared" si="507"/>
        <v>-2.0795322991433203</v>
      </c>
      <c r="O58" s="136">
        <f t="shared" si="507"/>
        <v>-1.3018643709728535</v>
      </c>
      <c r="P58" s="210">
        <f t="shared" si="507"/>
        <v>-2.2701023812262742</v>
      </c>
      <c r="Q58" s="136">
        <f t="shared" si="507"/>
        <v>-1.3059252659130145</v>
      </c>
      <c r="R58" s="136">
        <f t="shared" si="507"/>
        <v>-1.9378704640740201</v>
      </c>
      <c r="S58" s="136">
        <f t="shared" si="507"/>
        <v>-2.1017175501724963</v>
      </c>
      <c r="T58" s="136">
        <f t="shared" si="507"/>
        <v>-1.1863153946294205</v>
      </c>
      <c r="U58" s="210">
        <f t="shared" si="507"/>
        <v>-1.5526203444722506</v>
      </c>
      <c r="V58" s="136">
        <f t="shared" si="507"/>
        <v>-1.9024077634349539</v>
      </c>
      <c r="W58" s="136">
        <f t="shared" si="507"/>
        <v>-1.8708730088101808</v>
      </c>
      <c r="X58" s="136">
        <f t="shared" si="507"/>
        <v>-2.2130313919587774</v>
      </c>
      <c r="Y58" s="136">
        <f t="shared" si="507"/>
        <v>-2.1021817611050047</v>
      </c>
      <c r="Z58" s="210">
        <f t="shared" si="507"/>
        <v>-2.0155515398997133</v>
      </c>
      <c r="AA58" s="136">
        <f t="shared" si="507"/>
        <v>-1.964429549930917</v>
      </c>
      <c r="AB58" s="136">
        <f t="shared" si="507"/>
        <v>-2.4361914747223228</v>
      </c>
      <c r="AC58" s="136">
        <f t="shared" si="507"/>
        <v>-2.0786265040954097</v>
      </c>
      <c r="AD58" s="136">
        <f t="shared" si="507"/>
        <v>-2.3649742875813211</v>
      </c>
      <c r="AE58" s="210">
        <f t="shared" si="507"/>
        <v>-2.2032999067164161</v>
      </c>
      <c r="AF58" s="136">
        <f t="shared" si="507"/>
        <v>-2.6595377521287729</v>
      </c>
      <c r="AG58" s="136">
        <f t="shared" si="507"/>
        <v>-1.4503371238804466</v>
      </c>
      <c r="AH58" s="136">
        <f t="shared" si="507"/>
        <v>-1.6834711310851149</v>
      </c>
      <c r="AI58" s="136">
        <f t="shared" si="507"/>
        <v>-1.4713784434901029</v>
      </c>
      <c r="AJ58" s="210">
        <f t="shared" si="507"/>
        <v>-1.7026497419930759</v>
      </c>
      <c r="AK58" s="136">
        <f t="shared" si="507"/>
        <v>-2.3904329948680938</v>
      </c>
      <c r="AL58" s="136">
        <f t="shared" si="507"/>
        <v>-1.2266461687279762</v>
      </c>
      <c r="AM58" s="136">
        <f t="shared" si="507"/>
        <v>-1.0471188932523625</v>
      </c>
      <c r="AN58" s="136">
        <f t="shared" si="507"/>
        <v>-1.230692632687028</v>
      </c>
      <c r="AO58" s="210">
        <f t="shared" si="507"/>
        <v>-1.3277194978539497</v>
      </c>
      <c r="AP58" s="136">
        <f t="shared" si="507"/>
        <v>-1.4025329441683043</v>
      </c>
      <c r="AQ58" s="136">
        <f t="shared" si="507"/>
        <v>-1.3672925950965105</v>
      </c>
      <c r="AR58" s="136">
        <f t="shared" si="507"/>
        <v>-1.7365678717177129</v>
      </c>
      <c r="AS58" s="136">
        <f t="shared" si="507"/>
        <v>-1.5283077269401752</v>
      </c>
      <c r="AT58" s="210">
        <f t="shared" si="507"/>
        <v>-1.4999826268559542</v>
      </c>
      <c r="AU58" s="136">
        <f t="shared" si="507"/>
        <v>-1.7675193928803821</v>
      </c>
      <c r="AV58" s="136">
        <f t="shared" si="507"/>
        <v>-2.3531889994148618</v>
      </c>
      <c r="AW58" s="136">
        <f t="shared" si="507"/>
        <v>-2.4654133127503957</v>
      </c>
      <c r="AX58" s="136">
        <f t="shared" si="507"/>
        <v>-3.9967240493319602</v>
      </c>
      <c r="AY58" s="210">
        <f t="shared" si="507"/>
        <v>-2.4913607806135363</v>
      </c>
      <c r="AZ58" s="136">
        <f t="shared" si="507"/>
        <v>-5.4746989028003181</v>
      </c>
      <c r="BA58" s="136">
        <f t="shared" si="507"/>
        <v>-11.30238980640927</v>
      </c>
      <c r="BB58" s="136">
        <f t="shared" si="507"/>
        <v>-14.24917374117036</v>
      </c>
      <c r="BC58" s="136">
        <f t="shared" si="507"/>
        <v>-8.6358705511011422</v>
      </c>
      <c r="BD58" s="210">
        <f t="shared" si="507"/>
        <v>-8.9437730260210575</v>
      </c>
      <c r="BE58" s="136">
        <f t="shared" si="507"/>
        <v>-7.5165885295747623</v>
      </c>
      <c r="BF58" s="136">
        <f t="shared" si="507"/>
        <v>-5.4299991059277017</v>
      </c>
      <c r="BG58" s="136">
        <f t="shared" si="507"/>
        <v>-6.7804366992225544</v>
      </c>
      <c r="BH58" s="136">
        <f t="shared" si="507"/>
        <v>-49.93996698183998</v>
      </c>
      <c r="BI58" s="210">
        <f t="shared" si="507"/>
        <v>-8.6020426052542316</v>
      </c>
      <c r="BJ58" s="336">
        <f t="shared" si="507"/>
        <v>-7.4586531985427893</v>
      </c>
      <c r="BK58" s="136">
        <f t="shared" si="507"/>
        <v>-9.6724434249759526</v>
      </c>
      <c r="BL58" s="136">
        <f t="shared" si="507"/>
        <v>-12.214822744131126</v>
      </c>
      <c r="BM58" s="136">
        <f t="shared" si="507"/>
        <v>-25.413528480758803</v>
      </c>
      <c r="BN58" s="210">
        <f t="shared" si="507"/>
        <v>-11.389681306099845</v>
      </c>
      <c r="BO58" s="136">
        <f t="shared" ref="BO58:DB58" si="508">BO7/BO18</f>
        <v>-37.927954283261307</v>
      </c>
      <c r="BP58" s="136">
        <f t="shared" si="508"/>
        <v>-22.973881747124032</v>
      </c>
      <c r="BQ58" s="136">
        <f t="shared" si="508"/>
        <v>-33.027901606037958</v>
      </c>
      <c r="BR58" s="136">
        <f t="shared" si="508"/>
        <v>-100.72460152562954</v>
      </c>
      <c r="BS58" s="210">
        <f t="shared" si="508"/>
        <v>-36.673098960926829</v>
      </c>
      <c r="BT58" s="136">
        <f t="shared" si="508"/>
        <v>34.587939622559347</v>
      </c>
      <c r="BU58" s="136">
        <f t="shared" si="508"/>
        <v>51.177865967400095</v>
      </c>
      <c r="BV58" s="136">
        <f t="shared" si="508"/>
        <v>32.738604950561921</v>
      </c>
      <c r="BW58" s="136">
        <f t="shared" si="508"/>
        <v>19.577170581680228</v>
      </c>
      <c r="BX58" s="210">
        <f t="shared" si="508"/>
        <v>30.494332677970267</v>
      </c>
      <c r="BY58" s="136">
        <f t="shared" si="508"/>
        <v>11.544633802721679</v>
      </c>
      <c r="BZ58" s="136">
        <f t="shared" si="508"/>
        <v>13.470349257629321</v>
      </c>
      <c r="CA58" s="136">
        <f t="shared" si="508"/>
        <v>11.631893902345581</v>
      </c>
      <c r="CB58" s="136">
        <f t="shared" si="508"/>
        <v>9.7643948281570481</v>
      </c>
      <c r="CC58" s="210">
        <f t="shared" si="508"/>
        <v>11.426397533648853</v>
      </c>
      <c r="CD58" s="136">
        <f t="shared" si="508"/>
        <v>7.3231084318165989</v>
      </c>
      <c r="CE58" s="136">
        <f t="shared" si="508"/>
        <v>7.9445355943825868</v>
      </c>
      <c r="CF58" s="136">
        <f t="shared" si="508"/>
        <v>7.4114919996959374</v>
      </c>
      <c r="CG58" s="136">
        <f t="shared" si="508"/>
        <v>6.6215589008334552</v>
      </c>
      <c r="CH58" s="210">
        <f t="shared" si="508"/>
        <v>7.2851501411196704</v>
      </c>
      <c r="CI58" s="136">
        <f t="shared" si="508"/>
        <v>5.6296012806771341</v>
      </c>
      <c r="CJ58" s="136">
        <f t="shared" si="508"/>
        <v>6.0683071032828275</v>
      </c>
      <c r="CK58" s="136">
        <f t="shared" si="508"/>
        <v>5.8744315602652888</v>
      </c>
      <c r="CL58" s="136">
        <f t="shared" si="508"/>
        <v>5.4663616490436473</v>
      </c>
      <c r="CM58" s="210">
        <f t="shared" si="508"/>
        <v>5.7480679110309474</v>
      </c>
      <c r="CN58" s="136">
        <f t="shared" si="508"/>
        <v>4.8298209267349188</v>
      </c>
      <c r="CO58" s="136">
        <f t="shared" si="508"/>
        <v>5.1441880028761631</v>
      </c>
      <c r="CP58" s="136">
        <f t="shared" si="508"/>
        <v>5.0265054636327759</v>
      </c>
      <c r="CQ58" s="136">
        <f t="shared" si="508"/>
        <v>4.7441687940720429</v>
      </c>
      <c r="CR58" s="210">
        <f t="shared" si="508"/>
        <v>4.9297380250341769</v>
      </c>
      <c r="CS58" s="136">
        <f t="shared" si="508"/>
        <v>4.2891529827536621</v>
      </c>
      <c r="CT58" s="136">
        <f t="shared" si="508"/>
        <v>4.5253406935247646</v>
      </c>
      <c r="CU58" s="136">
        <f t="shared" si="508"/>
        <v>4.4420696266874335</v>
      </c>
      <c r="CV58" s="136">
        <f t="shared" si="508"/>
        <v>4.2285222408146508</v>
      </c>
      <c r="CW58" s="210">
        <f t="shared" si="508"/>
        <v>4.3671060785460867</v>
      </c>
      <c r="CX58" s="136">
        <f t="shared" si="508"/>
        <v>3.9757259469670085</v>
      </c>
      <c r="CY58" s="136">
        <f t="shared" si="508"/>
        <v>4.2011235494398615</v>
      </c>
      <c r="CZ58" s="136">
        <f t="shared" si="508"/>
        <v>4.1619596030804544</v>
      </c>
      <c r="DA58" s="136">
        <f t="shared" si="508"/>
        <v>4.0035660101292825</v>
      </c>
      <c r="DB58" s="210">
        <f t="shared" si="508"/>
        <v>4.0829476250070549</v>
      </c>
    </row>
    <row r="59" spans="1:106" s="61" customFormat="1" ht="14.2" customHeight="1">
      <c r="A59" s="321" t="s">
        <v>203</v>
      </c>
      <c r="B59" s="112">
        <f>+B19/B18</f>
        <v>0</v>
      </c>
      <c r="C59" s="112">
        <f t="shared" ref="C59:BN59" si="509">+C19/C18</f>
        <v>0</v>
      </c>
      <c r="D59" s="112">
        <f t="shared" si="509"/>
        <v>0</v>
      </c>
      <c r="E59" s="112">
        <f t="shared" si="509"/>
        <v>0</v>
      </c>
      <c r="F59" s="194">
        <f t="shared" si="509"/>
        <v>0</v>
      </c>
      <c r="G59" s="112">
        <f t="shared" si="509"/>
        <v>0</v>
      </c>
      <c r="H59" s="112">
        <f t="shared" si="509"/>
        <v>0</v>
      </c>
      <c r="I59" s="112">
        <f t="shared" si="509"/>
        <v>0</v>
      </c>
      <c r="J59" s="112">
        <f t="shared" si="509"/>
        <v>0</v>
      </c>
      <c r="K59" s="194">
        <f t="shared" si="509"/>
        <v>0</v>
      </c>
      <c r="L59" s="112">
        <f t="shared" si="509"/>
        <v>0</v>
      </c>
      <c r="M59" s="112">
        <f t="shared" si="509"/>
        <v>0</v>
      </c>
      <c r="N59" s="112">
        <f t="shared" si="509"/>
        <v>-3.9746854981863077E-3</v>
      </c>
      <c r="O59" s="112">
        <f t="shared" si="509"/>
        <v>-1.0298933136157176E-3</v>
      </c>
      <c r="P59" s="194">
        <f t="shared" si="509"/>
        <v>-1.484998379051065E-3</v>
      </c>
      <c r="Q59" s="112">
        <f t="shared" si="509"/>
        <v>-1.3086818510887118E-3</v>
      </c>
      <c r="R59" s="112">
        <f t="shared" si="509"/>
        <v>-2.3131415353476936E-3</v>
      </c>
      <c r="S59" s="112">
        <f t="shared" si="509"/>
        <v>-6.0095707979374545E-3</v>
      </c>
      <c r="T59" s="112">
        <f t="shared" si="509"/>
        <v>-3.9937335892853186E-3</v>
      </c>
      <c r="U59" s="194">
        <f t="shared" si="509"/>
        <v>-3.3416752539378769E-3</v>
      </c>
      <c r="V59" s="112">
        <f t="shared" si="509"/>
        <v>-3.1737312704080076E-3</v>
      </c>
      <c r="W59" s="112">
        <f t="shared" si="509"/>
        <v>-3.3520215953249683E-3</v>
      </c>
      <c r="X59" s="112">
        <f t="shared" si="509"/>
        <v>-4.0002712048274464E-3</v>
      </c>
      <c r="Y59" s="112">
        <f t="shared" si="509"/>
        <v>4.3949144561293194E-4</v>
      </c>
      <c r="Z59" s="194">
        <f t="shared" si="509"/>
        <v>-2.5110886860200423E-3</v>
      </c>
      <c r="AA59" s="112">
        <f t="shared" si="509"/>
        <v>-2.1753828967869008E-3</v>
      </c>
      <c r="AB59" s="112">
        <f t="shared" si="509"/>
        <v>-6.2088398152092009E-2</v>
      </c>
      <c r="AC59" s="112">
        <f t="shared" si="509"/>
        <v>-1.1739281235826158E-3</v>
      </c>
      <c r="AD59" s="112">
        <f t="shared" si="509"/>
        <v>3.9776117282722275E-4</v>
      </c>
      <c r="AE59" s="194">
        <f t="shared" si="509"/>
        <v>-1.4568271921641783E-2</v>
      </c>
      <c r="AF59" s="112">
        <f t="shared" si="509"/>
        <v>-6.5065489829981037E-4</v>
      </c>
      <c r="AG59" s="112">
        <f t="shared" si="509"/>
        <v>-2.515849854080708E-4</v>
      </c>
      <c r="AH59" s="112">
        <f t="shared" si="509"/>
        <v>-4.2883117774194672E-4</v>
      </c>
      <c r="AI59" s="112">
        <f t="shared" si="509"/>
        <v>-4.5825913899654369E-4</v>
      </c>
      <c r="AJ59" s="194">
        <f t="shared" si="509"/>
        <v>-4.2674562912321188E-4</v>
      </c>
      <c r="AK59" s="112">
        <f t="shared" si="509"/>
        <v>-2.1029834115412994E-3</v>
      </c>
      <c r="AL59" s="112">
        <f t="shared" si="509"/>
        <v>-2.0900988046707661E-3</v>
      </c>
      <c r="AM59" s="112">
        <f t="shared" si="509"/>
        <v>-1.8013125740889134E-3</v>
      </c>
      <c r="AN59" s="112">
        <f t="shared" si="509"/>
        <v>2.1338037185086154E-4</v>
      </c>
      <c r="AO59" s="194">
        <f t="shared" si="509"/>
        <v>-1.311828961277696E-3</v>
      </c>
      <c r="AP59" s="112">
        <f t="shared" si="509"/>
        <v>-1.2932030979077563E-3</v>
      </c>
      <c r="AQ59" s="112">
        <f t="shared" si="509"/>
        <v>-1.3314201354875203E-3</v>
      </c>
      <c r="AR59" s="112">
        <f t="shared" si="509"/>
        <v>-1.5252071396182857E-3</v>
      </c>
      <c r="AS59" s="112">
        <f t="shared" si="509"/>
        <v>-2.9616185491586453E-3</v>
      </c>
      <c r="AT59" s="194">
        <f t="shared" si="509"/>
        <v>-1.7885194606644583E-3</v>
      </c>
      <c r="AU59" s="112">
        <f t="shared" si="509"/>
        <v>-1.1697873180432385E-3</v>
      </c>
      <c r="AV59" s="112">
        <f t="shared" si="509"/>
        <v>2.5385965701939951E-3</v>
      </c>
      <c r="AW59" s="112">
        <f t="shared" si="509"/>
        <v>-1.856139963979859E-3</v>
      </c>
      <c r="AX59" s="112">
        <f t="shared" si="509"/>
        <v>-2.4537512846865344E-3</v>
      </c>
      <c r="AY59" s="194">
        <f t="shared" si="509"/>
        <v>-6.2366234782408592E-4</v>
      </c>
      <c r="AZ59" s="112">
        <f t="shared" si="509"/>
        <v>-6.3717973530243738E-3</v>
      </c>
      <c r="BA59" s="112">
        <f t="shared" si="509"/>
        <v>-2.4390243902439015E-2</v>
      </c>
      <c r="BB59" s="112">
        <f t="shared" si="509"/>
        <v>-2.3653684142310914E-2</v>
      </c>
      <c r="BC59" s="112">
        <f t="shared" si="509"/>
        <v>2.4580052969560715E-2</v>
      </c>
      <c r="BD59" s="194">
        <f t="shared" si="509"/>
        <v>-3.6630808882048816E-3</v>
      </c>
      <c r="BE59" s="112">
        <f t="shared" si="509"/>
        <v>-2.5912556356065476E-3</v>
      </c>
      <c r="BF59" s="112">
        <f t="shared" si="509"/>
        <v>-2.7318875853094E-3</v>
      </c>
      <c r="BG59" s="112">
        <f t="shared" si="509"/>
        <v>-2.3701294983798399E-3</v>
      </c>
      <c r="BH59" s="112">
        <f t="shared" si="509"/>
        <v>4.5463004652558876</v>
      </c>
      <c r="BI59" s="194">
        <f t="shared" si="509"/>
        <v>0.22354143586644748</v>
      </c>
      <c r="BJ59" s="337">
        <f t="shared" si="509"/>
        <v>0</v>
      </c>
      <c r="BK59" s="112">
        <f t="shared" si="509"/>
        <v>0</v>
      </c>
      <c r="BL59" s="112">
        <f t="shared" si="509"/>
        <v>0</v>
      </c>
      <c r="BM59" s="112">
        <f t="shared" si="509"/>
        <v>0</v>
      </c>
      <c r="BN59" s="194">
        <f t="shared" si="509"/>
        <v>0</v>
      </c>
      <c r="BO59" s="112">
        <f t="shared" ref="BO59:DB59" si="510">+BO19/BO18</f>
        <v>0</v>
      </c>
      <c r="BP59" s="112">
        <f t="shared" si="510"/>
        <v>0</v>
      </c>
      <c r="BQ59" s="112">
        <f t="shared" si="510"/>
        <v>0</v>
      </c>
      <c r="BR59" s="112">
        <f t="shared" si="510"/>
        <v>0</v>
      </c>
      <c r="BS59" s="194">
        <f t="shared" si="510"/>
        <v>0</v>
      </c>
      <c r="BT59" s="112">
        <f t="shared" si="510"/>
        <v>0</v>
      </c>
      <c r="BU59" s="112">
        <f t="shared" si="510"/>
        <v>0</v>
      </c>
      <c r="BV59" s="112">
        <f t="shared" si="510"/>
        <v>0</v>
      </c>
      <c r="BW59" s="112">
        <f t="shared" si="510"/>
        <v>0</v>
      </c>
      <c r="BX59" s="194">
        <f t="shared" si="510"/>
        <v>0</v>
      </c>
      <c r="BY59" s="112">
        <f t="shared" si="510"/>
        <v>0</v>
      </c>
      <c r="BZ59" s="112">
        <f t="shared" si="510"/>
        <v>0</v>
      </c>
      <c r="CA59" s="112">
        <f t="shared" si="510"/>
        <v>0</v>
      </c>
      <c r="CB59" s="112">
        <f t="shared" si="510"/>
        <v>0</v>
      </c>
      <c r="CC59" s="194">
        <f t="shared" si="510"/>
        <v>0</v>
      </c>
      <c r="CD59" s="112">
        <f t="shared" si="510"/>
        <v>0</v>
      </c>
      <c r="CE59" s="112">
        <f t="shared" si="510"/>
        <v>0</v>
      </c>
      <c r="CF59" s="112">
        <f t="shared" si="510"/>
        <v>0</v>
      </c>
      <c r="CG59" s="112">
        <f t="shared" si="510"/>
        <v>0</v>
      </c>
      <c r="CH59" s="194">
        <f t="shared" si="510"/>
        <v>0</v>
      </c>
      <c r="CI59" s="112">
        <f t="shared" si="510"/>
        <v>0</v>
      </c>
      <c r="CJ59" s="112">
        <f t="shared" si="510"/>
        <v>0</v>
      </c>
      <c r="CK59" s="112">
        <f t="shared" si="510"/>
        <v>0</v>
      </c>
      <c r="CL59" s="112">
        <f t="shared" si="510"/>
        <v>0</v>
      </c>
      <c r="CM59" s="194">
        <f t="shared" si="510"/>
        <v>0</v>
      </c>
      <c r="CN59" s="112">
        <f t="shared" si="510"/>
        <v>0</v>
      </c>
      <c r="CO59" s="112">
        <f t="shared" si="510"/>
        <v>0</v>
      </c>
      <c r="CP59" s="112">
        <f t="shared" si="510"/>
        <v>0</v>
      </c>
      <c r="CQ59" s="112">
        <f t="shared" si="510"/>
        <v>0</v>
      </c>
      <c r="CR59" s="194">
        <f t="shared" si="510"/>
        <v>0</v>
      </c>
      <c r="CS59" s="112">
        <f t="shared" si="510"/>
        <v>0</v>
      </c>
      <c r="CT59" s="112">
        <f t="shared" si="510"/>
        <v>0</v>
      </c>
      <c r="CU59" s="112">
        <f t="shared" si="510"/>
        <v>0</v>
      </c>
      <c r="CV59" s="112">
        <f t="shared" si="510"/>
        <v>0</v>
      </c>
      <c r="CW59" s="194">
        <f t="shared" si="510"/>
        <v>0</v>
      </c>
      <c r="CX59" s="112">
        <f t="shared" si="510"/>
        <v>0</v>
      </c>
      <c r="CY59" s="112">
        <f t="shared" si="510"/>
        <v>0</v>
      </c>
      <c r="CZ59" s="112">
        <f t="shared" si="510"/>
        <v>0</v>
      </c>
      <c r="DA59" s="112">
        <f t="shared" si="510"/>
        <v>0</v>
      </c>
      <c r="DB59" s="194">
        <f t="shared" si="510"/>
        <v>0</v>
      </c>
    </row>
    <row r="60" spans="1:106" s="207" customFormat="1" ht="14.2" customHeight="1">
      <c r="A60" s="318" t="s">
        <v>474</v>
      </c>
      <c r="B60" s="136">
        <f>+B21/B7</f>
        <v>-0.35229895585272036</v>
      </c>
      <c r="C60" s="136">
        <f t="shared" ref="C60:BN60" si="511">+C21/C7</f>
        <v>-1.4343118651635277E-2</v>
      </c>
      <c r="D60" s="136">
        <f t="shared" si="511"/>
        <v>8.0477157799196092E-2</v>
      </c>
      <c r="E60" s="136">
        <f t="shared" si="511"/>
        <v>2.5138320904498246E-2</v>
      </c>
      <c r="F60" s="210">
        <f t="shared" si="511"/>
        <v>-3.2343727438806341E-2</v>
      </c>
      <c r="G60" s="136">
        <f t="shared" si="511"/>
        <v>-0.21089912511858327</v>
      </c>
      <c r="H60" s="136">
        <f t="shared" si="511"/>
        <v>-0.4365116330649631</v>
      </c>
      <c r="I60" s="136">
        <f t="shared" si="511"/>
        <v>-0.39246677500500887</v>
      </c>
      <c r="J60" s="136">
        <f t="shared" si="511"/>
        <v>-0.43392803144844294</v>
      </c>
      <c r="K60" s="210">
        <f t="shared" si="511"/>
        <v>-0.36917863990964261</v>
      </c>
      <c r="L60" s="136">
        <f t="shared" si="511"/>
        <v>-0.14030241349229433</v>
      </c>
      <c r="M60" s="136">
        <f t="shared" si="511"/>
        <v>-0.44544475223145563</v>
      </c>
      <c r="N60" s="136">
        <f t="shared" si="511"/>
        <v>-0.48278869528104068</v>
      </c>
      <c r="O60" s="136">
        <f t="shared" si="511"/>
        <v>-0.76892026207428121</v>
      </c>
      <c r="P60" s="210">
        <f t="shared" si="511"/>
        <v>-0.44116292140007551</v>
      </c>
      <c r="Q60" s="136">
        <f t="shared" si="511"/>
        <v>-0.76674271337498123</v>
      </c>
      <c r="R60" s="136">
        <f t="shared" si="511"/>
        <v>-0.51722401477143454</v>
      </c>
      <c r="S60" s="136">
        <f t="shared" si="511"/>
        <v>-0.47866068907088405</v>
      </c>
      <c r="T60" s="136">
        <f t="shared" si="511"/>
        <v>-0.84631265693294944</v>
      </c>
      <c r="U60" s="210">
        <f t="shared" si="511"/>
        <v>-0.64622473795741908</v>
      </c>
      <c r="V60" s="136">
        <f t="shared" si="511"/>
        <v>-0.52731793391081161</v>
      </c>
      <c r="W60" s="136">
        <f t="shared" si="511"/>
        <v>-0.53630151104346024</v>
      </c>
      <c r="X60" s="136">
        <f t="shared" si="511"/>
        <v>-0.45367647058823518</v>
      </c>
      <c r="Y60" s="136">
        <f t="shared" si="511"/>
        <v>-0.47548719480325596</v>
      </c>
      <c r="Z60" s="210">
        <f t="shared" si="511"/>
        <v>-0.49738796991313933</v>
      </c>
      <c r="AA60" s="136">
        <f t="shared" si="511"/>
        <v>-0.51016101999281682</v>
      </c>
      <c r="AB60" s="136">
        <f t="shared" si="511"/>
        <v>-0.43596261179476825</v>
      </c>
      <c r="AC60" s="136">
        <f t="shared" si="511"/>
        <v>-0.48165167053870506</v>
      </c>
      <c r="AD60" s="136">
        <f t="shared" si="511"/>
        <v>-0.42266938971648366</v>
      </c>
      <c r="AE60" s="210">
        <f t="shared" si="511"/>
        <v>-0.46047670080177855</v>
      </c>
      <c r="AF60" s="136">
        <f t="shared" si="511"/>
        <v>-0.3762498404459006</v>
      </c>
      <c r="AG60" s="136">
        <f t="shared" si="511"/>
        <v>-0.68966833194560107</v>
      </c>
      <c r="AH60" s="136">
        <f t="shared" si="511"/>
        <v>-0.5942655105305521</v>
      </c>
      <c r="AI60" s="136">
        <f t="shared" si="511"/>
        <v>-0.67994625282528542</v>
      </c>
      <c r="AJ60" s="210">
        <f t="shared" si="511"/>
        <v>-0.58757049142594098</v>
      </c>
      <c r="AK60" s="136">
        <f t="shared" si="511"/>
        <v>-0.41921400246855206</v>
      </c>
      <c r="AL60" s="136">
        <f t="shared" si="511"/>
        <v>-0.81693492740765772</v>
      </c>
      <c r="AM60" s="136">
        <f t="shared" si="511"/>
        <v>-0.95672164739811272</v>
      </c>
      <c r="AN60" s="136">
        <f t="shared" si="511"/>
        <v>-0.8123771875072241</v>
      </c>
      <c r="AO60" s="210">
        <f t="shared" si="511"/>
        <v>-0.75415916583264841</v>
      </c>
      <c r="AP60" s="136">
        <f t="shared" si="511"/>
        <v>-0.71391777801816281</v>
      </c>
      <c r="AQ60" s="136">
        <f t="shared" si="511"/>
        <v>-0.7323461150353181</v>
      </c>
      <c r="AR60" s="136">
        <f t="shared" si="511"/>
        <v>-0.57672678589231718</v>
      </c>
      <c r="AS60" s="136">
        <f t="shared" si="511"/>
        <v>-0.65625632905565945</v>
      </c>
      <c r="AT60" s="210">
        <f t="shared" si="511"/>
        <v>-0.66786674827059034</v>
      </c>
      <c r="AU60" s="136">
        <f t="shared" si="511"/>
        <v>-0.56642647959099246</v>
      </c>
      <c r="AV60" s="136">
        <f t="shared" si="511"/>
        <v>-0.42387645177579542</v>
      </c>
      <c r="AW60" s="136">
        <f t="shared" si="511"/>
        <v>-0.40636437500465872</v>
      </c>
      <c r="AX60" s="136">
        <f t="shared" si="511"/>
        <v>-0.25081885537037352</v>
      </c>
      <c r="AY60" s="210">
        <f t="shared" si="511"/>
        <v>-0.40163739837848972</v>
      </c>
      <c r="AZ60" s="136">
        <f t="shared" si="511"/>
        <v>-0.18382230972341937</v>
      </c>
      <c r="BA60" s="136">
        <f t="shared" si="511"/>
        <v>-9.0634835769116365E-2</v>
      </c>
      <c r="BB60" s="136">
        <f t="shared" si="511"/>
        <v>-7.1839511731452352E-2</v>
      </c>
      <c r="BC60" s="136">
        <f t="shared" si="511"/>
        <v>-0.11294981105362512</v>
      </c>
      <c r="BD60" s="210">
        <f t="shared" si="511"/>
        <v>-0.11221920301064692</v>
      </c>
      <c r="BE60" s="136">
        <f t="shared" si="511"/>
        <v>-0.13338381523623544</v>
      </c>
      <c r="BF60" s="136">
        <f t="shared" si="511"/>
        <v>-0.18466520307354548</v>
      </c>
      <c r="BG60" s="136">
        <f t="shared" si="511"/>
        <v>-0.14783268010057693</v>
      </c>
      <c r="BH60" s="136">
        <f t="shared" si="511"/>
        <v>7.101126972201352E-2</v>
      </c>
      <c r="BI60" s="210">
        <f t="shared" si="511"/>
        <v>-9.0264440641026608E-2</v>
      </c>
      <c r="BJ60" s="336">
        <f t="shared" si="511"/>
        <v>-0.13407246233078271</v>
      </c>
      <c r="BK60" s="136">
        <f t="shared" si="511"/>
        <v>-0.10338649254001568</v>
      </c>
      <c r="BL60" s="136">
        <f t="shared" si="511"/>
        <v>-8.1867745520946791E-2</v>
      </c>
      <c r="BM60" s="136">
        <f t="shared" si="511"/>
        <v>-3.9349120715650492E-2</v>
      </c>
      <c r="BN60" s="210">
        <f t="shared" si="511"/>
        <v>-8.7798769177539759E-2</v>
      </c>
      <c r="BO60" s="136">
        <f t="shared" ref="BO60:DB60" si="512">+BO21/BO7</f>
        <v>-2.6365777403431663E-2</v>
      </c>
      <c r="BP60" s="136">
        <f t="shared" si="512"/>
        <v>-4.3527689878754779E-2</v>
      </c>
      <c r="BQ60" s="136">
        <f t="shared" si="512"/>
        <v>-3.0277430638136156E-2</v>
      </c>
      <c r="BR60" s="136">
        <f t="shared" si="512"/>
        <v>-9.9280611176758883E-3</v>
      </c>
      <c r="BS60" s="210">
        <f t="shared" si="512"/>
        <v>-2.7267943760778027E-2</v>
      </c>
      <c r="BT60" s="136">
        <f t="shared" si="512"/>
        <v>2.8911811773482118E-2</v>
      </c>
      <c r="BU60" s="136">
        <f t="shared" si="512"/>
        <v>1.9539697115096444E-2</v>
      </c>
      <c r="BV60" s="136">
        <f t="shared" si="512"/>
        <v>3.0544978978489925E-2</v>
      </c>
      <c r="BW60" s="136">
        <f t="shared" si="512"/>
        <v>5.1079904311390742E-2</v>
      </c>
      <c r="BX60" s="210">
        <f t="shared" si="512"/>
        <v>3.2792978635089808E-2</v>
      </c>
      <c r="BY60" s="136">
        <f t="shared" si="512"/>
        <v>8.6620330890378475E-2</v>
      </c>
      <c r="BZ60" s="136">
        <f t="shared" si="512"/>
        <v>7.4237124878823849E-2</v>
      </c>
      <c r="CA60" s="136">
        <f t="shared" si="512"/>
        <v>8.5970522805262975E-2</v>
      </c>
      <c r="CB60" s="136">
        <f t="shared" si="512"/>
        <v>0.10241290091182662</v>
      </c>
      <c r="CC60" s="210">
        <f t="shared" si="512"/>
        <v>8.7516647049532909E-2</v>
      </c>
      <c r="CD60" s="136">
        <f t="shared" si="512"/>
        <v>0.13655403430260776</v>
      </c>
      <c r="CE60" s="136">
        <f t="shared" si="512"/>
        <v>0.12587268168413507</v>
      </c>
      <c r="CF60" s="136">
        <f t="shared" si="512"/>
        <v>0.1349255993315551</v>
      </c>
      <c r="CG60" s="136">
        <f t="shared" si="512"/>
        <v>0.15102183866009711</v>
      </c>
      <c r="CH60" s="210">
        <f t="shared" si="512"/>
        <v>0.13726553065196098</v>
      </c>
      <c r="CI60" s="136">
        <f t="shared" si="512"/>
        <v>0.17763247344574268</v>
      </c>
      <c r="CJ60" s="136">
        <f t="shared" si="512"/>
        <v>0.16479060518526176</v>
      </c>
      <c r="CK60" s="136">
        <f t="shared" si="512"/>
        <v>0.17022923660631431</v>
      </c>
      <c r="CL60" s="136">
        <f t="shared" si="512"/>
        <v>0.18293703640609882</v>
      </c>
      <c r="CM60" s="210">
        <f t="shared" si="512"/>
        <v>0.1739715005943005</v>
      </c>
      <c r="CN60" s="136">
        <f t="shared" si="512"/>
        <v>0.20704701378566953</v>
      </c>
      <c r="CO60" s="136">
        <f t="shared" si="512"/>
        <v>0.19439413945230827</v>
      </c>
      <c r="CP60" s="136">
        <f t="shared" si="512"/>
        <v>0.19894537213479443</v>
      </c>
      <c r="CQ60" s="136">
        <f t="shared" si="512"/>
        <v>0.21078508025463277</v>
      </c>
      <c r="CR60" s="210">
        <f t="shared" si="512"/>
        <v>0.20285053585440116</v>
      </c>
      <c r="CS60" s="136">
        <f t="shared" si="512"/>
        <v>0.23314626547966913</v>
      </c>
      <c r="CT60" s="136">
        <f t="shared" si="512"/>
        <v>0.22097783741031554</v>
      </c>
      <c r="CU60" s="136">
        <f t="shared" si="512"/>
        <v>0.22512028942367704</v>
      </c>
      <c r="CV60" s="136">
        <f t="shared" si="512"/>
        <v>0.23648923738600081</v>
      </c>
      <c r="CW60" s="210">
        <f t="shared" si="512"/>
        <v>0.22898459117185535</v>
      </c>
      <c r="CX60" s="136">
        <f t="shared" si="512"/>
        <v>0.25152639124003939</v>
      </c>
      <c r="CY60" s="136">
        <f t="shared" si="512"/>
        <v>0.23803156185047941</v>
      </c>
      <c r="CZ60" s="136">
        <f t="shared" si="512"/>
        <v>0.24027143349970403</v>
      </c>
      <c r="DA60" s="136">
        <f t="shared" si="512"/>
        <v>0.24977732288413254</v>
      </c>
      <c r="DB60" s="210">
        <f t="shared" si="512"/>
        <v>0.24492109422987571</v>
      </c>
    </row>
    <row r="61" spans="1:106" s="207" customFormat="1" ht="14.2" customHeight="1">
      <c r="A61" s="318" t="s">
        <v>475</v>
      </c>
      <c r="B61" s="136">
        <f>+B23/B7</f>
        <v>-0.35229895585272036</v>
      </c>
      <c r="C61" s="136">
        <f t="shared" ref="C61:BN61" si="513">+C23/C7</f>
        <v>-1.4343118651635277E-2</v>
      </c>
      <c r="D61" s="136">
        <f t="shared" si="513"/>
        <v>3.7169901024333351E-3</v>
      </c>
      <c r="E61" s="136">
        <f t="shared" si="513"/>
        <v>9.634351695934551E-2</v>
      </c>
      <c r="F61" s="210">
        <f t="shared" si="513"/>
        <v>-3.2343727438806341E-2</v>
      </c>
      <c r="G61" s="136">
        <f t="shared" si="513"/>
        <v>-0.21089912511858327</v>
      </c>
      <c r="H61" s="136">
        <f t="shared" si="513"/>
        <v>-0.4365116330649631</v>
      </c>
      <c r="I61" s="136">
        <f t="shared" si="513"/>
        <v>-0.39166536809064806</v>
      </c>
      <c r="J61" s="136">
        <f t="shared" si="513"/>
        <v>-0.46136982159056578</v>
      </c>
      <c r="K61" s="210">
        <f t="shared" si="513"/>
        <v>-0.37661737280344632</v>
      </c>
      <c r="L61" s="136">
        <f t="shared" si="513"/>
        <v>-0.11104649284352693</v>
      </c>
      <c r="M61" s="136">
        <f t="shared" si="513"/>
        <v>-0.43490304709141253</v>
      </c>
      <c r="N61" s="136">
        <f t="shared" si="513"/>
        <v>-0.49408970290782911</v>
      </c>
      <c r="O61" s="136">
        <f t="shared" si="513"/>
        <v>-0.79040142802085211</v>
      </c>
      <c r="P61" s="210">
        <f t="shared" si="513"/>
        <v>-0.4379796751338253</v>
      </c>
      <c r="Q61" s="136">
        <f t="shared" si="513"/>
        <v>-0.76247841197415822</v>
      </c>
      <c r="R61" s="136">
        <f t="shared" si="513"/>
        <v>-0.51606766510621649</v>
      </c>
      <c r="S61" s="136">
        <f t="shared" si="513"/>
        <v>-0.47747811352725233</v>
      </c>
      <c r="T61" s="136">
        <f t="shared" si="513"/>
        <v>-0.85319445736073707</v>
      </c>
      <c r="U61" s="210">
        <f t="shared" si="513"/>
        <v>-0.64641910694561</v>
      </c>
      <c r="V61" s="136">
        <f t="shared" si="513"/>
        <v>-0.52953160089829954</v>
      </c>
      <c r="W61" s="136">
        <f t="shared" si="513"/>
        <v>-0.53557215113605727</v>
      </c>
      <c r="X61" s="136">
        <f t="shared" si="513"/>
        <v>-0.45422794117647047</v>
      </c>
      <c r="Y61" s="136">
        <f t="shared" si="513"/>
        <v>-0.47038004927947485</v>
      </c>
      <c r="Z61" s="210">
        <f t="shared" si="513"/>
        <v>-0.49655739868195331</v>
      </c>
      <c r="AA61" s="136">
        <f t="shared" si="513"/>
        <v>-0.50588112055548895</v>
      </c>
      <c r="AB61" s="136">
        <f t="shared" si="513"/>
        <v>-0.42169322843117468</v>
      </c>
      <c r="AC61" s="136">
        <f t="shared" si="513"/>
        <v>-0.48084303482267737</v>
      </c>
      <c r="AD61" s="136">
        <f t="shared" si="513"/>
        <v>-0.4219365689572333</v>
      </c>
      <c r="AE61" s="210">
        <f t="shared" si="513"/>
        <v>-0.45561112434177481</v>
      </c>
      <c r="AF61" s="136">
        <f t="shared" si="513"/>
        <v>-0.32575628643151944</v>
      </c>
      <c r="AG61" s="136">
        <f t="shared" si="513"/>
        <v>-0.68846563049310772</v>
      </c>
      <c r="AH61" s="136">
        <f t="shared" si="513"/>
        <v>-0.60037903874957954</v>
      </c>
      <c r="AI61" s="136">
        <f t="shared" si="513"/>
        <v>-0.68805282172667181</v>
      </c>
      <c r="AJ61" s="210">
        <f t="shared" si="513"/>
        <v>-0.57902840117134069</v>
      </c>
      <c r="AK61" s="136">
        <f t="shared" si="513"/>
        <v>-0.42618634943144501</v>
      </c>
      <c r="AL61" s="136">
        <f t="shared" si="513"/>
        <v>-0.82225789644149661</v>
      </c>
      <c r="AM61" s="136">
        <f t="shared" si="513"/>
        <v>-0.96272989450782953</v>
      </c>
      <c r="AN61" s="136">
        <f t="shared" si="513"/>
        <v>-0.83421180386989369</v>
      </c>
      <c r="AO61" s="210">
        <f t="shared" si="513"/>
        <v>-0.76462462788935315</v>
      </c>
      <c r="AP61" s="136">
        <f t="shared" si="513"/>
        <v>-0.7737581967002003</v>
      </c>
      <c r="AQ61" s="136">
        <f t="shared" si="513"/>
        <v>-0.74492431886982868</v>
      </c>
      <c r="AR61" s="136">
        <f t="shared" si="513"/>
        <v>-0.59197576873958524</v>
      </c>
      <c r="AS61" s="136">
        <f t="shared" si="513"/>
        <v>-0.64131055180159491</v>
      </c>
      <c r="AT61" s="210">
        <f t="shared" si="513"/>
        <v>-0.68502673666397651</v>
      </c>
      <c r="AU61" s="136">
        <f t="shared" si="513"/>
        <v>-0.54754794089908831</v>
      </c>
      <c r="AV61" s="136">
        <f t="shared" si="513"/>
        <v>-0.41394928922281232</v>
      </c>
      <c r="AW61" s="136">
        <f t="shared" si="513"/>
        <v>-0.39217535202343579</v>
      </c>
      <c r="AX61" s="136">
        <f t="shared" si="513"/>
        <v>-0.24339049517044106</v>
      </c>
      <c r="AY61" s="210">
        <f t="shared" si="513"/>
        <v>-0.38937307576131269</v>
      </c>
      <c r="AZ61" s="136">
        <f t="shared" si="513"/>
        <v>-0.18139397021273115</v>
      </c>
      <c r="BA61" s="136">
        <f t="shared" si="513"/>
        <v>-8.8617180072142115E-2</v>
      </c>
      <c r="BB61" s="136">
        <f t="shared" si="513"/>
        <v>-7.0491042800813225E-2</v>
      </c>
      <c r="BC61" s="136">
        <f t="shared" si="513"/>
        <v>-0.11206547060145618</v>
      </c>
      <c r="BD61" s="210">
        <f t="shared" si="513"/>
        <v>-0.11060391499613112</v>
      </c>
      <c r="BE61" s="136">
        <f t="shared" si="513"/>
        <v>-0.13309088735229066</v>
      </c>
      <c r="BF61" s="136">
        <f t="shared" si="513"/>
        <v>-0.18482985729967061</v>
      </c>
      <c r="BG61" s="136">
        <f t="shared" si="513"/>
        <v>-0.14766381338201193</v>
      </c>
      <c r="BH61" s="136">
        <f t="shared" si="513"/>
        <v>7.0904583020285503E-2</v>
      </c>
      <c r="BI61" s="210">
        <f t="shared" si="513"/>
        <v>-9.0227148452829406E-2</v>
      </c>
      <c r="BJ61" s="336">
        <f t="shared" si="513"/>
        <v>-0.13391026497689112</v>
      </c>
      <c r="BK61" s="136">
        <f t="shared" si="513"/>
        <v>-0.10323276648714079</v>
      </c>
      <c r="BL61" s="136">
        <f t="shared" si="513"/>
        <v>-8.1719943726447419E-2</v>
      </c>
      <c r="BM61" s="136">
        <f t="shared" si="513"/>
        <v>-3.9209320576118839E-2</v>
      </c>
      <c r="BN61" s="210">
        <f t="shared" si="513"/>
        <v>-8.7648332686015851E-2</v>
      </c>
      <c r="BO61" s="136">
        <f t="shared" ref="BO61:DB61" si="514">+BO23/BO7</f>
        <v>-2.6234569376540104E-2</v>
      </c>
      <c r="BP61" s="136">
        <f t="shared" si="514"/>
        <v>-4.3396640152912641E-2</v>
      </c>
      <c r="BQ61" s="136">
        <f t="shared" si="514"/>
        <v>-3.0150968483190616E-2</v>
      </c>
      <c r="BR61" s="136">
        <f t="shared" si="514"/>
        <v>-9.8050786781617907E-3</v>
      </c>
      <c r="BS61" s="210">
        <f t="shared" si="514"/>
        <v>-2.7140111159820301E-2</v>
      </c>
      <c r="BT61" s="136">
        <f t="shared" si="514"/>
        <v>2.9025849818913461E-2</v>
      </c>
      <c r="BU61" s="136">
        <f t="shared" si="514"/>
        <v>1.9652557339024865E-2</v>
      </c>
      <c r="BV61" s="136">
        <f t="shared" si="514"/>
        <v>3.0654431448168058E-2</v>
      </c>
      <c r="BW61" s="136">
        <f t="shared" si="514"/>
        <v>5.1186221488483889E-2</v>
      </c>
      <c r="BX61" s="210">
        <f t="shared" si="514"/>
        <v>3.290356224808607E-2</v>
      </c>
      <c r="BY61" s="136">
        <f t="shared" si="514"/>
        <v>8.671906511280672E-2</v>
      </c>
      <c r="BZ61" s="136">
        <f t="shared" si="514"/>
        <v>7.4335463955106734E-2</v>
      </c>
      <c r="CA61" s="136">
        <f t="shared" si="514"/>
        <v>8.6065623559806903E-2</v>
      </c>
      <c r="CB61" s="136">
        <f t="shared" si="514"/>
        <v>0.1025057854268772</v>
      </c>
      <c r="CC61" s="210">
        <f t="shared" si="514"/>
        <v>8.7612851035123493E-2</v>
      </c>
      <c r="CD61" s="136">
        <f t="shared" si="514"/>
        <v>0.13664061169069538</v>
      </c>
      <c r="CE61" s="136">
        <f t="shared" si="514"/>
        <v>0.12595875390611</v>
      </c>
      <c r="CF61" s="136">
        <f t="shared" si="514"/>
        <v>0.13500916132174279</v>
      </c>
      <c r="CG61" s="136">
        <f t="shared" si="514"/>
        <v>0.15110343769018017</v>
      </c>
      <c r="CH61" s="210">
        <f t="shared" si="514"/>
        <v>0.13734993536009985</v>
      </c>
      <c r="CI61" s="136">
        <f t="shared" si="514"/>
        <v>0.17770949129234376</v>
      </c>
      <c r="CJ61" s="136">
        <f t="shared" si="514"/>
        <v>0.1648674674340897</v>
      </c>
      <c r="CK61" s="136">
        <f t="shared" si="514"/>
        <v>0.17030426466164267</v>
      </c>
      <c r="CL61" s="136">
        <f t="shared" si="514"/>
        <v>0.18301065099478475</v>
      </c>
      <c r="CM61" s="210">
        <f t="shared" si="514"/>
        <v>0.17404710509499235</v>
      </c>
      <c r="CN61" s="136">
        <f t="shared" si="514"/>
        <v>0.20711668443567038</v>
      </c>
      <c r="CO61" s="136">
        <f t="shared" si="514"/>
        <v>0.19446368271924111</v>
      </c>
      <c r="CP61" s="136">
        <f t="shared" si="514"/>
        <v>0.19901336979910317</v>
      </c>
      <c r="CQ61" s="136">
        <f t="shared" si="514"/>
        <v>0.21085187112724871</v>
      </c>
      <c r="CR61" s="210">
        <f t="shared" si="514"/>
        <v>0.20291901578198435</v>
      </c>
      <c r="CS61" s="136">
        <f t="shared" si="514"/>
        <v>0.23320959872092833</v>
      </c>
      <c r="CT61" s="136">
        <f t="shared" si="514"/>
        <v>0.22104103734410901</v>
      </c>
      <c r="CU61" s="136">
        <f t="shared" si="514"/>
        <v>0.22518214044898349</v>
      </c>
      <c r="CV61" s="136">
        <f t="shared" si="514"/>
        <v>0.23655002535926642</v>
      </c>
      <c r="CW61" s="210">
        <f t="shared" si="514"/>
        <v>0.22904686658992271</v>
      </c>
      <c r="CX61" s="136">
        <f t="shared" si="514"/>
        <v>0.25158461364909818</v>
      </c>
      <c r="CY61" s="136">
        <f t="shared" si="514"/>
        <v>0.23808980070716185</v>
      </c>
      <c r="CZ61" s="136">
        <f t="shared" si="514"/>
        <v>0.24032861734594502</v>
      </c>
      <c r="DA61" s="136">
        <f t="shared" si="514"/>
        <v>0.24983368631563196</v>
      </c>
      <c r="DB61" s="210">
        <f t="shared" si="514"/>
        <v>0.24497858561605557</v>
      </c>
    </row>
    <row r="62" spans="1:106" s="61" customFormat="1" ht="14.2" customHeight="1" collapsed="1">
      <c r="A62" s="321"/>
      <c r="B62" s="76"/>
      <c r="C62" s="76"/>
      <c r="D62" s="76"/>
      <c r="E62" s="76"/>
      <c r="F62" s="195"/>
      <c r="G62" s="76"/>
      <c r="H62" s="76"/>
      <c r="I62" s="76"/>
      <c r="J62" s="76"/>
      <c r="K62" s="195"/>
      <c r="L62" s="76"/>
      <c r="M62" s="76"/>
      <c r="N62" s="76"/>
      <c r="O62" s="76"/>
      <c r="P62" s="195"/>
      <c r="Q62" s="76"/>
      <c r="R62" s="76"/>
      <c r="S62" s="76"/>
      <c r="T62" s="76"/>
      <c r="U62" s="195"/>
      <c r="V62" s="76"/>
      <c r="W62" s="76"/>
      <c r="X62" s="76"/>
      <c r="Y62" s="76"/>
      <c r="Z62" s="195"/>
      <c r="AA62" s="76"/>
      <c r="AB62" s="76"/>
      <c r="AC62" s="76"/>
      <c r="AD62" s="76"/>
      <c r="AE62" s="195"/>
      <c r="AJ62" s="196"/>
      <c r="AK62" s="68"/>
      <c r="AL62" s="68"/>
      <c r="AM62" s="68"/>
      <c r="AN62" s="68"/>
      <c r="AO62" s="190"/>
      <c r="AP62" s="68"/>
      <c r="AQ62" s="68"/>
      <c r="AR62" s="68"/>
      <c r="AS62" s="68"/>
      <c r="AT62" s="190"/>
      <c r="AY62" s="196"/>
      <c r="BD62" s="196"/>
      <c r="BI62" s="196"/>
      <c r="BJ62" s="355"/>
      <c r="BN62" s="196"/>
      <c r="BS62" s="196"/>
      <c r="BX62" s="196"/>
      <c r="CC62" s="196"/>
      <c r="CH62" s="196"/>
      <c r="CM62" s="196"/>
      <c r="CR62" s="196"/>
      <c r="CW62" s="196"/>
      <c r="DB62" s="196"/>
    </row>
    <row r="63" spans="1:106" s="61" customFormat="1" ht="14.2" customHeight="1">
      <c r="A63" s="321"/>
      <c r="F63" s="196"/>
      <c r="K63" s="196"/>
      <c r="P63" s="196"/>
      <c r="U63" s="196"/>
      <c r="Z63" s="196"/>
      <c r="AE63" s="196"/>
      <c r="AJ63" s="196"/>
      <c r="AO63" s="196"/>
      <c r="AT63" s="196"/>
      <c r="AV63" s="145"/>
      <c r="AY63" s="196"/>
      <c r="BD63" s="196"/>
      <c r="BI63" s="196"/>
      <c r="BJ63" s="355"/>
      <c r="BN63" s="196"/>
      <c r="BS63" s="196"/>
      <c r="BX63" s="196"/>
      <c r="CC63" s="196"/>
      <c r="CH63" s="196"/>
      <c r="CM63" s="196"/>
      <c r="CR63" s="196"/>
      <c r="CW63" s="196"/>
      <c r="DB63" s="196"/>
    </row>
    <row r="64" spans="1:106" ht="14.2" customHeight="1">
      <c r="A64" s="322"/>
      <c r="F64" s="191"/>
      <c r="K64" s="191"/>
      <c r="P64" s="191"/>
      <c r="U64" s="191"/>
      <c r="Z64" s="191"/>
      <c r="AE64" s="191"/>
      <c r="AJ64" s="198"/>
      <c r="AO64" s="191"/>
      <c r="AT64" s="191"/>
      <c r="AW64" s="5"/>
      <c r="AX64" s="53"/>
      <c r="AY64" s="191"/>
      <c r="AZ64" s="9"/>
      <c r="BD64" s="191"/>
      <c r="BI64" s="191"/>
      <c r="BJ64" s="332"/>
      <c r="BN64" s="191"/>
      <c r="BS64" s="191"/>
      <c r="BX64" s="191"/>
      <c r="CC64" s="191"/>
      <c r="CH64" s="191"/>
      <c r="CM64" s="191"/>
      <c r="CR64" s="191"/>
      <c r="CW64" s="191"/>
      <c r="DB64" s="191"/>
    </row>
    <row r="65" spans="1:106" ht="14.2" customHeight="1">
      <c r="A65" s="1" t="s">
        <v>198</v>
      </c>
      <c r="AJ65" s="309"/>
      <c r="AW65" s="5"/>
      <c r="AX65" s="53"/>
      <c r="AZ65" s="9"/>
    </row>
    <row r="66" spans="1:106" ht="14.2" customHeight="1">
      <c r="P66" s="1">
        <f>+P50+P51</f>
        <v>0.81994158674000572</v>
      </c>
      <c r="U66" s="1">
        <f>+U50+U51</f>
        <v>0.97359900255524123</v>
      </c>
      <c r="Z66" s="1">
        <f>+Z50+Z51</f>
        <v>0.80040286585886511</v>
      </c>
      <c r="AE66" s="1">
        <f>+AE50+AE51</f>
        <v>0.85183310841205584</v>
      </c>
      <c r="AJ66" s="1">
        <f>+AJ50+AJ51</f>
        <v>1.0323704300456515</v>
      </c>
      <c r="AO66" s="1">
        <f>+AO50+AO51</f>
        <v>1.2394234243452291</v>
      </c>
      <c r="AT66" s="1">
        <f>+AT50+AT51</f>
        <v>1.1033671371896876</v>
      </c>
      <c r="AY66" s="1">
        <f>+AY50+AY51</f>
        <v>0.86736574321684223</v>
      </c>
      <c r="BD66" s="1">
        <f>+BD50+BD51</f>
        <v>0.7339524583198529</v>
      </c>
      <c r="BI66" s="1">
        <f>+BI50+BI51</f>
        <v>0.78187452219383868</v>
      </c>
      <c r="BN66" s="1">
        <f>+BN50+BN51</f>
        <v>0.74766936287383778</v>
      </c>
      <c r="BS66" s="1">
        <f>+BS50+BS51</f>
        <v>0.69250754916828994</v>
      </c>
      <c r="BX66" s="1">
        <f>+BX50+BX51</f>
        <v>0.64698977521937906</v>
      </c>
      <c r="CC66" s="1">
        <f>+CC50+CC51</f>
        <v>0.605073553173474</v>
      </c>
      <c r="CH66" s="1">
        <f>+CH50+CH51</f>
        <v>0.5680225230665783</v>
      </c>
      <c r="CM66" s="1">
        <f>+CM50+CM51</f>
        <v>0.54139525046957593</v>
      </c>
      <c r="CR66" s="1">
        <f>+CR50+CR51</f>
        <v>0.52180380976245233</v>
      </c>
      <c r="CW66" s="1">
        <f>+CW50+CW51</f>
        <v>0.50494844064805178</v>
      </c>
      <c r="DB66" s="1">
        <f>+DB50+DB51</f>
        <v>0.49605391165700963</v>
      </c>
    </row>
    <row r="67" spans="1:106" ht="14.2" customHeight="1">
      <c r="A67" s="146" t="s">
        <v>205</v>
      </c>
      <c r="C67" s="147" t="s">
        <v>207</v>
      </c>
      <c r="O67" s="92"/>
      <c r="Q67" s="59"/>
      <c r="R67" s="59"/>
      <c r="S67" s="59"/>
      <c r="T67" s="59"/>
      <c r="U67" s="299">
        <f>+[1]IS!F62+[1]IS!F63+[1]IS!F64</f>
        <v>1.8145740540106736</v>
      </c>
      <c r="V67" s="59"/>
      <c r="W67" s="59"/>
      <c r="X67" s="59"/>
      <c r="Y67" s="59"/>
      <c r="Z67" s="299">
        <f>+[1]IS!K62+[1]IS!K63+[1]IS!K64</f>
        <v>1.4787453524421055</v>
      </c>
      <c r="AA67" s="59"/>
      <c r="AB67" s="59"/>
      <c r="AC67" s="59"/>
      <c r="AD67" s="59"/>
      <c r="AE67" s="299">
        <f>+[1]IS!P62+[1]IS!P63+[1]IS!P64</f>
        <v>0.97929329446064139</v>
      </c>
      <c r="AF67" s="59"/>
      <c r="AG67" s="59"/>
      <c r="AH67" s="59"/>
      <c r="AI67" s="59"/>
      <c r="AJ67" s="299">
        <f>+[1]IS!U62+[1]IS!U63+[1]IS!U64</f>
        <v>1.0296550762040944</v>
      </c>
      <c r="AK67" s="59"/>
      <c r="AL67" s="59"/>
      <c r="AM67" s="59"/>
      <c r="AN67" s="59"/>
      <c r="AO67" s="299">
        <f>+[1]IS!Z62+[1]IS!Z63+[1]IS!Z64</f>
        <v>1.3562797568867371</v>
      </c>
      <c r="AP67" s="59"/>
      <c r="AQ67" s="59"/>
      <c r="AR67" s="59"/>
      <c r="AS67" s="59"/>
      <c r="AT67" s="299">
        <f>+[1]IS!AE62+[1]IS!AE63+[1]IS!AE64</f>
        <v>1.6386467884806177</v>
      </c>
      <c r="AU67" s="59"/>
      <c r="AV67" s="59"/>
      <c r="AW67" s="59"/>
      <c r="AX67" s="59"/>
      <c r="AY67" s="299">
        <f>+[1]IS!AJ62+[1]IS!AJ63+[1]IS!AJ64</f>
        <v>1.293035882740962</v>
      </c>
      <c r="AZ67" s="59"/>
      <c r="BA67" s="59"/>
      <c r="BB67" s="59"/>
      <c r="BD67" s="299">
        <f>+[1]IS!AO62+[1]IS!AO63+[1]IS!AO64</f>
        <v>1.0247166502484384</v>
      </c>
      <c r="BI67" s="299">
        <f>+[1]IS!AT62+[1]IS!AT63+[1]IS!AT64</f>
        <v>0.92028785535136226</v>
      </c>
      <c r="BN67" s="299">
        <f>+[1]IS!AY62+[1]IS!AY63+[1]IS!AY64</f>
        <v>0.79772771541074416</v>
      </c>
      <c r="BS67" s="299">
        <f>+[1]IS!BD62+[1]IS!BD63+[1]IS!BD64</f>
        <v>0.64003094188065757</v>
      </c>
      <c r="BX67" s="299">
        <f>+[1]IS!BI62+[1]IS!BI63+[1]IS!BI64</f>
        <v>0.53668796864294843</v>
      </c>
      <c r="CC67" s="299">
        <f>+[1]IS!BN62+[1]IS!BN63+[1]IS!BN64</f>
        <v>0.48527073434201839</v>
      </c>
    </row>
    <row r="68" spans="1:106" ht="14.2" customHeight="1">
      <c r="A68" s="1" t="s">
        <v>172</v>
      </c>
      <c r="C68" s="1">
        <v>0.10100000000000001</v>
      </c>
      <c r="D68" s="1">
        <v>0.114</v>
      </c>
      <c r="E68" s="1">
        <f>F68-SUM(C68:D68)</f>
        <v>7.5999999999999956E-2</v>
      </c>
      <c r="F68" s="1">
        <v>0.29099999999999998</v>
      </c>
      <c r="G68" s="1">
        <v>8.3000000000000004E-2</v>
      </c>
      <c r="H68" s="1">
        <v>0.27100000000000002</v>
      </c>
      <c r="I68" s="1">
        <v>0.41</v>
      </c>
      <c r="J68" s="1">
        <f>K68-SUM(G68:I68)</f>
        <v>-0.17200000000000004</v>
      </c>
      <c r="K68" s="1">
        <v>0.59199999999999997</v>
      </c>
      <c r="L68" s="1">
        <v>0.13300000000000001</v>
      </c>
      <c r="M68" s="1">
        <v>0.189</v>
      </c>
      <c r="N68" s="1">
        <v>0.16</v>
      </c>
      <c r="O68" s="1">
        <f>P68-SUM(L68:N68)</f>
        <v>0.15900000000000003</v>
      </c>
      <c r="P68" s="1">
        <v>0.64100000000000001</v>
      </c>
      <c r="Q68" s="1">
        <v>0.13100000000000001</v>
      </c>
      <c r="R68" s="1">
        <v>0.152</v>
      </c>
      <c r="S68" s="1">
        <v>0.14699999999999999</v>
      </c>
      <c r="T68" s="1">
        <f>U68-SUM(Q68:S68)</f>
        <v>0.11399999999999999</v>
      </c>
      <c r="U68" s="1">
        <v>0.54400000000000004</v>
      </c>
      <c r="V68" s="1">
        <v>0.14199999999999999</v>
      </c>
      <c r="W68" s="1">
        <v>0.153</v>
      </c>
      <c r="X68" s="1">
        <v>0.191</v>
      </c>
      <c r="Y68" s="1">
        <f>Z68-SUM(V68:X68)</f>
        <v>8.2999999999999963E-2</v>
      </c>
      <c r="Z68" s="1">
        <v>0.56899999999999995</v>
      </c>
      <c r="AA68" s="1">
        <v>0.16800000000000001</v>
      </c>
      <c r="AB68" s="1">
        <v>0.22500000000000001</v>
      </c>
      <c r="AC68" s="1">
        <v>0.26900000000000002</v>
      </c>
      <c r="AD68" s="1">
        <f>AE68-SUM(AA68:AC68)</f>
        <v>0.27500000000000002</v>
      </c>
      <c r="AE68" s="1">
        <v>0.93700000000000006</v>
      </c>
      <c r="AF68" s="1">
        <v>0.314</v>
      </c>
      <c r="AG68" s="1">
        <v>0.441</v>
      </c>
      <c r="AH68" s="1">
        <v>0.45800000000000002</v>
      </c>
      <c r="AI68" s="1">
        <f>AJ68-SUM(AF68:AH68)</f>
        <v>0.47799999999999998</v>
      </c>
      <c r="AJ68" s="1">
        <v>1.6910000000000001</v>
      </c>
      <c r="AK68" s="1">
        <v>0.70799999999999996</v>
      </c>
      <c r="AL68" s="1">
        <v>1.2749999999999999</v>
      </c>
      <c r="AM68" s="1">
        <v>1.262</v>
      </c>
      <c r="AN68" s="1">
        <f>AO68-SUM(AK68:AM68)</f>
        <v>1.5659999999999998</v>
      </c>
      <c r="AO68" s="1">
        <v>4.8109999999999999</v>
      </c>
      <c r="AP68" s="1">
        <v>1.716</v>
      </c>
      <c r="AQ68" s="1">
        <v>2.0630000000000002</v>
      </c>
      <c r="AR68" s="1">
        <v>2.1240000000000001</v>
      </c>
      <c r="AS68" s="1">
        <f>AT68-SUM(AP68:AR68)</f>
        <v>2.0019999999999998</v>
      </c>
      <c r="AT68" s="1">
        <v>7.9050000000000002</v>
      </c>
      <c r="AU68" s="1">
        <v>2.556</v>
      </c>
      <c r="AV68" s="1">
        <v>2.8380000000000001</v>
      </c>
      <c r="AW68" s="1">
        <v>3.2989999999999999</v>
      </c>
      <c r="AX68" s="1">
        <f>AY68-SUM(AU68:AW68)</f>
        <v>3.0590000000000011</v>
      </c>
      <c r="AY68" s="1">
        <v>11.752000000000001</v>
      </c>
      <c r="AZ68" s="1">
        <v>3.7770000000000001</v>
      </c>
      <c r="BA68" s="1">
        <v>4.0460000000000003</v>
      </c>
      <c r="BB68" s="1">
        <v>4.1740000000000004</v>
      </c>
      <c r="BC68" s="1">
        <f>BD68-SUM(AZ68:BB68)</f>
        <v>4.4710000000000001</v>
      </c>
      <c r="BD68" s="1">
        <v>16.468</v>
      </c>
      <c r="BE68" s="1">
        <f>11.466-BF68</f>
        <v>5.27</v>
      </c>
      <c r="BF68" s="1">
        <v>6.1959999999999997</v>
      </c>
      <c r="BG68" s="1">
        <v>6.1580000000000004</v>
      </c>
    </row>
    <row r="69" spans="1:106" ht="14.2" customHeight="1">
      <c r="A69" s="1" t="s">
        <v>164</v>
      </c>
      <c r="C69" s="1">
        <v>1.1499999999999999</v>
      </c>
      <c r="D69" s="1">
        <v>0.251</v>
      </c>
      <c r="E69" s="1">
        <f t="shared" ref="E69:E70" si="515">F69-SUM(C69:D69)</f>
        <v>0.19200000000000017</v>
      </c>
      <c r="F69" s="1">
        <v>1.593</v>
      </c>
      <c r="G69" s="1">
        <v>0.26100000000000001</v>
      </c>
      <c r="H69" s="1">
        <v>0.32</v>
      </c>
      <c r="I69" s="1">
        <v>0.26800000000000002</v>
      </c>
      <c r="J69" s="1">
        <f t="shared" ref="J69:J70" si="516">K69-SUM(G69:I69)</f>
        <v>0.72599999999999998</v>
      </c>
      <c r="K69" s="1">
        <v>1.575</v>
      </c>
      <c r="L69" s="1">
        <v>0.60499999999999998</v>
      </c>
      <c r="M69" s="1">
        <v>0.71699999999999997</v>
      </c>
      <c r="N69" s="1">
        <v>0.78300000000000003</v>
      </c>
      <c r="O69" s="1">
        <f t="shared" ref="O69:O70" si="517">P69-SUM(L69:N69)</f>
        <v>0.74800000000000022</v>
      </c>
      <c r="P69" s="1">
        <v>2.8530000000000002</v>
      </c>
      <c r="Q69" s="1">
        <v>0.65</v>
      </c>
      <c r="R69" s="1">
        <v>0.73</v>
      </c>
      <c r="S69" s="1">
        <v>0.94299999999999995</v>
      </c>
      <c r="T69" s="1">
        <f t="shared" ref="T69:T70" si="518">U69-SUM(Q69:S69)</f>
        <v>0.89100000000000001</v>
      </c>
      <c r="U69" s="1">
        <v>3.214</v>
      </c>
      <c r="V69" s="1">
        <v>0.90300000000000002</v>
      </c>
      <c r="W69" s="1">
        <v>1.0129999999999999</v>
      </c>
      <c r="X69" s="1">
        <v>1.0469999999999999</v>
      </c>
      <c r="Y69" s="1">
        <f t="shared" ref="Y69:Y70" si="519">Z69-SUM(V69:X69)</f>
        <v>1.08</v>
      </c>
      <c r="Z69" s="1">
        <v>4.0430000000000001</v>
      </c>
      <c r="AA69" s="1">
        <v>0.89400000000000002</v>
      </c>
      <c r="AB69" s="1">
        <v>1.264</v>
      </c>
      <c r="AC69" s="1">
        <v>1.58</v>
      </c>
      <c r="AD69" s="1">
        <f t="shared" ref="AD69:AD70" si="520">AE69-SUM(AA69:AC69)</f>
        <v>1.6160000000000001</v>
      </c>
      <c r="AE69" s="1">
        <v>5.3540000000000001</v>
      </c>
      <c r="AF69" s="1">
        <v>1.8420000000000001</v>
      </c>
      <c r="AG69" s="1">
        <v>2.9129999999999998</v>
      </c>
      <c r="AH69" s="1">
        <v>3.0979999999999999</v>
      </c>
      <c r="AI69" s="1">
        <f t="shared" ref="AI69:AI70" si="521">AJ69-SUM(AF69:AH69)</f>
        <v>3.5709999999999997</v>
      </c>
      <c r="AJ69" s="1">
        <v>11.423999999999999</v>
      </c>
      <c r="AK69" s="1">
        <v>3.8740000000000001</v>
      </c>
      <c r="AL69" s="1">
        <v>6.6159999999999997</v>
      </c>
      <c r="AM69" s="1">
        <v>6.6520000000000001</v>
      </c>
      <c r="AN69" s="1">
        <f t="shared" ref="AN69:AN70" si="522">AO69-SUM(AK69:AM69)</f>
        <v>8.7259999999999991</v>
      </c>
      <c r="AO69" s="1">
        <v>25.867999999999999</v>
      </c>
      <c r="AP69" s="1">
        <v>9.4209999999999994</v>
      </c>
      <c r="AQ69" s="1">
        <v>12.458</v>
      </c>
      <c r="AR69" s="1">
        <v>13.468999999999999</v>
      </c>
      <c r="AS69" s="1">
        <f t="shared" ref="AS69:AS70" si="523">AT69-SUM(AP69:AR69)</f>
        <v>11.197000000000003</v>
      </c>
      <c r="AT69" s="1">
        <v>46.545000000000002</v>
      </c>
      <c r="AU69" s="1">
        <v>14.858000000000001</v>
      </c>
      <c r="AV69" s="1">
        <v>15.494999999999999</v>
      </c>
      <c r="AW69" s="1">
        <v>18.783999999999999</v>
      </c>
      <c r="AX69" s="1">
        <f t="shared" ref="AX69:AX70" si="524">AY69-SUM(AU69:AW69)</f>
        <v>17.188999999999993</v>
      </c>
      <c r="AY69" s="1">
        <v>66.325999999999993</v>
      </c>
      <c r="AZ69" s="1">
        <v>20.649000000000001</v>
      </c>
      <c r="BA69" s="1">
        <v>21.957000000000001</v>
      </c>
      <c r="BB69" s="1">
        <v>22.548999999999999</v>
      </c>
      <c r="BC69" s="1">
        <f t="shared" ref="BC69:BC70" si="525">BD69-SUM(AZ69:BB69)</f>
        <v>23.549999999999997</v>
      </c>
      <c r="BD69" s="1">
        <v>88.704999999999998</v>
      </c>
      <c r="BE69" s="1">
        <f>57.283-BF69</f>
        <v>26.511000000000003</v>
      </c>
      <c r="BF69" s="1">
        <v>30.771999999999998</v>
      </c>
      <c r="BG69" s="1">
        <v>30.797000000000001</v>
      </c>
    </row>
    <row r="70" spans="1:106" ht="14.2" customHeight="1">
      <c r="A70" s="1" t="s">
        <v>206</v>
      </c>
      <c r="C70" s="1">
        <v>1.7769999999999999</v>
      </c>
      <c r="D70" s="1">
        <v>0.7</v>
      </c>
      <c r="E70" s="1">
        <f t="shared" si="515"/>
        <v>0.79600000000000026</v>
      </c>
      <c r="F70" s="1">
        <v>3.2730000000000001</v>
      </c>
      <c r="G70" s="1">
        <v>0.80300000000000005</v>
      </c>
      <c r="H70" s="1">
        <v>1</v>
      </c>
      <c r="I70" s="1">
        <v>1.488</v>
      </c>
      <c r="J70" s="1">
        <f t="shared" si="516"/>
        <v>1.8679999999999999</v>
      </c>
      <c r="K70" s="1">
        <v>5.1589999999999998</v>
      </c>
      <c r="L70" s="1">
        <v>1.6579999999999999</v>
      </c>
      <c r="M70" s="1">
        <v>1.9910000000000001</v>
      </c>
      <c r="N70" s="1">
        <v>1.73</v>
      </c>
      <c r="O70" s="1">
        <f t="shared" si="517"/>
        <v>1.7280000000000006</v>
      </c>
      <c r="P70" s="1">
        <v>7.1070000000000002</v>
      </c>
      <c r="Q70" s="1">
        <v>1.762</v>
      </c>
      <c r="R70" s="1">
        <v>1.9950000000000001</v>
      </c>
      <c r="S70" s="1">
        <v>1.8959999999999999</v>
      </c>
      <c r="T70" s="1">
        <f t="shared" si="518"/>
        <v>1.9909999999999997</v>
      </c>
      <c r="U70" s="1">
        <v>7.6440000000000001</v>
      </c>
      <c r="V70" s="1">
        <v>2.109</v>
      </c>
      <c r="W70" s="1">
        <v>2.202</v>
      </c>
      <c r="X70" s="1">
        <v>2.3780000000000001</v>
      </c>
      <c r="Y70" s="1">
        <f t="shared" si="519"/>
        <v>2.8970000000000002</v>
      </c>
      <c r="Z70" s="1">
        <v>9.5860000000000003</v>
      </c>
      <c r="AA70" s="1">
        <v>2.9889999999999999</v>
      </c>
      <c r="AB70" s="1">
        <v>4.3150000000000004</v>
      </c>
      <c r="AC70" s="1">
        <v>8.3979999999999997</v>
      </c>
      <c r="AD70" s="1">
        <f t="shared" si="520"/>
        <v>6.6309999999999985</v>
      </c>
      <c r="AE70" s="289">
        <v>22.332999999999998</v>
      </c>
      <c r="AF70" s="289">
        <v>5.2610000000000001</v>
      </c>
      <c r="AG70" s="289">
        <v>8.6029999999999998</v>
      </c>
      <c r="AH70" s="289">
        <v>11.476000000000001</v>
      </c>
      <c r="AI70" s="289">
        <f t="shared" si="521"/>
        <v>11.715999999999994</v>
      </c>
      <c r="AJ70" s="289">
        <v>37.055999999999997</v>
      </c>
      <c r="AK70" s="289">
        <v>18.649999999999999</v>
      </c>
      <c r="AL70" s="289">
        <v>27.212</v>
      </c>
      <c r="AM70" s="289">
        <v>18.544</v>
      </c>
      <c r="AN70" s="289">
        <f t="shared" si="522"/>
        <v>20.134000000000015</v>
      </c>
      <c r="AO70" s="289">
        <v>84.54</v>
      </c>
      <c r="AP70" s="289">
        <v>23.95</v>
      </c>
      <c r="AQ70" s="289">
        <v>26.452000000000002</v>
      </c>
      <c r="AR70" s="289">
        <v>24.745000000000001</v>
      </c>
      <c r="AS70" s="289">
        <f t="shared" si="523"/>
        <v>22.786999999999992</v>
      </c>
      <c r="AT70" s="289">
        <v>97.933999999999997</v>
      </c>
      <c r="AU70" s="289">
        <v>23.280999999999999</v>
      </c>
      <c r="AV70" s="289">
        <v>26.137</v>
      </c>
      <c r="AW70" s="289">
        <v>35.503999999999998</v>
      </c>
      <c r="AX70" s="289">
        <f t="shared" si="524"/>
        <v>28.808000000000007</v>
      </c>
      <c r="AY70" s="289">
        <v>113.73</v>
      </c>
      <c r="AZ70" s="289">
        <v>40.021000000000001</v>
      </c>
      <c r="BA70" s="289">
        <v>41.408000000000001</v>
      </c>
      <c r="BB70" s="289">
        <v>43.920999999999999</v>
      </c>
      <c r="BC70" s="289">
        <f t="shared" si="525"/>
        <v>43.905000000000001</v>
      </c>
      <c r="BD70" s="1">
        <v>169.255</v>
      </c>
      <c r="BE70" s="289">
        <f>102.436-BF70</f>
        <v>46.046000000000006</v>
      </c>
      <c r="BF70" s="289">
        <v>56.39</v>
      </c>
      <c r="BG70" s="289">
        <v>53.682000000000002</v>
      </c>
    </row>
    <row r="71" spans="1:106" ht="14.2" customHeight="1">
      <c r="A71" s="1" t="s">
        <v>3</v>
      </c>
      <c r="C71" s="1">
        <f t="shared" ref="C71:L71" si="526">SUM(C68:C70)</f>
        <v>3.0279999999999996</v>
      </c>
      <c r="D71" s="1">
        <f t="shared" si="526"/>
        <v>1.0649999999999999</v>
      </c>
      <c r="E71" s="1">
        <f t="shared" si="526"/>
        <v>1.0640000000000005</v>
      </c>
      <c r="F71" s="1">
        <f t="shared" si="526"/>
        <v>5.157</v>
      </c>
      <c r="G71" s="1">
        <f t="shared" si="526"/>
        <v>1.147</v>
      </c>
      <c r="H71" s="1">
        <f t="shared" si="526"/>
        <v>1.591</v>
      </c>
      <c r="I71" s="1">
        <f t="shared" si="526"/>
        <v>2.1659999999999999</v>
      </c>
      <c r="J71" s="1">
        <f t="shared" si="526"/>
        <v>2.4219999999999997</v>
      </c>
      <c r="K71" s="1">
        <f t="shared" si="526"/>
        <v>7.3259999999999996</v>
      </c>
      <c r="L71" s="1">
        <f t="shared" si="526"/>
        <v>2.3959999999999999</v>
      </c>
      <c r="M71" s="1">
        <f t="shared" ref="M71:N71" si="527">SUM(M68:M70)</f>
        <v>2.8970000000000002</v>
      </c>
      <c r="N71" s="1">
        <f t="shared" si="527"/>
        <v>2.673</v>
      </c>
      <c r="O71" s="1">
        <f t="shared" ref="O71:BD71" si="528">SUM(O68:O70)</f>
        <v>2.6350000000000007</v>
      </c>
      <c r="P71" s="1">
        <f t="shared" si="528"/>
        <v>10.601000000000001</v>
      </c>
      <c r="Q71" s="1">
        <f t="shared" si="528"/>
        <v>2.5430000000000001</v>
      </c>
      <c r="R71" s="1">
        <f t="shared" si="528"/>
        <v>2.8770000000000002</v>
      </c>
      <c r="S71" s="1">
        <f t="shared" si="528"/>
        <v>2.9859999999999998</v>
      </c>
      <c r="T71" s="1">
        <f t="shared" si="528"/>
        <v>2.9959999999999996</v>
      </c>
      <c r="U71" s="1">
        <f t="shared" si="528"/>
        <v>11.402000000000001</v>
      </c>
      <c r="V71" s="1">
        <f t="shared" si="528"/>
        <v>3.1539999999999999</v>
      </c>
      <c r="W71" s="1">
        <f t="shared" si="528"/>
        <v>3.3679999999999999</v>
      </c>
      <c r="X71" s="1">
        <f t="shared" si="528"/>
        <v>3.6160000000000001</v>
      </c>
      <c r="Y71" s="1">
        <f t="shared" si="528"/>
        <v>4.0600000000000005</v>
      </c>
      <c r="Z71" s="1">
        <f t="shared" si="528"/>
        <v>14.198</v>
      </c>
      <c r="AA71" s="1">
        <f t="shared" si="528"/>
        <v>4.0510000000000002</v>
      </c>
      <c r="AB71" s="1">
        <f t="shared" si="528"/>
        <v>5.8040000000000003</v>
      </c>
      <c r="AC71" s="1">
        <f t="shared" si="528"/>
        <v>10.247</v>
      </c>
      <c r="AD71" s="1">
        <f t="shared" si="528"/>
        <v>8.5219999999999985</v>
      </c>
      <c r="AE71" s="1">
        <f t="shared" si="528"/>
        <v>28.623999999999999</v>
      </c>
      <c r="AF71" s="1">
        <f t="shared" si="528"/>
        <v>7.4169999999999998</v>
      </c>
      <c r="AG71" s="1">
        <f t="shared" si="528"/>
        <v>11.956999999999999</v>
      </c>
      <c r="AH71" s="1">
        <f t="shared" si="528"/>
        <v>15.032</v>
      </c>
      <c r="AI71" s="1">
        <f t="shared" si="528"/>
        <v>15.764999999999993</v>
      </c>
      <c r="AJ71" s="1">
        <f t="shared" si="528"/>
        <v>50.170999999999999</v>
      </c>
      <c r="AK71" s="1">
        <f t="shared" si="528"/>
        <v>23.231999999999999</v>
      </c>
      <c r="AL71" s="1">
        <f t="shared" si="528"/>
        <v>35.103000000000002</v>
      </c>
      <c r="AM71" s="1">
        <f t="shared" si="528"/>
        <v>26.457999999999998</v>
      </c>
      <c r="AN71" s="1">
        <f t="shared" si="528"/>
        <v>30.426000000000013</v>
      </c>
      <c r="AO71" s="1">
        <f t="shared" si="528"/>
        <v>115.21900000000001</v>
      </c>
      <c r="AP71" s="1">
        <f t="shared" si="528"/>
        <v>35.086999999999996</v>
      </c>
      <c r="AQ71" s="1">
        <f t="shared" si="528"/>
        <v>40.972999999999999</v>
      </c>
      <c r="AR71" s="1">
        <f t="shared" si="528"/>
        <v>40.338000000000001</v>
      </c>
      <c r="AS71" s="1">
        <f t="shared" si="528"/>
        <v>35.98599999999999</v>
      </c>
      <c r="AT71" s="1">
        <f t="shared" si="528"/>
        <v>152.38400000000001</v>
      </c>
      <c r="AU71" s="1">
        <f t="shared" si="528"/>
        <v>40.695</v>
      </c>
      <c r="AV71" s="1">
        <f t="shared" si="528"/>
        <v>44.47</v>
      </c>
      <c r="AW71" s="1">
        <f t="shared" si="528"/>
        <v>57.586999999999996</v>
      </c>
      <c r="AX71" s="1">
        <f t="shared" si="528"/>
        <v>49.055999999999997</v>
      </c>
      <c r="AY71" s="1">
        <f t="shared" si="528"/>
        <v>191.80799999999999</v>
      </c>
      <c r="AZ71" s="1">
        <f t="shared" si="528"/>
        <v>64.447000000000003</v>
      </c>
      <c r="BA71" s="1">
        <f t="shared" si="528"/>
        <v>67.411000000000001</v>
      </c>
      <c r="BB71" s="1">
        <f t="shared" si="528"/>
        <v>70.644000000000005</v>
      </c>
      <c r="BC71" s="1">
        <f t="shared" si="528"/>
        <v>71.926000000000002</v>
      </c>
      <c r="BD71" s="1">
        <f t="shared" si="528"/>
        <v>274.428</v>
      </c>
      <c r="BE71" s="1">
        <f>SUM(BE68:BE70)</f>
        <v>77.827000000000012</v>
      </c>
      <c r="BF71" s="1">
        <f>SUM(BF68:BF70)</f>
        <v>93.358000000000004</v>
      </c>
      <c r="BG71" s="1">
        <f>SUM(BG68:BG70)</f>
        <v>90.637</v>
      </c>
    </row>
    <row r="72" spans="1:106" ht="14.2" customHeight="1">
      <c r="A72" s="93" t="s">
        <v>168</v>
      </c>
      <c r="C72" s="107">
        <f t="shared" ref="C72:AH72" si="529">C71/C7</f>
        <v>8.4496037504185731E-2</v>
      </c>
      <c r="D72" s="107">
        <f t="shared" si="529"/>
        <v>2.3015084064485453E-2</v>
      </c>
      <c r="E72" s="107">
        <f t="shared" si="529"/>
        <v>2.1329484403816872E-2</v>
      </c>
      <c r="F72" s="107">
        <f t="shared" si="529"/>
        <v>3.2375116925839199E-2</v>
      </c>
      <c r="G72" s="107">
        <f t="shared" si="529"/>
        <v>2.4180457468114262E-2</v>
      </c>
      <c r="H72" s="107">
        <f t="shared" si="529"/>
        <v>3.5287333377692014E-2</v>
      </c>
      <c r="I72" s="107">
        <f t="shared" si="529"/>
        <v>4.821798268070613E-2</v>
      </c>
      <c r="J72" s="107">
        <f t="shared" si="529"/>
        <v>4.5774115512549153E-2</v>
      </c>
      <c r="K72" s="107">
        <f t="shared" si="529"/>
        <v>3.8485986709043629E-2</v>
      </c>
      <c r="L72" s="107">
        <f t="shared" si="529"/>
        <v>3.8706342282963394E-2</v>
      </c>
      <c r="M72" s="107">
        <f t="shared" si="529"/>
        <v>5.5728685749461375E-2</v>
      </c>
      <c r="N72" s="107">
        <f t="shared" si="529"/>
        <v>4.9601959583588484E-2</v>
      </c>
      <c r="O72" s="107">
        <f t="shared" si="529"/>
        <v>5.3449360027586774E-2</v>
      </c>
      <c r="P72" s="107">
        <f t="shared" si="529"/>
        <v>4.8835880851691132E-2</v>
      </c>
      <c r="Q72" s="107">
        <f t="shared" si="529"/>
        <v>5.4220592311464574E-2</v>
      </c>
      <c r="R72" s="107">
        <f t="shared" si="529"/>
        <v>5.3658354626331208E-2</v>
      </c>
      <c r="S72" s="107">
        <f t="shared" si="529"/>
        <v>5.2704038407229592E-2</v>
      </c>
      <c r="T72" s="107">
        <f t="shared" si="529"/>
        <v>5.5723984004463878E-2</v>
      </c>
      <c r="U72" s="107">
        <f t="shared" si="529"/>
        <v>5.4053541545186053E-2</v>
      </c>
      <c r="V72" s="107">
        <f t="shared" si="529"/>
        <v>5.05935194096888E-2</v>
      </c>
      <c r="W72" s="107">
        <f t="shared" si="529"/>
        <v>5.3401829742028568E-2</v>
      </c>
      <c r="X72" s="107">
        <f t="shared" si="529"/>
        <v>5.5392156862745096E-2</v>
      </c>
      <c r="Y72" s="107">
        <f t="shared" si="529"/>
        <v>6.0628686627342672E-2</v>
      </c>
      <c r="Z72" s="107">
        <f t="shared" si="529"/>
        <v>5.5104908132611957E-2</v>
      </c>
      <c r="AA72" s="107">
        <f t="shared" si="529"/>
        <v>6.0621932239913807E-2</v>
      </c>
      <c r="AB72" s="107">
        <f t="shared" si="529"/>
        <v>7.8057965167103754E-2</v>
      </c>
      <c r="AC72" s="107">
        <f t="shared" si="529"/>
        <v>0.13152524098627885</v>
      </c>
      <c r="AD72" s="107">
        <f t="shared" si="529"/>
        <v>0.10237866410379629</v>
      </c>
      <c r="AE72" s="107">
        <f t="shared" si="529"/>
        <v>9.4678627186367131E-2</v>
      </c>
      <c r="AF72" s="107">
        <f t="shared" si="529"/>
        <v>7.8894183721227071E-2</v>
      </c>
      <c r="AG72" s="107">
        <f t="shared" si="529"/>
        <v>0.13827597372559902</v>
      </c>
      <c r="AH72" s="107">
        <f t="shared" si="529"/>
        <v>0.15316426031403158</v>
      </c>
      <c r="AI72" s="107">
        <f t="shared" ref="AI72:BD72" si="530">AI71/AI7</f>
        <v>0.1402854651266261</v>
      </c>
      <c r="AJ72" s="107">
        <f t="shared" si="530"/>
        <v>0.12831293717471642</v>
      </c>
      <c r="AK72" s="107">
        <f t="shared" si="530"/>
        <v>0.15252501378712677</v>
      </c>
      <c r="AL72" s="107">
        <f t="shared" si="530"/>
        <v>0.24715897089265346</v>
      </c>
      <c r="AM72" s="107">
        <f t="shared" si="530"/>
        <v>0.167332844240937</v>
      </c>
      <c r="AN72" s="107">
        <f t="shared" si="530"/>
        <v>0.17584437200915465</v>
      </c>
      <c r="AO72" s="107">
        <f t="shared" si="530"/>
        <v>0.18420716051198591</v>
      </c>
      <c r="AP72" s="107">
        <f t="shared" si="530"/>
        <v>0.18073691747410278</v>
      </c>
      <c r="AQ72" s="107">
        <f t="shared" si="530"/>
        <v>0.2067255297679112</v>
      </c>
      <c r="AR72" s="107">
        <f t="shared" si="530"/>
        <v>0.19150481634280778</v>
      </c>
      <c r="AS72" s="107">
        <f t="shared" si="530"/>
        <v>0.16564174322906117</v>
      </c>
      <c r="AT72" s="107">
        <f t="shared" si="530"/>
        <v>0.18578384876289591</v>
      </c>
      <c r="AU72" s="107">
        <f t="shared" si="530"/>
        <v>0.16833087906815136</v>
      </c>
      <c r="AV72" s="107">
        <f t="shared" si="530"/>
        <v>0.17011981453994582</v>
      </c>
      <c r="AW72" s="107">
        <f t="shared" si="530"/>
        <v>0.21463180100333201</v>
      </c>
      <c r="AX72" s="107">
        <f t="shared" si="530"/>
        <v>0.157683097346555</v>
      </c>
      <c r="AY72" s="107">
        <f t="shared" si="530"/>
        <v>0.17717821741022069</v>
      </c>
      <c r="AZ72" s="107">
        <f t="shared" si="530"/>
        <v>0.17525105984918735</v>
      </c>
      <c r="BA72" s="107">
        <f t="shared" si="530"/>
        <v>0.16308415849967703</v>
      </c>
      <c r="BB72" s="107">
        <f t="shared" si="530"/>
        <v>0.16064289904902243</v>
      </c>
      <c r="BC72" s="107">
        <f t="shared" si="530"/>
        <v>0.15108568019644536</v>
      </c>
      <c r="BD72" s="107">
        <f t="shared" si="530"/>
        <v>0.16172209385171055</v>
      </c>
      <c r="BE72" s="107">
        <f t="shared" ref="BE72:BF72" si="531">BE71/BE7</f>
        <v>0.15508638383516332</v>
      </c>
      <c r="BF72" s="107">
        <f t="shared" si="531"/>
        <v>0.17079765825100621</v>
      </c>
      <c r="BG72" s="107">
        <f t="shared" ref="BG72" si="532">BG71/BG7</f>
        <v>0.15305572770579365</v>
      </c>
    </row>
    <row r="73" spans="1:106" ht="14.2" customHeight="1">
      <c r="F73" s="5">
        <f>+F71/F13</f>
        <v>6.4279303983646605E-2</v>
      </c>
      <c r="K73" s="5">
        <f>+K71/K13</f>
        <v>5.3338963799982521E-2</v>
      </c>
      <c r="N73" s="92"/>
      <c r="O73" s="92"/>
      <c r="P73" s="5">
        <f>+P71/P13</f>
        <v>5.9560195069330524E-2</v>
      </c>
      <c r="U73" s="5">
        <f>+U71/U13</f>
        <v>5.5519306617324835E-2</v>
      </c>
      <c r="Z73" s="5">
        <f>+Z71/Z13</f>
        <v>6.8846465302797408E-2</v>
      </c>
      <c r="AE73" s="5">
        <f>+AE71/AE13</f>
        <v>0.11114692097711748</v>
      </c>
      <c r="AJ73" s="5">
        <f>+AJ71/AJ13</f>
        <v>0.12428962845152626</v>
      </c>
      <c r="AO73" s="5">
        <f>+AO71/AO13</f>
        <v>0.14862326860515815</v>
      </c>
      <c r="AT73" s="5">
        <f>+AT71/AT13</f>
        <v>0.16837899417241434</v>
      </c>
      <c r="AY73" s="5">
        <f>+AY71/AY13</f>
        <v>0.20427163373216822</v>
      </c>
      <c r="BD73" s="5">
        <f>+BD71/BD13</f>
        <v>0.22034409997334301</v>
      </c>
      <c r="BI73" s="5">
        <f>+BI71/BI13</f>
        <v>0</v>
      </c>
    </row>
    <row r="74" spans="1:106" ht="14.2" customHeight="1">
      <c r="N74" s="92"/>
      <c r="O74" s="92"/>
    </row>
    <row r="75" spans="1:106" ht="14.2" customHeight="1">
      <c r="F75" s="1">
        <f>+F9/(F10+F11)</f>
        <v>1.0082888767014007</v>
      </c>
      <c r="K75" s="1">
        <f>+K9/(K10+K11)</f>
        <v>0.56433293531758733</v>
      </c>
      <c r="N75" s="92"/>
      <c r="O75" s="92"/>
      <c r="P75" s="1">
        <f>+P9/(P10+P11)</f>
        <v>0.45789603793514172</v>
      </c>
      <c r="U75" s="1">
        <f>+U9/(U10+U11)</f>
        <v>0.34738764181720788</v>
      </c>
      <c r="Z75" s="1">
        <f>+Z9/(Z10+Z11)</f>
        <v>0.44416589486342728</v>
      </c>
      <c r="AE75" s="1">
        <f>+AE9/(AE10+AE11)</f>
        <v>0.49258929923543754</v>
      </c>
      <c r="AJ75" s="1">
        <f>+AJ9/(AJ10+AJ11)</f>
        <v>0.46421263334175616</v>
      </c>
      <c r="AO75" s="1">
        <f>+AO9/(AO10+AO11)</f>
        <v>0.39609309093160588</v>
      </c>
      <c r="AT75" s="1">
        <f>+AT9/(AT10+AT11)</f>
        <v>0.40216970937209245</v>
      </c>
      <c r="AU75" s="1">
        <f>+AU9/(AU10+AU11)</f>
        <v>0.40370279347915133</v>
      </c>
      <c r="AY75" s="1">
        <f>+AY9/(AY10+AY11)</f>
        <v>0.52475811647683401</v>
      </c>
      <c r="BD75" s="1">
        <f>+BD9/(BD10+BD11)</f>
        <v>0.82151540163731729</v>
      </c>
      <c r="BI75" s="1">
        <f>+BI9/(BI10+BI11)</f>
        <v>0.82812237430057611</v>
      </c>
      <c r="BN75" s="1">
        <f>+BN9/(BN10+BN11)</f>
        <v>0.86341527240295513</v>
      </c>
      <c r="BS75" s="1">
        <f>+BS9/(BS10+BS11)</f>
        <v>0.95046429606402538</v>
      </c>
      <c r="BX75" s="1">
        <f>+BX9/(BX10+BX11)</f>
        <v>1.0407434689081916</v>
      </c>
      <c r="CC75" s="1">
        <f>+CC9/(CC10+CC11)</f>
        <v>1.1325199660700687</v>
      </c>
      <c r="CH75" s="1">
        <f>+CH9/(CH10+CH11)</f>
        <v>1.225639170656821</v>
      </c>
      <c r="CM75" s="1">
        <f>+CM9/(CM10+CM11)</f>
        <v>1.2998083370811537</v>
      </c>
      <c r="CR75" s="1">
        <f>+CR9/(CR10+CR11)</f>
        <v>1.3606385287043528</v>
      </c>
      <c r="CW75" s="1">
        <f>+CW9/(CW10+CW11)</f>
        <v>1.4179204896271425</v>
      </c>
      <c r="DB75" s="1">
        <f>+DB9/(DB10+DB11)</f>
        <v>1.4500920859961348</v>
      </c>
    </row>
    <row r="76" spans="1:106" ht="14.2" customHeight="1">
      <c r="N76" s="92"/>
      <c r="O76" s="92"/>
    </row>
    <row r="77" spans="1:106" ht="14.2" customHeight="1">
      <c r="F77" s="5">
        <f>+F70/F11</f>
        <v>5.2005211643574425E-2</v>
      </c>
      <c r="K77" s="5">
        <f>+K70/K11</f>
        <v>4.7055282432025683E-2</v>
      </c>
      <c r="N77" s="92"/>
      <c r="O77" s="92"/>
      <c r="P77" s="5">
        <f>+P70/P11</f>
        <v>5.2208982854120449E-2</v>
      </c>
      <c r="U77" s="5">
        <f>+U70/U11</f>
        <v>4.9218961276447787E-2</v>
      </c>
      <c r="Z77" s="5">
        <f>+Z70/Z11</f>
        <v>6.1896275634072004E-2</v>
      </c>
      <c r="AE77" s="5">
        <f>+AE70/AE11</f>
        <v>0.1083200760515288</v>
      </c>
      <c r="AJ77" s="5">
        <f>+AJ70/AJ11</f>
        <v>0.12204448221008012</v>
      </c>
      <c r="AO77" s="5">
        <f>+AO70/AO11</f>
        <v>0.16542930607356851</v>
      </c>
      <c r="AT77" s="5">
        <f>+AT70/AT11</f>
        <v>0.16638718566882604</v>
      </c>
      <c r="AU77" s="5">
        <f t="shared" ref="AU77:AX77" si="533">+AU70/AU11</f>
        <v>0.15559357602571727</v>
      </c>
      <c r="AV77" s="5">
        <f t="shared" si="533"/>
        <v>0.17138117344663886</v>
      </c>
      <c r="AW77" s="5">
        <f t="shared" si="533"/>
        <v>0.2294399710485841</v>
      </c>
      <c r="AX77" s="5">
        <f t="shared" si="533"/>
        <v>0.1784550579198414</v>
      </c>
      <c r="AY77" s="5">
        <f>+AY70/AY11</f>
        <v>0.18393775260509748</v>
      </c>
      <c r="AZ77" s="5">
        <f t="shared" ref="AZ77:BC77" si="534">+AZ70/AZ11</f>
        <v>0.20599862053346238</v>
      </c>
      <c r="BA77" s="5">
        <f t="shared" si="534"/>
        <v>0.20916828732351678</v>
      </c>
      <c r="BB77" s="5">
        <f t="shared" si="534"/>
        <v>0.20509072910148771</v>
      </c>
      <c r="BC77" s="5">
        <f t="shared" si="534"/>
        <v>0.18689579723902483</v>
      </c>
      <c r="BD77" s="5">
        <f>+BD70/BD11</f>
        <v>0.20117934564264947</v>
      </c>
      <c r="BE77" s="5">
        <f>+BE70/BE11</f>
        <v>0.17254481683554174</v>
      </c>
      <c r="BF77" s="5">
        <f>+BF70/BF11</f>
        <v>0.18158165056078107</v>
      </c>
    </row>
    <row r="78" spans="1:106" ht="14.2" customHeight="1">
      <c r="A78" s="77"/>
      <c r="G78" s="90"/>
      <c r="H78" s="90"/>
      <c r="I78" s="90"/>
      <c r="J78" s="90"/>
      <c r="K78" s="91"/>
      <c r="L78" s="90"/>
      <c r="M78" s="90"/>
      <c r="N78" s="90"/>
      <c r="T78" s="92"/>
    </row>
    <row r="79" spans="1:106" ht="14.2" customHeight="1">
      <c r="J79" s="90"/>
      <c r="K79" s="91"/>
      <c r="L79" s="90"/>
      <c r="M79" s="90"/>
      <c r="N79" s="90"/>
      <c r="T79" s="92"/>
      <c r="U79" s="1">
        <f>+U9+U68</f>
        <v>71.886999999999986</v>
      </c>
      <c r="Z79" s="1">
        <f>+Z9+Z68</f>
        <v>92.168000000000021</v>
      </c>
      <c r="AE79" s="1">
        <f>+AE9+AE68</f>
        <v>127.79499999999994</v>
      </c>
      <c r="AJ79" s="1">
        <f>+AJ9+AJ68</f>
        <v>189.07599999999999</v>
      </c>
      <c r="AO79" s="1">
        <f>+AO9+AO68</f>
        <v>311.87899999999996</v>
      </c>
      <c r="AT79" s="1">
        <f>+AT9+AT68</f>
        <v>371.87099999999992</v>
      </c>
      <c r="AY79" s="1">
        <f>+AY9+AY68</f>
        <v>504.49200000000002</v>
      </c>
      <c r="BD79" s="1">
        <f>+BD9+BD68</f>
        <v>1039.6260000000002</v>
      </c>
    </row>
    <row r="80" spans="1:106" ht="14.2" customHeight="1">
      <c r="J80" s="90"/>
      <c r="K80" s="91"/>
      <c r="L80" s="90"/>
      <c r="M80" s="90"/>
      <c r="N80" s="90"/>
      <c r="T80" s="92"/>
      <c r="U80" s="1">
        <f>+U10+U11-U69-U70</f>
        <v>194.512</v>
      </c>
      <c r="Z80" s="1">
        <f>+Z10+Z11-Z69-Z70</f>
        <v>192.59799999999998</v>
      </c>
      <c r="AE80" s="1">
        <f>+AE10+AE11-AE69-AE70</f>
        <v>229.846</v>
      </c>
      <c r="AJ80" s="1">
        <f>+AJ10+AJ11-AJ69-AJ70</f>
        <v>355.18200000000007</v>
      </c>
      <c r="AO80" s="1">
        <f>+AO10+AO11-AO69-AO70</f>
        <v>664.83399999999995</v>
      </c>
      <c r="AT80" s="1">
        <f>+AT10+AT11-AT69-AT70</f>
        <v>760.52700000000016</v>
      </c>
      <c r="AY80" s="1">
        <f>+AY10+AY11-AY69-AY70</f>
        <v>758.92899999999997</v>
      </c>
      <c r="BD80" s="1">
        <f>+BD10+BD11-BD69-BD70</f>
        <v>987.49200000000008</v>
      </c>
    </row>
    <row r="81" spans="1:20">
      <c r="A81" s="77"/>
      <c r="G81" s="90"/>
      <c r="H81" s="90"/>
      <c r="I81" s="90"/>
      <c r="J81" s="90"/>
      <c r="K81" s="91"/>
      <c r="L81" s="90"/>
      <c r="M81" s="90"/>
      <c r="N81" s="90"/>
      <c r="T81" s="92"/>
    </row>
    <row r="82" spans="1:20">
      <c r="G82" s="62"/>
      <c r="H82" s="62"/>
      <c r="I82" s="62"/>
      <c r="J82" s="62"/>
      <c r="L82" s="62"/>
      <c r="M82" s="62"/>
      <c r="N82" s="62"/>
      <c r="R82" s="92"/>
    </row>
  </sheetData>
  <sortState xmlns:xlrd2="http://schemas.microsoft.com/office/spreadsheetml/2017/richdata2" ref="BJ36:BM37">
    <sortCondition ref="BJ36:BJ37"/>
  </sortState>
  <printOptions horizontalCentered="1" verticalCentered="1"/>
  <pageMargins left="1.38888888888889E-3" right="1.38888888888889E-3" top="1.38888888888889E-3" bottom="1.38888888888889E-3" header="0.5" footer="0.5"/>
  <pageSetup scale="77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L536"/>
  <sheetViews>
    <sheetView zoomScaleNormal="100" workbookViewId="0">
      <pane xSplit="5" ySplit="6" topLeftCell="BI7" activePane="bottomRight" state="frozen"/>
      <selection pane="topRight" activeCell="F1" sqref="F1"/>
      <selection pane="bottomLeft" activeCell="A7" sqref="A7"/>
      <selection pane="bottomRight" activeCell="BN9" sqref="BN9"/>
    </sheetView>
  </sheetViews>
  <sheetFormatPr defaultColWidth="9.07421875" defaultRowHeight="12.75" outlineLevelCol="1"/>
  <cols>
    <col min="1" max="1" width="45.921875" style="12" customWidth="1"/>
    <col min="2" max="2" width="8" style="12" hidden="1" customWidth="1" outlineLevel="1" collapsed="1"/>
    <col min="3" max="5" width="8" style="12" hidden="1" customWidth="1" outlineLevel="1"/>
    <col min="6" max="6" width="8" style="12" customWidth="1" collapsed="1"/>
    <col min="7" max="7" width="7.69140625" style="12" hidden="1" customWidth="1" outlineLevel="1" collapsed="1"/>
    <col min="8" max="10" width="7.69140625" style="12" hidden="1" customWidth="1" outlineLevel="1"/>
    <col min="11" max="11" width="7.69140625" style="12" customWidth="1" collapsed="1"/>
    <col min="12" max="12" width="7.921875" style="12" hidden="1" customWidth="1" outlineLevel="1"/>
    <col min="13" max="15" width="9.07421875" style="12" hidden="1" customWidth="1" outlineLevel="1"/>
    <col min="16" max="16" width="8" style="12" customWidth="1" collapsed="1"/>
    <col min="17" max="20" width="8" style="12" hidden="1" customWidth="1" outlineLevel="1"/>
    <col min="21" max="21" width="8" style="12" customWidth="1" collapsed="1"/>
    <col min="22" max="22" width="8" style="12" hidden="1" customWidth="1" outlineLevel="1"/>
    <col min="23" max="23" width="8.61328125" style="12" hidden="1" customWidth="1" outlineLevel="1"/>
    <col min="24" max="24" width="8.69140625" style="12" hidden="1" customWidth="1" outlineLevel="1"/>
    <col min="25" max="25" width="8.3828125" style="12" hidden="1" customWidth="1" outlineLevel="1"/>
    <col min="26" max="26" width="8" style="12" customWidth="1" collapsed="1"/>
    <col min="27" max="27" width="8.3828125" style="12" hidden="1" customWidth="1" outlineLevel="1" collapsed="1"/>
    <col min="28" max="30" width="8.3828125" style="12" hidden="1" customWidth="1" outlineLevel="1"/>
    <col min="31" max="31" width="8.3828125" style="12" customWidth="1" collapsed="1"/>
    <col min="32" max="35" width="8.3828125" style="12" hidden="1" customWidth="1" outlineLevel="1"/>
    <col min="36" max="36" width="8.3828125" style="12" customWidth="1" collapsed="1"/>
    <col min="37" max="37" width="8.3828125" style="12" hidden="1" customWidth="1" outlineLevel="1" collapsed="1"/>
    <col min="38" max="40" width="8.3828125" style="12" hidden="1" customWidth="1" outlineLevel="1"/>
    <col min="41" max="41" width="8.3828125" style="12" customWidth="1" collapsed="1"/>
    <col min="42" max="42" width="8.3828125" style="12" hidden="1" customWidth="1" outlineLevel="1" collapsed="1"/>
    <col min="43" max="45" width="8.3828125" style="12" hidden="1" customWidth="1" outlineLevel="1"/>
    <col min="46" max="46" width="8.3828125" style="12" customWidth="1" collapsed="1"/>
    <col min="47" max="50" width="8.3828125" style="12" customWidth="1" outlineLevel="1"/>
    <col min="51" max="51" width="8.3828125" style="12" customWidth="1"/>
    <col min="52" max="55" width="8.3828125" style="12" customWidth="1" outlineLevel="1"/>
    <col min="56" max="56" width="8.3828125" style="12" customWidth="1"/>
    <col min="57" max="60" width="8.3828125" style="12" customWidth="1" outlineLevel="1"/>
    <col min="61" max="61" width="8.3828125" style="12" customWidth="1"/>
    <col min="62" max="65" width="8.3046875" style="12" customWidth="1" outlineLevel="1"/>
    <col min="66" max="66" width="8.3828125" style="12" customWidth="1"/>
    <col min="67" max="70" width="8.3046875" style="12" customWidth="1" outlineLevel="1"/>
    <col min="71" max="71" width="8.3828125" style="12" customWidth="1"/>
    <col min="72" max="75" width="8.3046875" style="12" hidden="1" customWidth="1" outlineLevel="1"/>
    <col min="76" max="76" width="8.3046875" style="12" customWidth="1" collapsed="1"/>
    <col min="77" max="80" width="8.61328125" style="12" hidden="1" customWidth="1" outlineLevel="1"/>
    <col min="81" max="81" width="8.61328125" style="12" customWidth="1" collapsed="1"/>
    <col min="82" max="85" width="8.61328125" style="12" hidden="1" customWidth="1" outlineLevel="1"/>
    <col min="86" max="86" width="8.61328125" style="12" customWidth="1" collapsed="1"/>
    <col min="87" max="90" width="8.61328125" style="12" hidden="1" customWidth="1" outlineLevel="1"/>
    <col min="91" max="91" width="8.61328125" style="12" customWidth="1" collapsed="1"/>
    <col min="92" max="95" width="8.61328125" style="12" hidden="1" customWidth="1" outlineLevel="1"/>
    <col min="96" max="96" width="8.61328125" style="12" customWidth="1" collapsed="1"/>
    <col min="97" max="100" width="8.61328125" style="12" hidden="1" customWidth="1" outlineLevel="1"/>
    <col min="101" max="101" width="8.61328125" style="12" customWidth="1" collapsed="1"/>
    <col min="102" max="105" width="8.61328125" style="12" hidden="1" customWidth="1" outlineLevel="1"/>
    <col min="106" max="106" width="8.61328125" style="12" customWidth="1" collapsed="1"/>
    <col min="107" max="16384" width="9.07421875" style="12"/>
  </cols>
  <sheetData>
    <row r="1" spans="1:106" s="1" customFormat="1" ht="12.75" customHeight="1">
      <c r="A1" s="137" t="str">
        <f>+IS!A1</f>
        <v>Natera Inc. (NASDAQ: NTRA)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I1" s="362"/>
      <c r="BJ1" s="362"/>
      <c r="BK1" s="362"/>
      <c r="BL1" s="362"/>
      <c r="BM1" s="362"/>
      <c r="BN1" s="362"/>
    </row>
    <row r="2" spans="1:106" s="1" customFormat="1">
      <c r="A2" s="138" t="s">
        <v>390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J2" s="363"/>
      <c r="BK2" s="363"/>
      <c r="BL2" s="363"/>
      <c r="BM2" s="363"/>
      <c r="BN2" s="363"/>
      <c r="BQ2" s="364"/>
    </row>
    <row r="3" spans="1:106" s="1" customFormat="1">
      <c r="A3" s="138" t="str">
        <f>+IS!A3</f>
        <v>$ millions except per share data, FY ending Dec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</row>
    <row r="4" spans="1:106" s="1" customFormat="1">
      <c r="BG4" s="362"/>
      <c r="BH4" s="362"/>
    </row>
    <row r="5" spans="1:106" s="1" customFormat="1">
      <c r="B5" s="139" t="str">
        <f>+IS!B5</f>
        <v>Mar</v>
      </c>
      <c r="C5" s="139" t="str">
        <f>+IS!C5</f>
        <v>Jun</v>
      </c>
      <c r="D5" s="139" t="str">
        <f>+IS!D5</f>
        <v>Sep</v>
      </c>
      <c r="E5" s="139" t="str">
        <f>+IS!E5</f>
        <v>Dec</v>
      </c>
      <c r="F5" s="140">
        <f>+IS!F5</f>
        <v>41974</v>
      </c>
      <c r="G5" s="139" t="str">
        <f>+IS!G5</f>
        <v>Mar</v>
      </c>
      <c r="H5" s="139" t="str">
        <f>+IS!H5</f>
        <v>Jun</v>
      </c>
      <c r="I5" s="139" t="str">
        <f>+IS!I5</f>
        <v>Sep</v>
      </c>
      <c r="J5" s="139" t="str">
        <f>+IS!J5</f>
        <v>Dec</v>
      </c>
      <c r="K5" s="140">
        <f>+IS!K5</f>
        <v>42339</v>
      </c>
      <c r="L5" s="139" t="str">
        <f>+IS!L5</f>
        <v>Mar</v>
      </c>
      <c r="M5" s="139" t="str">
        <f>+IS!M5</f>
        <v>Jun</v>
      </c>
      <c r="N5" s="139" t="str">
        <f>+IS!N5</f>
        <v>Sep</v>
      </c>
      <c r="O5" s="139" t="str">
        <f>+IS!O5</f>
        <v>Dec</v>
      </c>
      <c r="P5" s="140">
        <f>+IS!P5</f>
        <v>42705</v>
      </c>
      <c r="Q5" s="139" t="str">
        <f>+IS!Q5</f>
        <v>Mar</v>
      </c>
      <c r="R5" s="139" t="str">
        <f>+IS!R5</f>
        <v>Jun</v>
      </c>
      <c r="S5" s="139" t="str">
        <f>+IS!S5</f>
        <v>Sep</v>
      </c>
      <c r="T5" s="139" t="str">
        <f>+IS!T5</f>
        <v>Dec</v>
      </c>
      <c r="U5" s="140">
        <f>+IS!U5</f>
        <v>43070</v>
      </c>
      <c r="V5" s="139" t="str">
        <f>+IS!V5</f>
        <v>Mar</v>
      </c>
      <c r="W5" s="139" t="str">
        <f>+IS!W5</f>
        <v>Jun</v>
      </c>
      <c r="X5" s="139" t="str">
        <f>+IS!X5</f>
        <v>Sep</v>
      </c>
      <c r="Y5" s="139" t="str">
        <f>+IS!Y5</f>
        <v>Dec</v>
      </c>
      <c r="Z5" s="140">
        <f>+IS!Z5</f>
        <v>43435</v>
      </c>
      <c r="AA5" s="139" t="str">
        <f>+IS!AA5</f>
        <v>Mar</v>
      </c>
      <c r="AB5" s="139" t="str">
        <f>+IS!AB5</f>
        <v>Jun</v>
      </c>
      <c r="AC5" s="139" t="str">
        <f>+IS!AC5</f>
        <v>Sep</v>
      </c>
      <c r="AD5" s="139" t="str">
        <f>+IS!AD5</f>
        <v>Dec</v>
      </c>
      <c r="AE5" s="140">
        <f>+IS!AE5</f>
        <v>43800</v>
      </c>
      <c r="AF5" s="139" t="str">
        <f>+IS!AF5</f>
        <v>Mar</v>
      </c>
      <c r="AG5" s="139" t="str">
        <f>+IS!AG5</f>
        <v>Jun</v>
      </c>
      <c r="AH5" s="139" t="str">
        <f>+IS!AH5</f>
        <v>Sep</v>
      </c>
      <c r="AI5" s="139" t="str">
        <f>+IS!AI5</f>
        <v>Dec</v>
      </c>
      <c r="AJ5" s="140">
        <f>+IS!AJ5</f>
        <v>44166</v>
      </c>
      <c r="AK5" s="139" t="str">
        <f>+IS!AK5</f>
        <v>Mar</v>
      </c>
      <c r="AL5" s="139" t="str">
        <f>+IS!AL5</f>
        <v>Jun</v>
      </c>
      <c r="AM5" s="139" t="str">
        <f>+IS!AM5</f>
        <v>Sep</v>
      </c>
      <c r="AN5" s="139" t="str">
        <f>+IS!AN5</f>
        <v>Dec</v>
      </c>
      <c r="AO5" s="140">
        <f>+IS!AO5</f>
        <v>44531</v>
      </c>
      <c r="AP5" s="139" t="str">
        <f>+IS!AP5</f>
        <v>Mar</v>
      </c>
      <c r="AQ5" s="139" t="str">
        <f>+IS!AQ5</f>
        <v>Jun</v>
      </c>
      <c r="AR5" s="139" t="str">
        <f>+IS!AR5</f>
        <v>Sep</v>
      </c>
      <c r="AS5" s="139" t="str">
        <f>+IS!AS5</f>
        <v>Dec</v>
      </c>
      <c r="AT5" s="140">
        <f>+IS!AT5</f>
        <v>44896</v>
      </c>
      <c r="AU5" s="139" t="str">
        <f>+IS!AU5</f>
        <v>Mar</v>
      </c>
      <c r="AV5" s="139" t="str">
        <f>+IS!AV5</f>
        <v>Jun</v>
      </c>
      <c r="AW5" s="139" t="str">
        <f>+IS!AW5</f>
        <v>Sep</v>
      </c>
      <c r="AX5" s="139" t="str">
        <f>+IS!AX5</f>
        <v>Dec</v>
      </c>
      <c r="AY5" s="140">
        <f>+IS!AY5</f>
        <v>45261</v>
      </c>
      <c r="AZ5" s="139" t="str">
        <f>+IS!AZ5</f>
        <v>Mar</v>
      </c>
      <c r="BA5" s="139" t="str">
        <f>+IS!BA5</f>
        <v>Jun</v>
      </c>
      <c r="BB5" s="139" t="str">
        <f>+IS!BB5</f>
        <v>Sep</v>
      </c>
      <c r="BC5" s="139" t="str">
        <f>+IS!BC5</f>
        <v>Dec</v>
      </c>
      <c r="BD5" s="140">
        <f>+IS!BD5</f>
        <v>45627</v>
      </c>
      <c r="BE5" s="139" t="str">
        <f>+IS!BE5</f>
        <v>Mar</v>
      </c>
      <c r="BF5" s="139" t="str">
        <f>+IS!BF5</f>
        <v>Jun</v>
      </c>
      <c r="BG5" s="139" t="str">
        <f>+IS!BG5</f>
        <v>Sep</v>
      </c>
      <c r="BH5" s="139" t="str">
        <f>+IS!BH5</f>
        <v>Dec</v>
      </c>
      <c r="BI5" s="140">
        <f>+IS!BI5</f>
        <v>45992</v>
      </c>
      <c r="BJ5" s="139" t="str">
        <f>+IS!BJ5</f>
        <v>Mar</v>
      </c>
      <c r="BK5" s="139" t="str">
        <f>+IS!BK5</f>
        <v>Jun</v>
      </c>
      <c r="BL5" s="139" t="str">
        <f>+IS!BL5</f>
        <v>Sep</v>
      </c>
      <c r="BM5" s="139" t="str">
        <f>+IS!BM5</f>
        <v>Dec</v>
      </c>
      <c r="BN5" s="140">
        <f>+IS!BN5</f>
        <v>46357</v>
      </c>
      <c r="BO5" s="139" t="str">
        <f>+IS!BO5</f>
        <v>Mar</v>
      </c>
      <c r="BP5" s="139" t="str">
        <f>+IS!BP5</f>
        <v>Jun</v>
      </c>
      <c r="BQ5" s="139" t="str">
        <f>+IS!BQ5</f>
        <v>Sep</v>
      </c>
      <c r="BR5" s="139" t="str">
        <f>+IS!BR5</f>
        <v>Dec</v>
      </c>
      <c r="BS5" s="140">
        <f>+IS!BS5</f>
        <v>46722</v>
      </c>
      <c r="BT5" s="139" t="str">
        <f>+IS!BT5</f>
        <v>Mar</v>
      </c>
      <c r="BU5" s="139" t="str">
        <f>+IS!BU5</f>
        <v>Jun</v>
      </c>
      <c r="BV5" s="139" t="str">
        <f>+IS!BV5</f>
        <v>Sep</v>
      </c>
      <c r="BW5" s="139" t="str">
        <f>+IS!BW5</f>
        <v>Dec</v>
      </c>
      <c r="BX5" s="140">
        <f>+IS!BX5</f>
        <v>47088</v>
      </c>
      <c r="BY5" s="139" t="str">
        <f>+IS!BY5</f>
        <v>Mar</v>
      </c>
      <c r="BZ5" s="139" t="str">
        <f>+IS!BZ5</f>
        <v>Jun</v>
      </c>
      <c r="CA5" s="139" t="str">
        <f>+IS!CA5</f>
        <v>Sep</v>
      </c>
      <c r="CB5" s="139" t="str">
        <f>+IS!CB5</f>
        <v>Dec</v>
      </c>
      <c r="CC5" s="140">
        <f>+IS!CC5</f>
        <v>47453</v>
      </c>
      <c r="CD5" s="139" t="str">
        <f>+IS!CD5</f>
        <v>Mar</v>
      </c>
      <c r="CE5" s="139" t="str">
        <f>+IS!CE5</f>
        <v>Jun</v>
      </c>
      <c r="CF5" s="139" t="str">
        <f>+IS!CF5</f>
        <v>Sep</v>
      </c>
      <c r="CG5" s="139" t="str">
        <f>+IS!CG5</f>
        <v>Dec</v>
      </c>
      <c r="CH5" s="140">
        <f>+IS!CH5</f>
        <v>47818</v>
      </c>
      <c r="CI5" s="139" t="str">
        <f>+IS!CI5</f>
        <v>Mar</v>
      </c>
      <c r="CJ5" s="139" t="str">
        <f>+IS!CJ5</f>
        <v>Jun</v>
      </c>
      <c r="CK5" s="139" t="str">
        <f>+IS!CK5</f>
        <v>Sep</v>
      </c>
      <c r="CL5" s="139" t="str">
        <f>+IS!CL5</f>
        <v>Dec</v>
      </c>
      <c r="CM5" s="140">
        <f>+IS!CM5</f>
        <v>48183</v>
      </c>
      <c r="CN5" s="139" t="str">
        <f>+IS!CN5</f>
        <v>Mar</v>
      </c>
      <c r="CO5" s="139" t="str">
        <f>+IS!CO5</f>
        <v>Jun</v>
      </c>
      <c r="CP5" s="139" t="str">
        <f>+IS!CP5</f>
        <v>Sep</v>
      </c>
      <c r="CQ5" s="139" t="str">
        <f>+IS!CQ5</f>
        <v>Dec</v>
      </c>
      <c r="CR5" s="140">
        <f>+IS!CR5</f>
        <v>48549</v>
      </c>
      <c r="CS5" s="139" t="str">
        <f>+IS!CS5</f>
        <v>Mar</v>
      </c>
      <c r="CT5" s="139" t="str">
        <f>+IS!CT5</f>
        <v>Jun</v>
      </c>
      <c r="CU5" s="139" t="str">
        <f>+IS!CU5</f>
        <v>Sep</v>
      </c>
      <c r="CV5" s="139" t="str">
        <f>+IS!CV5</f>
        <v>Dec</v>
      </c>
      <c r="CW5" s="140">
        <f>+IS!CW5</f>
        <v>48914</v>
      </c>
      <c r="CX5" s="139" t="str">
        <f>+IS!CX5</f>
        <v>Mar</v>
      </c>
      <c r="CY5" s="139" t="str">
        <f>+IS!CY5</f>
        <v>Jun</v>
      </c>
      <c r="CZ5" s="139" t="str">
        <f>+IS!CZ5</f>
        <v>Sep</v>
      </c>
      <c r="DA5" s="139" t="str">
        <f>+IS!DA5</f>
        <v>Dec</v>
      </c>
      <c r="DB5" s="140">
        <f>+IS!DB5</f>
        <v>49279</v>
      </c>
    </row>
    <row r="6" spans="1:106" s="4" customFormat="1">
      <c r="A6" s="153"/>
      <c r="B6" s="142" t="str">
        <f>+IS!B6</f>
        <v>1Q14A</v>
      </c>
      <c r="C6" s="142" t="str">
        <f>+IS!C6</f>
        <v>2Q14A</v>
      </c>
      <c r="D6" s="142" t="str">
        <f>+IS!D6</f>
        <v>3Q14A</v>
      </c>
      <c r="E6" s="142" t="str">
        <f>+IS!E6</f>
        <v>4Q14A</v>
      </c>
      <c r="F6" s="143" t="str">
        <f>+IS!F6</f>
        <v>FY14A</v>
      </c>
      <c r="G6" s="142" t="str">
        <f>+IS!G6</f>
        <v>1Q15A</v>
      </c>
      <c r="H6" s="142" t="str">
        <f>+IS!H6</f>
        <v>2Q15A</v>
      </c>
      <c r="I6" s="142" t="str">
        <f>+IS!I6</f>
        <v>3Q15A</v>
      </c>
      <c r="J6" s="142" t="str">
        <f>+IS!J6</f>
        <v>4Q15A</v>
      </c>
      <c r="K6" s="143" t="str">
        <f>+IS!K6</f>
        <v>FY15A</v>
      </c>
      <c r="L6" s="142" t="str">
        <f>+IS!L6</f>
        <v>1Q16A</v>
      </c>
      <c r="M6" s="142" t="str">
        <f>+IS!M6</f>
        <v>2Q16A</v>
      </c>
      <c r="N6" s="142" t="str">
        <f>+IS!N6</f>
        <v>3Q16A</v>
      </c>
      <c r="O6" s="142" t="str">
        <f>+IS!O6</f>
        <v>4Q16A</v>
      </c>
      <c r="P6" s="143" t="str">
        <f>+IS!P6</f>
        <v>FY16A</v>
      </c>
      <c r="Q6" s="142" t="str">
        <f>+IS!Q6</f>
        <v>1Q17A</v>
      </c>
      <c r="R6" s="142" t="str">
        <f>+IS!R6</f>
        <v>2Q17A</v>
      </c>
      <c r="S6" s="142" t="str">
        <f>+IS!S6</f>
        <v>3Q17A</v>
      </c>
      <c r="T6" s="142" t="str">
        <f>+IS!T6</f>
        <v>4Q17A</v>
      </c>
      <c r="U6" s="143" t="str">
        <f>+IS!U6</f>
        <v>FY17A</v>
      </c>
      <c r="V6" s="142" t="str">
        <f>+IS!V6</f>
        <v>1Q18A</v>
      </c>
      <c r="W6" s="142" t="str">
        <f>+IS!W6</f>
        <v>2Q18A</v>
      </c>
      <c r="X6" s="142" t="str">
        <f>+IS!X6</f>
        <v>3Q18A</v>
      </c>
      <c r="Y6" s="142" t="str">
        <f>+IS!Y6</f>
        <v>4Q18A</v>
      </c>
      <c r="Z6" s="143" t="str">
        <f>+IS!Z6</f>
        <v>FY18A</v>
      </c>
      <c r="AA6" s="142" t="str">
        <f>+IS!AA6</f>
        <v>1Q19A</v>
      </c>
      <c r="AB6" s="142" t="str">
        <f>+IS!AB6</f>
        <v>2Q19A</v>
      </c>
      <c r="AC6" s="142" t="str">
        <f>+IS!AC6</f>
        <v>3Q19A</v>
      </c>
      <c r="AD6" s="142" t="str">
        <f>+IS!AD6</f>
        <v>4Q19A</v>
      </c>
      <c r="AE6" s="143" t="str">
        <f>+IS!AE6</f>
        <v>FY19A</v>
      </c>
      <c r="AF6" s="142" t="str">
        <f>+IS!AF6</f>
        <v>1Q20A</v>
      </c>
      <c r="AG6" s="142" t="str">
        <f>+IS!AG6</f>
        <v>2Q20A</v>
      </c>
      <c r="AH6" s="142" t="str">
        <f>+IS!AH6</f>
        <v>3Q20A</v>
      </c>
      <c r="AI6" s="142" t="str">
        <f>+IS!AI6</f>
        <v>4Q20A</v>
      </c>
      <c r="AJ6" s="143" t="str">
        <f>+IS!AJ6</f>
        <v>FY20A</v>
      </c>
      <c r="AK6" s="142" t="str">
        <f>+IS!AK6</f>
        <v>1Q21A</v>
      </c>
      <c r="AL6" s="142" t="str">
        <f>+IS!AL6</f>
        <v>2Q21A</v>
      </c>
      <c r="AM6" s="142" t="str">
        <f>+IS!AM6</f>
        <v>3Q21A</v>
      </c>
      <c r="AN6" s="142" t="str">
        <f>+IS!AN6</f>
        <v>4Q21A</v>
      </c>
      <c r="AO6" s="143" t="str">
        <f>+IS!AO6</f>
        <v>FY21A</v>
      </c>
      <c r="AP6" s="142" t="str">
        <f>+IS!AP6</f>
        <v>1Q22A</v>
      </c>
      <c r="AQ6" s="142" t="str">
        <f>+IS!AQ6</f>
        <v>2Q22A</v>
      </c>
      <c r="AR6" s="142" t="str">
        <f>+IS!AR6</f>
        <v>3Q22A</v>
      </c>
      <c r="AS6" s="142" t="str">
        <f>+IS!AS6</f>
        <v>4Q22A</v>
      </c>
      <c r="AT6" s="143" t="str">
        <f>+IS!AT6</f>
        <v>FY22A</v>
      </c>
      <c r="AU6" s="142" t="str">
        <f>+IS!AU6</f>
        <v>1Q23A</v>
      </c>
      <c r="AV6" s="142" t="str">
        <f>+IS!AV6</f>
        <v>2Q23A</v>
      </c>
      <c r="AW6" s="142" t="str">
        <f>+IS!AW6</f>
        <v>3Q23A</v>
      </c>
      <c r="AX6" s="142" t="str">
        <f>+IS!AX6</f>
        <v>4Q23A</v>
      </c>
      <c r="AY6" s="143" t="str">
        <f>+IS!AY6</f>
        <v>FY23A</v>
      </c>
      <c r="AZ6" s="142" t="str">
        <f>+IS!AZ6</f>
        <v>1Q24A</v>
      </c>
      <c r="BA6" s="142" t="str">
        <f>+IS!BA6</f>
        <v>2Q24A</v>
      </c>
      <c r="BB6" s="142" t="str">
        <f>+IS!BB6</f>
        <v>3Q24A</v>
      </c>
      <c r="BC6" s="142" t="str">
        <f>+IS!BC6</f>
        <v>4Q24A</v>
      </c>
      <c r="BD6" s="143" t="str">
        <f>+IS!BD6</f>
        <v>FY24A</v>
      </c>
      <c r="BE6" s="142" t="str">
        <f>+IS!BE6</f>
        <v>1Q25A</v>
      </c>
      <c r="BF6" s="142" t="str">
        <f>+IS!BF6</f>
        <v>2Q25A</v>
      </c>
      <c r="BG6" s="142" t="str">
        <f>+IS!BG6</f>
        <v>3Q25A</v>
      </c>
      <c r="BH6" s="142" t="str">
        <f>+IS!BH6</f>
        <v>4Q25</v>
      </c>
      <c r="BI6" s="143" t="str">
        <f>+IS!BI6</f>
        <v>FY25</v>
      </c>
      <c r="BJ6" s="142" t="str">
        <f>+IS!BJ6</f>
        <v>1Q26E</v>
      </c>
      <c r="BK6" s="142" t="str">
        <f>+IS!BK6</f>
        <v>2Q26E</v>
      </c>
      <c r="BL6" s="142" t="str">
        <f>+IS!BL6</f>
        <v>3Q26E</v>
      </c>
      <c r="BM6" s="142" t="str">
        <f>+IS!BM6</f>
        <v>4Q26E</v>
      </c>
      <c r="BN6" s="143" t="str">
        <f>+IS!BN6</f>
        <v>FY26E</v>
      </c>
      <c r="BO6" s="142" t="str">
        <f>+IS!BO6</f>
        <v>1Q27E</v>
      </c>
      <c r="BP6" s="142" t="str">
        <f>+IS!BP6</f>
        <v>2Q27E</v>
      </c>
      <c r="BQ6" s="142" t="str">
        <f>+IS!BQ6</f>
        <v>3Q27E</v>
      </c>
      <c r="BR6" s="142" t="str">
        <f>+IS!BR6</f>
        <v>4Q27E</v>
      </c>
      <c r="BS6" s="143" t="str">
        <f>+IS!BS6</f>
        <v>FY27E</v>
      </c>
      <c r="BT6" s="142" t="str">
        <f>+IS!BT6</f>
        <v>1Q28E</v>
      </c>
      <c r="BU6" s="142" t="str">
        <f>+IS!BU6</f>
        <v>2Q28E</v>
      </c>
      <c r="BV6" s="142" t="str">
        <f>+IS!BV6</f>
        <v>3Q28E</v>
      </c>
      <c r="BW6" s="142" t="str">
        <f>+IS!BW6</f>
        <v>4Q28E</v>
      </c>
      <c r="BX6" s="143" t="str">
        <f>+IS!BX6</f>
        <v>FY28E</v>
      </c>
      <c r="BY6" s="142" t="str">
        <f>+IS!BY6</f>
        <v>1Q29E</v>
      </c>
      <c r="BZ6" s="142" t="str">
        <f>+IS!BZ6</f>
        <v>2Q29E</v>
      </c>
      <c r="CA6" s="142" t="str">
        <f>+IS!CA6</f>
        <v>3Q29E</v>
      </c>
      <c r="CB6" s="142" t="str">
        <f>+IS!CB6</f>
        <v>4Q29E</v>
      </c>
      <c r="CC6" s="143" t="str">
        <f>+IS!CC6</f>
        <v>FY29E</v>
      </c>
      <c r="CD6" s="142" t="str">
        <f>+IS!CD6</f>
        <v>1Q30E</v>
      </c>
      <c r="CE6" s="142" t="str">
        <f>+IS!CE6</f>
        <v>2Q30E</v>
      </c>
      <c r="CF6" s="142" t="str">
        <f>+IS!CF6</f>
        <v>3Q30E</v>
      </c>
      <c r="CG6" s="142" t="str">
        <f>+IS!CG6</f>
        <v>4Q30E</v>
      </c>
      <c r="CH6" s="143" t="str">
        <f>+IS!CH6</f>
        <v>FY30E</v>
      </c>
      <c r="CI6" s="142" t="str">
        <f>+IS!CI6</f>
        <v>1Q31E</v>
      </c>
      <c r="CJ6" s="142" t="str">
        <f>+IS!CJ6</f>
        <v>2Q31E</v>
      </c>
      <c r="CK6" s="142" t="str">
        <f>+IS!CK6</f>
        <v>3Q31E</v>
      </c>
      <c r="CL6" s="142" t="str">
        <f>+IS!CL6</f>
        <v>4Q31E</v>
      </c>
      <c r="CM6" s="143" t="str">
        <f>+IS!CM6</f>
        <v>FY31E</v>
      </c>
      <c r="CN6" s="142" t="str">
        <f>+IS!CN6</f>
        <v>1Q32E</v>
      </c>
      <c r="CO6" s="142" t="str">
        <f>+IS!CO6</f>
        <v>2Q32E</v>
      </c>
      <c r="CP6" s="142" t="str">
        <f>+IS!CP6</f>
        <v>3Q32E</v>
      </c>
      <c r="CQ6" s="142" t="str">
        <f>+IS!CQ6</f>
        <v>4Q32E</v>
      </c>
      <c r="CR6" s="143" t="str">
        <f>+IS!CR6</f>
        <v>FY32E</v>
      </c>
      <c r="CS6" s="142" t="str">
        <f>+IS!CS6</f>
        <v>1Q33E</v>
      </c>
      <c r="CT6" s="142" t="str">
        <f>+IS!CT6</f>
        <v>2Q33E</v>
      </c>
      <c r="CU6" s="142" t="str">
        <f>+IS!CU6</f>
        <v>3Q33E</v>
      </c>
      <c r="CV6" s="142" t="str">
        <f>+IS!CV6</f>
        <v>4Q33E</v>
      </c>
      <c r="CW6" s="143" t="str">
        <f>+IS!CW6</f>
        <v>FY33E</v>
      </c>
      <c r="CX6" s="142" t="str">
        <f>+IS!CX6</f>
        <v>1Q34E</v>
      </c>
      <c r="CY6" s="142" t="str">
        <f>+IS!CY6</f>
        <v>2Q34E</v>
      </c>
      <c r="CZ6" s="142" t="str">
        <f>+IS!CZ6</f>
        <v>3Q34E</v>
      </c>
      <c r="DA6" s="142" t="str">
        <f>+IS!DA6</f>
        <v>4Q34E</v>
      </c>
      <c r="DB6" s="143" t="str">
        <f>+IS!DB6</f>
        <v>FY34E</v>
      </c>
    </row>
    <row r="7" spans="1:106" s="130" customFormat="1">
      <c r="A7" s="131" t="s">
        <v>390</v>
      </c>
      <c r="F7" s="231"/>
      <c r="K7" s="231"/>
      <c r="P7" s="231"/>
      <c r="U7" s="231"/>
      <c r="Z7" s="231"/>
      <c r="AE7" s="231"/>
      <c r="AJ7" s="231"/>
      <c r="AO7" s="231"/>
      <c r="AT7" s="231"/>
      <c r="AY7" s="231"/>
      <c r="BD7" s="231"/>
      <c r="BI7" s="231"/>
      <c r="BN7" s="231"/>
      <c r="BS7" s="231"/>
      <c r="BX7" s="231"/>
      <c r="CC7" s="231"/>
      <c r="CH7" s="231"/>
      <c r="CM7" s="231"/>
      <c r="CR7" s="231"/>
      <c r="CW7" s="231"/>
      <c r="DB7" s="231"/>
    </row>
    <row r="8" spans="1:106" s="125" customFormat="1">
      <c r="A8" s="129" t="s">
        <v>376</v>
      </c>
      <c r="F8" s="232"/>
      <c r="K8" s="232"/>
      <c r="P8" s="232"/>
      <c r="U8" s="232"/>
      <c r="Z8" s="232"/>
      <c r="AE8" s="232"/>
      <c r="AJ8" s="232"/>
      <c r="AO8" s="232"/>
      <c r="AT8" s="232"/>
      <c r="AY8" s="232"/>
      <c r="BD8" s="232"/>
      <c r="BI8" s="232"/>
      <c r="BN8" s="232"/>
      <c r="BS8" s="232"/>
      <c r="BX8" s="232"/>
      <c r="CC8" s="232"/>
      <c r="CH8" s="232"/>
      <c r="CM8" s="232"/>
      <c r="CR8" s="232"/>
      <c r="CW8" s="232"/>
      <c r="DB8" s="232"/>
    </row>
    <row r="9" spans="1:106" s="51" customFormat="1">
      <c r="A9" s="51" t="s">
        <v>394</v>
      </c>
      <c r="F9" s="233"/>
      <c r="G9" s="135">
        <f>+G31</f>
        <v>46.899000000000001</v>
      </c>
      <c r="H9" s="135">
        <f t="shared" ref="H9:J9" si="0">+H31</f>
        <v>44.518999999999998</v>
      </c>
      <c r="I9" s="135">
        <f t="shared" si="0"/>
        <v>44.423000000000002</v>
      </c>
      <c r="J9" s="135">
        <f t="shared" si="0"/>
        <v>52.326999999999998</v>
      </c>
      <c r="K9" s="216">
        <f>+G9+H9+I9+J9</f>
        <v>188.16800000000001</v>
      </c>
      <c r="L9" s="135">
        <f>+L31</f>
        <v>61.136000000000003</v>
      </c>
      <c r="M9" s="135">
        <f t="shared" ref="M9:O9" si="1">+M31</f>
        <v>51.231000000000002</v>
      </c>
      <c r="N9" s="135">
        <f t="shared" si="1"/>
        <v>53.09</v>
      </c>
      <c r="O9" s="135">
        <f t="shared" si="1"/>
        <v>48.511000000000003</v>
      </c>
      <c r="P9" s="216">
        <f>+L9+M9+N9+O9</f>
        <v>213.96799999999999</v>
      </c>
      <c r="Q9" s="135">
        <f>+Q31</f>
        <v>45.912999999999997</v>
      </c>
      <c r="R9" s="135">
        <f t="shared" ref="R9:T9" si="2">+R31</f>
        <v>52.276000000000003</v>
      </c>
      <c r="S9" s="135">
        <f t="shared" si="2"/>
        <v>55.331000000000003</v>
      </c>
      <c r="T9" s="135">
        <f t="shared" si="2"/>
        <v>51.969000000000001</v>
      </c>
      <c r="U9" s="216">
        <f>+Q9+R9+S9+T9</f>
        <v>205.48899999999998</v>
      </c>
      <c r="V9" s="135">
        <f>+V31</f>
        <v>54.268999999999998</v>
      </c>
      <c r="W9" s="135">
        <f t="shared" ref="W9:Y9" si="3">+W31</f>
        <v>60.353000000000002</v>
      </c>
      <c r="X9" s="135">
        <f t="shared" si="3"/>
        <v>62.661999999999999</v>
      </c>
      <c r="Y9" s="135">
        <f t="shared" si="3"/>
        <v>63.082000000000001</v>
      </c>
      <c r="Z9" s="216">
        <f>+V9+W9+X9+Y9</f>
        <v>240.36599999999999</v>
      </c>
      <c r="AA9" s="135">
        <f>+AA31</f>
        <v>63.363999999999997</v>
      </c>
      <c r="AB9" s="135">
        <f t="shared" ref="AB9:AD9" si="4">+AB31</f>
        <v>65.099000000000004</v>
      </c>
      <c r="AC9" s="135">
        <f t="shared" si="4"/>
        <v>66.936000000000007</v>
      </c>
      <c r="AD9" s="135">
        <f t="shared" si="4"/>
        <v>74.481999999999999</v>
      </c>
      <c r="AE9" s="216">
        <f>+AA9+AB9+AC9+AD9</f>
        <v>269.88099999999997</v>
      </c>
      <c r="AF9" s="135">
        <f>+AF31</f>
        <v>87.046000000000006</v>
      </c>
      <c r="AG9" s="135">
        <f t="shared" ref="AG9:AI9" si="5">+AG31</f>
        <v>80.414000000000001</v>
      </c>
      <c r="AH9" s="135">
        <f t="shared" si="5"/>
        <v>93.286000000000001</v>
      </c>
      <c r="AI9" s="135">
        <f t="shared" si="5"/>
        <v>106.465</v>
      </c>
      <c r="AJ9" s="216">
        <f>+AF9+AG9+AH9+AI9</f>
        <v>367.21100000000001</v>
      </c>
      <c r="AK9" s="135">
        <f>+AK31</f>
        <v>118.38200000000001</v>
      </c>
      <c r="AL9" s="135">
        <f t="shared" ref="AL9:AN9" si="6">+AL31</f>
        <v>137.232</v>
      </c>
      <c r="AM9" s="135">
        <f t="shared" si="6"/>
        <v>150.65100000000001</v>
      </c>
      <c r="AN9" s="135">
        <f t="shared" si="6"/>
        <v>160.88399999999999</v>
      </c>
      <c r="AO9" s="216">
        <f>+AK9+AL9+AM9+AN9</f>
        <v>567.149</v>
      </c>
      <c r="AP9" s="135">
        <f>+AP31</f>
        <v>190.00200000000001</v>
      </c>
      <c r="AQ9" s="135">
        <f t="shared" ref="AQ9:AS9" si="7">+AQ31</f>
        <v>194.58199999999999</v>
      </c>
      <c r="AR9" s="135">
        <f t="shared" si="7"/>
        <v>199.83099999999999</v>
      </c>
      <c r="AS9" s="135">
        <f t="shared" si="7"/>
        <v>212.892</v>
      </c>
      <c r="AT9" s="216">
        <f>+AP9+AQ9+AR9+AS9</f>
        <v>797.30700000000002</v>
      </c>
      <c r="AU9" s="135">
        <f>+AU31</f>
        <v>237.797</v>
      </c>
      <c r="AV9" s="135">
        <f t="shared" ref="AV9:AX9" si="8">+AV31</f>
        <v>258.25599999999997</v>
      </c>
      <c r="AW9" s="135">
        <f t="shared" si="8"/>
        <v>265.21800000000002</v>
      </c>
      <c r="AX9" s="135">
        <f t="shared" si="8"/>
        <v>307.25099999999998</v>
      </c>
      <c r="AY9" s="216">
        <f>+AU9+AV9+AW9+AX9</f>
        <v>1068.5219999999999</v>
      </c>
      <c r="AZ9" s="135">
        <f>+AZ31</f>
        <v>364.67200000000003</v>
      </c>
      <c r="BA9" s="135">
        <f t="shared" ref="BA9:BC9" si="9">+BA31</f>
        <v>411.36399999999998</v>
      </c>
      <c r="BB9" s="135">
        <f t="shared" si="9"/>
        <v>436.12700000000001</v>
      </c>
      <c r="BC9" s="135">
        <f t="shared" si="9"/>
        <v>472.91100000000006</v>
      </c>
      <c r="BD9" s="216">
        <f>+AZ9+BA9+BB9+BC9</f>
        <v>1685.0740000000001</v>
      </c>
      <c r="BE9" s="135">
        <f>+BE31</f>
        <v>500.036</v>
      </c>
      <c r="BF9" s="135">
        <f>+BF31</f>
        <v>544.42700000000002</v>
      </c>
      <c r="BG9" s="135">
        <f>+BG31</f>
        <v>590.197</v>
      </c>
      <c r="BH9" s="135">
        <f t="shared" ref="BH9" si="10">+BH31</f>
        <v>661.16</v>
      </c>
      <c r="BI9" s="216">
        <f>+BE9+BF9+BG9+BH9</f>
        <v>2295.8199999999997</v>
      </c>
      <c r="BJ9" s="273">
        <f>+BJ31</f>
        <v>614.64916937617522</v>
      </c>
      <c r="BK9" s="135">
        <f t="shared" ref="BK9:BM9" si="11">+BK31</f>
        <v>648.2261730388143</v>
      </c>
      <c r="BL9" s="135">
        <f t="shared" si="11"/>
        <v>674.49647181621992</v>
      </c>
      <c r="BM9" s="135">
        <f t="shared" si="11"/>
        <v>710.74986832652485</v>
      </c>
      <c r="BN9" s="216">
        <f>+BJ9+BK9+BL9+BM9</f>
        <v>2648.1216825577344</v>
      </c>
      <c r="BO9" s="135">
        <f>+BO31</f>
        <v>760.17060826748752</v>
      </c>
      <c r="BP9" s="135">
        <f t="shared" ref="BP9:BR9" si="12">+BP31</f>
        <v>760.67339532448932</v>
      </c>
      <c r="BQ9" s="135">
        <f t="shared" si="12"/>
        <v>788.56083809936172</v>
      </c>
      <c r="BR9" s="135">
        <f t="shared" si="12"/>
        <v>808.33936834449673</v>
      </c>
      <c r="BS9" s="216">
        <f>+BO9+BP9+BQ9+BR9</f>
        <v>3117.7442100358348</v>
      </c>
      <c r="BT9" s="135">
        <f>+BT31</f>
        <v>874.82355363239253</v>
      </c>
      <c r="BU9" s="135">
        <f t="shared" ref="BU9:BW9" si="13">+BU31</f>
        <v>883.53624046945095</v>
      </c>
      <c r="BV9" s="135">
        <f t="shared" si="13"/>
        <v>911.33954612191962</v>
      </c>
      <c r="BW9" s="135">
        <f t="shared" si="13"/>
        <v>935.55769055838107</v>
      </c>
      <c r="BX9" s="216">
        <f>+BT9+BU9+BV9+BW9</f>
        <v>3605.2570307821443</v>
      </c>
      <c r="BY9" s="135">
        <f>+BY31</f>
        <v>1010.639430810094</v>
      </c>
      <c r="BZ9" s="135">
        <f t="shared" ref="BZ9:CB9" si="14">+BZ31</f>
        <v>1014.2484681734625</v>
      </c>
      <c r="CA9" s="135">
        <f t="shared" si="14"/>
        <v>1049.1023724601675</v>
      </c>
      <c r="CB9" s="135">
        <f t="shared" si="14"/>
        <v>1071.3304206905364</v>
      </c>
      <c r="CC9" s="216">
        <f>+BY9+BZ9+CA9+CB9</f>
        <v>4145.3206921342608</v>
      </c>
      <c r="CD9" s="135">
        <f>+CD31</f>
        <v>1152.7463505628932</v>
      </c>
      <c r="CE9" s="135">
        <f t="shared" ref="CE9:CG9" si="15">+CE31</f>
        <v>1159.041656734275</v>
      </c>
      <c r="CF9" s="135">
        <f t="shared" si="15"/>
        <v>1194.1816560593031</v>
      </c>
      <c r="CG9" s="135">
        <f t="shared" si="15"/>
        <v>1219.9657007370752</v>
      </c>
      <c r="CH9" s="216">
        <f>+CD9+CE9+CF9+CG9</f>
        <v>4725.9353640935469</v>
      </c>
      <c r="CI9" s="135">
        <f>+CI31</f>
        <v>1295.9962316242704</v>
      </c>
      <c r="CJ9" s="135">
        <f t="shared" ref="CJ9:CL9" si="16">+CJ31</f>
        <v>1298.1167805269047</v>
      </c>
      <c r="CK9" s="135">
        <f t="shared" si="16"/>
        <v>1330.1733285007149</v>
      </c>
      <c r="CL9" s="135">
        <f t="shared" si="16"/>
        <v>1352.61037546338</v>
      </c>
      <c r="CM9" s="216">
        <f>+CI9+CJ9+CK9+CL9</f>
        <v>5276.8967161152705</v>
      </c>
      <c r="CN9" s="135">
        <f>+CN31</f>
        <v>1432.8002927849307</v>
      </c>
      <c r="CO9" s="135">
        <f t="shared" ref="CO9:CQ9" si="17">+CO31</f>
        <v>1434.8960995963116</v>
      </c>
      <c r="CP9" s="135">
        <f t="shared" si="17"/>
        <v>1467.8442479444675</v>
      </c>
      <c r="CQ9" s="135">
        <f t="shared" si="17"/>
        <v>1491.1037472777712</v>
      </c>
      <c r="CR9" s="216">
        <f>+CN9+CO9+CP9+CQ9</f>
        <v>5826.6443876034809</v>
      </c>
      <c r="CS9" s="135">
        <f>+CS31</f>
        <v>1576.299108835869</v>
      </c>
      <c r="CT9" s="135">
        <f t="shared" ref="CT9:CV9" si="18">+CT31</f>
        <v>1579.0696278853382</v>
      </c>
      <c r="CU9" s="135">
        <f t="shared" si="18"/>
        <v>1613.8538461928804</v>
      </c>
      <c r="CV9" s="135">
        <f t="shared" si="18"/>
        <v>1638.6500921692632</v>
      </c>
      <c r="CW9" s="216">
        <f>+CS9+CT9+CU9+CV9</f>
        <v>6407.8726750833503</v>
      </c>
      <c r="CX9" s="135">
        <f>+CX31</f>
        <v>1714.7686574234735</v>
      </c>
      <c r="CY9" s="135">
        <f t="shared" ref="CY9:DA9" si="19">+CY31</f>
        <v>1713.6956387951655</v>
      </c>
      <c r="CZ9" s="135">
        <f t="shared" si="19"/>
        <v>1745.6646708200772</v>
      </c>
      <c r="DA9" s="135">
        <f t="shared" si="19"/>
        <v>1767.4672325926326</v>
      </c>
      <c r="DB9" s="216">
        <f>+CX9+CY9+CZ9+DA9</f>
        <v>6941.596199631349</v>
      </c>
    </row>
    <row r="10" spans="1:106">
      <c r="A10" s="277" t="s">
        <v>281</v>
      </c>
      <c r="F10" s="217"/>
      <c r="G10" s="119" t="s">
        <v>290</v>
      </c>
      <c r="H10" s="119" t="s">
        <v>290</v>
      </c>
      <c r="I10" s="119" t="s">
        <v>290</v>
      </c>
      <c r="J10" s="119" t="s">
        <v>290</v>
      </c>
      <c r="K10" s="235" t="s">
        <v>290</v>
      </c>
      <c r="L10" s="13">
        <f>+L9/G9-1</f>
        <v>0.30356724023966408</v>
      </c>
      <c r="M10" s="13">
        <f t="shared" ref="M10" si="20">+M9/H9-1</f>
        <v>0.15076708820952867</v>
      </c>
      <c r="N10" s="13">
        <f t="shared" ref="N10" si="21">+N9/I9-1</f>
        <v>0.19510163653963031</v>
      </c>
      <c r="O10" s="13">
        <f t="shared" ref="O10" si="22">+O9/J9-1</f>
        <v>-7.292602289449035E-2</v>
      </c>
      <c r="P10" s="239">
        <f t="shared" ref="P10" si="23">+P9/K9-1</f>
        <v>0.13711151736745886</v>
      </c>
      <c r="Q10" s="13">
        <f>+Q9/L9-1</f>
        <v>-0.24900222454854759</v>
      </c>
      <c r="R10" s="13">
        <f t="shared" ref="R10" si="24">+R9/M9-1</f>
        <v>2.039780601588892E-2</v>
      </c>
      <c r="S10" s="13">
        <f t="shared" ref="S10" si="25">+S9/N9-1</f>
        <v>4.221133923526077E-2</v>
      </c>
      <c r="T10" s="13">
        <f t="shared" ref="T10" si="26">+T9/O9-1</f>
        <v>7.1282801838758125E-2</v>
      </c>
      <c r="U10" s="239">
        <f t="shared" ref="U10" si="27">+U9/P9-1</f>
        <v>-3.9627420922754841E-2</v>
      </c>
      <c r="V10" s="13">
        <f>+V9/Q9-1</f>
        <v>0.18199638446627331</v>
      </c>
      <c r="W10" s="13">
        <f t="shared" ref="W10" si="28">+W9/R9-1</f>
        <v>0.15450684826689098</v>
      </c>
      <c r="X10" s="13">
        <f t="shared" ref="X10" si="29">+X9/S9-1</f>
        <v>0.1324935388841697</v>
      </c>
      <c r="Y10" s="13">
        <f t="shared" ref="Y10" si="30">+Y9/T9-1</f>
        <v>0.21383901941542072</v>
      </c>
      <c r="Z10" s="239">
        <f t="shared" ref="Z10" si="31">+Z9/U9-1</f>
        <v>0.16972684669252369</v>
      </c>
      <c r="AA10" s="13">
        <f>+AA9/V9-1</f>
        <v>0.16759107409386576</v>
      </c>
      <c r="AB10" s="13">
        <f t="shared" ref="AB10" si="32">+AB9/W9-1</f>
        <v>7.8637350255993832E-2</v>
      </c>
      <c r="AC10" s="13">
        <f t="shared" ref="AC10" si="33">+AC9/X9-1</f>
        <v>6.820720691966442E-2</v>
      </c>
      <c r="AD10" s="13">
        <f t="shared" ref="AD10" si="34">+AD9/Y9-1</f>
        <v>0.18071716178941699</v>
      </c>
      <c r="AE10" s="239">
        <f t="shared" ref="AE10" si="35">+AE9/Z9-1</f>
        <v>0.12279190900543324</v>
      </c>
      <c r="AF10" s="13">
        <f>+AF9/AA9-1</f>
        <v>0.37374534435957352</v>
      </c>
      <c r="AG10" s="13">
        <f t="shared" ref="AG10" si="36">+AG9/AB9-1</f>
        <v>0.23525707000107521</v>
      </c>
      <c r="AH10" s="13">
        <f t="shared" ref="AH10" si="37">+AH9/AC9-1</f>
        <v>0.39365961515477466</v>
      </c>
      <c r="AI10" s="13">
        <f t="shared" ref="AI10" si="38">+AI9/AD9-1</f>
        <v>0.42940576246609918</v>
      </c>
      <c r="AJ10" s="239">
        <f t="shared" ref="AJ10" si="39">+AJ9/AE9-1</f>
        <v>0.3606404304119224</v>
      </c>
      <c r="AK10" s="13">
        <f t="shared" ref="AK10" si="40">+AK9/AF9-1</f>
        <v>0.35999356661994808</v>
      </c>
      <c r="AL10" s="13">
        <f t="shared" ref="AL10" si="41">+AL9/AG9-1</f>
        <v>0.7065685079712487</v>
      </c>
      <c r="AM10" s="13">
        <f t="shared" ref="AM10" si="42">+AM9/AH9-1</f>
        <v>0.61493686083656729</v>
      </c>
      <c r="AN10" s="13">
        <f t="shared" ref="AN10" si="43">+AN9/AI9-1</f>
        <v>0.51114450758465213</v>
      </c>
      <c r="AO10" s="239">
        <f t="shared" ref="AO10" si="44">+AO9/AJ9-1</f>
        <v>0.5444771534621784</v>
      </c>
      <c r="AP10" s="13">
        <f t="shared" ref="AP10" si="45">+AP9/AK9-1</f>
        <v>0.60499062357452993</v>
      </c>
      <c r="AQ10" s="13">
        <f t="shared" ref="AQ10" si="46">+AQ9/AL9-1</f>
        <v>0.41790544479421698</v>
      </c>
      <c r="AR10" s="13">
        <f t="shared" ref="AR10" si="47">+AR9/AM9-1</f>
        <v>0.32644987421258387</v>
      </c>
      <c r="AS10" s="13">
        <f t="shared" ref="AS10" si="48">+AS9/AN9-1</f>
        <v>0.32326396658461998</v>
      </c>
      <c r="AT10" s="239">
        <f t="shared" ref="AT10" si="49">+AT9/AO9-1</f>
        <v>0.40581575564798666</v>
      </c>
      <c r="AU10" s="13">
        <f t="shared" ref="AU10" si="50">+AU9/AP9-1</f>
        <v>0.25154998368438219</v>
      </c>
      <c r="AV10" s="13">
        <f t="shared" ref="AV10" si="51">+AV9/AQ9-1</f>
        <v>0.327234790473939</v>
      </c>
      <c r="AW10" s="13">
        <f t="shared" ref="AW10" si="52">+AW9/AR9-1</f>
        <v>0.32721149371218705</v>
      </c>
      <c r="AX10" s="13">
        <f t="shared" ref="AX10" si="53">+AX9/AS9-1</f>
        <v>0.44322473366777504</v>
      </c>
      <c r="AY10" s="239">
        <f t="shared" ref="AY10" si="54">+AY9/AT9-1</f>
        <v>0.34016382648089127</v>
      </c>
      <c r="AZ10" s="13">
        <f t="shared" ref="AZ10" si="55">+AZ9/AU9-1</f>
        <v>0.53354331635807029</v>
      </c>
      <c r="BA10" s="13">
        <f t="shared" ref="BA10" si="56">+BA9/AV9-1</f>
        <v>0.59285360262685094</v>
      </c>
      <c r="BB10" s="13">
        <f t="shared" ref="BB10" si="57">+BB9/AW9-1</f>
        <v>0.64440950463392377</v>
      </c>
      <c r="BC10" s="13">
        <f t="shared" ref="BC10" si="58">+BC9/AX9-1</f>
        <v>0.53916830213734079</v>
      </c>
      <c r="BD10" s="239">
        <f t="shared" ref="BD10" si="59">+BD9/AY9-1</f>
        <v>0.57701385652330983</v>
      </c>
      <c r="BE10" s="13">
        <f>+BE9/AZ9-1</f>
        <v>0.37119383994383992</v>
      </c>
      <c r="BF10" s="62">
        <f t="shared" ref="BF10" si="60">+BF9/BA9-1</f>
        <v>0.32346778035997326</v>
      </c>
      <c r="BG10" s="62">
        <f t="shared" ref="BG10" si="61">+BG9/BB9-1</f>
        <v>0.35326865798265183</v>
      </c>
      <c r="BH10" s="13">
        <f t="shared" ref="BH10" si="62">+BH9/BC9-1</f>
        <v>0.39806432922896673</v>
      </c>
      <c r="BI10" s="239">
        <f t="shared" ref="BI10" si="63">+BI9/BD9-1</f>
        <v>0.36244461667558792</v>
      </c>
      <c r="BJ10" s="328">
        <f>+BJ9/BE9-1</f>
        <v>0.22920983564418407</v>
      </c>
      <c r="BK10" s="13">
        <f t="shared" ref="BK10" si="64">+BK9/BF9-1</f>
        <v>0.19065765114297095</v>
      </c>
      <c r="BL10" s="13">
        <f t="shared" ref="BL10" si="65">+BL9/BG9-1</f>
        <v>0.14283276908594922</v>
      </c>
      <c r="BM10" s="13">
        <f t="shared" ref="BM10" si="66">+BM9/BH9-1</f>
        <v>7.5004338324346387E-2</v>
      </c>
      <c r="BN10" s="239">
        <f t="shared" ref="BN10" si="67">+BN9/BI9-1</f>
        <v>0.15345352970081927</v>
      </c>
      <c r="BO10" s="13">
        <f>+BO9/BJ9-1</f>
        <v>0.23675528438280669</v>
      </c>
      <c r="BP10" s="13">
        <f t="shared" ref="BP10" si="68">+BP9/BK9-1</f>
        <v>0.17346911766696271</v>
      </c>
      <c r="BQ10" s="13">
        <f t="shared" ref="BQ10" si="69">+BQ9/BL9-1</f>
        <v>0.16911039723603016</v>
      </c>
      <c r="BR10" s="13">
        <f t="shared" ref="BR10" si="70">+BR9/BM9-1</f>
        <v>0.13730498501216526</v>
      </c>
      <c r="BS10" s="239">
        <f t="shared" ref="BS10" si="71">+BS9/BN9-1</f>
        <v>0.17734174776459199</v>
      </c>
      <c r="BT10" s="13">
        <f>+BT9/BO9-1</f>
        <v>0.15082528069088563</v>
      </c>
      <c r="BU10" s="13">
        <f t="shared" ref="BU10" si="72">+BU9/BP9-1</f>
        <v>0.16151852542778955</v>
      </c>
      <c r="BV10" s="13">
        <f t="shared" ref="BV10" si="73">+BV9/BQ9-1</f>
        <v>0.15569972802413923</v>
      </c>
      <c r="BW10" s="13">
        <f t="shared" ref="BW10" si="74">+BW9/BR9-1</f>
        <v>0.15738231638331723</v>
      </c>
      <c r="BX10" s="239">
        <f t="shared" ref="BX10" si="75">+BX9/BS9-1</f>
        <v>0.15636716417499374</v>
      </c>
      <c r="BY10" s="13">
        <f>+BY9/BT9-1</f>
        <v>0.15524945186234929</v>
      </c>
      <c r="BZ10" s="13">
        <f t="shared" ref="BZ10" si="76">+BZ9/BU9-1</f>
        <v>0.14794212361290349</v>
      </c>
      <c r="CA10" s="13">
        <f t="shared" ref="CA10" si="77">+CA9/BV9-1</f>
        <v>0.15116520173461012</v>
      </c>
      <c r="CB10" s="13">
        <f t="shared" ref="CB10" si="78">+CB9/BW9-1</f>
        <v>0.1451249147993432</v>
      </c>
      <c r="CC10" s="239">
        <f t="shared" ref="CC10" si="79">+CC9/BX9-1</f>
        <v>0.14979893437305147</v>
      </c>
      <c r="CD10" s="13">
        <f>+CD9/BY9-1</f>
        <v>0.1406108998130926</v>
      </c>
      <c r="CE10" s="13">
        <f t="shared" ref="CE10" si="80">+CE9/BZ9-1</f>
        <v>0.1427590902075182</v>
      </c>
      <c r="CF10" s="13">
        <f t="shared" ref="CF10" si="81">+CF9/CA9-1</f>
        <v>0.13828896722340023</v>
      </c>
      <c r="CG10" s="13">
        <f t="shared" ref="CG10" si="82">+CG9/CB9-1</f>
        <v>0.13873897088699727</v>
      </c>
      <c r="CH10" s="239">
        <f t="shared" ref="CH10" si="83">+CH9/CC9-1</f>
        <v>0.14006507941858426</v>
      </c>
      <c r="CI10" s="13">
        <f>+CI9/CD9-1</f>
        <v>0.12426834488907934</v>
      </c>
      <c r="CJ10" s="13">
        <f t="shared" ref="CJ10" si="84">+CJ9/CE9-1</f>
        <v>0.11999148001676563</v>
      </c>
      <c r="CK10" s="13">
        <f t="shared" ref="CK10" si="85">+CK9/CF9-1</f>
        <v>0.11387854749852089</v>
      </c>
      <c r="CL10" s="13">
        <f t="shared" ref="CL10" si="86">+CL9/CG9-1</f>
        <v>0.10872820001920047</v>
      </c>
      <c r="CM10" s="239">
        <f t="shared" ref="CM10" si="87">+CM9/CH9-1</f>
        <v>0.11658249839974277</v>
      </c>
      <c r="CN10" s="13">
        <f>+CN9/CI9-1</f>
        <v>0.10555899610078634</v>
      </c>
      <c r="CO10" s="13">
        <f t="shared" ref="CO10" si="88">+CO9/CJ9-1</f>
        <v>0.10536749938159518</v>
      </c>
      <c r="CP10" s="13">
        <f t="shared" ref="CP10" si="89">+CP9/CK9-1</f>
        <v>0.10349848135876116</v>
      </c>
      <c r="CQ10" s="13">
        <f t="shared" ref="CQ10" si="90">+CQ9/CL9-1</f>
        <v>0.10238970092695454</v>
      </c>
      <c r="CR10" s="239">
        <f t="shared" ref="CR10" si="91">+CR9/CM9-1</f>
        <v>0.1041801083218703</v>
      </c>
      <c r="CS10" s="13">
        <f>+CS9/CN9-1</f>
        <v>0.10015269872120136</v>
      </c>
      <c r="CT10" s="13">
        <f t="shared" ref="CT10" si="92">+CT9/CO9-1</f>
        <v>0.1004766326492823</v>
      </c>
      <c r="CU10" s="13">
        <f t="shared" ref="CU10" si="93">+CU9/CP9-1</f>
        <v>9.9472132995636953E-2</v>
      </c>
      <c r="CV10" s="13">
        <f t="shared" ref="CV10" si="94">+CV9/CQ9-1</f>
        <v>9.8951092545277008E-2</v>
      </c>
      <c r="CW10" s="239">
        <f t="shared" ref="CW10" si="95">+CW9/CR9-1</f>
        <v>9.975352000483606E-2</v>
      </c>
      <c r="CX10" s="13">
        <f>+CX9/CS9-1</f>
        <v>8.7844716660321787E-2</v>
      </c>
      <c r="CY10" s="13">
        <f t="shared" ref="CY10" si="96">+CY9/CT9-1</f>
        <v>8.5256538744346688E-2</v>
      </c>
      <c r="CZ10" s="13">
        <f t="shared" ref="CZ10" si="97">+CZ9/CU9-1</f>
        <v>8.1674573529778804E-2</v>
      </c>
      <c r="DA10" s="13">
        <f t="shared" ref="DA10" si="98">+DA9/CV9-1</f>
        <v>7.8611743311740145E-2</v>
      </c>
      <c r="DB10" s="239">
        <f t="shared" ref="DB10" si="99">+DB9/CW9-1</f>
        <v>8.3291842958015172E-2</v>
      </c>
    </row>
    <row r="11" spans="1:106">
      <c r="A11" s="277" t="s">
        <v>288</v>
      </c>
      <c r="F11" s="217"/>
      <c r="G11" s="119" t="s">
        <v>290</v>
      </c>
      <c r="H11" s="13">
        <f>+H9/G9-1</f>
        <v>-5.0747350689780202E-2</v>
      </c>
      <c r="I11" s="13">
        <f t="shared" ref="I11" si="100">+I9/H9-1</f>
        <v>-2.1563826680742748E-3</v>
      </c>
      <c r="J11" s="13">
        <f t="shared" ref="J11" si="101">+J9/I9-1</f>
        <v>0.17792584922224974</v>
      </c>
      <c r="K11" s="235" t="s">
        <v>290</v>
      </c>
      <c r="L11" s="13">
        <f>+L9/J9-1</f>
        <v>0.16834521375198275</v>
      </c>
      <c r="M11" s="13">
        <f>+M9/L9-1</f>
        <v>-0.16201583355142635</v>
      </c>
      <c r="N11" s="13">
        <f t="shared" ref="N11" si="102">+N9/M9-1</f>
        <v>3.6286623333528611E-2</v>
      </c>
      <c r="O11" s="13">
        <f t="shared" ref="O11" si="103">+O9/N9-1</f>
        <v>-8.6249764550762831E-2</v>
      </c>
      <c r="P11" s="235" t="s">
        <v>290</v>
      </c>
      <c r="Q11" s="13">
        <f>+Q9/O9-1</f>
        <v>-5.3554863845313605E-2</v>
      </c>
      <c r="R11" s="13">
        <f>+R9/Q9-1</f>
        <v>0.13858819942064349</v>
      </c>
      <c r="S11" s="13">
        <f t="shared" ref="S11" si="104">+S9/R9-1</f>
        <v>5.8439819420001538E-2</v>
      </c>
      <c r="T11" s="13">
        <f t="shared" ref="T11" si="105">+T9/S9-1</f>
        <v>-6.0761598380654647E-2</v>
      </c>
      <c r="U11" s="235" t="s">
        <v>290</v>
      </c>
      <c r="V11" s="13">
        <f>+V9/T9-1</f>
        <v>4.4257153302930563E-2</v>
      </c>
      <c r="W11" s="13">
        <f>+W9/V9-1</f>
        <v>0.11210820173579772</v>
      </c>
      <c r="X11" s="13">
        <f t="shared" ref="X11" si="106">+X9/W9-1</f>
        <v>3.8258247311649729E-2</v>
      </c>
      <c r="Y11" s="13">
        <f t="shared" ref="Y11" si="107">+Y9/X9-1</f>
        <v>6.7026267913568027E-3</v>
      </c>
      <c r="Z11" s="235" t="s">
        <v>290</v>
      </c>
      <c r="AA11" s="13">
        <f>+AA9/Y9-1</f>
        <v>4.4703718968961415E-3</v>
      </c>
      <c r="AB11" s="13">
        <f>+AB9/AA9-1</f>
        <v>2.7381478442017659E-2</v>
      </c>
      <c r="AC11" s="13">
        <f t="shared" ref="AC11" si="108">+AC9/AB9-1</f>
        <v>2.8218559424876055E-2</v>
      </c>
      <c r="AD11" s="13">
        <f t="shared" ref="AD11" si="109">+AD9/AC9-1</f>
        <v>0.11273455240827035</v>
      </c>
      <c r="AE11" s="235" t="s">
        <v>290</v>
      </c>
      <c r="AF11" s="13">
        <f>+AF9/AD9-1</f>
        <v>0.16868505142182011</v>
      </c>
      <c r="AG11" s="13">
        <f>+AG9/AF9-1</f>
        <v>-7.6189600900673282E-2</v>
      </c>
      <c r="AH11" s="13">
        <f t="shared" ref="AH11" si="110">+AH9/AG9-1</f>
        <v>0.16007162931827801</v>
      </c>
      <c r="AI11" s="13">
        <f t="shared" ref="AI11" si="111">+AI9/AH9-1</f>
        <v>0.14127521814634569</v>
      </c>
      <c r="AJ11" s="235" t="s">
        <v>290</v>
      </c>
      <c r="AK11" s="13">
        <f>+AK9/AI9-1</f>
        <v>0.11193349927206131</v>
      </c>
      <c r="AL11" s="13">
        <f t="shared" ref="AL11" si="112">+AL9/AK9-1</f>
        <v>0.15923028838843734</v>
      </c>
      <c r="AM11" s="13">
        <f t="shared" ref="AM11" si="113">+AM9/AL9-1</f>
        <v>9.7783315844701013E-2</v>
      </c>
      <c r="AN11" s="13">
        <f t="shared" ref="AN11" si="114">+AN9/AM9-1</f>
        <v>6.7925204611983814E-2</v>
      </c>
      <c r="AO11" s="235" t="s">
        <v>290</v>
      </c>
      <c r="AP11" s="13">
        <f>+AP9/AN9-1</f>
        <v>0.1809875438203925</v>
      </c>
      <c r="AQ11" s="13">
        <f t="shared" ref="AQ11" si="115">+AQ9/AP9-1</f>
        <v>2.4105009420953394E-2</v>
      </c>
      <c r="AR11" s="13">
        <f t="shared" ref="AR11" si="116">+AR9/AQ9-1</f>
        <v>2.6975773709798423E-2</v>
      </c>
      <c r="AS11" s="13">
        <f t="shared" ref="AS11" si="117">+AS9/AR9-1</f>
        <v>6.5360229393837788E-2</v>
      </c>
      <c r="AT11" s="235" t="s">
        <v>290</v>
      </c>
      <c r="AU11" s="13">
        <f>+AU9/AS9-1</f>
        <v>0.11698419856077269</v>
      </c>
      <c r="AV11" s="13">
        <f t="shared" ref="AV11" si="118">+AV9/AU9-1</f>
        <v>8.6035568152667885E-2</v>
      </c>
      <c r="AW11" s="13">
        <f t="shared" ref="AW11" si="119">+AW9/AV9-1</f>
        <v>2.69577473514655E-2</v>
      </c>
      <c r="AX11" s="13">
        <f t="shared" ref="AX11" si="120">+AX9/AW9-1</f>
        <v>0.15848471823179411</v>
      </c>
      <c r="AY11" s="235" t="s">
        <v>290</v>
      </c>
      <c r="AZ11" s="13">
        <f>+AZ9/AX9-1</f>
        <v>0.18688629166381898</v>
      </c>
      <c r="BA11" s="13">
        <f t="shared" ref="BA11" si="121">+BA9/AZ9-1</f>
        <v>0.12803834678834658</v>
      </c>
      <c r="BB11" s="13">
        <f t="shared" ref="BB11" si="122">+BB9/BA9-1</f>
        <v>6.0197294853220118E-2</v>
      </c>
      <c r="BC11" s="13">
        <f t="shared" ref="BC11" si="123">+BC9/BB9-1</f>
        <v>8.434240484996347E-2</v>
      </c>
      <c r="BD11" s="235" t="s">
        <v>290</v>
      </c>
      <c r="BE11" s="13">
        <f>+BE9/BC9-1</f>
        <v>5.7357515473313025E-2</v>
      </c>
      <c r="BF11" s="62">
        <f t="shared" ref="BF11" si="124">+BF9/BE9-1</f>
        <v>8.8775608156212771E-2</v>
      </c>
      <c r="BG11" s="62">
        <f t="shared" ref="BG11" si="125">+BG9/BF9-1</f>
        <v>8.4070040611505359E-2</v>
      </c>
      <c r="BH11" s="13">
        <f t="shared" ref="BH11" si="126">+BH9/BG9-1</f>
        <v>0.12023612454824395</v>
      </c>
      <c r="BI11" s="235" t="s">
        <v>290</v>
      </c>
      <c r="BJ11" s="328">
        <f>+BJ9/BH9-1</f>
        <v>-7.0347314755618506E-2</v>
      </c>
      <c r="BK11" s="13">
        <f t="shared" ref="BK11" si="127">+BK9/BJ9-1</f>
        <v>5.4627916762203244E-2</v>
      </c>
      <c r="BL11" s="13">
        <f t="shared" ref="BL11" si="128">+BL9/BK9-1</f>
        <v>4.0526439489867006E-2</v>
      </c>
      <c r="BM11" s="13">
        <f t="shared" ref="BM11" si="129">+BM9/BL9-1</f>
        <v>5.3748830461166408E-2</v>
      </c>
      <c r="BN11" s="235" t="s">
        <v>290</v>
      </c>
      <c r="BO11" s="13">
        <f>+BO9/BM9-1</f>
        <v>6.953323826471447E-2</v>
      </c>
      <c r="BP11" s="13">
        <f t="shared" ref="BP11" si="130">+BP9/BO9-1</f>
        <v>6.6141344000092417E-4</v>
      </c>
      <c r="BQ11" s="13">
        <f t="shared" ref="BQ11" si="131">+BQ9/BP9-1</f>
        <v>3.6661519840556656E-2</v>
      </c>
      <c r="BR11" s="13">
        <f t="shared" ref="BR11" si="132">+BR9/BQ9-1</f>
        <v>2.508180636107471E-2</v>
      </c>
      <c r="BS11" s="235" t="s">
        <v>290</v>
      </c>
      <c r="BT11" s="13">
        <f>+BT9/BR9-1</f>
        <v>8.2247862582837561E-2</v>
      </c>
      <c r="BU11" s="13">
        <f t="shared" ref="BU11" si="133">+BU9/BT9-1</f>
        <v>9.9593647208995328E-3</v>
      </c>
      <c r="BV11" s="13">
        <f t="shared" ref="BV11" si="134">+BV9/BU9-1</f>
        <v>3.1468211918161737E-2</v>
      </c>
      <c r="BW11" s="13">
        <f t="shared" ref="BW11" si="135">+BW9/BV9-1</f>
        <v>2.6574227508856074E-2</v>
      </c>
      <c r="BX11" s="235" t="s">
        <v>290</v>
      </c>
      <c r="BY11" s="13">
        <f>+BY9/BW9-1</f>
        <v>8.0253458455246118E-2</v>
      </c>
      <c r="BZ11" s="13">
        <f t="shared" ref="BZ11" si="136">+BZ9/BY9-1</f>
        <v>3.5710434932025859E-3</v>
      </c>
      <c r="CA11" s="13">
        <f t="shared" ref="CA11" si="137">+CA9/BZ9-1</f>
        <v>3.4364266134384813E-2</v>
      </c>
      <c r="CB11" s="13">
        <f t="shared" ref="CB11" si="138">+CB9/CA9-1</f>
        <v>2.1187682740859248E-2</v>
      </c>
      <c r="CC11" s="235" t="s">
        <v>290</v>
      </c>
      <c r="CD11" s="13">
        <f>+CD9/CB9-1</f>
        <v>7.5995162930106552E-2</v>
      </c>
      <c r="CE11" s="13">
        <f t="shared" ref="CE11" si="139">+CE9/CD9-1</f>
        <v>5.4611373684312348E-3</v>
      </c>
      <c r="CF11" s="13">
        <f t="shared" ref="CF11" si="140">+CF9/CE9-1</f>
        <v>3.0318150448568781E-2</v>
      </c>
      <c r="CG11" s="13">
        <f t="shared" ref="CG11" si="141">+CG9/CF9-1</f>
        <v>2.1591392353871086E-2</v>
      </c>
      <c r="CH11" s="235" t="s">
        <v>290</v>
      </c>
      <c r="CI11" s="13">
        <f>+CI9/CG9-1</f>
        <v>6.2321859410686242E-2</v>
      </c>
      <c r="CJ11" s="13">
        <f t="shared" ref="CJ11" si="142">+CJ9/CI9-1</f>
        <v>1.6362307627828532E-3</v>
      </c>
      <c r="CK11" s="13">
        <f t="shared" ref="CK11" si="143">+CK9/CJ9-1</f>
        <v>2.4694656485989341E-2</v>
      </c>
      <c r="CL11" s="13">
        <f t="shared" ref="CL11" si="144">+CL9/CK9-1</f>
        <v>1.6867761878788246E-2</v>
      </c>
      <c r="CM11" s="235" t="s">
        <v>290</v>
      </c>
      <c r="CN11" s="13">
        <f>+CN9/CL9-1</f>
        <v>5.9285304013788176E-2</v>
      </c>
      <c r="CO11" s="13">
        <f t="shared" ref="CO11" si="145">+CO9/CN9-1</f>
        <v>1.4627347732512064E-3</v>
      </c>
      <c r="CP11" s="13">
        <f t="shared" ref="CP11" si="146">+CP9/CO9-1</f>
        <v>2.2962044678653371E-2</v>
      </c>
      <c r="CQ11" s="13">
        <f t="shared" ref="CQ11" si="147">+CQ9/CP9-1</f>
        <v>1.5846026828715498E-2</v>
      </c>
      <c r="CR11" s="235" t="s">
        <v>290</v>
      </c>
      <c r="CS11" s="13">
        <f>+CS9/CQ9-1</f>
        <v>5.7135770541543174E-2</v>
      </c>
      <c r="CT11" s="13">
        <f t="shared" ref="CT11" si="148">+CT9/CS9-1</f>
        <v>1.7576099827367742E-3</v>
      </c>
      <c r="CU11" s="13">
        <f t="shared" ref="CU11" si="149">+CU9/CT9-1</f>
        <v>2.2028299255001604E-2</v>
      </c>
      <c r="CV11" s="13">
        <f t="shared" ref="CV11" si="150">+CV9/CU9-1</f>
        <v>1.5364616836200939E-2</v>
      </c>
      <c r="CW11" s="235" t="s">
        <v>290</v>
      </c>
      <c r="CX11" s="13">
        <f>+CX9/CV9-1</f>
        <v>4.6451994613104786E-2</v>
      </c>
      <c r="CY11" s="13">
        <f t="shared" ref="CY11" si="151">+CY9/CX9-1</f>
        <v>-6.2575124852137787E-4</v>
      </c>
      <c r="CZ11" s="13">
        <f t="shared" ref="CZ11" si="152">+CZ9/CY9-1</f>
        <v>1.8655023273203897E-2</v>
      </c>
      <c r="DA11" s="13">
        <f t="shared" ref="DA11" si="153">+DA9/CZ9-1</f>
        <v>1.2489547469797246E-2</v>
      </c>
      <c r="DB11" s="235" t="s">
        <v>290</v>
      </c>
    </row>
    <row r="12" spans="1:106">
      <c r="A12" s="51"/>
      <c r="F12" s="217"/>
      <c r="G12" s="19"/>
      <c r="H12" s="19"/>
      <c r="I12" s="19"/>
      <c r="J12" s="19"/>
      <c r="K12" s="215"/>
      <c r="L12" s="19"/>
      <c r="M12" s="19"/>
      <c r="N12" s="19"/>
      <c r="O12" s="19"/>
      <c r="P12" s="215"/>
      <c r="Q12" s="19"/>
      <c r="R12" s="19"/>
      <c r="S12" s="19"/>
      <c r="T12" s="19"/>
      <c r="U12" s="215"/>
      <c r="V12" s="19"/>
      <c r="W12" s="19"/>
      <c r="X12" s="19"/>
      <c r="Y12" s="19"/>
      <c r="Z12" s="215"/>
      <c r="AA12" s="19"/>
      <c r="AB12" s="19"/>
      <c r="AC12" s="19"/>
      <c r="AD12" s="19"/>
      <c r="AE12" s="215"/>
      <c r="AF12" s="19"/>
      <c r="AG12" s="19"/>
      <c r="AH12" s="19"/>
      <c r="AI12" s="19"/>
      <c r="AJ12" s="215"/>
      <c r="AK12" s="19"/>
      <c r="AL12" s="19"/>
      <c r="AM12" s="19"/>
      <c r="AN12" s="19"/>
      <c r="AO12" s="215"/>
      <c r="AP12" s="19"/>
      <c r="AQ12" s="19"/>
      <c r="AR12" s="19"/>
      <c r="AS12" s="19"/>
      <c r="AT12" s="215"/>
      <c r="AU12" s="19"/>
      <c r="AV12" s="19"/>
      <c r="AW12" s="19"/>
      <c r="AX12" s="19"/>
      <c r="AY12" s="215"/>
      <c r="AZ12" s="19"/>
      <c r="BA12" s="19"/>
      <c r="BB12" s="19"/>
      <c r="BC12" s="19"/>
      <c r="BD12" s="215"/>
      <c r="BE12" s="19"/>
      <c r="BI12" s="217"/>
      <c r="BJ12" s="356"/>
      <c r="BN12" s="217"/>
      <c r="BS12" s="217"/>
      <c r="BX12" s="217"/>
      <c r="CC12" s="217"/>
      <c r="CH12" s="217"/>
      <c r="CM12" s="217"/>
      <c r="CR12" s="217"/>
      <c r="CW12" s="217"/>
      <c r="DB12" s="217"/>
    </row>
    <row r="13" spans="1:106" s="51" customFormat="1">
      <c r="A13" s="51" t="s">
        <v>395</v>
      </c>
      <c r="F13" s="233"/>
      <c r="G13" s="135">
        <v>0.53600000000000003</v>
      </c>
      <c r="H13" s="135">
        <v>0.56799999999999995</v>
      </c>
      <c r="I13" s="135">
        <v>0.498</v>
      </c>
      <c r="J13" s="135">
        <v>0.58499999999999996</v>
      </c>
      <c r="K13" s="216">
        <f>+G13+H13+I13+J13</f>
        <v>2.1870000000000003</v>
      </c>
      <c r="L13" s="135">
        <v>0.76600000000000001</v>
      </c>
      <c r="M13" s="135">
        <v>0.753</v>
      </c>
      <c r="N13" s="135">
        <v>0.79900000000000004</v>
      </c>
      <c r="O13" s="135">
        <v>0.78800000000000003</v>
      </c>
      <c r="P13" s="216">
        <f>+L13+M13+N13+O13</f>
        <v>3.1059999999999999</v>
      </c>
      <c r="Q13" s="135">
        <v>0.98799999999999999</v>
      </c>
      <c r="R13" s="135">
        <v>1.341</v>
      </c>
      <c r="S13" s="135">
        <v>1.325</v>
      </c>
      <c r="T13" s="135">
        <v>1.796</v>
      </c>
      <c r="U13" s="216">
        <f>+Q13+R13+S13+T13</f>
        <v>5.45</v>
      </c>
      <c r="V13" s="135">
        <v>8.0709999999999997</v>
      </c>
      <c r="W13" s="135">
        <v>2.7160000000000002</v>
      </c>
      <c r="X13" s="135">
        <v>2.6179999999999999</v>
      </c>
      <c r="Y13" s="135">
        <v>3.883</v>
      </c>
      <c r="Z13" s="216">
        <f>+V13+W13+X13+Y13</f>
        <v>17.288</v>
      </c>
      <c r="AA13" s="135">
        <v>3.46</v>
      </c>
      <c r="AB13" s="135">
        <v>9.2560000000000002</v>
      </c>
      <c r="AC13" s="135">
        <v>10.973000000000001</v>
      </c>
      <c r="AD13" s="135">
        <v>8.7579999999999991</v>
      </c>
      <c r="AE13" s="216">
        <f>+AA13+AB13+AC13+AD13</f>
        <v>32.447000000000003</v>
      </c>
      <c r="AF13" s="135">
        <v>6.9660000000000002</v>
      </c>
      <c r="AG13" s="135">
        <v>6.0579999999999998</v>
      </c>
      <c r="AH13" s="135">
        <v>4.8570000000000002</v>
      </c>
      <c r="AI13" s="135">
        <v>5.9130000000000003</v>
      </c>
      <c r="AJ13" s="216">
        <f>+AF13+AG13+AH13+AI13</f>
        <v>23.794</v>
      </c>
      <c r="AK13" s="135">
        <v>33.933999999999997</v>
      </c>
      <c r="AL13" s="135">
        <v>4.7939999999999996</v>
      </c>
      <c r="AM13" s="135">
        <v>7.4649999999999999</v>
      </c>
      <c r="AN13" s="135">
        <v>12.144</v>
      </c>
      <c r="AO13" s="216">
        <f>+AK13+AL13+AM13+AN13</f>
        <v>58.336999999999996</v>
      </c>
      <c r="AP13" s="135">
        <v>4.1310000000000002</v>
      </c>
      <c r="AQ13" s="135">
        <v>3.6179999999999999</v>
      </c>
      <c r="AR13" s="135">
        <v>10.805999999999999</v>
      </c>
      <c r="AS13" s="135">
        <v>4.3600000000000003</v>
      </c>
      <c r="AT13" s="216">
        <f>+AP13+AQ13+AR13+AS13</f>
        <v>22.914999999999999</v>
      </c>
      <c r="AU13" s="135">
        <v>3.9590000000000001</v>
      </c>
      <c r="AV13" s="135">
        <v>3.1480000000000001</v>
      </c>
      <c r="AW13" s="135">
        <v>3.0880000000000001</v>
      </c>
      <c r="AX13" s="135">
        <v>3.8540000000000001</v>
      </c>
      <c r="AY13" s="216">
        <f>+AU13+AV13+AW13+AX13</f>
        <v>14.048999999999999</v>
      </c>
      <c r="AZ13" s="135">
        <v>3.069</v>
      </c>
      <c r="BA13" s="135">
        <v>1.9870000000000001</v>
      </c>
      <c r="BB13" s="135">
        <v>3.6309999999999998</v>
      </c>
      <c r="BC13" s="135">
        <v>3.1500000000000004</v>
      </c>
      <c r="BD13" s="216">
        <f>+AZ13+BA13+BB13+BC13</f>
        <v>11.837</v>
      </c>
      <c r="BE13" s="135">
        <v>1.794</v>
      </c>
      <c r="BF13" s="135">
        <v>2.173</v>
      </c>
      <c r="BG13" s="135">
        <v>1.986</v>
      </c>
      <c r="BH13" s="135">
        <f>10.293-BE13-BF13-BG13</f>
        <v>4.339999999999999</v>
      </c>
      <c r="BI13" s="216">
        <f>+BE13+BF13+BG13+BH13</f>
        <v>10.292999999999999</v>
      </c>
      <c r="BJ13" s="273">
        <f>+BE13*(1+BJ14)</f>
        <v>1.8837000000000002</v>
      </c>
      <c r="BK13" s="135">
        <f t="shared" ref="BK13" si="154">+BF13*(1+BK14)</f>
        <v>2.28165</v>
      </c>
      <c r="BL13" s="135">
        <f t="shared" ref="BL13" si="155">+BG13*(1+BL14)</f>
        <v>2.0853000000000002</v>
      </c>
      <c r="BM13" s="135">
        <f t="shared" ref="BM13" si="156">+BH13*(1+BM14)</f>
        <v>4.5569999999999995</v>
      </c>
      <c r="BN13" s="216">
        <f>+BJ13+BK13+BL13+BM13</f>
        <v>10.807649999999999</v>
      </c>
      <c r="BO13" s="135">
        <f>+BJ13*(1+BO14)</f>
        <v>1.9778850000000003</v>
      </c>
      <c r="BP13" s="135">
        <f t="shared" ref="BP13" si="157">+BK13*(1+BP14)</f>
        <v>2.3957325000000003</v>
      </c>
      <c r="BQ13" s="135">
        <f t="shared" ref="BQ13" si="158">+BL13*(1+BQ14)</f>
        <v>2.1895650000000004</v>
      </c>
      <c r="BR13" s="135">
        <f t="shared" ref="BR13" si="159">+BM13*(1+BR14)</f>
        <v>4.7848499999999996</v>
      </c>
      <c r="BS13" s="216">
        <f>+BO13+BP13+BQ13+BR13</f>
        <v>11.348032500000002</v>
      </c>
      <c r="BT13" s="135">
        <f>+BO13*(1+BT14)</f>
        <v>2.0767792500000004</v>
      </c>
      <c r="BU13" s="135">
        <f t="shared" ref="BU13" si="160">+BP13*(1+BU14)</f>
        <v>2.5155191250000004</v>
      </c>
      <c r="BV13" s="135">
        <f t="shared" ref="BV13" si="161">+BQ13*(1+BV14)</f>
        <v>2.2990432500000004</v>
      </c>
      <c r="BW13" s="135">
        <f t="shared" ref="BW13" si="162">+BR13*(1+BW14)</f>
        <v>5.0240925000000001</v>
      </c>
      <c r="BX13" s="216">
        <f>+BT13+BU13+BV13+BW13</f>
        <v>11.915434125000001</v>
      </c>
      <c r="BY13" s="135">
        <f>+BT13*(1+BY14)</f>
        <v>2.1806182125000007</v>
      </c>
      <c r="BZ13" s="135">
        <f t="shared" ref="BZ13" si="163">+BU13*(1+BZ14)</f>
        <v>2.6412950812500005</v>
      </c>
      <c r="CA13" s="135">
        <f t="shared" ref="CA13" si="164">+BV13*(1+CA14)</f>
        <v>2.4139954125000007</v>
      </c>
      <c r="CB13" s="135">
        <f t="shared" ref="CB13" si="165">+BW13*(1+CB14)</f>
        <v>5.2752971250000007</v>
      </c>
      <c r="CC13" s="216">
        <f>+BY13+BZ13+CA13+CB13</f>
        <v>12.511205831250003</v>
      </c>
      <c r="CD13" s="135">
        <f>+BY13*(1+CD14)</f>
        <v>2.2896491231250007</v>
      </c>
      <c r="CE13" s="135">
        <f t="shared" ref="CE13" si="166">+BZ13*(1+CE14)</f>
        <v>2.7733598353125006</v>
      </c>
      <c r="CF13" s="135">
        <f t="shared" ref="CF13" si="167">+CA13*(1+CF14)</f>
        <v>2.5346951831250006</v>
      </c>
      <c r="CG13" s="135">
        <f t="shared" ref="CG13" si="168">+CB13*(1+CG14)</f>
        <v>5.5390619812500006</v>
      </c>
      <c r="CH13" s="216">
        <f>+CD13+CE13+CF13+CG13</f>
        <v>13.136766122812503</v>
      </c>
      <c r="CI13" s="135">
        <f>+CD13*(1+CI14)</f>
        <v>2.404131579281251</v>
      </c>
      <c r="CJ13" s="135">
        <f t="shared" ref="CJ13" si="169">+CE13*(1+CJ14)</f>
        <v>2.9120278270781257</v>
      </c>
      <c r="CK13" s="135">
        <f t="shared" ref="CK13" si="170">+CF13*(1+CK14)</f>
        <v>2.6614299422812508</v>
      </c>
      <c r="CL13" s="135">
        <f t="shared" ref="CL13" si="171">+CG13*(1+CL14)</f>
        <v>5.8160150803125008</v>
      </c>
      <c r="CM13" s="216">
        <f>+CI13+CJ13+CK13+CL13</f>
        <v>13.793604428953127</v>
      </c>
      <c r="CN13" s="135">
        <f>+CI13*(1+CN14)</f>
        <v>2.5243381582453135</v>
      </c>
      <c r="CO13" s="135">
        <f t="shared" ref="CO13" si="172">+CJ13*(1+CO14)</f>
        <v>3.0576292184320319</v>
      </c>
      <c r="CP13" s="135">
        <f t="shared" ref="CP13" si="173">+CK13*(1+CP14)</f>
        <v>2.7945014393953134</v>
      </c>
      <c r="CQ13" s="135">
        <f t="shared" ref="CQ13" si="174">+CL13*(1+CQ14)</f>
        <v>6.1068158343281258</v>
      </c>
      <c r="CR13" s="216">
        <f>+CN13+CO13+CP13+CQ13</f>
        <v>14.483284650400785</v>
      </c>
      <c r="CS13" s="135">
        <f>+CN13*(1+CS14)</f>
        <v>2.6505550661575792</v>
      </c>
      <c r="CT13" s="135">
        <f t="shared" ref="CT13" si="175">+CO13*(1+CT14)</f>
        <v>3.2105106793536335</v>
      </c>
      <c r="CU13" s="135">
        <f t="shared" ref="CU13" si="176">+CP13*(1+CU14)</f>
        <v>2.9342265113650789</v>
      </c>
      <c r="CV13" s="135">
        <f t="shared" ref="CV13" si="177">+CQ13*(1+CV14)</f>
        <v>6.4121566260445322</v>
      </c>
      <c r="CW13" s="216">
        <f>+CS13+CT13+CU13+CV13</f>
        <v>15.207448882920822</v>
      </c>
      <c r="CX13" s="135">
        <f>+CS13*(1+CX14)</f>
        <v>2.7830828194654584</v>
      </c>
      <c r="CY13" s="135">
        <f t="shared" ref="CY13" si="178">+CT13*(1+CY14)</f>
        <v>3.3710362133213154</v>
      </c>
      <c r="CZ13" s="135">
        <f t="shared" ref="CZ13" si="179">+CU13*(1+CZ14)</f>
        <v>3.0809378369333329</v>
      </c>
      <c r="DA13" s="135">
        <f t="shared" ref="DA13" si="180">+CV13*(1+DA14)</f>
        <v>6.7327644573467591</v>
      </c>
      <c r="DB13" s="216">
        <f>+CX13+CY13+CZ13+DA13</f>
        <v>15.967821327066867</v>
      </c>
    </row>
    <row r="14" spans="1:106">
      <c r="A14" s="277" t="s">
        <v>281</v>
      </c>
      <c r="F14" s="217"/>
      <c r="G14" s="119" t="s">
        <v>290</v>
      </c>
      <c r="H14" s="119" t="s">
        <v>290</v>
      </c>
      <c r="I14" s="119" t="s">
        <v>290</v>
      </c>
      <c r="J14" s="119" t="s">
        <v>290</v>
      </c>
      <c r="K14" s="235" t="s">
        <v>290</v>
      </c>
      <c r="L14" s="13">
        <f>+L13/G13-1</f>
        <v>0.42910447761194015</v>
      </c>
      <c r="M14" s="13">
        <f t="shared" ref="M14" si="181">+M13/H13-1</f>
        <v>0.32570422535211274</v>
      </c>
      <c r="N14" s="13">
        <f t="shared" ref="N14" si="182">+N13/I13-1</f>
        <v>0.60441767068273111</v>
      </c>
      <c r="O14" s="13">
        <f t="shared" ref="O14" si="183">+O13/J13-1</f>
        <v>0.34700854700854711</v>
      </c>
      <c r="P14" s="239">
        <f t="shared" ref="P14" si="184">+P13/K13-1</f>
        <v>0.42021033379058048</v>
      </c>
      <c r="Q14" s="13">
        <f>+Q13/L13-1</f>
        <v>0.28981723237597912</v>
      </c>
      <c r="R14" s="13">
        <f t="shared" ref="R14" si="185">+R13/M13-1</f>
        <v>0.78087649402390436</v>
      </c>
      <c r="S14" s="13">
        <f t="shared" ref="S14" si="186">+S13/N13-1</f>
        <v>0.65832290362953683</v>
      </c>
      <c r="T14" s="13">
        <f t="shared" ref="T14" si="187">+T13/O13-1</f>
        <v>1.2791878172588831</v>
      </c>
      <c r="U14" s="239">
        <f t="shared" ref="U14" si="188">+U13/P13-1</f>
        <v>0.75466838377334211</v>
      </c>
      <c r="V14" s="13">
        <f>+V13/Q13-1</f>
        <v>7.1690283400809722</v>
      </c>
      <c r="W14" s="13">
        <f t="shared" ref="W14" si="189">+W13/R13-1</f>
        <v>1.0253542132736766</v>
      </c>
      <c r="X14" s="13">
        <f t="shared" ref="X14" si="190">+X13/S13-1</f>
        <v>0.97584905660377363</v>
      </c>
      <c r="Y14" s="13">
        <f t="shared" ref="Y14" si="191">+Y13/T13-1</f>
        <v>1.1620267260579062</v>
      </c>
      <c r="Z14" s="239">
        <f t="shared" ref="Z14" si="192">+Z13/U13-1</f>
        <v>2.1721100917431193</v>
      </c>
      <c r="AA14" s="13">
        <f>+AA13/V13-1</f>
        <v>-0.57130467104448024</v>
      </c>
      <c r="AB14" s="13">
        <f t="shared" ref="AB14" si="193">+AB13/W13-1</f>
        <v>2.4079528718703975</v>
      </c>
      <c r="AC14" s="13">
        <f t="shared" ref="AC14" si="194">+AC13/X13-1</f>
        <v>3.1913674560733387</v>
      </c>
      <c r="AD14" s="13">
        <f t="shared" ref="AD14" si="195">+AD13/Y13-1</f>
        <v>1.2554725727530256</v>
      </c>
      <c r="AE14" s="239">
        <f t="shared" ref="AE14" si="196">+AE13/Z13-1</f>
        <v>0.87685099490976404</v>
      </c>
      <c r="AF14" s="13">
        <f>+AF13/AA13-1</f>
        <v>1.0132947976878612</v>
      </c>
      <c r="AG14" s="13">
        <f t="shared" ref="AG14" si="197">+AG13/AB13-1</f>
        <v>-0.3455056179775281</v>
      </c>
      <c r="AH14" s="13">
        <f t="shared" ref="AH14" si="198">+AH13/AC13-1</f>
        <v>-0.55736808530028248</v>
      </c>
      <c r="AI14" s="13">
        <f t="shared" ref="AI14" si="199">+AI13/AD13-1</f>
        <v>-0.32484585521808618</v>
      </c>
      <c r="AJ14" s="239">
        <f t="shared" ref="AJ14" si="200">+AJ13/AE13-1</f>
        <v>-0.26668104909544799</v>
      </c>
      <c r="AK14" s="13">
        <f t="shared" ref="AK14" si="201">+AK13/AF13-1</f>
        <v>3.8713752512202122</v>
      </c>
      <c r="AL14" s="13">
        <f t="shared" ref="AL14" si="202">+AL13/AG13-1</f>
        <v>-0.20864971937933319</v>
      </c>
      <c r="AM14" s="13">
        <f t="shared" ref="AM14" si="203">+AM13/AH13-1</f>
        <v>0.53695696932262704</v>
      </c>
      <c r="AN14" s="13">
        <f t="shared" ref="AN14" si="204">+AN13/AI13-1</f>
        <v>1.0537798072044646</v>
      </c>
      <c r="AO14" s="239">
        <f t="shared" ref="AO14" si="205">+AO13/AJ13-1</f>
        <v>1.4517525426578128</v>
      </c>
      <c r="AP14" s="13">
        <f t="shared" ref="AP14" si="206">+AP13/AK13-1</f>
        <v>-0.87826368833618196</v>
      </c>
      <c r="AQ14" s="13">
        <f t="shared" ref="AQ14" si="207">+AQ13/AL13-1</f>
        <v>-0.24530663329161451</v>
      </c>
      <c r="AR14" s="13">
        <f t="shared" ref="AR14" si="208">+AR13/AM13-1</f>
        <v>0.44755525787006012</v>
      </c>
      <c r="AS14" s="13">
        <f t="shared" ref="AS14" si="209">+AS13/AN13-1</f>
        <v>-0.64097496706192358</v>
      </c>
      <c r="AT14" s="239">
        <f t="shared" ref="AT14" si="210">+AT13/AO13-1</f>
        <v>-0.60719611910108506</v>
      </c>
      <c r="AU14" s="13">
        <f t="shared" ref="AU14" si="211">+AU13/AP13-1</f>
        <v>-4.1636407649479623E-2</v>
      </c>
      <c r="AV14" s="13">
        <f t="shared" ref="AV14" si="212">+AV13/AQ13-1</f>
        <v>-0.12990602542841345</v>
      </c>
      <c r="AW14" s="13">
        <f t="shared" ref="AW14" si="213">+AW13/AR13-1</f>
        <v>-0.71423283361095691</v>
      </c>
      <c r="AX14" s="13">
        <f t="shared" ref="AX14" si="214">+AX13/AS13-1</f>
        <v>-0.11605504587155968</v>
      </c>
      <c r="AY14" s="239">
        <f t="shared" ref="AY14" si="215">+AY13/AT13-1</f>
        <v>-0.38690813877372898</v>
      </c>
      <c r="AZ14" s="13">
        <f t="shared" ref="AZ14" si="216">+AZ13/AU13-1</f>
        <v>-0.22480424349583228</v>
      </c>
      <c r="BA14" s="13">
        <f t="shared" ref="BA14" si="217">+BA13/AV13-1</f>
        <v>-0.36880559085133413</v>
      </c>
      <c r="BB14" s="13">
        <f t="shared" ref="BB14" si="218">+BB13/AW13-1</f>
        <v>0.17584196891191706</v>
      </c>
      <c r="BC14" s="13">
        <f t="shared" ref="BC14" si="219">+BC13/AX13-1</f>
        <v>-0.18266735858847938</v>
      </c>
      <c r="BD14" s="239">
        <f t="shared" ref="BD14:BH14" si="220">+BD13/AY13-1</f>
        <v>-0.15744892874937721</v>
      </c>
      <c r="BE14" s="13">
        <f t="shared" si="220"/>
        <v>-0.41544477028347992</v>
      </c>
      <c r="BF14" s="62">
        <f t="shared" si="220"/>
        <v>9.3608454957221809E-2</v>
      </c>
      <c r="BG14" s="62">
        <f t="shared" si="220"/>
        <v>-0.45304323877719632</v>
      </c>
      <c r="BH14" s="62">
        <f t="shared" si="220"/>
        <v>0.37777777777777732</v>
      </c>
      <c r="BI14" s="239">
        <f t="shared" ref="BI14" si="221">+BI13/BD13-1</f>
        <v>-0.13043845568978629</v>
      </c>
      <c r="BJ14" s="348">
        <v>0.05</v>
      </c>
      <c r="BK14" s="118">
        <v>0.05</v>
      </c>
      <c r="BL14" s="118">
        <v>0.05</v>
      </c>
      <c r="BM14" s="118">
        <v>0.05</v>
      </c>
      <c r="BN14" s="239">
        <f t="shared" ref="BN14" si="222">+BN13/BI13-1</f>
        <v>5.0000000000000044E-2</v>
      </c>
      <c r="BO14" s="118">
        <v>0.05</v>
      </c>
      <c r="BP14" s="118">
        <v>0.05</v>
      </c>
      <c r="BQ14" s="118">
        <v>0.05</v>
      </c>
      <c r="BR14" s="118">
        <v>0.05</v>
      </c>
      <c r="BS14" s="239">
        <f t="shared" ref="BS14" si="223">+BS13/BN13-1</f>
        <v>5.0000000000000266E-2</v>
      </c>
      <c r="BT14" s="118">
        <v>0.05</v>
      </c>
      <c r="BU14" s="118">
        <v>0.05</v>
      </c>
      <c r="BV14" s="118">
        <v>0.05</v>
      </c>
      <c r="BW14" s="118">
        <v>0.05</v>
      </c>
      <c r="BX14" s="239">
        <f t="shared" ref="BX14" si="224">+BX13/BS13-1</f>
        <v>4.9999999999999822E-2</v>
      </c>
      <c r="BY14" s="118">
        <v>0.05</v>
      </c>
      <c r="BZ14" s="118">
        <v>0.05</v>
      </c>
      <c r="CA14" s="118">
        <v>0.05</v>
      </c>
      <c r="CB14" s="118">
        <v>0.05</v>
      </c>
      <c r="CC14" s="239">
        <f t="shared" ref="CC14" si="225">+CC13/BX13-1</f>
        <v>5.0000000000000044E-2</v>
      </c>
      <c r="CD14" s="118">
        <v>0.05</v>
      </c>
      <c r="CE14" s="118">
        <v>0.05</v>
      </c>
      <c r="CF14" s="118">
        <v>0.05</v>
      </c>
      <c r="CG14" s="118">
        <v>0.05</v>
      </c>
      <c r="CH14" s="239">
        <f t="shared" ref="CH14" si="226">+CH13/CC13-1</f>
        <v>5.0000000000000044E-2</v>
      </c>
      <c r="CI14" s="118">
        <v>0.05</v>
      </c>
      <c r="CJ14" s="118">
        <v>0.05</v>
      </c>
      <c r="CK14" s="118">
        <v>0.05</v>
      </c>
      <c r="CL14" s="118">
        <v>0.05</v>
      </c>
      <c r="CM14" s="239">
        <f t="shared" ref="CM14" si="227">+CM13/CH13-1</f>
        <v>5.0000000000000044E-2</v>
      </c>
      <c r="CN14" s="118">
        <v>0.05</v>
      </c>
      <c r="CO14" s="118">
        <v>0.05</v>
      </c>
      <c r="CP14" s="118">
        <v>0.05</v>
      </c>
      <c r="CQ14" s="118">
        <v>0.05</v>
      </c>
      <c r="CR14" s="239">
        <f t="shared" ref="CR14" si="228">+CR13/CM13-1</f>
        <v>5.0000000000000044E-2</v>
      </c>
      <c r="CS14" s="118">
        <v>0.05</v>
      </c>
      <c r="CT14" s="118">
        <v>0.05</v>
      </c>
      <c r="CU14" s="118">
        <v>0.05</v>
      </c>
      <c r="CV14" s="118">
        <v>0.05</v>
      </c>
      <c r="CW14" s="239">
        <f t="shared" ref="CW14" si="229">+CW13/CR13-1</f>
        <v>4.9999999999999822E-2</v>
      </c>
      <c r="CX14" s="118">
        <v>0.05</v>
      </c>
      <c r="CY14" s="118">
        <v>0.05</v>
      </c>
      <c r="CZ14" s="118">
        <v>0.05</v>
      </c>
      <c r="DA14" s="118">
        <v>0.05</v>
      </c>
      <c r="DB14" s="239">
        <f t="shared" ref="DB14" si="230">+DB13/CW13-1</f>
        <v>5.0000000000000266E-2</v>
      </c>
    </row>
    <row r="15" spans="1:106">
      <c r="A15" s="277" t="s">
        <v>288</v>
      </c>
      <c r="F15" s="217"/>
      <c r="G15" s="119" t="s">
        <v>290</v>
      </c>
      <c r="H15" s="13">
        <f>+H13/G13-1</f>
        <v>5.9701492537313383E-2</v>
      </c>
      <c r="I15" s="13">
        <f t="shared" ref="I15" si="231">+I13/H13-1</f>
        <v>-0.12323943661971826</v>
      </c>
      <c r="J15" s="13">
        <f t="shared" ref="J15" si="232">+J13/I13-1</f>
        <v>0.17469879518072284</v>
      </c>
      <c r="K15" s="235" t="s">
        <v>290</v>
      </c>
      <c r="L15" s="13">
        <f>+L13/J13-1</f>
        <v>0.30940170940170941</v>
      </c>
      <c r="M15" s="13">
        <f>+M13/L13-1</f>
        <v>-1.6971279373368175E-2</v>
      </c>
      <c r="N15" s="13">
        <f t="shared" ref="N15" si="233">+N13/M13-1</f>
        <v>6.1088977423638724E-2</v>
      </c>
      <c r="O15" s="13">
        <f t="shared" ref="O15" si="234">+O13/N13-1</f>
        <v>-1.3767209011264048E-2</v>
      </c>
      <c r="P15" s="235" t="s">
        <v>290</v>
      </c>
      <c r="Q15" s="13">
        <f>+Q13/O13-1</f>
        <v>0.25380710659898464</v>
      </c>
      <c r="R15" s="13">
        <f>+R13/Q13-1</f>
        <v>0.35728744939271251</v>
      </c>
      <c r="S15" s="13">
        <f t="shared" ref="S15" si="235">+S13/R13-1</f>
        <v>-1.1931394481730084E-2</v>
      </c>
      <c r="T15" s="13">
        <f t="shared" ref="T15" si="236">+T13/S13-1</f>
        <v>0.35547169811320756</v>
      </c>
      <c r="U15" s="235" t="s">
        <v>290</v>
      </c>
      <c r="V15" s="13">
        <f>+V13/T13-1</f>
        <v>3.4938752783964366</v>
      </c>
      <c r="W15" s="13">
        <f>+W13/V13-1</f>
        <v>-0.66348655680832613</v>
      </c>
      <c r="X15" s="13">
        <f t="shared" ref="X15" si="237">+X13/W13-1</f>
        <v>-3.6082474226804218E-2</v>
      </c>
      <c r="Y15" s="13">
        <f t="shared" ref="Y15" si="238">+Y13/X13-1</f>
        <v>0.48319327731092443</v>
      </c>
      <c r="Z15" s="235" t="s">
        <v>290</v>
      </c>
      <c r="AA15" s="13">
        <f>+AA13/Y13-1</f>
        <v>-0.10893638938964723</v>
      </c>
      <c r="AB15" s="13">
        <f>+AB13/AA13-1</f>
        <v>1.6751445086705203</v>
      </c>
      <c r="AC15" s="13">
        <f t="shared" ref="AC15" si="239">+AC13/AB13-1</f>
        <v>0.18550129645635272</v>
      </c>
      <c r="AD15" s="13">
        <f t="shared" ref="AD15" si="240">+AD13/AC13-1</f>
        <v>-0.20185910872140722</v>
      </c>
      <c r="AE15" s="235" t="s">
        <v>290</v>
      </c>
      <c r="AF15" s="13">
        <f>+AF13/AD13-1</f>
        <v>-0.20461292532541664</v>
      </c>
      <c r="AG15" s="13">
        <f>+AG13/AF13-1</f>
        <v>-0.13034740166523118</v>
      </c>
      <c r="AH15" s="13">
        <f t="shared" ref="AH15" si="241">+AH13/AG13-1</f>
        <v>-0.1982502476064707</v>
      </c>
      <c r="AI15" s="13">
        <f t="shared" ref="AI15" si="242">+AI13/AH13-1</f>
        <v>0.21741815935762809</v>
      </c>
      <c r="AJ15" s="235" t="s">
        <v>290</v>
      </c>
      <c r="AK15" s="13">
        <f t="shared" ref="AK15" si="243">+AK13/AJ13-1</f>
        <v>0.42615785492140867</v>
      </c>
      <c r="AL15" s="13">
        <f t="shared" ref="AL15" si="244">+AL13/AK13-1</f>
        <v>-0.8587257617728532</v>
      </c>
      <c r="AM15" s="13">
        <f t="shared" ref="AM15" si="245">+AM13/AL13-1</f>
        <v>0.55715477680433878</v>
      </c>
      <c r="AN15" s="13">
        <f t="shared" ref="AN15" si="246">+AN13/AM13-1</f>
        <v>0.62679169457468187</v>
      </c>
      <c r="AO15" s="235" t="s">
        <v>290</v>
      </c>
      <c r="AP15" s="13">
        <f t="shared" ref="AP15" si="247">+AP13/AO13-1</f>
        <v>-0.92918730822633999</v>
      </c>
      <c r="AQ15" s="13">
        <f t="shared" ref="AQ15" si="248">+AQ13/AP13-1</f>
        <v>-0.12418300653594783</v>
      </c>
      <c r="AR15" s="13">
        <f t="shared" ref="AR15" si="249">+AR13/AQ13-1</f>
        <v>1.9867330016583749</v>
      </c>
      <c r="AS15" s="13">
        <f t="shared" ref="AS15" si="250">+AS13/AR13-1</f>
        <v>-0.59652045160096234</v>
      </c>
      <c r="AT15" s="235" t="s">
        <v>290</v>
      </c>
      <c r="AU15" s="13">
        <f t="shared" ref="AU15" si="251">+AU13/AT13-1</f>
        <v>-0.82723107135064367</v>
      </c>
      <c r="AV15" s="13">
        <f t="shared" ref="AV15" si="252">+AV13/AU13-1</f>
        <v>-0.20484970952260673</v>
      </c>
      <c r="AW15" s="13">
        <f t="shared" ref="AW15" si="253">+AW13/AV13-1</f>
        <v>-1.9059720457433316E-2</v>
      </c>
      <c r="AX15" s="13">
        <f t="shared" ref="AX15" si="254">+AX13/AW13-1</f>
        <v>0.24805699481865284</v>
      </c>
      <c r="AY15" s="235" t="s">
        <v>290</v>
      </c>
      <c r="AZ15" s="13">
        <f t="shared" ref="AZ15" si="255">+AZ13/AY13-1</f>
        <v>-0.78155028827674566</v>
      </c>
      <c r="BA15" s="13">
        <f t="shared" ref="BA15" si="256">+BA13/AZ13-1</f>
        <v>-0.35255783642880412</v>
      </c>
      <c r="BB15" s="13">
        <f t="shared" ref="BB15" si="257">+BB13/BA13-1</f>
        <v>0.8273779567186712</v>
      </c>
      <c r="BC15" s="13">
        <f t="shared" ref="BC15" si="258">+BC13/BB13-1</f>
        <v>-0.13247039383090042</v>
      </c>
      <c r="BD15" s="235" t="s">
        <v>290</v>
      </c>
      <c r="BE15" s="13">
        <f>+BE13/BC13-1</f>
        <v>-0.43047619047619057</v>
      </c>
      <c r="BF15" s="62">
        <f t="shared" ref="BF15" si="259">+BF13/BE13-1</f>
        <v>0.2112597547380155</v>
      </c>
      <c r="BG15" s="62">
        <f t="shared" ref="BG15" si="260">+BG13/BF13-1</f>
        <v>-8.6056143580303779E-2</v>
      </c>
      <c r="BH15" s="13">
        <f t="shared" ref="BH15" si="261">+BH13/BG13-1</f>
        <v>1.1852970795568978</v>
      </c>
      <c r="BI15" s="235" t="s">
        <v>290</v>
      </c>
      <c r="BJ15" s="328">
        <f>+BJ13/BH13-1</f>
        <v>-0.56596774193548371</v>
      </c>
      <c r="BK15" s="13">
        <f t="shared" ref="BK15" si="262">+BK13/BJ13-1</f>
        <v>0.2112597547380155</v>
      </c>
      <c r="BL15" s="13">
        <f t="shared" ref="BL15" si="263">+BL13/BK13-1</f>
        <v>-8.6056143580303668E-2</v>
      </c>
      <c r="BM15" s="13">
        <f t="shared" ref="BM15" si="264">+BM13/BL13-1</f>
        <v>1.1852970795568978</v>
      </c>
      <c r="BN15" s="235" t="s">
        <v>290</v>
      </c>
      <c r="BO15" s="13">
        <f t="shared" ref="BO15" si="265">+BO13/BN13-1</f>
        <v>-0.81699213057417652</v>
      </c>
      <c r="BP15" s="13">
        <f t="shared" ref="BP15" si="266">+BP13/BO13-1</f>
        <v>0.2112597547380155</v>
      </c>
      <c r="BQ15" s="13">
        <f t="shared" ref="BQ15" si="267">+BQ13/BP13-1</f>
        <v>-8.6056143580303668E-2</v>
      </c>
      <c r="BR15" s="13">
        <f t="shared" ref="BR15" si="268">+BR13/BQ13-1</f>
        <v>1.1852970795568978</v>
      </c>
      <c r="BS15" s="235" t="s">
        <v>290</v>
      </c>
      <c r="BT15" s="13">
        <f t="shared" ref="BT15" si="269">+BT13/BS13-1</f>
        <v>-0.81699213057417663</v>
      </c>
      <c r="BU15" s="13">
        <f t="shared" ref="BU15" si="270">+BU13/BT13-1</f>
        <v>0.2112597547380155</v>
      </c>
      <c r="BV15" s="13">
        <f t="shared" ref="BV15" si="271">+BV13/BU13-1</f>
        <v>-8.6056143580303668E-2</v>
      </c>
      <c r="BW15" s="13">
        <f t="shared" ref="BW15" si="272">+BW13/BV13-1</f>
        <v>1.1852970795568978</v>
      </c>
      <c r="BX15" s="235" t="s">
        <v>290</v>
      </c>
      <c r="BY15" s="13">
        <f t="shared" ref="BY15" si="273">+BY13/BX13-1</f>
        <v>-0.81699213057417652</v>
      </c>
      <c r="BZ15" s="13">
        <f t="shared" ref="BZ15" si="274">+BZ13/BY13-1</f>
        <v>0.2112597547380155</v>
      </c>
      <c r="CA15" s="13">
        <f t="shared" ref="CA15" si="275">+CA13/BZ13-1</f>
        <v>-8.6056143580303668E-2</v>
      </c>
      <c r="CB15" s="13">
        <f t="shared" ref="CB15" si="276">+CB13/CA13-1</f>
        <v>1.1852970795568978</v>
      </c>
      <c r="CC15" s="235" t="s">
        <v>290</v>
      </c>
      <c r="CD15" s="13">
        <f t="shared" ref="CD15" si="277">+CD13/CC13-1</f>
        <v>-0.81699213057417663</v>
      </c>
      <c r="CE15" s="13">
        <f t="shared" ref="CE15" si="278">+CE13/CD13-1</f>
        <v>0.2112597547380155</v>
      </c>
      <c r="CF15" s="13">
        <f t="shared" ref="CF15" si="279">+CF13/CE13-1</f>
        <v>-8.6056143580303668E-2</v>
      </c>
      <c r="CG15" s="13">
        <f t="shared" ref="CG15" si="280">+CG13/CF13-1</f>
        <v>1.1852970795568978</v>
      </c>
      <c r="CH15" s="235" t="s">
        <v>290</v>
      </c>
      <c r="CI15" s="13">
        <f t="shared" ref="CI15" si="281">+CI13/CH13-1</f>
        <v>-0.81699213057417652</v>
      </c>
      <c r="CJ15" s="13">
        <f t="shared" ref="CJ15" si="282">+CJ13/CI13-1</f>
        <v>0.2112597547380155</v>
      </c>
      <c r="CK15" s="13">
        <f t="shared" ref="CK15" si="283">+CK13/CJ13-1</f>
        <v>-8.6056143580303668E-2</v>
      </c>
      <c r="CL15" s="13">
        <f t="shared" ref="CL15" si="284">+CL13/CK13-1</f>
        <v>1.1852970795568978</v>
      </c>
      <c r="CM15" s="235" t="s">
        <v>290</v>
      </c>
      <c r="CN15" s="13">
        <f t="shared" ref="CN15" si="285">+CN13/CM13-1</f>
        <v>-0.81699213057417652</v>
      </c>
      <c r="CO15" s="13">
        <f t="shared" ref="CO15" si="286">+CO13/CN13-1</f>
        <v>0.2112597547380155</v>
      </c>
      <c r="CP15" s="13">
        <f t="shared" ref="CP15" si="287">+CP13/CO13-1</f>
        <v>-8.6056143580303668E-2</v>
      </c>
      <c r="CQ15" s="13">
        <f t="shared" ref="CQ15" si="288">+CQ13/CP13-1</f>
        <v>1.1852970795568978</v>
      </c>
      <c r="CR15" s="235" t="s">
        <v>290</v>
      </c>
      <c r="CS15" s="13">
        <f t="shared" ref="CS15" si="289">+CS13/CR13-1</f>
        <v>-0.81699213057417663</v>
      </c>
      <c r="CT15" s="13">
        <f t="shared" ref="CT15" si="290">+CT13/CS13-1</f>
        <v>0.2112597547380155</v>
      </c>
      <c r="CU15" s="13">
        <f t="shared" ref="CU15" si="291">+CU13/CT13-1</f>
        <v>-8.6056143580303668E-2</v>
      </c>
      <c r="CV15" s="13">
        <f t="shared" ref="CV15" si="292">+CV13/CU13-1</f>
        <v>1.1852970795568978</v>
      </c>
      <c r="CW15" s="235" t="s">
        <v>290</v>
      </c>
      <c r="CX15" s="13">
        <f t="shared" ref="CX15" si="293">+CX13/CW13-1</f>
        <v>-0.81699213057417652</v>
      </c>
      <c r="CY15" s="13">
        <f t="shared" ref="CY15" si="294">+CY13/CX13-1</f>
        <v>0.21125975473801528</v>
      </c>
      <c r="CZ15" s="13">
        <f t="shared" ref="CZ15" si="295">+CZ13/CY13-1</f>
        <v>-8.6056143580303779E-2</v>
      </c>
      <c r="DA15" s="13">
        <f t="shared" ref="DA15" si="296">+DA13/CZ13-1</f>
        <v>1.1852970795568982</v>
      </c>
      <c r="DB15" s="235" t="s">
        <v>290</v>
      </c>
    </row>
    <row r="16" spans="1:106">
      <c r="A16" s="51"/>
      <c r="F16" s="217"/>
      <c r="G16" s="19"/>
      <c r="H16" s="19"/>
      <c r="I16" s="19"/>
      <c r="J16" s="19"/>
      <c r="K16" s="215"/>
      <c r="L16" s="19"/>
      <c r="M16" s="19"/>
      <c r="N16" s="19"/>
      <c r="O16" s="19"/>
      <c r="P16" s="215"/>
      <c r="Q16" s="19"/>
      <c r="R16" s="19"/>
      <c r="S16" s="19"/>
      <c r="T16" s="19"/>
      <c r="U16" s="215"/>
      <c r="V16" s="19"/>
      <c r="W16" s="19"/>
      <c r="X16" s="19"/>
      <c r="Y16" s="19"/>
      <c r="Z16" s="215"/>
      <c r="AA16" s="19"/>
      <c r="AB16" s="19"/>
      <c r="AC16" s="19"/>
      <c r="AD16" s="19"/>
      <c r="AE16" s="215"/>
      <c r="AF16" s="19"/>
      <c r="AG16" s="19"/>
      <c r="AH16" s="19"/>
      <c r="AI16" s="19"/>
      <c r="AJ16" s="215"/>
      <c r="AK16" s="19"/>
      <c r="AL16" s="19"/>
      <c r="AM16" s="19"/>
      <c r="AN16" s="19"/>
      <c r="AO16" s="215"/>
      <c r="AP16" s="19"/>
      <c r="AQ16" s="19"/>
      <c r="AR16" s="19"/>
      <c r="AS16" s="19"/>
      <c r="AT16" s="215"/>
      <c r="AU16" s="19"/>
      <c r="AV16" s="19"/>
      <c r="AW16" s="19"/>
      <c r="AX16" s="19"/>
      <c r="AY16" s="215"/>
      <c r="AZ16" s="19"/>
      <c r="BA16" s="19"/>
      <c r="BB16" s="19"/>
      <c r="BC16" s="19"/>
      <c r="BD16" s="240"/>
      <c r="BE16" s="19"/>
      <c r="BI16" s="217"/>
      <c r="BJ16" s="356"/>
      <c r="BN16" s="217"/>
      <c r="BS16" s="217"/>
      <c r="BX16" s="217"/>
      <c r="CC16" s="217"/>
      <c r="CH16" s="217"/>
      <c r="CM16" s="217"/>
      <c r="CR16" s="217"/>
      <c r="CW16" s="217"/>
      <c r="DB16" s="217"/>
    </row>
    <row r="17" spans="1:106" s="51" customFormat="1">
      <c r="A17" s="51" t="s">
        <v>264</v>
      </c>
      <c r="F17" s="233"/>
      <c r="G17" s="135">
        <f>+G9+G13</f>
        <v>47.435000000000002</v>
      </c>
      <c r="H17" s="135">
        <f t="shared" ref="H17:K17" si="297">+H9+H13</f>
        <v>45.086999999999996</v>
      </c>
      <c r="I17" s="135">
        <f t="shared" si="297"/>
        <v>44.920999999999999</v>
      </c>
      <c r="J17" s="135">
        <f t="shared" si="297"/>
        <v>52.911999999999999</v>
      </c>
      <c r="K17" s="216">
        <f t="shared" si="297"/>
        <v>190.35500000000002</v>
      </c>
      <c r="L17" s="135">
        <f>+L9+L13</f>
        <v>61.902000000000001</v>
      </c>
      <c r="M17" s="135">
        <f t="shared" ref="M17:P17" si="298">+M9+M13</f>
        <v>51.984000000000002</v>
      </c>
      <c r="N17" s="135">
        <f t="shared" si="298"/>
        <v>53.889000000000003</v>
      </c>
      <c r="O17" s="135">
        <f t="shared" si="298"/>
        <v>49.298999999999999</v>
      </c>
      <c r="P17" s="216">
        <f t="shared" si="298"/>
        <v>217.07399999999998</v>
      </c>
      <c r="Q17" s="135">
        <f>+Q9+Q13</f>
        <v>46.900999999999996</v>
      </c>
      <c r="R17" s="135">
        <f t="shared" ref="R17:U17" si="299">+R9+R13</f>
        <v>53.617000000000004</v>
      </c>
      <c r="S17" s="135">
        <f t="shared" si="299"/>
        <v>56.656000000000006</v>
      </c>
      <c r="T17" s="135">
        <f t="shared" si="299"/>
        <v>53.765000000000001</v>
      </c>
      <c r="U17" s="216">
        <f t="shared" si="299"/>
        <v>210.93899999999996</v>
      </c>
      <c r="V17" s="135">
        <f>+V9+V13</f>
        <v>62.339999999999996</v>
      </c>
      <c r="W17" s="135">
        <f t="shared" ref="W17:Z17" si="300">+W9+W13</f>
        <v>63.069000000000003</v>
      </c>
      <c r="X17" s="135">
        <f t="shared" si="300"/>
        <v>65.28</v>
      </c>
      <c r="Y17" s="135">
        <f t="shared" si="300"/>
        <v>66.965000000000003</v>
      </c>
      <c r="Z17" s="216">
        <f t="shared" si="300"/>
        <v>257.654</v>
      </c>
      <c r="AA17" s="135">
        <f>+AA9+AA13</f>
        <v>66.823999999999998</v>
      </c>
      <c r="AB17" s="135">
        <f t="shared" ref="AB17:AE17" si="301">+AB9+AB13</f>
        <v>74.355000000000004</v>
      </c>
      <c r="AC17" s="135">
        <f t="shared" si="301"/>
        <v>77.909000000000006</v>
      </c>
      <c r="AD17" s="135">
        <f t="shared" si="301"/>
        <v>83.24</v>
      </c>
      <c r="AE17" s="216">
        <f t="shared" si="301"/>
        <v>302.32799999999997</v>
      </c>
      <c r="AF17" s="135">
        <f>+AF9+AF13</f>
        <v>94.012</v>
      </c>
      <c r="AG17" s="135">
        <f t="shared" ref="AG17:AJ17" si="302">+AG9+AG13</f>
        <v>86.472000000000008</v>
      </c>
      <c r="AH17" s="135">
        <f t="shared" si="302"/>
        <v>98.143000000000001</v>
      </c>
      <c r="AI17" s="135">
        <f t="shared" si="302"/>
        <v>112.378</v>
      </c>
      <c r="AJ17" s="216">
        <f t="shared" si="302"/>
        <v>391.005</v>
      </c>
      <c r="AK17" s="135">
        <f>+AK9+AK13</f>
        <v>152.316</v>
      </c>
      <c r="AL17" s="135">
        <f t="shared" ref="AL17:AO17" si="303">+AL9+AL13</f>
        <v>142.02600000000001</v>
      </c>
      <c r="AM17" s="135">
        <f t="shared" si="303"/>
        <v>158.11600000000001</v>
      </c>
      <c r="AN17" s="135">
        <f t="shared" si="303"/>
        <v>173.02799999999999</v>
      </c>
      <c r="AO17" s="216">
        <f t="shared" si="303"/>
        <v>625.48599999999999</v>
      </c>
      <c r="AP17" s="135">
        <f>+AP9+AP13</f>
        <v>194.13300000000001</v>
      </c>
      <c r="AQ17" s="135">
        <f t="shared" ref="AQ17:AT17" si="304">+AQ9+AQ13</f>
        <v>198.2</v>
      </c>
      <c r="AR17" s="135">
        <f t="shared" si="304"/>
        <v>210.637</v>
      </c>
      <c r="AS17" s="135">
        <f t="shared" si="304"/>
        <v>217.25200000000001</v>
      </c>
      <c r="AT17" s="216">
        <f t="shared" si="304"/>
        <v>820.22199999999998</v>
      </c>
      <c r="AU17" s="135">
        <f>+AU9+AU13</f>
        <v>241.756</v>
      </c>
      <c r="AV17" s="135">
        <f t="shared" ref="AV17:AY17" si="305">+AV9+AV13</f>
        <v>261.404</v>
      </c>
      <c r="AW17" s="135">
        <f t="shared" si="305"/>
        <v>268.30600000000004</v>
      </c>
      <c r="AX17" s="135">
        <f t="shared" si="305"/>
        <v>311.10499999999996</v>
      </c>
      <c r="AY17" s="216">
        <f t="shared" si="305"/>
        <v>1082.5709999999999</v>
      </c>
      <c r="AZ17" s="135">
        <f>+AZ9+AZ13</f>
        <v>367.74100000000004</v>
      </c>
      <c r="BA17" s="135">
        <f t="shared" ref="BA17:BG17" si="306">+BA9+BA13</f>
        <v>413.351</v>
      </c>
      <c r="BB17" s="135">
        <f t="shared" si="306"/>
        <v>439.75799999999998</v>
      </c>
      <c r="BC17" s="135">
        <f t="shared" si="306"/>
        <v>476.06100000000004</v>
      </c>
      <c r="BD17" s="216">
        <f t="shared" si="306"/>
        <v>1696.9110000000001</v>
      </c>
      <c r="BE17" s="135">
        <f>+BE9+BE13</f>
        <v>501.83</v>
      </c>
      <c r="BF17" s="135">
        <f>+BF9+BF13</f>
        <v>546.6</v>
      </c>
      <c r="BG17" s="135">
        <f t="shared" si="306"/>
        <v>592.18299999999999</v>
      </c>
      <c r="BH17" s="135">
        <f>+BH9+BH13</f>
        <v>665.5</v>
      </c>
      <c r="BI17" s="216">
        <f>+BI9+BI13</f>
        <v>2306.1129999999998</v>
      </c>
      <c r="BJ17" s="273">
        <f>+BJ9+BJ13</f>
        <v>616.5328693761752</v>
      </c>
      <c r="BK17" s="135">
        <f t="shared" ref="BK17:BN17" si="307">+BK9+BK13</f>
        <v>650.50782303881431</v>
      </c>
      <c r="BL17" s="135">
        <f t="shared" si="307"/>
        <v>676.58177181621988</v>
      </c>
      <c r="BM17" s="135">
        <f t="shared" si="307"/>
        <v>715.30686832652486</v>
      </c>
      <c r="BN17" s="216">
        <f t="shared" si="307"/>
        <v>2658.9293325577346</v>
      </c>
      <c r="BO17" s="135">
        <f>+BO9+BO13</f>
        <v>762.14849326748754</v>
      </c>
      <c r="BP17" s="135">
        <f t="shared" ref="BP17:BS17" si="308">+BP9+BP13</f>
        <v>763.06912782448933</v>
      </c>
      <c r="BQ17" s="135">
        <f t="shared" si="308"/>
        <v>790.75040309936173</v>
      </c>
      <c r="BR17" s="135">
        <f t="shared" si="308"/>
        <v>813.12421834449674</v>
      </c>
      <c r="BS17" s="216">
        <f t="shared" si="308"/>
        <v>3129.0922425358349</v>
      </c>
      <c r="BT17" s="135">
        <f>+BT9+BT13</f>
        <v>876.90033288239249</v>
      </c>
      <c r="BU17" s="135">
        <f t="shared" ref="BU17:BX17" si="309">+BU9+BU13</f>
        <v>886.05175959445091</v>
      </c>
      <c r="BV17" s="135">
        <f t="shared" si="309"/>
        <v>913.63858937191958</v>
      </c>
      <c r="BW17" s="135">
        <f t="shared" si="309"/>
        <v>940.58178305838112</v>
      </c>
      <c r="BX17" s="216">
        <f t="shared" si="309"/>
        <v>3617.1724649071443</v>
      </c>
      <c r="BY17" s="135">
        <f>+BY9+BY13</f>
        <v>1012.820049022594</v>
      </c>
      <c r="BZ17" s="135">
        <f t="shared" ref="BZ17:CC17" si="310">+BZ9+BZ13</f>
        <v>1016.8897632547124</v>
      </c>
      <c r="CA17" s="135">
        <f t="shared" si="310"/>
        <v>1051.5163678726676</v>
      </c>
      <c r="CB17" s="135">
        <f t="shared" si="310"/>
        <v>1076.6057178155363</v>
      </c>
      <c r="CC17" s="216">
        <f t="shared" si="310"/>
        <v>4157.8318979655105</v>
      </c>
      <c r="CD17" s="135">
        <f>+CD9+CD13</f>
        <v>1155.0359996860182</v>
      </c>
      <c r="CE17" s="135">
        <f t="shared" ref="CE17:CH17" si="311">+CE9+CE13</f>
        <v>1161.8150165695874</v>
      </c>
      <c r="CF17" s="135">
        <f t="shared" si="311"/>
        <v>1196.7163512424281</v>
      </c>
      <c r="CG17" s="135">
        <f t="shared" si="311"/>
        <v>1225.5047627183251</v>
      </c>
      <c r="CH17" s="216">
        <f t="shared" si="311"/>
        <v>4739.0721302163593</v>
      </c>
      <c r="CI17" s="135">
        <f>+CI9+CI13</f>
        <v>1298.4003632035517</v>
      </c>
      <c r="CJ17" s="135">
        <f t="shared" ref="CJ17:CM17" si="312">+CJ9+CJ13</f>
        <v>1301.0288083539829</v>
      </c>
      <c r="CK17" s="135">
        <f t="shared" si="312"/>
        <v>1332.8347584429962</v>
      </c>
      <c r="CL17" s="135">
        <f t="shared" si="312"/>
        <v>1358.4263905436926</v>
      </c>
      <c r="CM17" s="216">
        <f t="shared" si="312"/>
        <v>5290.6903205442231</v>
      </c>
      <c r="CN17" s="135">
        <f>+CN9+CN13</f>
        <v>1435.3246309431759</v>
      </c>
      <c r="CO17" s="135">
        <f t="shared" ref="CO17:CR17" si="313">+CO9+CO13</f>
        <v>1437.9537288147437</v>
      </c>
      <c r="CP17" s="135">
        <f t="shared" si="313"/>
        <v>1470.6387493838629</v>
      </c>
      <c r="CQ17" s="135">
        <f t="shared" si="313"/>
        <v>1497.2105631120992</v>
      </c>
      <c r="CR17" s="216">
        <f t="shared" si="313"/>
        <v>5841.1276722538814</v>
      </c>
      <c r="CS17" s="135">
        <f>+CS9+CS13</f>
        <v>1578.9496639020265</v>
      </c>
      <c r="CT17" s="135">
        <f t="shared" ref="CT17:CW17" si="314">+CT9+CT13</f>
        <v>1582.2801385646917</v>
      </c>
      <c r="CU17" s="135">
        <f t="shared" si="314"/>
        <v>1616.7880727042455</v>
      </c>
      <c r="CV17" s="135">
        <f t="shared" si="314"/>
        <v>1645.0622487953078</v>
      </c>
      <c r="CW17" s="216">
        <f t="shared" si="314"/>
        <v>6423.0801239662715</v>
      </c>
      <c r="CX17" s="135">
        <f>+CX9+CX13</f>
        <v>1717.5517402429391</v>
      </c>
      <c r="CY17" s="135">
        <f t="shared" ref="CY17:DB17" si="315">+CY9+CY13</f>
        <v>1717.0666750084868</v>
      </c>
      <c r="CZ17" s="135">
        <f t="shared" si="315"/>
        <v>1748.7456086570105</v>
      </c>
      <c r="DA17" s="135">
        <f t="shared" si="315"/>
        <v>1774.1999970499794</v>
      </c>
      <c r="DB17" s="216">
        <f t="shared" si="315"/>
        <v>6957.5640209584162</v>
      </c>
    </row>
    <row r="18" spans="1:106">
      <c r="A18" s="277" t="s">
        <v>281</v>
      </c>
      <c r="F18" s="217"/>
      <c r="G18" s="119" t="s">
        <v>290</v>
      </c>
      <c r="H18" s="119" t="s">
        <v>290</v>
      </c>
      <c r="I18" s="119" t="s">
        <v>290</v>
      </c>
      <c r="J18" s="119" t="s">
        <v>290</v>
      </c>
      <c r="K18" s="235" t="s">
        <v>290</v>
      </c>
      <c r="L18" s="13">
        <f>+L17/G17-1</f>
        <v>0.30498577000105409</v>
      </c>
      <c r="M18" s="13">
        <f t="shared" ref="M18" si="316">+M17/H17-1</f>
        <v>0.15297092288242742</v>
      </c>
      <c r="N18" s="13">
        <f t="shared" ref="N18" si="317">+N17/I17-1</f>
        <v>0.19963936688853767</v>
      </c>
      <c r="O18" s="13">
        <f t="shared" ref="O18" si="318">+O17/J17-1</f>
        <v>-6.8283187178711846E-2</v>
      </c>
      <c r="P18" s="239">
        <f t="shared" ref="P18" si="319">+P17/K17-1</f>
        <v>0.14036405663103135</v>
      </c>
      <c r="Q18" s="13">
        <f>+Q17/L17-1</f>
        <v>-0.24233465800781884</v>
      </c>
      <c r="R18" s="13">
        <f t="shared" ref="R18" si="320">+R17/M17-1</f>
        <v>3.1413511849800013E-2</v>
      </c>
      <c r="S18" s="13">
        <f t="shared" ref="S18" si="321">+S17/N17-1</f>
        <v>5.134628588394663E-2</v>
      </c>
      <c r="T18" s="13">
        <f t="shared" ref="T18" si="322">+T17/O17-1</f>
        <v>9.0590072820949663E-2</v>
      </c>
      <c r="U18" s="239">
        <f t="shared" ref="U18" si="323">+U17/P17-1</f>
        <v>-2.8262251582409803E-2</v>
      </c>
      <c r="V18" s="13">
        <f>+V17/Q17-1</f>
        <v>0.32918274663653224</v>
      </c>
      <c r="W18" s="13">
        <f t="shared" ref="W18" si="324">+W17/R17-1</f>
        <v>0.17628737154260765</v>
      </c>
      <c r="X18" s="13">
        <f t="shared" ref="X18" si="325">+X17/S17-1</f>
        <v>0.15221688788477827</v>
      </c>
      <c r="Y18" s="13">
        <f t="shared" ref="Y18" si="326">+Y17/T17-1</f>
        <v>0.24551288012647632</v>
      </c>
      <c r="Z18" s="239">
        <f t="shared" ref="Z18" si="327">+Z17/U17-1</f>
        <v>0.22146212886189875</v>
      </c>
      <c r="AA18" s="13">
        <f>+AA17/V17-1</f>
        <v>7.1928136028232226E-2</v>
      </c>
      <c r="AB18" s="13">
        <f t="shared" ref="AB18" si="328">+AB17/W17-1</f>
        <v>0.17894686771631063</v>
      </c>
      <c r="AC18" s="13">
        <f t="shared" ref="AC18" si="329">+AC17/X17-1</f>
        <v>0.1934589460784315</v>
      </c>
      <c r="AD18" s="13">
        <f t="shared" ref="AD18" si="330">+AD17/Y17-1</f>
        <v>0.24303740760098536</v>
      </c>
      <c r="AE18" s="239">
        <f t="shared" ref="AE18" si="331">+AE17/Z17-1</f>
        <v>0.17338756627104557</v>
      </c>
      <c r="AF18" s="13">
        <f>+AF17/AA17-1</f>
        <v>0.40685981084640255</v>
      </c>
      <c r="AG18" s="13">
        <f t="shared" ref="AG18" si="332">+AG17/AB17-1</f>
        <v>0.16296146863021987</v>
      </c>
      <c r="AH18" s="13">
        <f t="shared" ref="AH18" si="333">+AH17/AC17-1</f>
        <v>0.25971325520799904</v>
      </c>
      <c r="AI18" s="13">
        <f t="shared" ref="AI18" si="334">+AI17/AD17-1</f>
        <v>0.35004805382027881</v>
      </c>
      <c r="AJ18" s="239">
        <f t="shared" ref="AJ18" si="335">+AJ17/AE17-1</f>
        <v>0.29331388425815685</v>
      </c>
      <c r="AK18" s="13">
        <f t="shared" ref="AK18" si="336">+AK17/AF17-1</f>
        <v>0.6201761477258223</v>
      </c>
      <c r="AL18" s="13">
        <f t="shared" ref="AL18" si="337">+AL17/AG17-1</f>
        <v>0.64245073549819587</v>
      </c>
      <c r="AM18" s="13">
        <f t="shared" ref="AM18" si="338">+AM17/AH17-1</f>
        <v>0.61107771313287773</v>
      </c>
      <c r="AN18" s="13">
        <f t="shared" ref="AN18" si="339">+AN17/AI17-1</f>
        <v>0.53969638185409941</v>
      </c>
      <c r="AO18" s="239">
        <f t="shared" ref="AO18" si="340">+AO17/AJ17-1</f>
        <v>0.59968798352962227</v>
      </c>
      <c r="AP18" s="13">
        <f t="shared" ref="AP18" si="341">+AP17/AK17-1</f>
        <v>0.27454108563775304</v>
      </c>
      <c r="AQ18" s="13">
        <f t="shared" ref="AQ18" si="342">+AQ17/AL17-1</f>
        <v>0.39551913030008579</v>
      </c>
      <c r="AR18" s="13">
        <f t="shared" ref="AR18" si="343">+AR17/AM17-1</f>
        <v>0.33216752257836002</v>
      </c>
      <c r="AS18" s="13">
        <f t="shared" ref="AS18" si="344">+AS17/AN17-1</f>
        <v>0.25558869084772429</v>
      </c>
      <c r="AT18" s="239">
        <f t="shared" ref="AT18" si="345">+AT17/AO17-1</f>
        <v>0.3113355055109146</v>
      </c>
      <c r="AU18" s="13">
        <f t="shared" ref="AU18" si="346">+AU17/AP17-1</f>
        <v>0.24531120417445762</v>
      </c>
      <c r="AV18" s="13">
        <f t="shared" ref="AV18" si="347">+AV17/AQ17-1</f>
        <v>0.31889001009081741</v>
      </c>
      <c r="AW18" s="13">
        <f t="shared" ref="AW18" si="348">+AW17/AR17-1</f>
        <v>0.27378380816285852</v>
      </c>
      <c r="AX18" s="13">
        <f t="shared" ref="AX18" si="349">+AX17/AS17-1</f>
        <v>0.43200062600114131</v>
      </c>
      <c r="AY18" s="239">
        <f t="shared" ref="AY18" si="350">+AY17/AT17-1</f>
        <v>0.31985121101360359</v>
      </c>
      <c r="AZ18" s="13">
        <f t="shared" ref="AZ18" si="351">+AZ17/AU17-1</f>
        <v>0.52112460497361002</v>
      </c>
      <c r="BA18" s="13">
        <f t="shared" ref="BA18" si="352">+BA17/AV17-1</f>
        <v>0.58127266606478867</v>
      </c>
      <c r="BB18" s="13">
        <f t="shared" ref="BB18" si="353">+BB17/AW17-1</f>
        <v>0.63901664517379375</v>
      </c>
      <c r="BC18" s="13">
        <f t="shared" ref="BC18" si="354">+BC17/AX17-1</f>
        <v>0.53022612944182868</v>
      </c>
      <c r="BD18" s="239">
        <f t="shared" ref="BD18" si="355">+BD17/AY17-1</f>
        <v>0.56748240992969534</v>
      </c>
      <c r="BE18" s="13">
        <f>+BE17/AZ17-1</f>
        <v>0.36462891002091125</v>
      </c>
      <c r="BF18" s="62">
        <f t="shared" ref="BF18" si="356">+BF17/BA17-1</f>
        <v>0.32236283449175152</v>
      </c>
      <c r="BG18" s="62">
        <f t="shared" ref="BG18" si="357">+BG17/BB17-1</f>
        <v>0.34661109064530948</v>
      </c>
      <c r="BH18" s="13">
        <f t="shared" ref="BH18" si="358">+BH17/BC17-1</f>
        <v>0.39793009719342676</v>
      </c>
      <c r="BI18" s="239">
        <f t="shared" ref="BI18" si="359">+BI17/BD17-1</f>
        <v>0.35900645349107863</v>
      </c>
      <c r="BJ18" s="328">
        <f>+BJ17/BE17-1</f>
        <v>0.22856917556976519</v>
      </c>
      <c r="BK18" s="13">
        <f t="shared" ref="BK18" si="360">+BK17/BF17-1</f>
        <v>0.19009846878670733</v>
      </c>
      <c r="BL18" s="13">
        <f t="shared" ref="BL18" si="361">+BL17/BG17-1</f>
        <v>0.14252143647524473</v>
      </c>
      <c r="BM18" s="13">
        <f t="shared" ref="BM18" si="362">+BM17/BH17-1</f>
        <v>7.4841274720548245E-2</v>
      </c>
      <c r="BN18" s="239">
        <f t="shared" ref="BN18" si="363">+BN17/BI17-1</f>
        <v>0.15299177991613377</v>
      </c>
      <c r="BO18" s="13">
        <f>+BO17/BJ17-1</f>
        <v>0.236184688804427</v>
      </c>
      <c r="BP18" s="13">
        <f t="shared" ref="BP18" si="364">+BP17/BK17-1</f>
        <v>0.17303605091150254</v>
      </c>
      <c r="BQ18" s="13">
        <f t="shared" ref="BQ18" si="365">+BQ17/BL17-1</f>
        <v>0.16874328579185183</v>
      </c>
      <c r="BR18" s="13">
        <f t="shared" ref="BR18" si="366">+BR17/BM17-1</f>
        <v>0.13674879181129285</v>
      </c>
      <c r="BS18" s="239">
        <f t="shared" ref="BS18" si="367">+BS17/BN17-1</f>
        <v>0.17682414655444445</v>
      </c>
      <c r="BT18" s="13">
        <f>+BT17/BO17-1</f>
        <v>0.15056362458048067</v>
      </c>
      <c r="BU18" s="13">
        <f t="shared" ref="BU18" si="368">+BU17/BP17-1</f>
        <v>0.16116840176798286</v>
      </c>
      <c r="BV18" s="13">
        <f t="shared" ref="BV18" si="369">+BV17/BQ17-1</f>
        <v>0.15540704853376641</v>
      </c>
      <c r="BW18" s="13">
        <f t="shared" ref="BW18" si="370">+BW17/BR17-1</f>
        <v>0.15675042243039483</v>
      </c>
      <c r="BX18" s="239">
        <f t="shared" ref="BX18" si="371">+BX17/BS17-1</f>
        <v>0.15598141075437466</v>
      </c>
      <c r="BY18" s="13">
        <f>+BY17/BT17-1</f>
        <v>0.15500018764211232</v>
      </c>
      <c r="BZ18" s="13">
        <f t="shared" ref="BZ18" si="372">+BZ17/BU17-1</f>
        <v>0.14766406391444509</v>
      </c>
      <c r="CA18" s="13">
        <f t="shared" ref="CA18" si="373">+CA17/BV17-1</f>
        <v>0.15091063370641122</v>
      </c>
      <c r="CB18" s="13">
        <f t="shared" ref="CB18" si="374">+CB17/BW17-1</f>
        <v>0.14461680760482287</v>
      </c>
      <c r="CC18" s="239">
        <f t="shared" ref="CC18" si="375">+CC17/BX17-1</f>
        <v>0.1494701837702519</v>
      </c>
      <c r="CD18" s="13">
        <f>+CD17/BY17-1</f>
        <v>0.14041581305649253</v>
      </c>
      <c r="CE18" s="13">
        <f t="shared" ref="CE18" si="376">+CE17/BZ17-1</f>
        <v>0.14251815541049351</v>
      </c>
      <c r="CF18" s="13">
        <f t="shared" ref="CF18" si="377">+CF17/CA17-1</f>
        <v>0.13808627978232613</v>
      </c>
      <c r="CG18" s="13">
        <f t="shared" ref="CG18" si="378">+CG17/CB17-1</f>
        <v>0.13830415577293165</v>
      </c>
      <c r="CH18" s="239">
        <f t="shared" ref="CH18" si="379">+CH17/CC17-1</f>
        <v>0.13979406732034017</v>
      </c>
      <c r="CI18" s="13">
        <f>+CI17/CD17-1</f>
        <v>0.12412112138193554</v>
      </c>
      <c r="CJ18" s="13">
        <f t="shared" ref="CJ18" si="380">+CJ17/CE17-1</f>
        <v>0.1198244038844003</v>
      </c>
      <c r="CK18" s="13">
        <f t="shared" ref="CK18" si="381">+CK17/CF17-1</f>
        <v>0.11374325006861508</v>
      </c>
      <c r="CL18" s="13">
        <f t="shared" ref="CL18" si="382">+CL17/CG17-1</f>
        <v>0.10846275907613001</v>
      </c>
      <c r="CM18" s="239">
        <f t="shared" ref="CM18" si="383">+CM17/CH17-1</f>
        <v>0.11639793089679773</v>
      </c>
      <c r="CN18" s="13">
        <f>+CN17/CI17-1</f>
        <v>0.10545612248735825</v>
      </c>
      <c r="CO18" s="13">
        <f t="shared" ref="CO18" si="384">+CO17/CJ17-1</f>
        <v>0.10524357307198562</v>
      </c>
      <c r="CP18" s="13">
        <f t="shared" ref="CP18" si="385">+CP17/CK17-1</f>
        <v>0.10339165456777843</v>
      </c>
      <c r="CQ18" s="13">
        <f t="shared" ref="CQ18" si="386">+CQ17/CL17-1</f>
        <v>0.10216539779741773</v>
      </c>
      <c r="CR18" s="239">
        <f t="shared" ref="CR18" si="387">+CR17/CM17-1</f>
        <v>0.10403885284539549</v>
      </c>
      <c r="CS18" s="13">
        <f>+CS17/CN17-1</f>
        <v>0.10006449402632511</v>
      </c>
      <c r="CT18" s="13">
        <f t="shared" ref="CT18" si="388">+CT17/CO17-1</f>
        <v>0.10036930038695435</v>
      </c>
      <c r="CU18" s="13">
        <f t="shared" ref="CU18" si="389">+CU17/CP17-1</f>
        <v>9.9378126260859956E-2</v>
      </c>
      <c r="CV18" s="13">
        <f t="shared" ref="CV18" si="390">+CV17/CQ17-1</f>
        <v>9.8751431045132509E-2</v>
      </c>
      <c r="CW18" s="239">
        <f t="shared" ref="CW18" si="391">+CW17/CR17-1</f>
        <v>9.9630154375282665E-2</v>
      </c>
      <c r="CX18" s="13">
        <f>+CX17/CS17-1</f>
        <v>8.778118739921581E-2</v>
      </c>
      <c r="CY18" s="13">
        <f t="shared" ref="CY18" si="392">+CY17/CT17-1</f>
        <v>8.5185001794980453E-2</v>
      </c>
      <c r="CZ18" s="13">
        <f t="shared" ref="CZ18" si="393">+CZ17/CU17-1</f>
        <v>8.1617088955915129E-2</v>
      </c>
      <c r="DA18" s="13">
        <f t="shared" ref="DA18" si="394">+DA17/CV17-1</f>
        <v>7.8500219884834355E-2</v>
      </c>
      <c r="DB18" s="239">
        <f t="shared" ref="DB18" si="395">+DB17/CW17-1</f>
        <v>8.3213020338612775E-2</v>
      </c>
    </row>
    <row r="19" spans="1:106">
      <c r="A19" s="277" t="s">
        <v>288</v>
      </c>
      <c r="F19" s="217"/>
      <c r="G19" s="119" t="s">
        <v>290</v>
      </c>
      <c r="H19" s="13">
        <f>+H17/G17-1</f>
        <v>-4.9499314851902732E-2</v>
      </c>
      <c r="I19" s="13">
        <f t="shared" ref="I19" si="396">+I17/H17-1</f>
        <v>-3.6817707986780412E-3</v>
      </c>
      <c r="J19" s="13">
        <f t="shared" ref="J19" si="397">+J17/I17-1</f>
        <v>0.17789007368491361</v>
      </c>
      <c r="K19" s="235" t="s">
        <v>290</v>
      </c>
      <c r="L19" s="13">
        <f>+L17/J17-1</f>
        <v>0.16990474750529194</v>
      </c>
      <c r="M19" s="13">
        <f>+M17/L17-1</f>
        <v>-0.16022099447513816</v>
      </c>
      <c r="N19" s="13">
        <f t="shared" ref="N19" si="398">+N17/M17-1</f>
        <v>3.6645891043397993E-2</v>
      </c>
      <c r="O19" s="13">
        <f t="shared" ref="O19" si="399">+O17/N17-1</f>
        <v>-8.517508211323277E-2</v>
      </c>
      <c r="P19" s="235" t="s">
        <v>290</v>
      </c>
      <c r="Q19" s="13">
        <f>+Q17/O17-1</f>
        <v>-4.8641960283170138E-2</v>
      </c>
      <c r="R19" s="13">
        <f>+R17/Q17-1</f>
        <v>0.14319524103963688</v>
      </c>
      <c r="S19" s="13">
        <f t="shared" ref="S19" si="400">+S17/R17-1</f>
        <v>5.667978439673993E-2</v>
      </c>
      <c r="T19" s="13">
        <f t="shared" ref="T19" si="401">+T17/S17-1</f>
        <v>-5.1027252188647343E-2</v>
      </c>
      <c r="U19" s="235" t="s">
        <v>290</v>
      </c>
      <c r="V19" s="13">
        <f>+V17/T17-1</f>
        <v>0.15949037477913142</v>
      </c>
      <c r="W19" s="13">
        <f>+W17/V17-1</f>
        <v>1.1693936477382261E-2</v>
      </c>
      <c r="X19" s="13">
        <f t="shared" ref="X19" si="402">+X17/W17-1</f>
        <v>3.5056842505826857E-2</v>
      </c>
      <c r="Y19" s="13">
        <f t="shared" ref="Y19" si="403">+Y17/X17-1</f>
        <v>2.5811887254902022E-2</v>
      </c>
      <c r="Z19" s="235" t="s">
        <v>290</v>
      </c>
      <c r="AA19" s="13">
        <f>+AA17/Y17-1</f>
        <v>-2.1055775405063315E-3</v>
      </c>
      <c r="AB19" s="13">
        <f>+AB17/AA17-1</f>
        <v>0.11269903028851913</v>
      </c>
      <c r="AC19" s="13">
        <f t="shared" ref="AC19" si="404">+AC17/AB17-1</f>
        <v>4.7797727119897715E-2</v>
      </c>
      <c r="AD19" s="13">
        <f t="shared" ref="AD19" si="405">+AD17/AC17-1</f>
        <v>6.8425984161008202E-2</v>
      </c>
      <c r="AE19" s="235" t="s">
        <v>290</v>
      </c>
      <c r="AF19" s="13">
        <f>+AF17/AD17-1</f>
        <v>0.12940893801057185</v>
      </c>
      <c r="AG19" s="13">
        <f>+AG17/AF17-1</f>
        <v>-8.0202527336935669E-2</v>
      </c>
      <c r="AH19" s="13">
        <f t="shared" ref="AH19" si="406">+AH17/AG17-1</f>
        <v>0.13496854473124231</v>
      </c>
      <c r="AI19" s="13">
        <f t="shared" ref="AI19" si="407">+AI17/AH17-1</f>
        <v>0.14504345699642363</v>
      </c>
      <c r="AJ19" s="235" t="s">
        <v>290</v>
      </c>
      <c r="AK19" s="13">
        <f>+AK17/AI17-1</f>
        <v>0.35538984498745307</v>
      </c>
      <c r="AL19" s="13">
        <f t="shared" ref="AL19" si="408">+AL17/AK17-1</f>
        <v>-6.7556921137634895E-2</v>
      </c>
      <c r="AM19" s="13">
        <f t="shared" ref="AM19" si="409">+AM17/AL17-1</f>
        <v>0.11328911607733794</v>
      </c>
      <c r="AN19" s="13">
        <f t="shared" ref="AN19" si="410">+AN17/AM17-1</f>
        <v>9.4310506210629974E-2</v>
      </c>
      <c r="AO19" s="235" t="s">
        <v>290</v>
      </c>
      <c r="AP19" s="13">
        <f>+AP17/AN17-1</f>
        <v>0.12197447811914852</v>
      </c>
      <c r="AQ19" s="13">
        <f t="shared" ref="AQ19" si="411">+AQ17/AP17-1</f>
        <v>2.0949555201845937E-2</v>
      </c>
      <c r="AR19" s="13">
        <f t="shared" ref="AR19" si="412">+AR17/AQ17-1</f>
        <v>6.2749747729566208E-2</v>
      </c>
      <c r="AS19" s="13">
        <f t="shared" ref="AS19" si="413">+AS17/AR17-1</f>
        <v>3.1404738958492606E-2</v>
      </c>
      <c r="AT19" s="235" t="s">
        <v>290</v>
      </c>
      <c r="AU19" s="13">
        <f>+AU17/AS17-1</f>
        <v>0.11279067626535078</v>
      </c>
      <c r="AV19" s="13">
        <f t="shared" ref="AV19" si="414">+AV17/AU17-1</f>
        <v>8.1272026340607928E-2</v>
      </c>
      <c r="AW19" s="13">
        <f t="shared" ref="AW19" si="415">+AW17/AV17-1</f>
        <v>2.6403574543618413E-2</v>
      </c>
      <c r="AX19" s="13">
        <f t="shared" ref="AX19" si="416">+AX17/AW17-1</f>
        <v>0.15951562767884409</v>
      </c>
      <c r="AY19" s="235" t="s">
        <v>290</v>
      </c>
      <c r="AZ19" s="13">
        <f>+AZ17/AX17-1</f>
        <v>0.18204786165442566</v>
      </c>
      <c r="BA19" s="13">
        <f t="shared" ref="BA19" si="417">+BA17/AZ17-1</f>
        <v>0.12402750849103028</v>
      </c>
      <c r="BB19" s="13">
        <f t="shared" ref="BB19" si="418">+BB17/BA17-1</f>
        <v>6.3885172649878585E-2</v>
      </c>
      <c r="BC19" s="13">
        <f t="shared" ref="BC19" si="419">+BC17/BB17-1</f>
        <v>8.2552221903865464E-2</v>
      </c>
      <c r="BD19" s="235" t="s">
        <v>290</v>
      </c>
      <c r="BE19" s="13">
        <f>+BE17/BC17-1</f>
        <v>5.4129617843091449E-2</v>
      </c>
      <c r="BF19" s="62">
        <f t="shared" ref="BF19" si="420">+BF17/BE17-1</f>
        <v>8.9213478668074941E-2</v>
      </c>
      <c r="BG19" s="62">
        <f t="shared" ref="BG19" si="421">+BG17/BF17-1</f>
        <v>8.3393706549579116E-2</v>
      </c>
      <c r="BH19" s="13">
        <f t="shared" ref="BH19" si="422">+BH17/BG17-1</f>
        <v>0.1238080120503291</v>
      </c>
      <c r="BI19" s="235" t="s">
        <v>290</v>
      </c>
      <c r="BJ19" s="328">
        <f>+BJ17/BH17-1</f>
        <v>-7.3579459990720908E-2</v>
      </c>
      <c r="BK19" s="13">
        <f t="shared" ref="BK19" si="423">+BK17/BJ17-1</f>
        <v>5.5106475826691703E-2</v>
      </c>
      <c r="BL19" s="13">
        <f t="shared" ref="BL19" si="424">+BL17/BK17-1</f>
        <v>4.0082452284128545E-2</v>
      </c>
      <c r="BM19" s="13">
        <f t="shared" ref="BM19" si="425">+BM17/BL17-1</f>
        <v>5.7236387563843305E-2</v>
      </c>
      <c r="BN19" s="235" t="s">
        <v>290</v>
      </c>
      <c r="BO19" s="13">
        <f>+BO17/BM17-1</f>
        <v>6.5484657026360749E-2</v>
      </c>
      <c r="BP19" s="13">
        <f t="shared" ref="BP19" si="426">+BP17/BO17-1</f>
        <v>1.2079464371239634E-3</v>
      </c>
      <c r="BQ19" s="13">
        <f t="shared" ref="BQ19" si="427">+BQ17/BP17-1</f>
        <v>3.6276235357328268E-2</v>
      </c>
      <c r="BR19" s="13">
        <f t="shared" ref="BR19" si="428">+BR17/BQ17-1</f>
        <v>2.8294408902531654E-2</v>
      </c>
      <c r="BS19" s="235" t="s">
        <v>290</v>
      </c>
      <c r="BT19" s="13">
        <f>+BT17/BR17-1</f>
        <v>7.8433421486009181E-2</v>
      </c>
      <c r="BU19" s="13">
        <f t="shared" ref="BU19" si="429">+BU17/BT17-1</f>
        <v>1.0436108151512968E-2</v>
      </c>
      <c r="BV19" s="13">
        <f t="shared" ref="BV19" si="430">+BV17/BU17-1</f>
        <v>3.1134557861603129E-2</v>
      </c>
      <c r="BW19" s="13">
        <f t="shared" ref="BW19" si="431">+BW17/BV17-1</f>
        <v>2.9489990899994378E-2</v>
      </c>
      <c r="BX19" s="235" t="s">
        <v>290</v>
      </c>
      <c r="BY19" s="13">
        <f>+BY17/BW17-1</f>
        <v>7.6801685154186172E-2</v>
      </c>
      <c r="BZ19" s="13">
        <f t="shared" ref="BZ19" si="432">+BZ17/BY17-1</f>
        <v>4.0182007021343225E-3</v>
      </c>
      <c r="CA19" s="13">
        <f t="shared" ref="CA19" si="433">+CA17/BZ17-1</f>
        <v>3.4051483129427407E-2</v>
      </c>
      <c r="CB19" s="13">
        <f t="shared" ref="CB19" si="434">+CB17/CA17-1</f>
        <v>2.3860161105839106E-2</v>
      </c>
      <c r="CC19" s="235" t="s">
        <v>290</v>
      </c>
      <c r="CD19" s="13">
        <f>+CD17/CB17-1</f>
        <v>7.2849586968216196E-2</v>
      </c>
      <c r="CE19" s="13">
        <f t="shared" ref="CE19" si="435">+CE17/CD17-1</f>
        <v>5.8690957558136247E-3</v>
      </c>
      <c r="CF19" s="13">
        <f t="shared" ref="CF19" si="436">+CF17/CE17-1</f>
        <v>3.0040354251825274E-2</v>
      </c>
      <c r="CG19" s="13">
        <f t="shared" ref="CG19" si="437">+CG17/CF17-1</f>
        <v>2.4056169572688635E-2</v>
      </c>
      <c r="CH19" s="235" t="s">
        <v>290</v>
      </c>
      <c r="CI19" s="13">
        <f>+CI17/CG17-1</f>
        <v>5.9482102969175665E-2</v>
      </c>
      <c r="CJ19" s="13">
        <f t="shared" ref="CJ19" si="438">+CJ17/CI17-1</f>
        <v>2.0243718539525446E-3</v>
      </c>
      <c r="CK19" s="13">
        <f t="shared" ref="CK19" si="439">+CK17/CJ17-1</f>
        <v>2.4446768499502447E-2</v>
      </c>
      <c r="CL19" s="13">
        <f t="shared" ref="CL19" si="440">+CL17/CK17-1</f>
        <v>1.9200903891936516E-2</v>
      </c>
      <c r="CM19" s="235" t="s">
        <v>290</v>
      </c>
      <c r="CN19" s="13">
        <f>+CN17/CL17-1</f>
        <v>5.6608323376804881E-2</v>
      </c>
      <c r="CO19" s="13">
        <f t="shared" ref="CO19" si="441">+CO17/CN17-1</f>
        <v>1.8317095762789837E-3</v>
      </c>
      <c r="CP19" s="13">
        <f t="shared" ref="CP19" si="442">+CP17/CO17-1</f>
        <v>2.2730231101427911E-2</v>
      </c>
      <c r="CQ19" s="13">
        <f t="shared" ref="CQ19" si="443">+CQ17/CP17-1</f>
        <v>1.8068212699664521E-2</v>
      </c>
      <c r="CR19" s="235" t="s">
        <v>290</v>
      </c>
      <c r="CS19" s="13">
        <f>+CS17/CQ17-1</f>
        <v>5.4594258685982444E-2</v>
      </c>
      <c r="CT19" s="13">
        <f t="shared" ref="CT19" si="444">+CT17/CS17-1</f>
        <v>2.109297553181344E-3</v>
      </c>
      <c r="CU19" s="13">
        <f t="shared" ref="CU19" si="445">+CU17/CT17-1</f>
        <v>2.1808991529689736E-2</v>
      </c>
      <c r="CV19" s="13">
        <f t="shared" ref="CV19" si="446">+CV17/CU17-1</f>
        <v>1.7487867809273805E-2</v>
      </c>
      <c r="CW19" s="235" t="s">
        <v>290</v>
      </c>
      <c r="CX19" s="13">
        <f>+CX17/CV17-1</f>
        <v>4.4064892681548118E-2</v>
      </c>
      <c r="CY19" s="13">
        <f t="shared" ref="CY19" si="447">+CY17/CX17-1</f>
        <v>-2.8241666500461449E-4</v>
      </c>
      <c r="CZ19" s="13">
        <f t="shared" ref="CZ19" si="448">+CZ17/CY17-1</f>
        <v>1.8449448766086674E-2</v>
      </c>
      <c r="DA19" s="13">
        <f t="shared" ref="DA19" si="449">+DA17/CZ17-1</f>
        <v>1.4555798320212698E-2</v>
      </c>
      <c r="DB19" s="235" t="s">
        <v>290</v>
      </c>
    </row>
    <row r="20" spans="1:106">
      <c r="A20" s="277" t="s">
        <v>490</v>
      </c>
      <c r="F20" s="217"/>
      <c r="G20" s="119"/>
      <c r="H20" s="13"/>
      <c r="I20" s="13"/>
      <c r="J20" s="13"/>
      <c r="K20" s="235"/>
      <c r="L20" s="13">
        <f>L17/IS!L7</f>
        <v>1</v>
      </c>
      <c r="M20" s="13">
        <f>M17/IS!M7</f>
        <v>1</v>
      </c>
      <c r="N20" s="13">
        <f>N17/IS!N7</f>
        <v>1</v>
      </c>
      <c r="O20" s="13">
        <f>O17/IS!O7</f>
        <v>0.99999999999999989</v>
      </c>
      <c r="P20" s="239">
        <f>P17/IS!P7</f>
        <v>0.99999999999999989</v>
      </c>
      <c r="Q20" s="13"/>
      <c r="R20" s="13"/>
      <c r="S20" s="13"/>
      <c r="T20" s="13"/>
      <c r="U20" s="239">
        <f>U17/IS!U7</f>
        <v>0.99999999999999989</v>
      </c>
      <c r="V20" s="13">
        <f>V17/IS!V7</f>
        <v>0.99999999999999989</v>
      </c>
      <c r="W20" s="13">
        <f>W17/IS!W7</f>
        <v>1</v>
      </c>
      <c r="X20" s="13">
        <f>X17/IS!X7</f>
        <v>1</v>
      </c>
      <c r="Y20" s="13">
        <f>Y17/IS!Y7</f>
        <v>1.0000000000000004</v>
      </c>
      <c r="Z20" s="239">
        <f>Z17/IS!Z7</f>
        <v>1</v>
      </c>
      <c r="AA20" s="13">
        <f>AA17/IS!AA7</f>
        <v>1</v>
      </c>
      <c r="AB20" s="13">
        <f>AB17/IS!AB7</f>
        <v>1</v>
      </c>
      <c r="AC20" s="13">
        <f>AC17/IS!AC7</f>
        <v>1</v>
      </c>
      <c r="AD20" s="13">
        <f>AD17/IS!AD7</f>
        <v>1.0000000000000004</v>
      </c>
      <c r="AE20" s="239">
        <f>AE17/IS!AE7</f>
        <v>1</v>
      </c>
      <c r="AF20" s="13">
        <f>AF17/IS!AF7</f>
        <v>1</v>
      </c>
      <c r="AG20" s="13">
        <f>AG17/IS!AG7</f>
        <v>1.0000000000000002</v>
      </c>
      <c r="AH20" s="13">
        <f>AH17/IS!AH7</f>
        <v>1</v>
      </c>
      <c r="AI20" s="13">
        <f>AI17/IS!AI7</f>
        <v>0.99999999999999967</v>
      </c>
      <c r="AJ20" s="239">
        <f>AJ17/IS!AJ7</f>
        <v>1</v>
      </c>
      <c r="AK20" s="13">
        <f>AK17/IS!AK7</f>
        <v>1</v>
      </c>
      <c r="AL20" s="13">
        <f>AL17/IS!AL7</f>
        <v>1</v>
      </c>
      <c r="AM20" s="13">
        <f>AM17/IS!AM7</f>
        <v>1</v>
      </c>
      <c r="AN20" s="13">
        <f>AN17/IS!AN7</f>
        <v>0.99999999999999989</v>
      </c>
      <c r="AO20" s="239">
        <f>AO17/IS!AO7</f>
        <v>1</v>
      </c>
      <c r="AP20" s="13">
        <f>AP17/IS!AP7</f>
        <v>1</v>
      </c>
      <c r="AQ20" s="13">
        <f>AQ17/IS!AQ7</f>
        <v>1</v>
      </c>
      <c r="AR20" s="13">
        <f>AR17/IS!AR7</f>
        <v>1</v>
      </c>
      <c r="AS20" s="13">
        <f>AS17/IS!AS7</f>
        <v>1.0000000000000002</v>
      </c>
      <c r="AT20" s="239">
        <f>AT17/IS!AT7</f>
        <v>1</v>
      </c>
      <c r="AU20" s="13">
        <f>AU17/IS!AU7</f>
        <v>1</v>
      </c>
      <c r="AV20" s="13">
        <f>AV17/IS!AV7</f>
        <v>1</v>
      </c>
      <c r="AW20" s="13">
        <f>AW17/IS!AW7</f>
        <v>1.0000000000000002</v>
      </c>
      <c r="AX20" s="13">
        <f>AX17/IS!AX7</f>
        <v>0.99999999999999978</v>
      </c>
      <c r="AY20" s="239">
        <f>AY17/IS!AY7</f>
        <v>1</v>
      </c>
      <c r="AZ20" s="13">
        <f>AZ17/IS!AZ7</f>
        <v>1.0000000000000002</v>
      </c>
      <c r="BA20" s="13">
        <f>BA17/IS!BA7</f>
        <v>1</v>
      </c>
      <c r="BB20" s="13">
        <f>BB17/IS!BB7</f>
        <v>1</v>
      </c>
      <c r="BC20" s="13">
        <f>BC17/IS!BC7</f>
        <v>0.99999999999999978</v>
      </c>
      <c r="BD20" s="239">
        <f>BD17/IS!BD7</f>
        <v>1</v>
      </c>
      <c r="BE20" s="13">
        <f>BE17/IS!BE7</f>
        <v>1</v>
      </c>
      <c r="BF20" s="13">
        <f>BF17/IS!BF7</f>
        <v>1</v>
      </c>
      <c r="BG20" s="13">
        <f>BG17/IS!BG7</f>
        <v>1</v>
      </c>
      <c r="BH20" s="13">
        <f>BH17/IS!BH7</f>
        <v>1</v>
      </c>
      <c r="BI20" s="239">
        <f>BI17/IS!BI7</f>
        <v>0.99999999999999978</v>
      </c>
      <c r="BJ20" s="328">
        <f>BJ17/IS!BJ7</f>
        <v>1</v>
      </c>
      <c r="BK20" s="13">
        <f>BK17/IS!BK7</f>
        <v>1</v>
      </c>
      <c r="BL20" s="13">
        <f>BL17/IS!BL7</f>
        <v>1</v>
      </c>
      <c r="BM20" s="13">
        <f>BM17/IS!BM7</f>
        <v>1</v>
      </c>
      <c r="BN20" s="239">
        <f>BN17/IS!BN7</f>
        <v>1</v>
      </c>
      <c r="BO20" s="13">
        <f>BO17/IS!BO7</f>
        <v>1</v>
      </c>
      <c r="BP20" s="13">
        <f>BP17/IS!BP7</f>
        <v>1</v>
      </c>
      <c r="BQ20" s="13">
        <f>BQ17/IS!BQ7</f>
        <v>1</v>
      </c>
      <c r="BR20" s="13">
        <f>BR17/IS!BR7</f>
        <v>1</v>
      </c>
      <c r="BS20" s="239">
        <f>BS17/IS!BS7</f>
        <v>0.99999999999999967</v>
      </c>
      <c r="BT20" s="13">
        <f>BT17/IS!BT7</f>
        <v>1</v>
      </c>
      <c r="BU20" s="13">
        <f>BU17/IS!BU7</f>
        <v>1</v>
      </c>
      <c r="BV20" s="13">
        <f>BV17/IS!BV7</f>
        <v>1</v>
      </c>
      <c r="BW20" s="13">
        <f>BW17/IS!BW7</f>
        <v>1</v>
      </c>
      <c r="BX20" s="239">
        <f>BX17/IS!BX7</f>
        <v>1.0000000000000002</v>
      </c>
      <c r="BY20" s="13">
        <f>BY17/IS!BY7</f>
        <v>1</v>
      </c>
      <c r="BZ20" s="13">
        <f>BZ17/IS!BZ7</f>
        <v>1</v>
      </c>
      <c r="CA20" s="13">
        <f>CA17/IS!CA7</f>
        <v>1</v>
      </c>
      <c r="CB20" s="13">
        <f>CB17/IS!CB7</f>
        <v>1</v>
      </c>
      <c r="CC20" s="239">
        <f>CC17/IS!CC7</f>
        <v>1</v>
      </c>
      <c r="CD20" s="13">
        <f>CD17/IS!CD7</f>
        <v>1</v>
      </c>
      <c r="CE20" s="13">
        <f>CE17/IS!CE7</f>
        <v>1</v>
      </c>
      <c r="CF20" s="13">
        <f>CF17/IS!CF7</f>
        <v>1</v>
      </c>
      <c r="CG20" s="13">
        <f>CG17/IS!CG7</f>
        <v>1</v>
      </c>
      <c r="CH20" s="239">
        <f>CH17/IS!CH7</f>
        <v>1</v>
      </c>
      <c r="CI20" s="13">
        <f>CI17/IS!CI7</f>
        <v>1</v>
      </c>
      <c r="CJ20" s="13">
        <f>CJ17/IS!CJ7</f>
        <v>1</v>
      </c>
      <c r="CK20" s="13">
        <f>CK17/IS!CK7</f>
        <v>1</v>
      </c>
      <c r="CL20" s="13">
        <f>CL17/IS!CL7</f>
        <v>1</v>
      </c>
      <c r="CM20" s="239">
        <f>CM17/IS!CM7</f>
        <v>1</v>
      </c>
      <c r="CN20" s="13">
        <f>CN17/IS!CN7</f>
        <v>1</v>
      </c>
      <c r="CO20" s="13">
        <f>CO17/IS!CO7</f>
        <v>1</v>
      </c>
      <c r="CP20" s="13">
        <f>CP17/IS!CP7</f>
        <v>1</v>
      </c>
      <c r="CQ20" s="13">
        <f>CQ17/IS!CQ7</f>
        <v>1</v>
      </c>
      <c r="CR20" s="239">
        <f>CR17/IS!CR7</f>
        <v>0.99999999999999989</v>
      </c>
      <c r="CS20" s="13">
        <f>CS17/IS!CS7</f>
        <v>1</v>
      </c>
      <c r="CT20" s="13">
        <f>CT17/IS!CT7</f>
        <v>1</v>
      </c>
      <c r="CU20" s="13">
        <f>CU17/IS!CU7</f>
        <v>1</v>
      </c>
      <c r="CV20" s="13">
        <f>CV17/IS!CV7</f>
        <v>1</v>
      </c>
      <c r="CW20" s="239">
        <f>CW17/IS!CW7</f>
        <v>1</v>
      </c>
      <c r="CX20" s="13">
        <f>CX17/IS!CX7</f>
        <v>1</v>
      </c>
      <c r="CY20" s="13">
        <f>CY17/IS!CY7</f>
        <v>1</v>
      </c>
      <c r="CZ20" s="13">
        <f>CZ17/IS!CZ7</f>
        <v>1</v>
      </c>
      <c r="DA20" s="13">
        <f>DA17/IS!DA7</f>
        <v>1</v>
      </c>
      <c r="DB20" s="239">
        <f>DB17/IS!DB7</f>
        <v>1.0000000000000002</v>
      </c>
    </row>
    <row r="21" spans="1:106">
      <c r="A21" s="51"/>
      <c r="F21" s="217"/>
      <c r="K21" s="217"/>
      <c r="P21" s="217"/>
      <c r="U21" s="217"/>
      <c r="Z21" s="217"/>
      <c r="AE21" s="217"/>
      <c r="AJ21" s="217"/>
      <c r="AO21" s="217"/>
      <c r="AT21" s="217"/>
      <c r="AY21" s="217"/>
      <c r="BD21" s="217"/>
      <c r="BE21" s="367">
        <f>BE17/$BI$17</f>
        <v>0.21760859073254435</v>
      </c>
      <c r="BF21" s="367">
        <f t="shared" ref="BF21:BH21" si="450">BF17/$BI$17</f>
        <v>0.23702221009985203</v>
      </c>
      <c r="BG21" s="367">
        <f t="shared" si="450"/>
        <v>0.25678837073465177</v>
      </c>
      <c r="BH21" s="367">
        <f t="shared" si="450"/>
        <v>0.28858082843295191</v>
      </c>
      <c r="BI21" s="217"/>
      <c r="BJ21" s="356"/>
      <c r="BN21" s="217"/>
      <c r="BS21" s="217"/>
      <c r="BX21" s="217"/>
      <c r="CC21" s="217"/>
      <c r="CH21" s="217"/>
      <c r="CM21" s="217"/>
      <c r="CR21" s="217"/>
      <c r="CW21" s="217"/>
      <c r="DB21" s="217"/>
    </row>
    <row r="22" spans="1:106" s="125" customFormat="1">
      <c r="A22" s="129" t="s">
        <v>394</v>
      </c>
      <c r="F22" s="232"/>
      <c r="K22" s="232"/>
      <c r="P22" s="232"/>
      <c r="U22" s="232"/>
      <c r="Z22" s="232"/>
      <c r="AE22" s="232"/>
      <c r="AJ22" s="232"/>
      <c r="AO22" s="232"/>
      <c r="AT22" s="232"/>
      <c r="AY22" s="232"/>
      <c r="BD22" s="232"/>
      <c r="BI22" s="232"/>
      <c r="BN22" s="232"/>
      <c r="BS22" s="232"/>
      <c r="BX22" s="232"/>
      <c r="CC22" s="232"/>
      <c r="CH22" s="232"/>
      <c r="CM22" s="232"/>
      <c r="CR22" s="232"/>
      <c r="CW22" s="232"/>
      <c r="DB22" s="232"/>
    </row>
    <row r="23" spans="1:106" s="51" customFormat="1">
      <c r="A23" s="51" t="s">
        <v>493</v>
      </c>
      <c r="B23" s="213">
        <v>44000</v>
      </c>
      <c r="C23" s="213">
        <v>54000</v>
      </c>
      <c r="D23" s="213">
        <v>57000</v>
      </c>
      <c r="E23" s="213">
        <v>60000</v>
      </c>
      <c r="F23" s="234">
        <f>+B23+C23+D23+E23</f>
        <v>215000</v>
      </c>
      <c r="G23" s="213">
        <v>64000</v>
      </c>
      <c r="H23" s="213">
        <v>69000</v>
      </c>
      <c r="I23" s="213">
        <v>84000</v>
      </c>
      <c r="J23" s="213">
        <v>96000</v>
      </c>
      <c r="K23" s="234">
        <f>+SUM(G23:J23)</f>
        <v>313000</v>
      </c>
      <c r="L23" s="213">
        <v>105000</v>
      </c>
      <c r="M23" s="213">
        <v>103000</v>
      </c>
      <c r="N23" s="213">
        <v>109000</v>
      </c>
      <c r="O23" s="213">
        <v>117000</v>
      </c>
      <c r="P23" s="234">
        <f>+SUM(L23:O23)</f>
        <v>434000</v>
      </c>
      <c r="Q23" s="213">
        <v>121300</v>
      </c>
      <c r="R23" s="213">
        <v>125700</v>
      </c>
      <c r="S23" s="213">
        <v>130400</v>
      </c>
      <c r="T23" s="213">
        <v>137800</v>
      </c>
      <c r="U23" s="234">
        <f>+SUM(Q23:T23)</f>
        <v>515200</v>
      </c>
      <c r="V23" s="213">
        <v>164355</v>
      </c>
      <c r="W23" s="213">
        <v>162807</v>
      </c>
      <c r="X23" s="213">
        <v>167172</v>
      </c>
      <c r="Y23" s="213">
        <v>174200</v>
      </c>
      <c r="Z23" s="234">
        <f>+SUM(V23:Y23)</f>
        <v>668534</v>
      </c>
      <c r="AA23" s="213">
        <v>200200</v>
      </c>
      <c r="AB23" s="213">
        <v>194200</v>
      </c>
      <c r="AC23" s="213">
        <v>200200</v>
      </c>
      <c r="AD23" s="213">
        <v>209400</v>
      </c>
      <c r="AE23" s="234">
        <f>+SUM(AA23:AD23)</f>
        <v>804000</v>
      </c>
      <c r="AF23" s="213">
        <v>235500</v>
      </c>
      <c r="AG23" s="213">
        <v>234100</v>
      </c>
      <c r="AH23" s="213">
        <v>262000</v>
      </c>
      <c r="AI23" s="213">
        <v>295000</v>
      </c>
      <c r="AJ23" s="234">
        <f>+SUM(AF23:AI23)</f>
        <v>1026600</v>
      </c>
      <c r="AK23" s="213">
        <v>348200</v>
      </c>
      <c r="AL23" s="213">
        <v>375700</v>
      </c>
      <c r="AM23" s="213">
        <v>407300</v>
      </c>
      <c r="AN23" s="213">
        <v>438800</v>
      </c>
      <c r="AO23" s="234">
        <f>+SUM(AK23:AN23)</f>
        <v>1570000</v>
      </c>
      <c r="AP23" s="213">
        <v>489300</v>
      </c>
      <c r="AQ23" s="213">
        <v>499900</v>
      </c>
      <c r="AR23" s="213">
        <v>517500</v>
      </c>
      <c r="AS23" s="213">
        <v>559700</v>
      </c>
      <c r="AT23" s="234">
        <f>+SUM(AP23:AS23)</f>
        <v>2066400</v>
      </c>
      <c r="AU23" s="286">
        <v>626200</v>
      </c>
      <c r="AV23" s="286">
        <v>617200</v>
      </c>
      <c r="AW23" s="286">
        <v>626000</v>
      </c>
      <c r="AX23" s="286">
        <v>626800</v>
      </c>
      <c r="AY23" s="234">
        <f>+SUM(AU23:AX23)</f>
        <v>2496200</v>
      </c>
      <c r="AZ23" s="286">
        <v>735800</v>
      </c>
      <c r="BA23" s="286">
        <v>760300</v>
      </c>
      <c r="BB23" s="286">
        <v>775800</v>
      </c>
      <c r="BC23" s="286">
        <v>792800</v>
      </c>
      <c r="BD23" s="234">
        <f>SUM(AZ23:BC23)</f>
        <v>3064700</v>
      </c>
      <c r="BE23" s="286">
        <v>855100</v>
      </c>
      <c r="BF23" s="286">
        <v>853100</v>
      </c>
      <c r="BG23" s="286">
        <v>893600</v>
      </c>
      <c r="BH23" s="286">
        <v>923600</v>
      </c>
      <c r="BI23" s="234">
        <f>SUM(BE23:BH23)</f>
        <v>3525400</v>
      </c>
      <c r="BJ23" s="360">
        <f>+BJ52+BJ187+BJ303</f>
        <v>972433.10931401083</v>
      </c>
      <c r="BK23" s="213">
        <f>+BK52+BK187+BK303</f>
        <v>973583.43144045747</v>
      </c>
      <c r="BL23" s="213">
        <f>+BL52+BL187+BL303</f>
        <v>1001384.3868926498</v>
      </c>
      <c r="BM23" s="213">
        <f>+BM52+BM187+BM303</f>
        <v>1037415.7331436416</v>
      </c>
      <c r="BN23" s="234">
        <f>SUM(BJ23:BM23)</f>
        <v>3984816.6607907596</v>
      </c>
      <c r="BO23" s="213">
        <f>+BO52+BO187+BO303</f>
        <v>1152255.0550513144</v>
      </c>
      <c r="BP23" s="213">
        <f>+BP52+BP187+BP303</f>
        <v>1117515.9254644341</v>
      </c>
      <c r="BQ23" s="213">
        <f>+BQ52+BQ187+BQ303</f>
        <v>1163750.1791548547</v>
      </c>
      <c r="BR23" s="213">
        <f>+BR52+BR187+BR303</f>
        <v>1180204.38343386</v>
      </c>
      <c r="BS23" s="234">
        <f>SUM(BO23:BR23)</f>
        <v>4613725.5431044633</v>
      </c>
      <c r="BT23" s="213">
        <f>+BT52+BT187+BT303</f>
        <v>1279588.5001745126</v>
      </c>
      <c r="BU23" s="213">
        <f>+BU52+BU187+BU303</f>
        <v>1256073.8175800294</v>
      </c>
      <c r="BV23" s="213">
        <f>+BV52+BV187+BV303</f>
        <v>1296499.3327626353</v>
      </c>
      <c r="BW23" s="213">
        <f>+BW52+BW187+BW303</f>
        <v>1315961.9605228375</v>
      </c>
      <c r="BX23" s="234">
        <f>SUM(BT23:BW23)</f>
        <v>5148123.6110400148</v>
      </c>
      <c r="BY23" s="213">
        <f>+BY52+BY187+BY303</f>
        <v>1421648.8136464029</v>
      </c>
      <c r="BZ23" s="213">
        <f>+BZ52+BZ187+BZ303</f>
        <v>1386853.9877360654</v>
      </c>
      <c r="CA23" s="213">
        <f>+CA52+CA187+CA303</f>
        <v>1439214.9055209556</v>
      </c>
      <c r="CB23" s="213">
        <f>+CB52+CB187+CB303</f>
        <v>1454195.4678056375</v>
      </c>
      <c r="CC23" s="234">
        <f>SUM(BY23:CB23)</f>
        <v>5701913.1747090612</v>
      </c>
      <c r="CD23" s="213">
        <f>+CD52+CD187+CD303</f>
        <v>1562934.208614761</v>
      </c>
      <c r="CE23" s="213">
        <f>+CE52+CE187+CE303</f>
        <v>1528898.0664752906</v>
      </c>
      <c r="CF23" s="213">
        <f>+CF52+CF187+CF303</f>
        <v>1581844.5368787597</v>
      </c>
      <c r="CG23" s="213">
        <f>+CG52+CG187+CG303</f>
        <v>1599444.1596438582</v>
      </c>
      <c r="CH23" s="234">
        <f>SUM(CD23:CG23)</f>
        <v>6273120.9716126695</v>
      </c>
      <c r="CI23" s="213">
        <f>+CI52+CI187+CI303</f>
        <v>1706590.2583328844</v>
      </c>
      <c r="CJ23" s="213">
        <f>+CJ52+CJ187+CJ303</f>
        <v>1667950.0324488373</v>
      </c>
      <c r="CK23" s="213">
        <f>+CK52+CK187+CK303</f>
        <v>1720084.3702364983</v>
      </c>
      <c r="CL23" s="213">
        <f>+CL52+CL187+CL303</f>
        <v>1734921.4816913861</v>
      </c>
      <c r="CM23" s="234">
        <f>SUM(CI23:CL23)</f>
        <v>6829546.1427096054</v>
      </c>
      <c r="CN23" s="213">
        <f>+CN52+CN187+CN303</f>
        <v>1844354.7174937571</v>
      </c>
      <c r="CO23" s="213">
        <f>+CO52+CO187+CO303</f>
        <v>1804351.3039850537</v>
      </c>
      <c r="CP23" s="213">
        <f>+CP52+CP187+CP303</f>
        <v>1858088.4629752296</v>
      </c>
      <c r="CQ23" s="213">
        <f>+CQ52+CQ187+CQ303</f>
        <v>1873432.8575783686</v>
      </c>
      <c r="CR23" s="234">
        <f>SUM(CN23:CQ23)</f>
        <v>7380227.3420324093</v>
      </c>
      <c r="CS23" s="213">
        <f>+CS52+CS187+CS303</f>
        <v>1985668.5261577349</v>
      </c>
      <c r="CT23" s="213">
        <f>+CT52+CT187+CT303</f>
        <v>1944557.6872860026</v>
      </c>
      <c r="CU23" s="213">
        <f>+CU52+CU187+CU303</f>
        <v>2000726.7149276717</v>
      </c>
      <c r="CV23" s="213">
        <f>+CV52+CV187+CV303</f>
        <v>2016852.3958197241</v>
      </c>
      <c r="CW23" s="234">
        <f>SUM(CS23:CV23)</f>
        <v>7947805.3241911326</v>
      </c>
      <c r="CX23" s="213">
        <f>+CX52+CX187+CX303</f>
        <v>2129118.4789289068</v>
      </c>
      <c r="CY23" s="213">
        <f>+CY52+CY187+CY303</f>
        <v>2084225.1772172288</v>
      </c>
      <c r="CZ23" s="213">
        <f>+CZ52+CZ187+CZ303</f>
        <v>2139897.5266830744</v>
      </c>
      <c r="DA23" s="213">
        <f>+DA52+DA187+DA303</f>
        <v>2154152.6698742877</v>
      </c>
      <c r="DB23" s="234">
        <f>SUM(CX23:DA23)</f>
        <v>8507393.8527034968</v>
      </c>
    </row>
    <row r="24" spans="1:106">
      <c r="A24" s="277" t="s">
        <v>281</v>
      </c>
      <c r="B24" s="119" t="s">
        <v>290</v>
      </c>
      <c r="C24" s="119" t="s">
        <v>290</v>
      </c>
      <c r="D24" s="119" t="s">
        <v>290</v>
      </c>
      <c r="E24" s="119" t="s">
        <v>290</v>
      </c>
      <c r="F24" s="235" t="s">
        <v>290</v>
      </c>
      <c r="G24" s="13">
        <f>+G23/B23-1</f>
        <v>0.45454545454545459</v>
      </c>
      <c r="H24" s="13">
        <f t="shared" ref="H24" si="451">+H23/C23-1</f>
        <v>0.27777777777777768</v>
      </c>
      <c r="I24" s="13">
        <f t="shared" ref="I24" si="452">+I23/D23-1</f>
        <v>0.47368421052631571</v>
      </c>
      <c r="J24" s="13">
        <f t="shared" ref="J24" si="453">+J23/E23-1</f>
        <v>0.60000000000000009</v>
      </c>
      <c r="K24" s="239">
        <f t="shared" ref="K24" si="454">+K23/F23-1</f>
        <v>0.45581395348837206</v>
      </c>
      <c r="L24" s="13">
        <f>+L23/G23-1</f>
        <v>0.640625</v>
      </c>
      <c r="M24" s="13">
        <f t="shared" ref="M24" si="455">+M23/H23-1</f>
        <v>0.49275362318840576</v>
      </c>
      <c r="N24" s="13">
        <f t="shared" ref="N24" si="456">+N23/I23-1</f>
        <v>0.29761904761904767</v>
      </c>
      <c r="O24" s="13">
        <f t="shared" ref="O24" si="457">+O23/J23-1</f>
        <v>0.21875</v>
      </c>
      <c r="P24" s="239">
        <f t="shared" ref="P24" si="458">+P23/K23-1</f>
        <v>0.38658146964856233</v>
      </c>
      <c r="Q24" s="13">
        <f>+Q23/L23-1</f>
        <v>0.15523809523809518</v>
      </c>
      <c r="R24" s="13">
        <f t="shared" ref="R24" si="459">+R23/M23-1</f>
        <v>0.2203883495145631</v>
      </c>
      <c r="S24" s="13">
        <f t="shared" ref="S24" si="460">+S23/N23-1</f>
        <v>0.19633027522935786</v>
      </c>
      <c r="T24" s="13">
        <f t="shared" ref="T24" si="461">+T23/O23-1</f>
        <v>0.17777777777777781</v>
      </c>
      <c r="U24" s="239">
        <f t="shared" ref="U24" si="462">+U23/P23-1</f>
        <v>0.18709677419354831</v>
      </c>
      <c r="V24" s="13">
        <f>+V23/Q23-1</f>
        <v>0.35494641384995873</v>
      </c>
      <c r="W24" s="13">
        <f t="shared" ref="W24" si="463">+W23/R23-1</f>
        <v>0.29520286396181383</v>
      </c>
      <c r="X24" s="13">
        <f t="shared" ref="X24" si="464">+X23/S23-1</f>
        <v>0.28199386503067481</v>
      </c>
      <c r="Y24" s="13">
        <f t="shared" ref="Y24" si="465">+Y23/T23-1</f>
        <v>0.26415094339622636</v>
      </c>
      <c r="Z24" s="239">
        <f t="shared" ref="Z24" si="466">+Z23/U23-1</f>
        <v>0.2976203416149068</v>
      </c>
      <c r="AA24" s="13">
        <f>+AA23/V23-1</f>
        <v>0.21809497733564531</v>
      </c>
      <c r="AB24" s="13">
        <f t="shared" ref="AB24" si="467">+AB23/W23-1</f>
        <v>0.19282340439907375</v>
      </c>
      <c r="AC24" s="13">
        <f t="shared" ref="AC24" si="468">+AC23/X23-1</f>
        <v>0.19756897088029102</v>
      </c>
      <c r="AD24" s="13">
        <f t="shared" ref="AD24" si="469">+AD23/Y23-1</f>
        <v>0.20206659012629169</v>
      </c>
      <c r="AE24" s="239">
        <f t="shared" ref="AE24" si="470">+AE23/Z23-1</f>
        <v>0.20263142936634493</v>
      </c>
      <c r="AF24" s="13">
        <f t="shared" ref="AF24" si="471">+AF23/AA23-1</f>
        <v>0.1763236763236764</v>
      </c>
      <c r="AG24" s="13">
        <f t="shared" ref="AG24" si="472">+AG23/AB23-1</f>
        <v>0.20545829042224506</v>
      </c>
      <c r="AH24" s="13">
        <f t="shared" ref="AH24" si="473">+AH23/AC23-1</f>
        <v>0.30869130869130879</v>
      </c>
      <c r="AI24" s="13">
        <f t="shared" ref="AI24" si="474">+AI23/AD23-1</f>
        <v>0.40878701050620814</v>
      </c>
      <c r="AJ24" s="239">
        <f t="shared" ref="AJ24" si="475">+AJ23/AE23-1</f>
        <v>0.27686567164179099</v>
      </c>
      <c r="AK24" s="13">
        <f t="shared" ref="AK24" si="476">+AK23/AF23-1</f>
        <v>0.47855626326963896</v>
      </c>
      <c r="AL24" s="13">
        <f t="shared" ref="AL24" si="477">+AL23/AG23-1</f>
        <v>0.60486971379752252</v>
      </c>
      <c r="AM24" s="13">
        <f t="shared" ref="AM24" si="478">+AM23/AH23-1</f>
        <v>0.55458015267175576</v>
      </c>
      <c r="AN24" s="13">
        <f t="shared" ref="AN24" si="479">+AN23/AI23-1</f>
        <v>0.48745762711864415</v>
      </c>
      <c r="AO24" s="239">
        <f t="shared" ref="AO24" si="480">+AO23/AJ23-1</f>
        <v>0.5293200857198519</v>
      </c>
      <c r="AP24" s="13">
        <f t="shared" ref="AP24" si="481">+AP23/AK23-1</f>
        <v>0.40522688110281457</v>
      </c>
      <c r="AQ24" s="13">
        <f t="shared" ref="AQ24" si="482">+AQ23/AL23-1</f>
        <v>0.33058291189779077</v>
      </c>
      <c r="AR24" s="13">
        <f t="shared" ref="AR24" si="483">+AR23/AM23-1</f>
        <v>0.27056223913577226</v>
      </c>
      <c r="AS24" s="13">
        <f t="shared" ref="AS24" si="484">+AS23/AN23-1</f>
        <v>0.27552415679124875</v>
      </c>
      <c r="AT24" s="239">
        <f t="shared" ref="AT24" si="485">+AT23/AO23-1</f>
        <v>0.31617834394904465</v>
      </c>
      <c r="AU24" s="13">
        <f t="shared" ref="AU24" si="486">+AU23/AP23-1</f>
        <v>0.27978745146127126</v>
      </c>
      <c r="AV24" s="13">
        <f t="shared" ref="AV24" si="487">+AV23/AQ23-1</f>
        <v>0.23464692938587728</v>
      </c>
      <c r="AW24" s="13">
        <f t="shared" ref="AW24" si="488">+AW23/AR23-1</f>
        <v>0.20966183574879227</v>
      </c>
      <c r="AX24" s="13">
        <f t="shared" ref="AX24" si="489">+AX23/AS23-1</f>
        <v>0.11988565302840803</v>
      </c>
      <c r="AY24" s="239">
        <f t="shared" ref="AY24" si="490">+AY23/AT23-1</f>
        <v>0.2079945799457994</v>
      </c>
      <c r="AZ24" s="13">
        <f>+AZ23/AU23-1</f>
        <v>0.17502395400830406</v>
      </c>
      <c r="BA24" s="13">
        <f t="shared" ref="BA24" si="491">+BA23/AV23-1</f>
        <v>0.23185353208036297</v>
      </c>
      <c r="BB24" s="13">
        <f t="shared" ref="BB24" si="492">+BB23/AW23-1</f>
        <v>0.23929712460063901</v>
      </c>
      <c r="BC24" s="13">
        <f t="shared" ref="BC24" si="493">+BC23/AX23-1</f>
        <v>0.26483726866624124</v>
      </c>
      <c r="BD24" s="239">
        <f t="shared" ref="BD24" si="494">+BD23/AY23-1</f>
        <v>0.22774617418476084</v>
      </c>
      <c r="BE24" s="13">
        <f>+BE23/AZ23-1</f>
        <v>0.16213645012231592</v>
      </c>
      <c r="BF24" s="62">
        <f t="shared" ref="BF24" si="495">+BF23/BA23-1</f>
        <v>0.1220570827305012</v>
      </c>
      <c r="BG24" s="62">
        <f t="shared" ref="BG24" si="496">+BG23/BB23-1</f>
        <v>0.15184325857179681</v>
      </c>
      <c r="BH24" s="13">
        <f t="shared" ref="BH24" si="497">+BH23/BC23-1</f>
        <v>0.16498486377396571</v>
      </c>
      <c r="BI24" s="239">
        <f t="shared" ref="BI24" si="498">+BI23/BD23-1</f>
        <v>0.15032466473064243</v>
      </c>
      <c r="BJ24" s="328">
        <f>+BJ23/BE23-1</f>
        <v>0.13721565818502035</v>
      </c>
      <c r="BK24" s="13">
        <f t="shared" ref="BK24" si="499">+BK23/BF23-1</f>
        <v>0.14123013883537383</v>
      </c>
      <c r="BL24" s="13">
        <f t="shared" ref="BL24" si="500">+BL23/BG23-1</f>
        <v>0.12061815901147033</v>
      </c>
      <c r="BM24" s="13">
        <f t="shared" ref="BM24" si="501">+BM23/BH23-1</f>
        <v>0.12323054692901869</v>
      </c>
      <c r="BN24" s="239">
        <f t="shared" ref="BN24" si="502">+BN23/BI23-1</f>
        <v>0.13031617994859013</v>
      </c>
      <c r="BO24" s="13">
        <f>+BO23/BJ23-1</f>
        <v>0.18491960425345488</v>
      </c>
      <c r="BP24" s="13">
        <f t="shared" ref="BP24" si="503">+BP23/BK23-1</f>
        <v>0.14783786306944702</v>
      </c>
      <c r="BQ24" s="13">
        <f t="shared" ref="BQ24" si="504">+BQ23/BL23-1</f>
        <v>0.16214132593582242</v>
      </c>
      <c r="BR24" s="13">
        <f t="shared" ref="BR24" si="505">+BR23/BM23-1</f>
        <v>0.13763879390717482</v>
      </c>
      <c r="BS24" s="239">
        <f t="shared" ref="BS24" si="506">+BS23/BN23-1</f>
        <v>0.15782630315265278</v>
      </c>
      <c r="BT24" s="13">
        <f>+BT23/BO23-1</f>
        <v>0.11050803775170026</v>
      </c>
      <c r="BU24" s="13">
        <f t="shared" ref="BU24" si="507">+BU23/BP23-1</f>
        <v>0.12398739826281346</v>
      </c>
      <c r="BV24" s="13">
        <f t="shared" ref="BV24" si="508">+BV23/BQ23-1</f>
        <v>0.11407014665654991</v>
      </c>
      <c r="BW24" s="13">
        <f t="shared" ref="BW24" si="509">+BW23/BR23-1</f>
        <v>0.11502887041817655</v>
      </c>
      <c r="BX24" s="239">
        <f t="shared" ref="BX24" si="510">+BX23/BS23-1</f>
        <v>0.11582788419962409</v>
      </c>
      <c r="BY24" s="13">
        <f>+BY23/BT23-1</f>
        <v>0.11102031118013</v>
      </c>
      <c r="BZ24" s="13">
        <f t="shared" ref="BZ24" si="511">+BZ23/BU23-1</f>
        <v>0.10411822006448568</v>
      </c>
      <c r="CA24" s="13">
        <f t="shared" ref="CA24" si="512">+CA23/BV23-1</f>
        <v>0.11007762916022168</v>
      </c>
      <c r="CB24" s="13">
        <f t="shared" ref="CB24" si="513">+CB23/BW23-1</f>
        <v>0.10504369535718139</v>
      </c>
      <c r="CC24" s="239">
        <f t="shared" ref="CC24" si="514">+CC23/BX23-1</f>
        <v>0.10757114737522211</v>
      </c>
      <c r="CD24" s="13">
        <f>+CD23/BY23-1</f>
        <v>9.9381361706323057E-2</v>
      </c>
      <c r="CE24" s="13">
        <f t="shared" ref="CE24" si="515">+CE23/BZ23-1</f>
        <v>0.10242179782105354</v>
      </c>
      <c r="CF24" s="13">
        <f t="shared" ref="CF24" si="516">+CF23/CA23-1</f>
        <v>9.9102386176424639E-2</v>
      </c>
      <c r="CG24" s="13">
        <f t="shared" ref="CG24" si="517">+CG23/CB23-1</f>
        <v>9.9882508956927962E-2</v>
      </c>
      <c r="CH24" s="239">
        <f t="shared" ref="CH24" si="518">+CH23/CC23-1</f>
        <v>0.10017826988969447</v>
      </c>
      <c r="CI24" s="13">
        <f>+CI23/CD23-1</f>
        <v>9.1914329423659291E-2</v>
      </c>
      <c r="CJ24" s="13">
        <f t="shared" ref="CJ24" si="519">+CJ23/CE23-1</f>
        <v>9.0949141098801922E-2</v>
      </c>
      <c r="CK24" s="13">
        <f t="shared" ref="CK24" si="520">+CK23/CF23-1</f>
        <v>8.7391542047809967E-2</v>
      </c>
      <c r="CL24" s="13">
        <f t="shared" ref="CL24" si="521">+CL23/CG23-1</f>
        <v>8.4702752034615525E-2</v>
      </c>
      <c r="CM24" s="239">
        <f t="shared" ref="CM24" si="522">+CM23/CH23-1</f>
        <v>8.8699894935055257E-2</v>
      </c>
      <c r="CN24" s="13">
        <f>+CN23/CI23-1</f>
        <v>8.0724976887803557E-2</v>
      </c>
      <c r="CO24" s="13">
        <f t="shared" ref="CO24" si="523">+CO23/CJ23-1</f>
        <v>8.1777792429402529E-2</v>
      </c>
      <c r="CP24" s="13">
        <f t="shared" ref="CP24" si="524">+CP23/CK23-1</f>
        <v>8.023100211052836E-2</v>
      </c>
      <c r="CQ24" s="13">
        <f t="shared" ref="CQ24" si="525">+CQ23/CL23-1</f>
        <v>7.9837259120191906E-2</v>
      </c>
      <c r="CR24" s="239">
        <f t="shared" ref="CR24" si="526">+CR23/CM23-1</f>
        <v>8.0632180794421249E-2</v>
      </c>
      <c r="CS24" s="13">
        <f>+CS23/CN23-1</f>
        <v>7.6619647686864356E-2</v>
      </c>
      <c r="CT24" s="13">
        <f t="shared" ref="CT24" si="527">+CT23/CO23-1</f>
        <v>7.7704592775969861E-2</v>
      </c>
      <c r="CU24" s="13">
        <f t="shared" ref="CU24" si="528">+CU23/CP23-1</f>
        <v>7.676612539967298E-2</v>
      </c>
      <c r="CV24" s="13">
        <f t="shared" ref="CV24" si="529">+CV23/CQ23-1</f>
        <v>7.6554405278629556E-2</v>
      </c>
      <c r="CW24" s="239">
        <f t="shared" ref="CW24" si="530">+CW23/CR23-1</f>
        <v>7.6905216581366176E-2</v>
      </c>
      <c r="CX24" s="13">
        <f>+CX23/CS23-1</f>
        <v>7.2242648197051951E-2</v>
      </c>
      <c r="CY24" s="13">
        <f t="shared" ref="CY24" si="531">+CY23/CT23-1</f>
        <v>7.1824811803942179E-2</v>
      </c>
      <c r="CZ24" s="13">
        <f t="shared" ref="CZ24" si="532">+CZ23/CU23-1</f>
        <v>6.9560130685031529E-2</v>
      </c>
      <c r="DA24" s="13">
        <f t="shared" ref="DA24" si="533">+DA23/CV23-1</f>
        <v>6.8076510873647633E-2</v>
      </c>
      <c r="DB24" s="239">
        <f t="shared" ref="DB24" si="534">+DB23/CW23-1</f>
        <v>7.0407930955369125E-2</v>
      </c>
    </row>
    <row r="25" spans="1:106">
      <c r="A25" s="277" t="s">
        <v>288</v>
      </c>
      <c r="B25" s="119" t="s">
        <v>290</v>
      </c>
      <c r="C25" s="13">
        <f>+C23/B23-1</f>
        <v>0.22727272727272729</v>
      </c>
      <c r="D25" s="13">
        <f t="shared" ref="D25:E25" si="535">+D23/C23-1</f>
        <v>5.555555555555558E-2</v>
      </c>
      <c r="E25" s="13">
        <f t="shared" si="535"/>
        <v>5.2631578947368363E-2</v>
      </c>
      <c r="F25" s="235" t="s">
        <v>290</v>
      </c>
      <c r="G25" s="13">
        <f>+G23/E23-1</f>
        <v>6.6666666666666652E-2</v>
      </c>
      <c r="H25" s="13">
        <f>+H23/G23-1</f>
        <v>7.8125E-2</v>
      </c>
      <c r="I25" s="13">
        <f>+I23/H23-1</f>
        <v>0.21739130434782616</v>
      </c>
      <c r="J25" s="13">
        <f>+J23/I23-1</f>
        <v>0.14285714285714279</v>
      </c>
      <c r="K25" s="235" t="s">
        <v>290</v>
      </c>
      <c r="L25" s="13">
        <f>+L23/J23-1</f>
        <v>9.375E-2</v>
      </c>
      <c r="M25" s="13">
        <f>+M23/L23-1</f>
        <v>-1.9047619047619091E-2</v>
      </c>
      <c r="N25" s="13">
        <f t="shared" ref="N25:O25" si="536">+N23/M23-1</f>
        <v>5.8252427184465994E-2</v>
      </c>
      <c r="O25" s="13">
        <f t="shared" si="536"/>
        <v>7.3394495412844041E-2</v>
      </c>
      <c r="P25" s="235" t="s">
        <v>290</v>
      </c>
      <c r="Q25" s="13">
        <f>+Q23/O23-1</f>
        <v>3.6752136752136844E-2</v>
      </c>
      <c r="R25" s="13">
        <f>+R23/Q23-1</f>
        <v>3.6273701566364336E-2</v>
      </c>
      <c r="S25" s="13">
        <f t="shared" ref="S25:T25" si="537">+S23/R23-1</f>
        <v>3.7390612569610182E-2</v>
      </c>
      <c r="T25" s="13">
        <f t="shared" si="537"/>
        <v>5.6748466257668717E-2</v>
      </c>
      <c r="U25" s="235" t="s">
        <v>290</v>
      </c>
      <c r="V25" s="13">
        <f>+V23/T23-1</f>
        <v>0.19270682148040641</v>
      </c>
      <c r="W25" s="13">
        <f>+W23/V23-1</f>
        <v>-9.4186364880898266E-3</v>
      </c>
      <c r="X25" s="13">
        <f t="shared" ref="X25:Y25" si="538">+X23/W23-1</f>
        <v>2.6810886509793797E-2</v>
      </c>
      <c r="Y25" s="13">
        <f t="shared" si="538"/>
        <v>4.2040533103629762E-2</v>
      </c>
      <c r="Z25" s="235" t="s">
        <v>290</v>
      </c>
      <c r="AA25" s="13">
        <f>+AA23/Y23-1</f>
        <v>0.14925373134328357</v>
      </c>
      <c r="AB25" s="13">
        <f>+AB23/AA23-1</f>
        <v>-2.9970029970029954E-2</v>
      </c>
      <c r="AC25" s="13">
        <f t="shared" ref="AC25:AD25" si="539">+AC23/AB23-1</f>
        <v>3.0895983522142068E-2</v>
      </c>
      <c r="AD25" s="13">
        <f t="shared" si="539"/>
        <v>4.5954045954045952E-2</v>
      </c>
      <c r="AE25" s="235" t="s">
        <v>290</v>
      </c>
      <c r="AF25" s="13">
        <f>+AF23/AD23-1</f>
        <v>0.12464183381088834</v>
      </c>
      <c r="AG25" s="13">
        <f>+AG23/AF23-1</f>
        <v>-5.9447983014861983E-3</v>
      </c>
      <c r="AH25" s="13">
        <f t="shared" ref="AH25" si="540">+AH23/AG23-1</f>
        <v>0.11917983767620677</v>
      </c>
      <c r="AI25" s="13">
        <f t="shared" ref="AI25" si="541">+AI23/AH23-1</f>
        <v>0.12595419847328237</v>
      </c>
      <c r="AJ25" s="235" t="s">
        <v>290</v>
      </c>
      <c r="AK25" s="13">
        <f>+AK23/AI23-1</f>
        <v>0.1803389830508475</v>
      </c>
      <c r="AL25" s="13">
        <f>+AL23/AK23-1</f>
        <v>7.8977599080988004E-2</v>
      </c>
      <c r="AM25" s="13">
        <f t="shared" ref="AM25" si="542">+AM23/AL23-1</f>
        <v>8.4109661964333338E-2</v>
      </c>
      <c r="AN25" s="13">
        <f t="shared" ref="AN25" si="543">+AN23/AM23-1</f>
        <v>7.7338571077829599E-2</v>
      </c>
      <c r="AO25" s="235" t="s">
        <v>290</v>
      </c>
      <c r="AP25" s="13">
        <f>+AP23/AN23-1</f>
        <v>0.11508659981768465</v>
      </c>
      <c r="AQ25" s="13">
        <f>+AQ23/AP23-1</f>
        <v>2.1663601062742677E-2</v>
      </c>
      <c r="AR25" s="13">
        <f t="shared" ref="AR25" si="544">+AR23/AQ23-1</f>
        <v>3.5207041408281681E-2</v>
      </c>
      <c r="AS25" s="13">
        <f t="shared" ref="AS25" si="545">+AS23/AR23-1</f>
        <v>8.1545893719806806E-2</v>
      </c>
      <c r="AT25" s="235" t="s">
        <v>290</v>
      </c>
      <c r="AU25" s="13">
        <f>+AU23/AS23-1</f>
        <v>0.11881365016973389</v>
      </c>
      <c r="AV25" s="13">
        <f>+AV23/AU23-1</f>
        <v>-1.4372404982433751E-2</v>
      </c>
      <c r="AW25" s="13">
        <f t="shared" ref="AW25" si="546">+AW23/AV23-1</f>
        <v>1.4257939079714843E-2</v>
      </c>
      <c r="AX25" s="13">
        <f t="shared" ref="AX25" si="547">+AX23/AW23-1</f>
        <v>1.2779552715656006E-3</v>
      </c>
      <c r="AY25" s="235" t="s">
        <v>290</v>
      </c>
      <c r="AZ25" s="13">
        <f>+AZ23/AX23-1</f>
        <v>0.17389917038927893</v>
      </c>
      <c r="BA25" s="13">
        <f>+BA23/AZ23-1</f>
        <v>3.329709160097849E-2</v>
      </c>
      <c r="BB25" s="13">
        <f t="shared" ref="BB25" si="548">+BB23/BA23-1</f>
        <v>2.0386689464684915E-2</v>
      </c>
      <c r="BC25" s="13">
        <f t="shared" ref="BC25" si="549">+BC23/BB23-1</f>
        <v>2.1912864140242405E-2</v>
      </c>
      <c r="BD25" s="235" t="s">
        <v>290</v>
      </c>
      <c r="BE25" s="13">
        <f>+BE23/BC23-1</f>
        <v>7.8582240161453099E-2</v>
      </c>
      <c r="BF25" s="62">
        <f>+BF23/BE23-1</f>
        <v>-2.3389077300900452E-3</v>
      </c>
      <c r="BG25" s="62">
        <f t="shared" ref="BG25" si="550">+BG23/BF23-1</f>
        <v>4.7473918649630686E-2</v>
      </c>
      <c r="BH25" s="13">
        <f t="shared" ref="BH25" si="551">+BH23/BG23-1</f>
        <v>3.3572068039391167E-2</v>
      </c>
      <c r="BI25" s="235" t="s">
        <v>290</v>
      </c>
      <c r="BJ25" s="328">
        <f>+BJ23/BH23-1</f>
        <v>5.2872573964931613E-2</v>
      </c>
      <c r="BK25" s="13">
        <f>+BK23/BJ23-1</f>
        <v>1.1829318802791811E-3</v>
      </c>
      <c r="BL25" s="13">
        <f t="shared" ref="BL25" si="552">+BL23/BK23-1</f>
        <v>2.8555288180140526E-2</v>
      </c>
      <c r="BM25" s="13">
        <f t="shared" ref="BM25" si="553">+BM23/BL23-1</f>
        <v>3.5981533887101014E-2</v>
      </c>
      <c r="BN25" s="235" t="s">
        <v>290</v>
      </c>
      <c r="BO25" s="13">
        <f>+BO23/BM23-1</f>
        <v>0.1106974940120482</v>
      </c>
      <c r="BP25" s="13">
        <f>+BP23/BO23-1</f>
        <v>-3.0148819425516171E-2</v>
      </c>
      <c r="BQ25" s="13">
        <f t="shared" ref="BQ25" si="554">+BQ23/BP23-1</f>
        <v>4.1372344354918988E-2</v>
      </c>
      <c r="BR25" s="13">
        <f t="shared" ref="BR25" si="555">+BR23/BQ23-1</f>
        <v>1.4138948868695156E-2</v>
      </c>
      <c r="BS25" s="235" t="s">
        <v>290</v>
      </c>
      <c r="BT25" s="13">
        <f>+BT23/BR23-1</f>
        <v>8.4209242175062871E-2</v>
      </c>
      <c r="BU25" s="13">
        <f>+BU23/BT23-1</f>
        <v>-1.8376753613584595E-2</v>
      </c>
      <c r="BV25" s="13">
        <f t="shared" ref="BV25" si="556">+BV23/BU23-1</f>
        <v>3.2184028212999705E-2</v>
      </c>
      <c r="BW25" s="13">
        <f t="shared" ref="BW25" si="557">+BW23/BV23-1</f>
        <v>1.5011675878560116E-2</v>
      </c>
      <c r="BX25" s="235" t="s">
        <v>290</v>
      </c>
      <c r="BY25" s="13">
        <f>+BY23/BW23-1</f>
        <v>8.0311480342164066E-2</v>
      </c>
      <c r="BZ25" s="13">
        <f>+BZ23/BY23-1</f>
        <v>-2.4474979739259162E-2</v>
      </c>
      <c r="CA25" s="13">
        <f t="shared" ref="CA25" si="558">+CA23/BZ23-1</f>
        <v>3.7755177003431672E-2</v>
      </c>
      <c r="CB25" s="13">
        <f t="shared" ref="CB25" si="559">+CB23/CA23-1</f>
        <v>1.0408843201397566E-2</v>
      </c>
      <c r="CC25" s="235" t="s">
        <v>290</v>
      </c>
      <c r="CD25" s="13">
        <f>+CD23/CB23-1</f>
        <v>7.4775876569886934E-2</v>
      </c>
      <c r="CE25" s="13">
        <f>+CE23/CD23-1</f>
        <v>-2.17770792601929E-2</v>
      </c>
      <c r="CF25" s="13">
        <f t="shared" ref="CF25" si="560">+CF23/CE23-1</f>
        <v>3.4630477704463036E-2</v>
      </c>
      <c r="CG25" s="13">
        <f t="shared" ref="CG25" si="561">+CG23/CF23-1</f>
        <v>1.1126012926545581E-2</v>
      </c>
      <c r="CH25" s="235" t="s">
        <v>290</v>
      </c>
      <c r="CI25" s="13">
        <f>+CI23/CG23-1</f>
        <v>6.6989583876991388E-2</v>
      </c>
      <c r="CJ25" s="13">
        <f>+CJ23/CI23-1</f>
        <v>-2.2641771037526959E-2</v>
      </c>
      <c r="CK25" s="13">
        <f t="shared" ref="CK25" si="562">+CK23/CJ23-1</f>
        <v>3.1256534532463576E-2</v>
      </c>
      <c r="CL25" s="13">
        <f t="shared" ref="CL25" si="563">+CL23/CK23-1</f>
        <v>8.6258044730955774E-3</v>
      </c>
      <c r="CM25" s="235" t="s">
        <v>290</v>
      </c>
      <c r="CN25" s="13">
        <f>+CN23/CL23-1</f>
        <v>6.3076765696441717E-2</v>
      </c>
      <c r="CO25" s="13">
        <f>+CO23/CN23-1</f>
        <v>-2.168965282506119E-2</v>
      </c>
      <c r="CP25" s="13">
        <f t="shared" ref="CP25" si="564">+CP23/CO23-1</f>
        <v>2.9781982517203431E-2</v>
      </c>
      <c r="CQ25" s="13">
        <f t="shared" ref="CQ25" si="565">+CQ23/CP23-1</f>
        <v>8.258161497095351E-3</v>
      </c>
      <c r="CR25" s="235" t="s">
        <v>290</v>
      </c>
      <c r="CS25" s="13">
        <f>+CS23/CQ23-1</f>
        <v>5.990909582126358E-2</v>
      </c>
      <c r="CT25" s="13">
        <f>+CT23/CS23-1</f>
        <v>-2.0703777256963263E-2</v>
      </c>
      <c r="CU25" s="13">
        <f t="shared" ref="CU25" si="566">+CU23/CT23-1</f>
        <v>2.8885246248499641E-2</v>
      </c>
      <c r="CV25" s="13">
        <f t="shared" ref="CV25" si="567">+CV23/CU23-1</f>
        <v>8.0599118169095707E-3</v>
      </c>
      <c r="CW25" s="235" t="s">
        <v>290</v>
      </c>
      <c r="CX25" s="13">
        <f>+CX23/CV23-1</f>
        <v>5.5664005626725022E-2</v>
      </c>
      <c r="CY25" s="13">
        <f>+CY23/CX23-1</f>
        <v>-2.1085393864160418E-2</v>
      </c>
      <c r="CZ25" s="13">
        <f t="shared" ref="CZ25" si="568">+CZ23/CY23-1</f>
        <v>2.6711293038008899E-2</v>
      </c>
      <c r="DA25" s="13">
        <f t="shared" ref="DA25" si="569">+DA23/CZ23-1</f>
        <v>6.6616008539948091E-3</v>
      </c>
      <c r="DB25" s="235" t="s">
        <v>290</v>
      </c>
    </row>
    <row r="26" spans="1:106">
      <c r="F26" s="217"/>
      <c r="K26" s="217"/>
      <c r="P26" s="217"/>
      <c r="U26" s="217"/>
      <c r="Z26" s="217"/>
      <c r="AE26" s="217"/>
      <c r="AJ26" s="217"/>
      <c r="AO26" s="217"/>
      <c r="AT26" s="217"/>
      <c r="AY26" s="217"/>
      <c r="BD26" s="217"/>
      <c r="BI26" s="217"/>
      <c r="BJ26" s="356"/>
      <c r="BN26" s="217"/>
      <c r="BS26" s="217"/>
      <c r="BX26" s="217"/>
      <c r="CC26" s="217"/>
      <c r="CH26" s="217"/>
      <c r="CM26" s="217"/>
      <c r="CR26" s="217"/>
      <c r="CW26" s="217"/>
      <c r="DB26" s="217"/>
    </row>
    <row r="27" spans="1:106" s="51" customFormat="1">
      <c r="A27" s="51" t="s">
        <v>289</v>
      </c>
      <c r="F27" s="233"/>
      <c r="G27" s="225">
        <f t="shared" ref="G27:AL27" si="570">+G31/G23*1000000</f>
        <v>732.796875</v>
      </c>
      <c r="H27" s="225">
        <f t="shared" si="570"/>
        <v>645.20289855072463</v>
      </c>
      <c r="I27" s="225">
        <f t="shared" si="570"/>
        <v>528.84523809523807</v>
      </c>
      <c r="J27" s="225">
        <f t="shared" si="570"/>
        <v>545.07291666666674</v>
      </c>
      <c r="K27" s="236">
        <f t="shared" si="570"/>
        <v>601.17571884984022</v>
      </c>
      <c r="L27" s="225">
        <f t="shared" si="570"/>
        <v>582.24761904761908</v>
      </c>
      <c r="M27" s="225">
        <f t="shared" si="570"/>
        <v>497.38834951456312</v>
      </c>
      <c r="N27" s="225">
        <f t="shared" si="570"/>
        <v>487.06422018348627</v>
      </c>
      <c r="O27" s="225">
        <f t="shared" si="570"/>
        <v>414.62393162393164</v>
      </c>
      <c r="P27" s="236">
        <f t="shared" si="570"/>
        <v>493.0138248847926</v>
      </c>
      <c r="Q27" s="225">
        <f t="shared" si="570"/>
        <v>378.50783182192907</v>
      </c>
      <c r="R27" s="225">
        <f t="shared" si="570"/>
        <v>415.87907716786003</v>
      </c>
      <c r="S27" s="225">
        <f t="shared" si="570"/>
        <v>424.3174846625767</v>
      </c>
      <c r="T27" s="225">
        <f t="shared" si="570"/>
        <v>377.13352685050796</v>
      </c>
      <c r="U27" s="236">
        <f t="shared" si="570"/>
        <v>398.85287267080741</v>
      </c>
      <c r="V27" s="225">
        <f t="shared" si="570"/>
        <v>330.19378783730338</v>
      </c>
      <c r="W27" s="225">
        <f t="shared" si="570"/>
        <v>370.70273391193251</v>
      </c>
      <c r="X27" s="225">
        <f t="shared" si="570"/>
        <v>374.83549876773623</v>
      </c>
      <c r="Y27" s="225">
        <f t="shared" si="570"/>
        <v>362.12399540757747</v>
      </c>
      <c r="Z27" s="236">
        <f t="shared" si="570"/>
        <v>359.5419230734712</v>
      </c>
      <c r="AA27" s="225">
        <f t="shared" si="570"/>
        <v>316.50349650349654</v>
      </c>
      <c r="AB27" s="225">
        <f t="shared" si="570"/>
        <v>335.21627188465504</v>
      </c>
      <c r="AC27" s="225">
        <f t="shared" si="570"/>
        <v>334.3456543456544</v>
      </c>
      <c r="AD27" s="225">
        <f t="shared" si="570"/>
        <v>355.6924546322827</v>
      </c>
      <c r="AE27" s="236">
        <f t="shared" si="570"/>
        <v>335.67288557213931</v>
      </c>
      <c r="AF27" s="225">
        <f t="shared" si="570"/>
        <v>369.62208067940554</v>
      </c>
      <c r="AG27" s="225">
        <f t="shared" si="570"/>
        <v>343.50277659120036</v>
      </c>
      <c r="AH27" s="225">
        <f t="shared" si="570"/>
        <v>356.05343511450383</v>
      </c>
      <c r="AI27" s="225">
        <f t="shared" si="570"/>
        <v>360.8983050847458</v>
      </c>
      <c r="AJ27" s="236">
        <f t="shared" si="570"/>
        <v>357.6962789791545</v>
      </c>
      <c r="AK27" s="225">
        <f t="shared" si="570"/>
        <v>339.98276852383685</v>
      </c>
      <c r="AL27" s="225">
        <f t="shared" si="570"/>
        <v>365.27016236358799</v>
      </c>
      <c r="AM27" s="225">
        <f t="shared" ref="AM27:BR27" si="571">+AM31/AM23*1000000</f>
        <v>369.87724036336851</v>
      </c>
      <c r="AN27" s="225">
        <f t="shared" si="571"/>
        <v>366.6453965360073</v>
      </c>
      <c r="AO27" s="236">
        <f t="shared" si="571"/>
        <v>361.24140127388534</v>
      </c>
      <c r="AP27" s="225">
        <f t="shared" si="571"/>
        <v>388.31391784181488</v>
      </c>
      <c r="AQ27" s="225">
        <f t="shared" si="571"/>
        <v>389.2418483696739</v>
      </c>
      <c r="AR27" s="225">
        <f t="shared" si="571"/>
        <v>386.1468599033816</v>
      </c>
      <c r="AS27" s="225">
        <f t="shared" si="571"/>
        <v>380.3680543148115</v>
      </c>
      <c r="AT27" s="236">
        <f t="shared" si="571"/>
        <v>385.84349593495938</v>
      </c>
      <c r="AU27" s="225">
        <f t="shared" si="571"/>
        <v>379.74608751197695</v>
      </c>
      <c r="AV27" s="225">
        <f t="shared" si="571"/>
        <v>418.43162670123132</v>
      </c>
      <c r="AW27" s="225">
        <f t="shared" si="571"/>
        <v>423.67092651757196</v>
      </c>
      <c r="AX27" s="225">
        <f t="shared" si="571"/>
        <v>490.18985322271851</v>
      </c>
      <c r="AY27" s="236">
        <f t="shared" si="571"/>
        <v>428.0594503645541</v>
      </c>
      <c r="AZ27" s="225">
        <f t="shared" si="571"/>
        <v>495.61293829845073</v>
      </c>
      <c r="BA27" s="225">
        <f t="shared" si="571"/>
        <v>541.0548467710114</v>
      </c>
      <c r="BB27" s="225">
        <f t="shared" si="571"/>
        <v>562.16421758185095</v>
      </c>
      <c r="BC27" s="225">
        <f t="shared" si="571"/>
        <v>596.50731584258335</v>
      </c>
      <c r="BD27" s="236">
        <f t="shared" si="571"/>
        <v>549.83326263582092</v>
      </c>
      <c r="BE27" s="225">
        <f t="shared" si="571"/>
        <v>584.76903286165361</v>
      </c>
      <c r="BF27" s="225">
        <f t="shared" si="571"/>
        <v>638.17489157191426</v>
      </c>
      <c r="BG27" s="225">
        <f t="shared" si="571"/>
        <v>660.47112802148615</v>
      </c>
      <c r="BH27" s="225">
        <f t="shared" si="571"/>
        <v>715.85101775660451</v>
      </c>
      <c r="BI27" s="236">
        <f t="shared" si="571"/>
        <v>651.22255630566735</v>
      </c>
      <c r="BJ27" s="361">
        <f t="shared" si="571"/>
        <v>632.07346961866688</v>
      </c>
      <c r="BK27" s="225">
        <f t="shared" si="571"/>
        <v>665.81471305416164</v>
      </c>
      <c r="BL27" s="225">
        <f t="shared" si="571"/>
        <v>673.5639986451348</v>
      </c>
      <c r="BM27" s="225">
        <f t="shared" si="571"/>
        <v>685.11575988226673</v>
      </c>
      <c r="BN27" s="236">
        <f t="shared" si="571"/>
        <v>664.55295386971022</v>
      </c>
      <c r="BO27" s="225">
        <f t="shared" si="571"/>
        <v>659.72425543720806</v>
      </c>
      <c r="BP27" s="225">
        <f t="shared" si="571"/>
        <v>680.68237596556605</v>
      </c>
      <c r="BQ27" s="225">
        <f t="shared" si="571"/>
        <v>677.60319373014818</v>
      </c>
      <c r="BR27" s="225">
        <f t="shared" si="571"/>
        <v>684.91473145744089</v>
      </c>
      <c r="BS27" s="236">
        <f t="shared" ref="BS27:DB27" si="572">+BS31/BS23*1000000</f>
        <v>675.75415592189324</v>
      </c>
      <c r="BT27" s="225">
        <f t="shared" si="572"/>
        <v>683.67569223471651</v>
      </c>
      <c r="BU27" s="225">
        <f t="shared" si="572"/>
        <v>703.41107990904959</v>
      </c>
      <c r="BV27" s="225">
        <f t="shared" si="572"/>
        <v>702.92326659358866</v>
      </c>
      <c r="BW27" s="225">
        <f t="shared" si="572"/>
        <v>710.93064892748112</v>
      </c>
      <c r="BX27" s="236">
        <f t="shared" si="572"/>
        <v>700.30506319832068</v>
      </c>
      <c r="BY27" s="225">
        <f t="shared" si="572"/>
        <v>710.89246592334825</v>
      </c>
      <c r="BZ27" s="225">
        <f t="shared" si="572"/>
        <v>731.33039032403599</v>
      </c>
      <c r="CA27" s="225">
        <f t="shared" si="572"/>
        <v>728.94073597745421</v>
      </c>
      <c r="CB27" s="225">
        <f t="shared" si="572"/>
        <v>736.71693001984136</v>
      </c>
      <c r="CC27" s="236">
        <f t="shared" si="572"/>
        <v>727.00522879248763</v>
      </c>
      <c r="CD27" s="225">
        <f t="shared" si="572"/>
        <v>737.55270324819367</v>
      </c>
      <c r="CE27" s="225">
        <f t="shared" si="572"/>
        <v>758.08955622942244</v>
      </c>
      <c r="CF27" s="225">
        <f t="shared" si="572"/>
        <v>754.9298481730832</v>
      </c>
      <c r="CG27" s="225">
        <f t="shared" si="572"/>
        <v>762.74354023632804</v>
      </c>
      <c r="CH27" s="236">
        <f t="shared" si="572"/>
        <v>753.36270183207102</v>
      </c>
      <c r="CI27" s="225">
        <f t="shared" si="572"/>
        <v>759.40679099521492</v>
      </c>
      <c r="CJ27" s="225">
        <f t="shared" si="572"/>
        <v>778.27078465956572</v>
      </c>
      <c r="CK27" s="225">
        <f t="shared" si="572"/>
        <v>773.31865315294169</v>
      </c>
      <c r="CL27" s="225">
        <f t="shared" si="572"/>
        <v>779.63780478682622</v>
      </c>
      <c r="CM27" s="236">
        <f t="shared" si="572"/>
        <v>772.65701202535183</v>
      </c>
      <c r="CN27" s="225">
        <f t="shared" si="572"/>
        <v>776.85722773107523</v>
      </c>
      <c r="CO27" s="225">
        <f t="shared" si="572"/>
        <v>795.2420886261059</v>
      </c>
      <c r="CP27" s="225">
        <f t="shared" si="572"/>
        <v>789.97543830292625</v>
      </c>
      <c r="CQ27" s="225">
        <f t="shared" si="572"/>
        <v>795.92056968894917</v>
      </c>
      <c r="CR27" s="236">
        <f t="shared" si="572"/>
        <v>789.49388922196886</v>
      </c>
      <c r="CS27" s="225">
        <f t="shared" si="572"/>
        <v>793.83798860225932</v>
      </c>
      <c r="CT27" s="225">
        <f t="shared" si="572"/>
        <v>812.04565861413346</v>
      </c>
      <c r="CU27" s="225">
        <f t="shared" si="572"/>
        <v>806.63382667493534</v>
      </c>
      <c r="CV27" s="225">
        <f t="shared" si="572"/>
        <v>812.47893775749253</v>
      </c>
      <c r="CW27" s="236">
        <f t="shared" si="572"/>
        <v>806.24429181467087</v>
      </c>
      <c r="CX27" s="225">
        <f t="shared" si="572"/>
        <v>805.38902573713051</v>
      </c>
      <c r="CY27" s="225">
        <f t="shared" si="572"/>
        <v>822.22192569577385</v>
      </c>
      <c r="CZ27" s="225">
        <f t="shared" si="572"/>
        <v>815.77021752341864</v>
      </c>
      <c r="DA27" s="225">
        <f t="shared" si="572"/>
        <v>820.49302136778385</v>
      </c>
      <c r="DB27" s="236">
        <f t="shared" si="572"/>
        <v>815.9486112689417</v>
      </c>
    </row>
    <row r="28" spans="1:106">
      <c r="A28" s="277" t="s">
        <v>281</v>
      </c>
      <c r="F28" s="217"/>
      <c r="G28" s="119" t="s">
        <v>290</v>
      </c>
      <c r="H28" s="119" t="s">
        <v>290</v>
      </c>
      <c r="I28" s="119" t="s">
        <v>290</v>
      </c>
      <c r="J28" s="119" t="s">
        <v>290</v>
      </c>
      <c r="K28" s="235" t="s">
        <v>290</v>
      </c>
      <c r="L28" s="13">
        <f>+L27/G27-1</f>
        <v>-0.205444729758681</v>
      </c>
      <c r="M28" s="13">
        <f t="shared" ref="M28" si="573">+M27/H27-1</f>
        <v>-0.2290977758596362</v>
      </c>
      <c r="N28" s="13">
        <f t="shared" ref="N28" si="574">+N27/I27-1</f>
        <v>-7.9004243400651708E-2</v>
      </c>
      <c r="O28" s="13">
        <f t="shared" ref="O28" si="575">+O27/J27-1</f>
        <v>-0.23932391622112037</v>
      </c>
      <c r="P28" s="239">
        <f t="shared" ref="P28" si="576">+P27/K27-1</f>
        <v>-0.17991726973268518</v>
      </c>
      <c r="Q28" s="13">
        <f>+Q27/L27-1</f>
        <v>-0.34991948538827289</v>
      </c>
      <c r="R28" s="13">
        <f t="shared" ref="R28" si="577">+R27/M27-1</f>
        <v>-0.16387451058363911</v>
      </c>
      <c r="S28" s="13">
        <f t="shared" ref="S28" si="578">+S27/N27-1</f>
        <v>-0.12882641122205951</v>
      </c>
      <c r="T28" s="13">
        <f t="shared" ref="T28" si="579">+T27/O27-1</f>
        <v>-9.042026258973368E-2</v>
      </c>
      <c r="U28" s="239">
        <f t="shared" ref="U28" si="580">+U27/P27-1</f>
        <v>-0.19099049045123373</v>
      </c>
      <c r="V28" s="13">
        <f>+V27/Q27-1</f>
        <v>-0.12764344598120569</v>
      </c>
      <c r="W28" s="13">
        <f t="shared" ref="W28" si="581">+W27/R27-1</f>
        <v>-0.10862855511649872</v>
      </c>
      <c r="X28" s="13">
        <f t="shared" ref="X28" si="582">+X27/S27-1</f>
        <v>-0.11661547705060815</v>
      </c>
      <c r="Y28" s="13">
        <f t="shared" ref="Y28" si="583">+Y27/T27-1</f>
        <v>-3.9798984641532864E-2</v>
      </c>
      <c r="Z28" s="239">
        <f t="shared" ref="Z28" si="584">+Z27/U27-1</f>
        <v>-9.8560026242512366E-2</v>
      </c>
      <c r="AA28" s="13">
        <f>+AA27/V27-1</f>
        <v>-4.1461383702810495E-2</v>
      </c>
      <c r="AB28" s="13">
        <f t="shared" ref="AB28" si="585">+AB27/W27-1</f>
        <v>-9.5727543341258325E-2</v>
      </c>
      <c r="AC28" s="13">
        <f t="shared" ref="AC28" si="586">+AC27/X27-1</f>
        <v>-0.10802030372040894</v>
      </c>
      <c r="AD28" s="13">
        <f t="shared" ref="AD28" si="587">+AD27/Y27-1</f>
        <v>-1.7760603707180356E-2</v>
      </c>
      <c r="AE28" s="239">
        <f t="shared" ref="AE28" si="588">+AE27/Z27-1</f>
        <v>-6.6387355603185982E-2</v>
      </c>
      <c r="AF28" s="13">
        <f>+AF27/AA27-1</f>
        <v>0.16782937554474131</v>
      </c>
      <c r="AG28" s="13">
        <f t="shared" ref="AG28" si="589">+AG27/AB27-1</f>
        <v>2.4719876096577442E-2</v>
      </c>
      <c r="AH28" s="13">
        <f t="shared" ref="AH28" si="590">+AH27/AC27-1</f>
        <v>6.4926163946510851E-2</v>
      </c>
      <c r="AI28" s="13">
        <f t="shared" ref="AI28" si="591">+AI27/AD27-1</f>
        <v>1.4635819187800658E-2</v>
      </c>
      <c r="AJ28" s="239">
        <f t="shared" ref="AJ28" si="592">+AJ27/AE27-1</f>
        <v>6.5609688341306871E-2</v>
      </c>
      <c r="AK28" s="13">
        <f t="shared" ref="AK28" si="593">+AK27/AF27-1</f>
        <v>-8.0188153535331042E-2</v>
      </c>
      <c r="AL28" s="13">
        <f t="shared" ref="AL28" si="594">+AL27/AG27-1</f>
        <v>6.3368878669335382E-2</v>
      </c>
      <c r="AM28" s="13">
        <f t="shared" ref="AM28" si="595">+AM27/AH27-1</f>
        <v>3.8825086027941547E-2</v>
      </c>
      <c r="AN28" s="13">
        <f t="shared" ref="AN28" si="596">+AN27/AI27-1</f>
        <v>1.5924406876646202E-2</v>
      </c>
      <c r="AO28" s="239">
        <f t="shared" ref="AO28" si="597">+AO27/AJ27-1</f>
        <v>9.9109845504918859E-3</v>
      </c>
      <c r="AP28" s="13">
        <f t="shared" ref="AP28" si="598">+AP27/AK27-1</f>
        <v>0.14215764383537999</v>
      </c>
      <c r="AQ28" s="13">
        <f t="shared" ref="AQ28" si="599">+AQ27/AL27-1</f>
        <v>6.5627276673709378E-2</v>
      </c>
      <c r="AR28" s="13">
        <f t="shared" ref="AR28" si="600">+AR27/AM27-1</f>
        <v>4.3986538679778642E-2</v>
      </c>
      <c r="AS28" s="13">
        <f t="shared" ref="AS28" si="601">+AS27/AN27-1</f>
        <v>3.7427601460302329E-2</v>
      </c>
      <c r="AT28" s="239">
        <f t="shared" ref="AT28" si="602">+AT27/AO27-1</f>
        <v>6.8104305249389929E-2</v>
      </c>
      <c r="AU28" s="13">
        <f t="shared" ref="AU28" si="603">+AU27/AP27-1</f>
        <v>-2.2064185536940117E-2</v>
      </c>
      <c r="AV28" s="13">
        <f t="shared" ref="AV28" si="604">+AV27/AQ27-1</f>
        <v>7.4991367073755866E-2</v>
      </c>
      <c r="AW28" s="13">
        <f t="shared" ref="AW28" si="605">+AW27/AR27-1</f>
        <v>9.717563577644861E-2</v>
      </c>
      <c r="AX28" s="13">
        <f t="shared" ref="AX28" si="606">+AX27/AS27-1</f>
        <v>0.28872508524864982</v>
      </c>
      <c r="AY28" s="239">
        <f t="shared" ref="AY28" si="607">+AY27/AT27-1</f>
        <v>0.10941211883667701</v>
      </c>
      <c r="AZ28" s="13">
        <f t="shared" ref="AZ28" si="608">+AZ27/AU27-1</f>
        <v>0.30511664134740935</v>
      </c>
      <c r="BA28" s="13">
        <f t="shared" ref="BA28" si="609">+BA27/AV27-1</f>
        <v>0.29305437793146449</v>
      </c>
      <c r="BB28" s="13">
        <f t="shared" ref="BB28" si="610">+BB27/AW27-1</f>
        <v>0.32688882431146693</v>
      </c>
      <c r="BC28" s="13">
        <f t="shared" ref="BC28" si="611">+BC27/AX27-1</f>
        <v>0.21689037812775647</v>
      </c>
      <c r="BD28" s="239">
        <f t="shared" ref="BD28" si="612">+BD27/AY27-1</f>
        <v>0.28447873809948354</v>
      </c>
      <c r="BE28" s="13">
        <f>+BE27/AZ27-1</f>
        <v>0.17989057119714347</v>
      </c>
      <c r="BF28" s="62">
        <f t="shared" ref="BF28" si="613">+BF27/BA27-1</f>
        <v>0.17950129340955079</v>
      </c>
      <c r="BG28" s="62">
        <f t="shared" ref="BG28" si="614">+BG27/BB27-1</f>
        <v>0.17487223015100883</v>
      </c>
      <c r="BH28" s="13">
        <f t="shared" ref="BH28" si="615">+BH27/BC27-1</f>
        <v>0.20007081010472572</v>
      </c>
      <c r="BI28" s="239">
        <f t="shared" ref="BI28" si="616">+BI27/BD27-1</f>
        <v>0.18440007282171478</v>
      </c>
      <c r="BJ28" s="328">
        <f>+BJ27/BE27-1</f>
        <v>8.0894223357762307E-2</v>
      </c>
      <c r="BK28" s="13">
        <f t="shared" ref="BK28" si="617">+BK27/BF27-1</f>
        <v>4.3310731661922119E-2</v>
      </c>
      <c r="BL28" s="13">
        <f t="shared" ref="BL28" si="618">+BL27/BG27-1</f>
        <v>1.9823532124515042E-2</v>
      </c>
      <c r="BM28" s="13">
        <f t="shared" ref="BM28" si="619">+BM27/BH27-1</f>
        <v>-4.2935271602544622E-2</v>
      </c>
      <c r="BN28" s="239">
        <f t="shared" ref="BN28" si="620">+BN27/BI27-1</f>
        <v>2.0469803195493075E-2</v>
      </c>
      <c r="BO28" s="13">
        <f>+BO27/BJ27-1</f>
        <v>4.3746157919305029E-2</v>
      </c>
      <c r="BP28" s="13">
        <f t="shared" ref="BP28" si="621">+BP27/BK27-1</f>
        <v>2.2330030592452532E-2</v>
      </c>
      <c r="BQ28" s="13">
        <f t="shared" ref="BQ28" si="622">+BQ27/BL27-1</f>
        <v>5.9967502615017043E-3</v>
      </c>
      <c r="BR28" s="13">
        <f t="shared" ref="BR28" si="623">+BR27/BM27-1</f>
        <v>-2.9342256680886525E-4</v>
      </c>
      <c r="BS28" s="239">
        <f t="shared" ref="BS28" si="624">+BS27/BN27-1</f>
        <v>1.6855243795032671E-2</v>
      </c>
      <c r="BT28" s="13">
        <f>+BT27/BO27-1</f>
        <v>3.6305223887267202E-2</v>
      </c>
      <c r="BU28" s="13">
        <f t="shared" ref="BU28" si="625">+BU27/BP27-1</f>
        <v>3.3391056895284432E-2</v>
      </c>
      <c r="BV28" s="13">
        <f t="shared" ref="BV28" si="626">+BV27/BQ27-1</f>
        <v>3.7367109685619404E-2</v>
      </c>
      <c r="BW28" s="13">
        <f t="shared" ref="BW28" si="627">+BW27/BR27-1</f>
        <v>3.7984169817286029E-2</v>
      </c>
      <c r="BX28" s="239">
        <f t="shared" ref="BX28" si="628">+BX27/BS27-1</f>
        <v>3.6331122881418265E-2</v>
      </c>
      <c r="BY28" s="13">
        <f>+BY27/BT27-1</f>
        <v>3.9809479842217055E-2</v>
      </c>
      <c r="BZ28" s="13">
        <f t="shared" ref="BZ28" si="629">+BZ27/BU27-1</f>
        <v>3.9691314527767085E-2</v>
      </c>
      <c r="CA28" s="13">
        <f t="shared" ref="CA28" si="630">+CA27/BV27-1</f>
        <v>3.7013242583287642E-2</v>
      </c>
      <c r="CB28" s="13">
        <f t="shared" ref="CB28" si="631">+CB27/BW27-1</f>
        <v>3.6271162498426213E-2</v>
      </c>
      <c r="CC28" s="239">
        <f t="shared" ref="CC28" si="632">+CC27/BX27-1</f>
        <v>3.8126478012633802E-2</v>
      </c>
      <c r="CD28" s="13">
        <f>+CD27/BY27-1</f>
        <v>3.7502489620870438E-2</v>
      </c>
      <c r="CE28" s="13">
        <f t="shared" ref="CE28" si="633">+CE27/BZ27-1</f>
        <v>3.6589708645267782E-2</v>
      </c>
      <c r="CF28" s="13">
        <f t="shared" ref="CF28" si="634">+CF27/CA27-1</f>
        <v>3.5653258094815676E-2</v>
      </c>
      <c r="CG28" s="13">
        <f t="shared" ref="CG28" si="635">+CG27/CB27-1</f>
        <v>3.532782966693282E-2</v>
      </c>
      <c r="CH28" s="239">
        <f t="shared" ref="CH28" si="636">+CH27/CC27-1</f>
        <v>3.6254860344486994E-2</v>
      </c>
      <c r="CI28" s="13">
        <f>+CI27/CD27-1</f>
        <v>2.9630543893033767E-2</v>
      </c>
      <c r="CJ28" s="13">
        <f t="shared" ref="CJ28" si="637">+CJ27/CE27-1</f>
        <v>2.6621166673922447E-2</v>
      </c>
      <c r="CK28" s="13">
        <f t="shared" ref="CK28" si="638">+CK27/CF27-1</f>
        <v>2.4358296369336951E-2</v>
      </c>
      <c r="CL28" s="13">
        <f t="shared" ref="CL28" si="639">+CL27/CG27-1</f>
        <v>2.2149338092412707E-2</v>
      </c>
      <c r="CM28" s="239">
        <f t="shared" ref="CM28" si="640">+CM27/CH27-1</f>
        <v>2.5610917750984674E-2</v>
      </c>
      <c r="CN28" s="13">
        <f>+CN27/CI27-1</f>
        <v>2.2979036983579393E-2</v>
      </c>
      <c r="CO28" s="13">
        <f t="shared" ref="CO28" si="641">+CO27/CJ27-1</f>
        <v>2.1806425605406465E-2</v>
      </c>
      <c r="CP28" s="13">
        <f t="shared" ref="CP28" si="642">+CP27/CK27-1</f>
        <v>2.1539355196040111E-2</v>
      </c>
      <c r="CQ28" s="13">
        <f t="shared" ref="CQ28" si="643">+CQ27/CL27-1</f>
        <v>2.0885037644595927E-2</v>
      </c>
      <c r="CR28" s="239">
        <f t="shared" ref="CR28" si="644">+CR27/CM27-1</f>
        <v>2.1790881250767224E-2</v>
      </c>
      <c r="CS28" s="13">
        <f>+CS27/CN27-1</f>
        <v>2.1858277512302848E-2</v>
      </c>
      <c r="CT28" s="13">
        <f t="shared" ref="CT28" si="645">+CT27/CO27-1</f>
        <v>2.1130131601885038E-2</v>
      </c>
      <c r="CU28" s="13">
        <f t="shared" ref="CU28" si="646">+CU27/CP27-1</f>
        <v>2.1087223177211234E-2</v>
      </c>
      <c r="CV28" s="13">
        <f t="shared" ref="CV28" si="647">+CV27/CQ27-1</f>
        <v>2.0804045905000956E-2</v>
      </c>
      <c r="CW28" s="239">
        <f t="shared" ref="CW28" si="648">+CW27/CR27-1</f>
        <v>2.1216633619810743E-2</v>
      </c>
      <c r="CX28" s="13">
        <f>+CX27/CS27-1</f>
        <v>1.455087473857164E-2</v>
      </c>
      <c r="CY28" s="13">
        <f t="shared" ref="CY28" si="649">+CY27/CT27-1</f>
        <v>1.2531643970620454E-2</v>
      </c>
      <c r="CZ28" s="13">
        <f t="shared" ref="CZ28" si="650">+CZ27/CU27-1</f>
        <v>1.1326565470412886E-2</v>
      </c>
      <c r="DA28" s="13">
        <f t="shared" ref="DA28" si="651">+DA27/CV27-1</f>
        <v>9.8637432158066307E-3</v>
      </c>
      <c r="DB28" s="239">
        <f t="shared" ref="DB28" si="652">+DB27/CW27-1</f>
        <v>1.2036450431702983E-2</v>
      </c>
    </row>
    <row r="29" spans="1:106">
      <c r="A29" s="277" t="s">
        <v>288</v>
      </c>
      <c r="F29" s="217"/>
      <c r="G29" s="119" t="s">
        <v>290</v>
      </c>
      <c r="H29" s="13">
        <f>+H27/G27-1</f>
        <v>-0.11953377455283964</v>
      </c>
      <c r="I29" s="13">
        <f>+I27/H27-1</f>
        <v>-0.18034274290591823</v>
      </c>
      <c r="J29" s="13">
        <f>+J27/I27-1</f>
        <v>3.068511806946872E-2</v>
      </c>
      <c r="K29" s="235" t="s">
        <v>290</v>
      </c>
      <c r="L29" s="13">
        <f>+L27/J27-1</f>
        <v>6.8201338287527058E-2</v>
      </c>
      <c r="M29" s="13">
        <f>+M27/L27-1</f>
        <v>-0.14574429633883268</v>
      </c>
      <c r="N29" s="13">
        <f t="shared" ref="N29" si="653">+N27/M27-1</f>
        <v>-2.0756677033454629E-2</v>
      </c>
      <c r="O29" s="13">
        <f t="shared" ref="O29" si="654">+O27/N27-1</f>
        <v>-0.1487284131284885</v>
      </c>
      <c r="P29" s="235" t="s">
        <v>290</v>
      </c>
      <c r="Q29" s="13">
        <f>+Q27/O27-1</f>
        <v>-8.7105680708175481E-2</v>
      </c>
      <c r="R29" s="13">
        <f>+R27/Q27-1</f>
        <v>9.8733083450469827E-2</v>
      </c>
      <c r="S29" s="13">
        <f t="shared" ref="S29" si="655">+S27/R27-1</f>
        <v>2.0290531450108729E-2</v>
      </c>
      <c r="T29" s="13">
        <f t="shared" ref="T29" si="656">+T27/S27-1</f>
        <v>-0.11119965478111304</v>
      </c>
      <c r="U29" s="235" t="s">
        <v>290</v>
      </c>
      <c r="V29" s="13">
        <f>+V27/T27-1</f>
        <v>-0.12446450838037282</v>
      </c>
      <c r="W29" s="13">
        <f>+W27/V27-1</f>
        <v>0.12268233857442867</v>
      </c>
      <c r="X29" s="13">
        <f t="shared" ref="X29" si="657">+X27/W27-1</f>
        <v>1.114846068760178E-2</v>
      </c>
      <c r="Y29" s="13">
        <f t="shared" ref="Y29" si="658">+Y27/X27-1</f>
        <v>-3.3912218565070651E-2</v>
      </c>
      <c r="Z29" s="235" t="s">
        <v>290</v>
      </c>
      <c r="AA29" s="13">
        <f>+AA27/Y27-1</f>
        <v>-0.12598032575205131</v>
      </c>
      <c r="AB29" s="13">
        <f>+AB27/AA27-1</f>
        <v>5.9123439670916156E-2</v>
      </c>
      <c r="AC29" s="13">
        <f t="shared" ref="AC29" si="659">+AC27/AB27-1</f>
        <v>-2.5971816168286477E-3</v>
      </c>
      <c r="AD29" s="13">
        <f t="shared" ref="AD29" si="660">+AD27/AC27-1</f>
        <v>6.3846501395108612E-2</v>
      </c>
      <c r="AE29" s="235" t="s">
        <v>290</v>
      </c>
      <c r="AF29" s="13">
        <f>+AF27/AD27-1</f>
        <v>3.9161994767427322E-2</v>
      </c>
      <c r="AG29" s="13">
        <f>+AG27/AF27-1</f>
        <v>-7.0664891123915163E-2</v>
      </c>
      <c r="AH29" s="13">
        <f t="shared" ref="AH29" si="661">+AH27/AG27-1</f>
        <v>3.6537284058812514E-2</v>
      </c>
      <c r="AI29" s="13">
        <f t="shared" ref="AI29" si="662">+AI27/AH27-1</f>
        <v>1.3607142896076452E-2</v>
      </c>
      <c r="AJ29" s="235" t="s">
        <v>290</v>
      </c>
      <c r="AK29" s="13">
        <f>+AK27/AI27-1</f>
        <v>-5.7954100272090692E-2</v>
      </c>
      <c r="AL29" s="13">
        <f>+AL27/AK27-1</f>
        <v>7.4378457324604685E-2</v>
      </c>
      <c r="AM29" s="13">
        <f t="shared" ref="AM29" si="663">+AM27/AL27-1</f>
        <v>1.2612795882283701E-2</v>
      </c>
      <c r="AN29" s="13">
        <f t="shared" ref="AN29" si="664">+AN27/AM27-1</f>
        <v>-8.7376120363238385E-3</v>
      </c>
      <c r="AO29" s="235" t="s">
        <v>290</v>
      </c>
      <c r="AP29" s="13">
        <f>+AP27/AN27-1</f>
        <v>5.9099395520924247E-2</v>
      </c>
      <c r="AQ29" s="13">
        <f>+AQ27/AP27-1</f>
        <v>2.3896401473744167E-3</v>
      </c>
      <c r="AR29" s="13">
        <f t="shared" ref="AR29" si="665">+AR27/AQ27-1</f>
        <v>-7.9513250675783409E-3</v>
      </c>
      <c r="AS29" s="13">
        <f t="shared" ref="AS29" si="666">+AS27/AR27-1</f>
        <v>-1.4965305143271213E-2</v>
      </c>
      <c r="AT29" s="235" t="s">
        <v>290</v>
      </c>
      <c r="AU29" s="13">
        <f>+AU27/AS27-1</f>
        <v>-1.6351709765820566E-3</v>
      </c>
      <c r="AV29" s="13">
        <f>+AV27/AU27-1</f>
        <v>0.1018721205074542</v>
      </c>
      <c r="AW29" s="13">
        <f t="shared" ref="AW29" si="667">+AW27/AV27-1</f>
        <v>1.2521280615534369E-2</v>
      </c>
      <c r="AX29" s="13">
        <f t="shared" ref="AX29" si="668">+AX27/AW27-1</f>
        <v>0.15700611616640558</v>
      </c>
      <c r="AY29" s="235" t="s">
        <v>290</v>
      </c>
      <c r="AZ29" s="13">
        <f>+AZ27/AX27-1</f>
        <v>1.1063234051212012E-2</v>
      </c>
      <c r="BA29" s="13">
        <f>+BA27/AZ27-1</f>
        <v>9.1688301416368967E-2</v>
      </c>
      <c r="BB29" s="13">
        <f t="shared" ref="BB29" si="669">+BB27/BA27-1</f>
        <v>3.9015214329599424E-2</v>
      </c>
      <c r="BC29" s="13">
        <f t="shared" ref="BC29" si="670">+BC27/BB27-1</f>
        <v>6.1090864887237473E-2</v>
      </c>
      <c r="BD29" s="235" t="s">
        <v>290</v>
      </c>
      <c r="BE29" s="13">
        <f>+BE27/BC27-1</f>
        <v>-1.9678355435337913E-2</v>
      </c>
      <c r="BF29" s="62">
        <f>+BF27/BE27-1</f>
        <v>9.1328123941363915E-2</v>
      </c>
      <c r="BG29" s="62">
        <f t="shared" ref="BG29" si="671">+BG27/BF27-1</f>
        <v>3.4937501841623808E-2</v>
      </c>
      <c r="BH29" s="13">
        <f t="shared" ref="BH29" si="672">+BH27/BG27-1</f>
        <v>8.3849069831432255E-2</v>
      </c>
      <c r="BI29" s="235" t="s">
        <v>290</v>
      </c>
      <c r="BJ29" s="328">
        <f>+BJ27/BH27-1</f>
        <v>-0.11703210033909972</v>
      </c>
      <c r="BK29" s="13">
        <f>+BK27/BJ27-1</f>
        <v>5.3381837804157506E-2</v>
      </c>
      <c r="BL29" s="13">
        <f t="shared" ref="BL29" si="673">+BL27/BK27-1</f>
        <v>1.1638801965529355E-2</v>
      </c>
      <c r="BM29" s="13">
        <f t="shared" ref="BM29" si="674">+BM27/BL27-1</f>
        <v>1.7150205860717138E-2</v>
      </c>
      <c r="BN29" s="235" t="s">
        <v>290</v>
      </c>
      <c r="BO29" s="13">
        <f>+BO27/BM27-1</f>
        <v>-3.7061626562819194E-2</v>
      </c>
      <c r="BP29" s="13">
        <f>+BP27/BO27-1</f>
        <v>3.176800057846707E-2</v>
      </c>
      <c r="BQ29" s="13">
        <f t="shared" ref="BQ29" si="675">+BQ27/BP27-1</f>
        <v>-4.5236696940330612E-3</v>
      </c>
      <c r="BR29" s="13">
        <f t="shared" ref="BR29" si="676">+BR27/BQ27-1</f>
        <v>1.0790294076158835E-2</v>
      </c>
      <c r="BS29" s="235" t="s">
        <v>290</v>
      </c>
      <c r="BT29" s="13">
        <f>+BT27/BR27-1</f>
        <v>-1.8090415723542863E-3</v>
      </c>
      <c r="BU29" s="13">
        <f>+BU27/BT27-1</f>
        <v>2.8866592594252394E-2</v>
      </c>
      <c r="BV29" s="13">
        <f t="shared" ref="BV29" si="677">+BV27/BU27-1</f>
        <v>-6.9349677506358454E-4</v>
      </c>
      <c r="BW29" s="13">
        <f t="shared" ref="BW29" si="678">+BW27/BV27-1</f>
        <v>1.1391545442359208E-2</v>
      </c>
      <c r="BX29" s="235" t="s">
        <v>290</v>
      </c>
      <c r="BY29" s="13">
        <f>+BY27/BW27-1</f>
        <v>-5.3708479428316025E-5</v>
      </c>
      <c r="BZ29" s="13">
        <f>+BZ27/BY27-1</f>
        <v>2.8749670843876141E-2</v>
      </c>
      <c r="CA29" s="13">
        <f t="shared" ref="CA29" si="679">+CA27/BZ27-1</f>
        <v>-3.2675441608860378E-3</v>
      </c>
      <c r="CB29" s="13">
        <f t="shared" ref="CB29" si="680">+CB27/CA27-1</f>
        <v>1.0667800081113343E-2</v>
      </c>
      <c r="CC29" s="235" t="s">
        <v>290</v>
      </c>
      <c r="CD29" s="13">
        <f>+CD27/CB27-1</f>
        <v>1.1344563892807802E-3</v>
      </c>
      <c r="CE29" s="13">
        <f>+CE27/CD27-1</f>
        <v>2.7844590482529741E-2</v>
      </c>
      <c r="CF29" s="13">
        <f t="shared" ref="CF29" si="681">+CF27/CE27-1</f>
        <v>-4.1679878457302477E-3</v>
      </c>
      <c r="CG29" s="13">
        <f t="shared" ref="CG29" si="682">+CG27/CF27-1</f>
        <v>1.0350222715599156E-2</v>
      </c>
      <c r="CH29" s="235" t="s">
        <v>290</v>
      </c>
      <c r="CI29" s="13">
        <f>+CI27/CG27-1</f>
        <v>-4.3746673227533783E-3</v>
      </c>
      <c r="CJ29" s="13">
        <f>+CJ27/CI27-1</f>
        <v>2.4840433201327006E-2</v>
      </c>
      <c r="CK29" s="13">
        <f t="shared" ref="CK29" si="683">+CK27/CJ27-1</f>
        <v>-6.3629929379788175E-3</v>
      </c>
      <c r="CL29" s="13">
        <f t="shared" ref="CL29" si="684">+CL27/CK27-1</f>
        <v>8.1714718869385639E-3</v>
      </c>
      <c r="CM29" s="235" t="s">
        <v>290</v>
      </c>
      <c r="CN29" s="13">
        <f>+CN27/CL27-1</f>
        <v>-3.5664984928627241E-3</v>
      </c>
      <c r="CO29" s="13">
        <f>+CO27/CN27-1</f>
        <v>2.3665688158333031E-2</v>
      </c>
      <c r="CP29" s="13">
        <f t="shared" ref="CP29" si="685">+CP27/CO27-1</f>
        <v>-6.6227006826041768E-3</v>
      </c>
      <c r="CQ29" s="13">
        <f t="shared" ref="CQ29" si="686">+CQ27/CP27-1</f>
        <v>7.5257167473392617E-3</v>
      </c>
      <c r="CR29" s="235" t="s">
        <v>290</v>
      </c>
      <c r="CS29" s="13">
        <f>+CS27/CQ27-1</f>
        <v>-2.6165689969587236E-3</v>
      </c>
      <c r="CT29" s="13">
        <f>+CT27/CS27-1</f>
        <v>2.2936254340678586E-2</v>
      </c>
      <c r="CU29" s="13">
        <f t="shared" ref="CU29" si="687">+CU27/CT27-1</f>
        <v>-6.6644429186828447E-3</v>
      </c>
      <c r="CV29" s="13">
        <f t="shared" ref="CV29" si="688">+CV27/CU27-1</f>
        <v>7.2463004764524719E-3</v>
      </c>
      <c r="CW29" s="235" t="s">
        <v>290</v>
      </c>
      <c r="CX29" s="13">
        <f>+CX27/CV27-1</f>
        <v>-8.7262717725714589E-3</v>
      </c>
      <c r="CY29" s="13">
        <f>+CY27/CX27-1</f>
        <v>2.0900334398320286E-2</v>
      </c>
      <c r="CZ29" s="13">
        <f t="shared" ref="CZ29" si="689">+CZ27/CY27-1</f>
        <v>-7.8466749313400586E-3</v>
      </c>
      <c r="DA29" s="13">
        <f t="shared" ref="DA29" si="690">+DA27/CZ27-1</f>
        <v>5.7893800765405068E-3</v>
      </c>
      <c r="DB29" s="235" t="s">
        <v>290</v>
      </c>
    </row>
    <row r="30" spans="1:106">
      <c r="F30" s="217"/>
      <c r="K30" s="217"/>
      <c r="P30" s="217"/>
      <c r="U30" s="217"/>
      <c r="Z30" s="217"/>
      <c r="AE30" s="217"/>
      <c r="AJ30" s="217"/>
      <c r="AO30" s="217"/>
      <c r="AT30" s="217"/>
      <c r="AY30" s="217"/>
      <c r="BD30" s="240"/>
      <c r="BI30" s="217"/>
      <c r="BJ30" s="356"/>
      <c r="BN30" s="217"/>
      <c r="BS30" s="217"/>
      <c r="BX30" s="217"/>
      <c r="CC30" s="217"/>
      <c r="CH30" s="217"/>
      <c r="CM30" s="217"/>
      <c r="CR30" s="217"/>
      <c r="CW30" s="217"/>
      <c r="DB30" s="217"/>
    </row>
    <row r="31" spans="1:106" s="51" customFormat="1">
      <c r="A31" s="51" t="s">
        <v>398</v>
      </c>
      <c r="B31" s="135"/>
      <c r="F31" s="233"/>
      <c r="G31" s="135">
        <v>46.899000000000001</v>
      </c>
      <c r="H31" s="135">
        <v>44.518999999999998</v>
      </c>
      <c r="I31" s="135">
        <v>44.423000000000002</v>
      </c>
      <c r="J31" s="135">
        <v>52.326999999999998</v>
      </c>
      <c r="K31" s="216">
        <f>+G31+H31+I31+J31</f>
        <v>188.16800000000001</v>
      </c>
      <c r="L31" s="135">
        <v>61.136000000000003</v>
      </c>
      <c r="M31" s="135">
        <v>51.231000000000002</v>
      </c>
      <c r="N31" s="135">
        <v>53.09</v>
      </c>
      <c r="O31" s="135">
        <v>48.511000000000003</v>
      </c>
      <c r="P31" s="216">
        <f>+L31+M31+N31+O31</f>
        <v>213.96799999999999</v>
      </c>
      <c r="Q31" s="135">
        <v>45.912999999999997</v>
      </c>
      <c r="R31" s="135">
        <v>52.276000000000003</v>
      </c>
      <c r="S31" s="135">
        <v>55.331000000000003</v>
      </c>
      <c r="T31" s="135">
        <v>51.969000000000001</v>
      </c>
      <c r="U31" s="216">
        <f>+Q31+R31+S31+T31</f>
        <v>205.48899999999998</v>
      </c>
      <c r="V31" s="135">
        <v>54.268999999999998</v>
      </c>
      <c r="W31" s="135">
        <v>60.353000000000002</v>
      </c>
      <c r="X31" s="135">
        <v>62.661999999999999</v>
      </c>
      <c r="Y31" s="135">
        <v>63.082000000000001</v>
      </c>
      <c r="Z31" s="216">
        <f>+V31+W31+X31+Y31</f>
        <v>240.36599999999999</v>
      </c>
      <c r="AA31" s="135">
        <v>63.363999999999997</v>
      </c>
      <c r="AB31" s="135">
        <v>65.099000000000004</v>
      </c>
      <c r="AC31" s="135">
        <v>66.936000000000007</v>
      </c>
      <c r="AD31" s="135">
        <v>74.481999999999999</v>
      </c>
      <c r="AE31" s="216">
        <f>+AA31+AB31+AC31+AD31</f>
        <v>269.88099999999997</v>
      </c>
      <c r="AF31" s="135">
        <v>87.046000000000006</v>
      </c>
      <c r="AG31" s="135">
        <v>80.414000000000001</v>
      </c>
      <c r="AH31" s="135">
        <v>93.286000000000001</v>
      </c>
      <c r="AI31" s="135">
        <v>106.465</v>
      </c>
      <c r="AJ31" s="216">
        <f>+AF31+AG31+AH31+AI31</f>
        <v>367.21100000000001</v>
      </c>
      <c r="AK31" s="135">
        <v>118.38200000000001</v>
      </c>
      <c r="AL31" s="135">
        <v>137.232</v>
      </c>
      <c r="AM31" s="135">
        <v>150.65100000000001</v>
      </c>
      <c r="AN31" s="135">
        <v>160.88399999999999</v>
      </c>
      <c r="AO31" s="216">
        <f>+AK31+AL31+AM31+AN31</f>
        <v>567.149</v>
      </c>
      <c r="AP31" s="135">
        <v>190.00200000000001</v>
      </c>
      <c r="AQ31" s="135">
        <v>194.58199999999999</v>
      </c>
      <c r="AR31" s="135">
        <v>199.83099999999999</v>
      </c>
      <c r="AS31" s="135">
        <v>212.892</v>
      </c>
      <c r="AT31" s="216">
        <f>+AP31+AQ31+AR31+AS31</f>
        <v>797.30700000000002</v>
      </c>
      <c r="AU31" s="135">
        <v>237.797</v>
      </c>
      <c r="AV31" s="135">
        <v>258.25599999999997</v>
      </c>
      <c r="AW31" s="135">
        <v>265.21800000000002</v>
      </c>
      <c r="AX31" s="135">
        <v>307.25099999999998</v>
      </c>
      <c r="AY31" s="216">
        <f>+AU31+AV31+AW31+AX31</f>
        <v>1068.5219999999999</v>
      </c>
      <c r="AZ31" s="135">
        <v>364.67200000000003</v>
      </c>
      <c r="BA31" s="135">
        <v>411.36399999999998</v>
      </c>
      <c r="BB31" s="135">
        <v>436.12700000000001</v>
      </c>
      <c r="BC31" s="135">
        <v>472.91100000000006</v>
      </c>
      <c r="BD31" s="216">
        <f>SUM(AZ31:BC31)</f>
        <v>1685.0740000000001</v>
      </c>
      <c r="BE31" s="135">
        <v>500.036</v>
      </c>
      <c r="BF31" s="135">
        <v>544.42700000000002</v>
      </c>
      <c r="BG31" s="135">
        <v>590.197</v>
      </c>
      <c r="BH31" s="135">
        <f>2295.82-BE31-BF31-BG31</f>
        <v>661.16</v>
      </c>
      <c r="BI31" s="216">
        <f>+BE31+BF31+BG31+BH31</f>
        <v>2295.8199999999997</v>
      </c>
      <c r="BJ31" s="273">
        <f>+BJ61+BJ195+BJ312</f>
        <v>614.64916937617522</v>
      </c>
      <c r="BK31" s="135">
        <f>+BK61+BK195+BK312</f>
        <v>648.2261730388143</v>
      </c>
      <c r="BL31" s="135">
        <f>+BL61+BL195+BL312</f>
        <v>674.49647181621992</v>
      </c>
      <c r="BM31" s="135">
        <f>+BM61+BM195+BM312</f>
        <v>710.74986832652485</v>
      </c>
      <c r="BN31" s="216">
        <f>+BJ31+BK31+BL31+BM31</f>
        <v>2648.1216825577344</v>
      </c>
      <c r="BO31" s="135">
        <f>+BO61+BO195+BO312</f>
        <v>760.17060826748752</v>
      </c>
      <c r="BP31" s="135">
        <f>+BP61+BP195+BP312</f>
        <v>760.67339532448932</v>
      </c>
      <c r="BQ31" s="135">
        <f>+BQ61+BQ195+BQ312</f>
        <v>788.56083809936172</v>
      </c>
      <c r="BR31" s="135">
        <f>+BR61+BR195+BR312</f>
        <v>808.33936834449673</v>
      </c>
      <c r="BS31" s="216">
        <f>+BO31+BP31+BQ31+BR31</f>
        <v>3117.7442100358348</v>
      </c>
      <c r="BT31" s="135">
        <f>+BT61+BT195+BT312</f>
        <v>874.82355363239253</v>
      </c>
      <c r="BU31" s="135">
        <f>+BU61+BU195+BU312</f>
        <v>883.53624046945095</v>
      </c>
      <c r="BV31" s="135">
        <f>+BV61+BV195+BV312</f>
        <v>911.33954612191962</v>
      </c>
      <c r="BW31" s="135">
        <f>+BW61+BW195+BW312</f>
        <v>935.55769055838107</v>
      </c>
      <c r="BX31" s="216">
        <f>+BT31+BU31+BV31+BW31</f>
        <v>3605.2570307821443</v>
      </c>
      <c r="BY31" s="135">
        <f>+BY61+BY195+BY312</f>
        <v>1010.639430810094</v>
      </c>
      <c r="BZ31" s="135">
        <f>+BZ61+BZ195+BZ312</f>
        <v>1014.2484681734625</v>
      </c>
      <c r="CA31" s="135">
        <f>+CA61+CA195+CA312</f>
        <v>1049.1023724601675</v>
      </c>
      <c r="CB31" s="135">
        <f>+CB61+CB195+CB312</f>
        <v>1071.3304206905364</v>
      </c>
      <c r="CC31" s="216">
        <f>+BY31+BZ31+CA31+CB31</f>
        <v>4145.3206921342608</v>
      </c>
      <c r="CD31" s="135">
        <f>+CD61+CD195+CD312</f>
        <v>1152.7463505628932</v>
      </c>
      <c r="CE31" s="135">
        <f>+CE61+CE195+CE312</f>
        <v>1159.041656734275</v>
      </c>
      <c r="CF31" s="135">
        <f>+CF61+CF195+CF312</f>
        <v>1194.1816560593031</v>
      </c>
      <c r="CG31" s="135">
        <f>+CG61+CG195+CG312</f>
        <v>1219.9657007370752</v>
      </c>
      <c r="CH31" s="216">
        <f>+CD31+CE31+CF31+CG31</f>
        <v>4725.9353640935469</v>
      </c>
      <c r="CI31" s="135">
        <f>+CI61+CI195+CI312</f>
        <v>1295.9962316242704</v>
      </c>
      <c r="CJ31" s="135">
        <f>+CJ61+CJ195+CJ312</f>
        <v>1298.1167805269047</v>
      </c>
      <c r="CK31" s="135">
        <f>+CK61+CK195+CK312</f>
        <v>1330.1733285007149</v>
      </c>
      <c r="CL31" s="135">
        <f>+CL61+CL195+CL312</f>
        <v>1352.61037546338</v>
      </c>
      <c r="CM31" s="216">
        <f>+CI31+CJ31+CK31+CL31</f>
        <v>5276.8967161152705</v>
      </c>
      <c r="CN31" s="135">
        <f>+CN61+CN195+CN312</f>
        <v>1432.8002927849307</v>
      </c>
      <c r="CO31" s="135">
        <f>+CO61+CO195+CO312</f>
        <v>1434.8960995963116</v>
      </c>
      <c r="CP31" s="135">
        <f>+CP61+CP195+CP312</f>
        <v>1467.8442479444675</v>
      </c>
      <c r="CQ31" s="135">
        <f>+CQ61+CQ195+CQ312</f>
        <v>1491.1037472777712</v>
      </c>
      <c r="CR31" s="216">
        <f>+CN31+CO31+CP31+CQ31</f>
        <v>5826.6443876034809</v>
      </c>
      <c r="CS31" s="135">
        <f>+CS61+CS195+CS312</f>
        <v>1576.299108835869</v>
      </c>
      <c r="CT31" s="135">
        <f>+CT61+CT195+CT312</f>
        <v>1579.0696278853382</v>
      </c>
      <c r="CU31" s="135">
        <f>+CU61+CU195+CU312</f>
        <v>1613.8538461928804</v>
      </c>
      <c r="CV31" s="135">
        <f>+CV61+CV195+CV312</f>
        <v>1638.6500921692632</v>
      </c>
      <c r="CW31" s="216">
        <f>+CS31+CT31+CU31+CV31</f>
        <v>6407.8726750833503</v>
      </c>
      <c r="CX31" s="135">
        <f>+CX61+CX195+CX312</f>
        <v>1714.7686574234735</v>
      </c>
      <c r="CY31" s="135">
        <f>+CY61+CY195+CY312</f>
        <v>1713.6956387951655</v>
      </c>
      <c r="CZ31" s="135">
        <f>+CZ61+CZ195+CZ312</f>
        <v>1745.6646708200772</v>
      </c>
      <c r="DA31" s="135">
        <f>+DA61+DA195+DA312</f>
        <v>1767.4672325926326</v>
      </c>
      <c r="DB31" s="216">
        <f>+CX31+CY31+CZ31+DA31</f>
        <v>6941.596199631349</v>
      </c>
    </row>
    <row r="32" spans="1:106">
      <c r="A32" s="277" t="s">
        <v>281</v>
      </c>
      <c r="F32" s="217"/>
      <c r="G32" s="119" t="s">
        <v>290</v>
      </c>
      <c r="H32" s="119" t="s">
        <v>290</v>
      </c>
      <c r="I32" s="119" t="s">
        <v>290</v>
      </c>
      <c r="J32" s="119" t="s">
        <v>290</v>
      </c>
      <c r="K32" s="235" t="s">
        <v>290</v>
      </c>
      <c r="L32" s="13">
        <f>+L31/G31-1</f>
        <v>0.30356724023966408</v>
      </c>
      <c r="M32" s="13">
        <f t="shared" ref="M32" si="691">+M31/H31-1</f>
        <v>0.15076708820952867</v>
      </c>
      <c r="N32" s="13">
        <f t="shared" ref="N32" si="692">+N31/I31-1</f>
        <v>0.19510163653963031</v>
      </c>
      <c r="O32" s="13">
        <f t="shared" ref="O32" si="693">+O31/J31-1</f>
        <v>-7.292602289449035E-2</v>
      </c>
      <c r="P32" s="239">
        <f t="shared" ref="P32" si="694">+P31/K31-1</f>
        <v>0.13711151736745886</v>
      </c>
      <c r="Q32" s="13">
        <f>+Q31/L31-1</f>
        <v>-0.24900222454854759</v>
      </c>
      <c r="R32" s="13">
        <f t="shared" ref="R32" si="695">+R31/M31-1</f>
        <v>2.039780601588892E-2</v>
      </c>
      <c r="S32" s="13">
        <f t="shared" ref="S32" si="696">+S31/N31-1</f>
        <v>4.221133923526077E-2</v>
      </c>
      <c r="T32" s="13">
        <f t="shared" ref="T32" si="697">+T31/O31-1</f>
        <v>7.1282801838758125E-2</v>
      </c>
      <c r="U32" s="239">
        <f t="shared" ref="U32" si="698">+U31/P31-1</f>
        <v>-3.9627420922754841E-2</v>
      </c>
      <c r="V32" s="13">
        <f>+V31/Q31-1</f>
        <v>0.18199638446627331</v>
      </c>
      <c r="W32" s="13">
        <f t="shared" ref="W32" si="699">+W31/R31-1</f>
        <v>0.15450684826689098</v>
      </c>
      <c r="X32" s="13">
        <f t="shared" ref="X32" si="700">+X31/S31-1</f>
        <v>0.1324935388841697</v>
      </c>
      <c r="Y32" s="13">
        <f t="shared" ref="Y32" si="701">+Y31/T31-1</f>
        <v>0.21383901941542072</v>
      </c>
      <c r="Z32" s="239">
        <f t="shared" ref="Z32" si="702">+Z31/U31-1</f>
        <v>0.16972684669252369</v>
      </c>
      <c r="AA32" s="13">
        <f>+AA31/V31-1</f>
        <v>0.16759107409386576</v>
      </c>
      <c r="AB32" s="13">
        <f t="shared" ref="AB32" si="703">+AB31/W31-1</f>
        <v>7.8637350255993832E-2</v>
      </c>
      <c r="AC32" s="13">
        <f t="shared" ref="AC32" si="704">+AC31/X31-1</f>
        <v>6.820720691966442E-2</v>
      </c>
      <c r="AD32" s="13">
        <f t="shared" ref="AD32" si="705">+AD31/Y31-1</f>
        <v>0.18071716178941699</v>
      </c>
      <c r="AE32" s="239">
        <f t="shared" ref="AE32" si="706">+AE31/Z31-1</f>
        <v>0.12279190900543324</v>
      </c>
      <c r="AF32" s="13">
        <f>+AF31/AA31-1</f>
        <v>0.37374534435957352</v>
      </c>
      <c r="AG32" s="13">
        <f t="shared" ref="AG32" si="707">+AG31/AB31-1</f>
        <v>0.23525707000107521</v>
      </c>
      <c r="AH32" s="13">
        <f t="shared" ref="AH32" si="708">+AH31/AC31-1</f>
        <v>0.39365961515477466</v>
      </c>
      <c r="AI32" s="13">
        <f t="shared" ref="AI32" si="709">+AI31/AD31-1</f>
        <v>0.42940576246609918</v>
      </c>
      <c r="AJ32" s="239">
        <f t="shared" ref="AJ32" si="710">+AJ31/AE31-1</f>
        <v>0.3606404304119224</v>
      </c>
      <c r="AK32" s="13">
        <f t="shared" ref="AK32" si="711">+AK31/AF31-1</f>
        <v>0.35999356661994808</v>
      </c>
      <c r="AL32" s="13">
        <f t="shared" ref="AL32" si="712">+AL31/AG31-1</f>
        <v>0.7065685079712487</v>
      </c>
      <c r="AM32" s="13">
        <f t="shared" ref="AM32" si="713">+AM31/AH31-1</f>
        <v>0.61493686083656729</v>
      </c>
      <c r="AN32" s="13">
        <f t="shared" ref="AN32" si="714">+AN31/AI31-1</f>
        <v>0.51114450758465213</v>
      </c>
      <c r="AO32" s="239">
        <f t="shared" ref="AO32" si="715">+AO31/AJ31-1</f>
        <v>0.5444771534621784</v>
      </c>
      <c r="AP32" s="13">
        <f t="shared" ref="AP32" si="716">+AP31/AK31-1</f>
        <v>0.60499062357452993</v>
      </c>
      <c r="AQ32" s="13">
        <f t="shared" ref="AQ32" si="717">+AQ31/AL31-1</f>
        <v>0.41790544479421698</v>
      </c>
      <c r="AR32" s="13">
        <f t="shared" ref="AR32" si="718">+AR31/AM31-1</f>
        <v>0.32644987421258387</v>
      </c>
      <c r="AS32" s="13">
        <f t="shared" ref="AS32" si="719">+AS31/AN31-1</f>
        <v>0.32326396658461998</v>
      </c>
      <c r="AT32" s="239">
        <f t="shared" ref="AT32" si="720">+AT31/AO31-1</f>
        <v>0.40581575564798666</v>
      </c>
      <c r="AU32" s="13">
        <f t="shared" ref="AU32" si="721">+AU31/AP31-1</f>
        <v>0.25154998368438219</v>
      </c>
      <c r="AV32" s="13">
        <f t="shared" ref="AV32" si="722">+AV31/AQ31-1</f>
        <v>0.327234790473939</v>
      </c>
      <c r="AW32" s="13">
        <f t="shared" ref="AW32" si="723">+AW31/AR31-1</f>
        <v>0.32721149371218705</v>
      </c>
      <c r="AX32" s="13">
        <f t="shared" ref="AX32" si="724">+AX31/AS31-1</f>
        <v>0.44322473366777504</v>
      </c>
      <c r="AY32" s="239">
        <f t="shared" ref="AY32" si="725">+AY31/AT31-1</f>
        <v>0.34016382648089127</v>
      </c>
      <c r="AZ32" s="13">
        <f t="shared" ref="AZ32" si="726">+AZ31/AU31-1</f>
        <v>0.53354331635807029</v>
      </c>
      <c r="BA32" s="13">
        <f t="shared" ref="BA32" si="727">+BA31/AV31-1</f>
        <v>0.59285360262685094</v>
      </c>
      <c r="BB32" s="13">
        <f t="shared" ref="BB32" si="728">+BB31/AW31-1</f>
        <v>0.64440950463392377</v>
      </c>
      <c r="BC32" s="13">
        <f t="shared" ref="BC32" si="729">+BC31/AX31-1</f>
        <v>0.53916830213734079</v>
      </c>
      <c r="BD32" s="239">
        <f t="shared" ref="BD32" si="730">+BD31/AY31-1</f>
        <v>0.57701385652330983</v>
      </c>
      <c r="BE32" s="13">
        <f>+BE31/AZ31-1</f>
        <v>0.37119383994383992</v>
      </c>
      <c r="BF32" s="62">
        <f t="shared" ref="BF32" si="731">+BF31/BA31-1</f>
        <v>0.32346778035997326</v>
      </c>
      <c r="BG32" s="62">
        <f t="shared" ref="BG32" si="732">+BG31/BB31-1</f>
        <v>0.35326865798265183</v>
      </c>
      <c r="BH32" s="13">
        <f t="shared" ref="BH32" si="733">+BH31/BC31-1</f>
        <v>0.39806432922896673</v>
      </c>
      <c r="BI32" s="239">
        <f t="shared" ref="BI32" si="734">+BI31/BD31-1</f>
        <v>0.36244461667558792</v>
      </c>
      <c r="BJ32" s="328">
        <f>+BJ31/BE31-1</f>
        <v>0.22920983564418407</v>
      </c>
      <c r="BK32" s="13">
        <f t="shared" ref="BK32" si="735">+BK31/BF31-1</f>
        <v>0.19065765114297095</v>
      </c>
      <c r="BL32" s="13">
        <f t="shared" ref="BL32" si="736">+BL31/BG31-1</f>
        <v>0.14283276908594922</v>
      </c>
      <c r="BM32" s="13">
        <f t="shared" ref="BM32" si="737">+BM31/BH31-1</f>
        <v>7.5004338324346387E-2</v>
      </c>
      <c r="BN32" s="239">
        <f t="shared" ref="BN32" si="738">+BN31/BI31-1</f>
        <v>0.15345352970081927</v>
      </c>
      <c r="BO32" s="13">
        <f>+BO31/BJ31-1</f>
        <v>0.23675528438280669</v>
      </c>
      <c r="BP32" s="13">
        <f t="shared" ref="BP32" si="739">+BP31/BK31-1</f>
        <v>0.17346911766696271</v>
      </c>
      <c r="BQ32" s="13">
        <f t="shared" ref="BQ32" si="740">+BQ31/BL31-1</f>
        <v>0.16911039723603016</v>
      </c>
      <c r="BR32" s="13">
        <f t="shared" ref="BR32" si="741">+BR31/BM31-1</f>
        <v>0.13730498501216526</v>
      </c>
      <c r="BS32" s="239">
        <f t="shared" ref="BS32" si="742">+BS31/BN31-1</f>
        <v>0.17734174776459199</v>
      </c>
      <c r="BT32" s="13">
        <f>+BT31/BO31-1</f>
        <v>0.15082528069088563</v>
      </c>
      <c r="BU32" s="13">
        <f t="shared" ref="BU32" si="743">+BU31/BP31-1</f>
        <v>0.16151852542778955</v>
      </c>
      <c r="BV32" s="13">
        <f t="shared" ref="BV32" si="744">+BV31/BQ31-1</f>
        <v>0.15569972802413923</v>
      </c>
      <c r="BW32" s="13">
        <f t="shared" ref="BW32" si="745">+BW31/BR31-1</f>
        <v>0.15738231638331723</v>
      </c>
      <c r="BX32" s="239">
        <f t="shared" ref="BX32" si="746">+BX31/BS31-1</f>
        <v>0.15636716417499374</v>
      </c>
      <c r="BY32" s="13">
        <f>+BY31/BT31-1</f>
        <v>0.15524945186234929</v>
      </c>
      <c r="BZ32" s="13">
        <f t="shared" ref="BZ32" si="747">+BZ31/BU31-1</f>
        <v>0.14794212361290349</v>
      </c>
      <c r="CA32" s="13">
        <f t="shared" ref="CA32" si="748">+CA31/BV31-1</f>
        <v>0.15116520173461012</v>
      </c>
      <c r="CB32" s="13">
        <f t="shared" ref="CB32" si="749">+CB31/BW31-1</f>
        <v>0.1451249147993432</v>
      </c>
      <c r="CC32" s="239">
        <f t="shared" ref="CC32" si="750">+CC31/BX31-1</f>
        <v>0.14979893437305147</v>
      </c>
      <c r="CD32" s="13">
        <f>+CD31/BY31-1</f>
        <v>0.1406108998130926</v>
      </c>
      <c r="CE32" s="13">
        <f t="shared" ref="CE32" si="751">+CE31/BZ31-1</f>
        <v>0.1427590902075182</v>
      </c>
      <c r="CF32" s="13">
        <f t="shared" ref="CF32" si="752">+CF31/CA31-1</f>
        <v>0.13828896722340023</v>
      </c>
      <c r="CG32" s="13">
        <f t="shared" ref="CG32" si="753">+CG31/CB31-1</f>
        <v>0.13873897088699727</v>
      </c>
      <c r="CH32" s="239">
        <f t="shared" ref="CH32" si="754">+CH31/CC31-1</f>
        <v>0.14006507941858426</v>
      </c>
      <c r="CI32" s="13">
        <f>+CI31/CD31-1</f>
        <v>0.12426834488907934</v>
      </c>
      <c r="CJ32" s="13">
        <f t="shared" ref="CJ32" si="755">+CJ31/CE31-1</f>
        <v>0.11999148001676563</v>
      </c>
      <c r="CK32" s="13">
        <f t="shared" ref="CK32" si="756">+CK31/CF31-1</f>
        <v>0.11387854749852089</v>
      </c>
      <c r="CL32" s="13">
        <f t="shared" ref="CL32" si="757">+CL31/CG31-1</f>
        <v>0.10872820001920047</v>
      </c>
      <c r="CM32" s="239">
        <f t="shared" ref="CM32" si="758">+CM31/CH31-1</f>
        <v>0.11658249839974277</v>
      </c>
      <c r="CN32" s="13">
        <f>+CN31/CI31-1</f>
        <v>0.10555899610078634</v>
      </c>
      <c r="CO32" s="13">
        <f t="shared" ref="CO32" si="759">+CO31/CJ31-1</f>
        <v>0.10536749938159518</v>
      </c>
      <c r="CP32" s="13">
        <f t="shared" ref="CP32" si="760">+CP31/CK31-1</f>
        <v>0.10349848135876116</v>
      </c>
      <c r="CQ32" s="13">
        <f t="shared" ref="CQ32" si="761">+CQ31/CL31-1</f>
        <v>0.10238970092695454</v>
      </c>
      <c r="CR32" s="239">
        <f t="shared" ref="CR32" si="762">+CR31/CM31-1</f>
        <v>0.1041801083218703</v>
      </c>
      <c r="CS32" s="13">
        <f>+CS31/CN31-1</f>
        <v>0.10015269872120136</v>
      </c>
      <c r="CT32" s="13">
        <f t="shared" ref="CT32" si="763">+CT31/CO31-1</f>
        <v>0.1004766326492823</v>
      </c>
      <c r="CU32" s="13">
        <f t="shared" ref="CU32" si="764">+CU31/CP31-1</f>
        <v>9.9472132995636953E-2</v>
      </c>
      <c r="CV32" s="13">
        <f t="shared" ref="CV32" si="765">+CV31/CQ31-1</f>
        <v>9.8951092545277008E-2</v>
      </c>
      <c r="CW32" s="239">
        <f t="shared" ref="CW32" si="766">+CW31/CR31-1</f>
        <v>9.975352000483606E-2</v>
      </c>
      <c r="CX32" s="13">
        <f>+CX31/CS31-1</f>
        <v>8.7844716660321787E-2</v>
      </c>
      <c r="CY32" s="13">
        <f t="shared" ref="CY32" si="767">+CY31/CT31-1</f>
        <v>8.5256538744346688E-2</v>
      </c>
      <c r="CZ32" s="13">
        <f t="shared" ref="CZ32" si="768">+CZ31/CU31-1</f>
        <v>8.1674573529778804E-2</v>
      </c>
      <c r="DA32" s="13">
        <f t="shared" ref="DA32" si="769">+DA31/CV31-1</f>
        <v>7.8611743311740145E-2</v>
      </c>
      <c r="DB32" s="239">
        <f t="shared" ref="DB32" si="770">+DB31/CW31-1</f>
        <v>8.3291842958015172E-2</v>
      </c>
    </row>
    <row r="33" spans="1:106">
      <c r="A33" s="277" t="s">
        <v>288</v>
      </c>
      <c r="F33" s="217"/>
      <c r="G33" s="119" t="s">
        <v>290</v>
      </c>
      <c r="H33" s="13">
        <f>+H31/G31-1</f>
        <v>-5.0747350689780202E-2</v>
      </c>
      <c r="I33" s="13">
        <f>+I31/H31-1</f>
        <v>-2.1563826680742748E-3</v>
      </c>
      <c r="J33" s="13">
        <f>+J31/I31-1</f>
        <v>0.17792584922224974</v>
      </c>
      <c r="K33" s="235" t="s">
        <v>290</v>
      </c>
      <c r="L33" s="13">
        <f>+L31/J31-1</f>
        <v>0.16834521375198275</v>
      </c>
      <c r="M33" s="13">
        <f>+M31/L31-1</f>
        <v>-0.16201583355142635</v>
      </c>
      <c r="N33" s="13">
        <f t="shared" ref="N33" si="771">+N31/M31-1</f>
        <v>3.6286623333528611E-2</v>
      </c>
      <c r="O33" s="13">
        <f t="shared" ref="O33" si="772">+O31/N31-1</f>
        <v>-8.6249764550762831E-2</v>
      </c>
      <c r="P33" s="235" t="s">
        <v>290</v>
      </c>
      <c r="Q33" s="13">
        <f>+Q31/O31-1</f>
        <v>-5.3554863845313605E-2</v>
      </c>
      <c r="R33" s="13">
        <f>+R31/Q31-1</f>
        <v>0.13858819942064349</v>
      </c>
      <c r="S33" s="13">
        <f t="shared" ref="S33" si="773">+S31/R31-1</f>
        <v>5.8439819420001538E-2</v>
      </c>
      <c r="T33" s="13">
        <f t="shared" ref="T33" si="774">+T31/S31-1</f>
        <v>-6.0761598380654647E-2</v>
      </c>
      <c r="U33" s="235" t="s">
        <v>290</v>
      </c>
      <c r="V33" s="13">
        <f>+V31/T31-1</f>
        <v>4.4257153302930563E-2</v>
      </c>
      <c r="W33" s="13">
        <f>+W31/V31-1</f>
        <v>0.11210820173579772</v>
      </c>
      <c r="X33" s="13">
        <f t="shared" ref="X33" si="775">+X31/W31-1</f>
        <v>3.8258247311649729E-2</v>
      </c>
      <c r="Y33" s="13">
        <f t="shared" ref="Y33" si="776">+Y31/X31-1</f>
        <v>6.7026267913568027E-3</v>
      </c>
      <c r="Z33" s="235" t="s">
        <v>290</v>
      </c>
      <c r="AA33" s="13">
        <f>+AA31/Y31-1</f>
        <v>4.4703718968961415E-3</v>
      </c>
      <c r="AB33" s="13">
        <f>+AB31/AA31-1</f>
        <v>2.7381478442017659E-2</v>
      </c>
      <c r="AC33" s="13">
        <f t="shared" ref="AC33" si="777">+AC31/AB31-1</f>
        <v>2.8218559424876055E-2</v>
      </c>
      <c r="AD33" s="13">
        <f t="shared" ref="AD33" si="778">+AD31/AC31-1</f>
        <v>0.11273455240827035</v>
      </c>
      <c r="AE33" s="235" t="s">
        <v>290</v>
      </c>
      <c r="AF33" s="13">
        <f>+AF31/AD31-1</f>
        <v>0.16868505142182011</v>
      </c>
      <c r="AG33" s="13">
        <f>+AG31/AF31-1</f>
        <v>-7.6189600900673282E-2</v>
      </c>
      <c r="AH33" s="13">
        <f t="shared" ref="AH33" si="779">+AH31/AG31-1</f>
        <v>0.16007162931827801</v>
      </c>
      <c r="AI33" s="13">
        <f t="shared" ref="AI33" si="780">+AI31/AH31-1</f>
        <v>0.14127521814634569</v>
      </c>
      <c r="AJ33" s="235" t="s">
        <v>290</v>
      </c>
      <c r="AK33" s="13">
        <f>+AK31/AI31-1</f>
        <v>0.11193349927206131</v>
      </c>
      <c r="AL33" s="13">
        <f>+AL31/AK31-1</f>
        <v>0.15923028838843734</v>
      </c>
      <c r="AM33" s="13">
        <f t="shared" ref="AM33" si="781">+AM31/AL31-1</f>
        <v>9.7783315844701013E-2</v>
      </c>
      <c r="AN33" s="13">
        <f t="shared" ref="AN33" si="782">+AN31/AM31-1</f>
        <v>6.7925204611983814E-2</v>
      </c>
      <c r="AO33" s="235" t="s">
        <v>290</v>
      </c>
      <c r="AP33" s="13">
        <f>+AP31/AN31-1</f>
        <v>0.1809875438203925</v>
      </c>
      <c r="AQ33" s="13">
        <f>+AQ31/AP31-1</f>
        <v>2.4105009420953394E-2</v>
      </c>
      <c r="AR33" s="13">
        <f t="shared" ref="AR33" si="783">+AR31/AQ31-1</f>
        <v>2.6975773709798423E-2</v>
      </c>
      <c r="AS33" s="13">
        <f t="shared" ref="AS33" si="784">+AS31/AR31-1</f>
        <v>6.5360229393837788E-2</v>
      </c>
      <c r="AT33" s="235" t="s">
        <v>290</v>
      </c>
      <c r="AU33" s="13">
        <f>+AU31/AS31-1</f>
        <v>0.11698419856077269</v>
      </c>
      <c r="AV33" s="13">
        <f>+AV31/AU31-1</f>
        <v>8.6035568152667885E-2</v>
      </c>
      <c r="AW33" s="13">
        <f t="shared" ref="AW33" si="785">+AW31/AV31-1</f>
        <v>2.69577473514655E-2</v>
      </c>
      <c r="AX33" s="13">
        <f t="shared" ref="AX33" si="786">+AX31/AW31-1</f>
        <v>0.15848471823179411</v>
      </c>
      <c r="AY33" s="235" t="s">
        <v>290</v>
      </c>
      <c r="AZ33" s="13">
        <f>+AZ31/AX31-1</f>
        <v>0.18688629166381898</v>
      </c>
      <c r="BA33" s="13">
        <f>+BA31/AZ31-1</f>
        <v>0.12803834678834658</v>
      </c>
      <c r="BB33" s="13">
        <f t="shared" ref="BB33" si="787">+BB31/BA31-1</f>
        <v>6.0197294853220118E-2</v>
      </c>
      <c r="BC33" s="13">
        <f t="shared" ref="BC33" si="788">+BC31/BB31-1</f>
        <v>8.434240484996347E-2</v>
      </c>
      <c r="BD33" s="235" t="s">
        <v>290</v>
      </c>
      <c r="BE33" s="13">
        <f>+BE31/BC31-1</f>
        <v>5.7357515473313025E-2</v>
      </c>
      <c r="BF33" s="62">
        <f>+BF31/BE31-1</f>
        <v>8.8775608156212771E-2</v>
      </c>
      <c r="BG33" s="62">
        <f t="shared" ref="BG33" si="789">+BG31/BF31-1</f>
        <v>8.4070040611505359E-2</v>
      </c>
      <c r="BH33" s="13">
        <f t="shared" ref="BH33" si="790">+BH31/BG31-1</f>
        <v>0.12023612454824395</v>
      </c>
      <c r="BI33" s="235" t="s">
        <v>290</v>
      </c>
      <c r="BJ33" s="328">
        <f>+BJ31/BH31-1</f>
        <v>-7.0347314755618506E-2</v>
      </c>
      <c r="BK33" s="13">
        <f>+BK31/BJ31-1</f>
        <v>5.4627916762203244E-2</v>
      </c>
      <c r="BL33" s="13">
        <f t="shared" ref="BL33" si="791">+BL31/BK31-1</f>
        <v>4.0526439489867006E-2</v>
      </c>
      <c r="BM33" s="13">
        <f t="shared" ref="BM33" si="792">+BM31/BL31-1</f>
        <v>5.3748830461166408E-2</v>
      </c>
      <c r="BN33" s="235" t="s">
        <v>290</v>
      </c>
      <c r="BO33" s="13">
        <f>+BO31/BM31-1</f>
        <v>6.953323826471447E-2</v>
      </c>
      <c r="BP33" s="13">
        <f>+BP31/BO31-1</f>
        <v>6.6141344000092417E-4</v>
      </c>
      <c r="BQ33" s="13">
        <f t="shared" ref="BQ33" si="793">+BQ31/BP31-1</f>
        <v>3.6661519840556656E-2</v>
      </c>
      <c r="BR33" s="13">
        <f t="shared" ref="BR33" si="794">+BR31/BQ31-1</f>
        <v>2.508180636107471E-2</v>
      </c>
      <c r="BS33" s="235" t="s">
        <v>290</v>
      </c>
      <c r="BT33" s="13">
        <f>+BT31/BR31-1</f>
        <v>8.2247862582837561E-2</v>
      </c>
      <c r="BU33" s="13">
        <f>+BU31/BT31-1</f>
        <v>9.9593647208995328E-3</v>
      </c>
      <c r="BV33" s="13">
        <f t="shared" ref="BV33" si="795">+BV31/BU31-1</f>
        <v>3.1468211918161737E-2</v>
      </c>
      <c r="BW33" s="13">
        <f t="shared" ref="BW33" si="796">+BW31/BV31-1</f>
        <v>2.6574227508856074E-2</v>
      </c>
      <c r="BX33" s="235" t="s">
        <v>290</v>
      </c>
      <c r="BY33" s="13">
        <f>+BY31/BW31-1</f>
        <v>8.0253458455246118E-2</v>
      </c>
      <c r="BZ33" s="13">
        <f>+BZ31/BY31-1</f>
        <v>3.5710434932025859E-3</v>
      </c>
      <c r="CA33" s="13">
        <f t="shared" ref="CA33" si="797">+CA31/BZ31-1</f>
        <v>3.4364266134384813E-2</v>
      </c>
      <c r="CB33" s="13">
        <f t="shared" ref="CB33" si="798">+CB31/CA31-1</f>
        <v>2.1187682740859248E-2</v>
      </c>
      <c r="CC33" s="235" t="s">
        <v>290</v>
      </c>
      <c r="CD33" s="13">
        <f>+CD31/CB31-1</f>
        <v>7.5995162930106552E-2</v>
      </c>
      <c r="CE33" s="13">
        <f>+CE31/CD31-1</f>
        <v>5.4611373684312348E-3</v>
      </c>
      <c r="CF33" s="13">
        <f t="shared" ref="CF33" si="799">+CF31/CE31-1</f>
        <v>3.0318150448568781E-2</v>
      </c>
      <c r="CG33" s="13">
        <f t="shared" ref="CG33" si="800">+CG31/CF31-1</f>
        <v>2.1591392353871086E-2</v>
      </c>
      <c r="CH33" s="235" t="s">
        <v>290</v>
      </c>
      <c r="CI33" s="13">
        <f>+CI31/CG31-1</f>
        <v>6.2321859410686242E-2</v>
      </c>
      <c r="CJ33" s="13">
        <f>+CJ31/CI31-1</f>
        <v>1.6362307627828532E-3</v>
      </c>
      <c r="CK33" s="13">
        <f t="shared" ref="CK33" si="801">+CK31/CJ31-1</f>
        <v>2.4694656485989341E-2</v>
      </c>
      <c r="CL33" s="13">
        <f t="shared" ref="CL33" si="802">+CL31/CK31-1</f>
        <v>1.6867761878788246E-2</v>
      </c>
      <c r="CM33" s="235" t="s">
        <v>290</v>
      </c>
      <c r="CN33" s="13">
        <f>+CN31/CL31-1</f>
        <v>5.9285304013788176E-2</v>
      </c>
      <c r="CO33" s="13">
        <f>+CO31/CN31-1</f>
        <v>1.4627347732512064E-3</v>
      </c>
      <c r="CP33" s="13">
        <f t="shared" ref="CP33" si="803">+CP31/CO31-1</f>
        <v>2.2962044678653371E-2</v>
      </c>
      <c r="CQ33" s="13">
        <f t="shared" ref="CQ33" si="804">+CQ31/CP31-1</f>
        <v>1.5846026828715498E-2</v>
      </c>
      <c r="CR33" s="235" t="s">
        <v>290</v>
      </c>
      <c r="CS33" s="13">
        <f>+CS31/CQ31-1</f>
        <v>5.7135770541543174E-2</v>
      </c>
      <c r="CT33" s="13">
        <f>+CT31/CS31-1</f>
        <v>1.7576099827367742E-3</v>
      </c>
      <c r="CU33" s="13">
        <f t="shared" ref="CU33" si="805">+CU31/CT31-1</f>
        <v>2.2028299255001604E-2</v>
      </c>
      <c r="CV33" s="13">
        <f t="shared" ref="CV33" si="806">+CV31/CU31-1</f>
        <v>1.5364616836200939E-2</v>
      </c>
      <c r="CW33" s="235" t="s">
        <v>290</v>
      </c>
      <c r="CX33" s="13">
        <f>+CX31/CV31-1</f>
        <v>4.6451994613104786E-2</v>
      </c>
      <c r="CY33" s="13">
        <f>+CY31/CX31-1</f>
        <v>-6.2575124852137787E-4</v>
      </c>
      <c r="CZ33" s="13">
        <f t="shared" ref="CZ33" si="807">+CZ31/CY31-1</f>
        <v>1.8655023273203897E-2</v>
      </c>
      <c r="DA33" s="13">
        <f t="shared" ref="DA33" si="808">+DA31/CZ31-1</f>
        <v>1.2489547469797246E-2</v>
      </c>
      <c r="DB33" s="235" t="s">
        <v>290</v>
      </c>
    </row>
    <row r="34" spans="1:106">
      <c r="A34" s="277"/>
      <c r="F34" s="217"/>
      <c r="G34" s="119"/>
      <c r="H34" s="13"/>
      <c r="I34" s="13"/>
      <c r="J34" s="13"/>
      <c r="K34" s="235"/>
      <c r="L34" s="13"/>
      <c r="M34" s="13"/>
      <c r="N34" s="13"/>
      <c r="O34" s="13"/>
      <c r="P34" s="235"/>
      <c r="Q34" s="13"/>
      <c r="R34" s="13"/>
      <c r="S34" s="13"/>
      <c r="T34" s="13"/>
      <c r="U34" s="235"/>
      <c r="V34" s="13"/>
      <c r="W34" s="13"/>
      <c r="X34" s="13"/>
      <c r="Y34" s="13"/>
      <c r="Z34" s="235"/>
      <c r="AA34" s="13"/>
      <c r="AB34" s="13"/>
      <c r="AC34" s="13"/>
      <c r="AD34" s="13"/>
      <c r="AE34" s="235"/>
      <c r="AF34" s="13"/>
      <c r="AG34" s="13"/>
      <c r="AH34" s="13"/>
      <c r="AI34" s="13"/>
      <c r="AJ34" s="235"/>
      <c r="AK34" s="13"/>
      <c r="AL34" s="13"/>
      <c r="AM34" s="13"/>
      <c r="AN34" s="13"/>
      <c r="AO34" s="235"/>
      <c r="AP34" s="13"/>
      <c r="AQ34" s="13"/>
      <c r="AR34" s="13"/>
      <c r="AS34" s="13"/>
      <c r="AT34" s="235"/>
      <c r="AU34" s="13"/>
      <c r="AV34" s="13"/>
      <c r="AW34" s="13"/>
      <c r="AX34" s="13"/>
      <c r="AY34" s="235"/>
      <c r="AZ34" s="13"/>
      <c r="BA34" s="13"/>
      <c r="BB34" s="13"/>
      <c r="BC34" s="13"/>
      <c r="BD34" s="235"/>
      <c r="BE34" s="13"/>
      <c r="BF34" s="62"/>
      <c r="BG34" s="62"/>
      <c r="BH34" s="13"/>
      <c r="BI34" s="235"/>
      <c r="BJ34" s="328"/>
      <c r="BK34" s="13"/>
      <c r="BL34" s="13"/>
      <c r="BM34" s="13"/>
      <c r="BN34" s="235"/>
      <c r="BO34" s="13"/>
      <c r="BP34" s="13"/>
      <c r="BQ34" s="13"/>
      <c r="BR34" s="13"/>
      <c r="BS34" s="235"/>
      <c r="BT34" s="13"/>
      <c r="BU34" s="13"/>
      <c r="BV34" s="13"/>
      <c r="BW34" s="13"/>
      <c r="BX34" s="235"/>
      <c r="BY34" s="13"/>
      <c r="BZ34" s="13"/>
      <c r="CA34" s="13"/>
      <c r="CB34" s="13"/>
      <c r="CC34" s="235"/>
      <c r="CD34" s="13"/>
      <c r="CE34" s="13"/>
      <c r="CF34" s="13"/>
      <c r="CG34" s="13"/>
      <c r="CH34" s="235"/>
      <c r="CI34" s="13"/>
      <c r="CJ34" s="13"/>
      <c r="CK34" s="13"/>
      <c r="CL34" s="13"/>
      <c r="CM34" s="235"/>
      <c r="CN34" s="13"/>
      <c r="CO34" s="13"/>
      <c r="CP34" s="13"/>
      <c r="CQ34" s="13"/>
      <c r="CR34" s="235"/>
      <c r="CS34" s="13"/>
      <c r="CT34" s="13"/>
      <c r="CU34" s="13"/>
      <c r="CV34" s="13"/>
      <c r="CW34" s="235"/>
      <c r="CX34" s="13"/>
      <c r="CY34" s="13"/>
      <c r="CZ34" s="13"/>
      <c r="DA34" s="13"/>
      <c r="DB34" s="235"/>
    </row>
    <row r="35" spans="1:106" s="125" customFormat="1">
      <c r="A35" s="129" t="s">
        <v>502</v>
      </c>
      <c r="F35" s="232"/>
      <c r="K35" s="232"/>
      <c r="P35" s="232"/>
      <c r="U35" s="232"/>
      <c r="Z35" s="232"/>
      <c r="AE35" s="232"/>
      <c r="AJ35" s="232"/>
      <c r="AO35" s="232"/>
      <c r="AT35" s="232"/>
      <c r="AY35" s="232"/>
      <c r="BD35" s="232"/>
      <c r="BI35" s="232"/>
      <c r="BN35" s="232"/>
      <c r="BS35" s="232"/>
      <c r="BX35" s="232"/>
      <c r="CC35" s="232"/>
      <c r="CH35" s="232"/>
      <c r="CM35" s="232"/>
      <c r="CR35" s="232"/>
      <c r="CW35" s="232"/>
      <c r="DB35" s="232"/>
    </row>
    <row r="36" spans="1:106">
      <c r="A36" s="305" t="s">
        <v>218</v>
      </c>
      <c r="F36" s="217"/>
      <c r="G36" s="119"/>
      <c r="H36" s="13"/>
      <c r="I36" s="13"/>
      <c r="J36" s="13"/>
      <c r="K36" s="235"/>
      <c r="L36" s="13"/>
      <c r="M36" s="13"/>
      <c r="N36" s="13"/>
      <c r="O36" s="13"/>
      <c r="P36" s="235"/>
      <c r="Q36" s="13"/>
      <c r="R36" s="13"/>
      <c r="S36" s="13"/>
      <c r="T36" s="13"/>
      <c r="U36" s="235"/>
      <c r="V36" s="13"/>
      <c r="W36" s="13"/>
      <c r="X36" s="13"/>
      <c r="Y36" s="13"/>
      <c r="Z36" s="235"/>
      <c r="AA36" s="13"/>
      <c r="AB36" s="13"/>
      <c r="AC36" s="13"/>
      <c r="AD36" s="13"/>
      <c r="AE36" s="235"/>
      <c r="AF36" s="13"/>
      <c r="AG36" s="13"/>
      <c r="AH36" s="13"/>
      <c r="AI36" s="13"/>
      <c r="AJ36" s="235"/>
      <c r="AK36" s="13"/>
      <c r="AL36" s="13"/>
      <c r="AM36" s="13"/>
      <c r="AN36" s="13"/>
      <c r="AO36" s="225">
        <f>AO61</f>
        <v>468.78081926020798</v>
      </c>
      <c r="AP36" s="13"/>
      <c r="AQ36" s="13"/>
      <c r="AR36" s="13"/>
      <c r="AS36" s="13"/>
      <c r="AT36" s="225">
        <f>AT61</f>
        <v>574.44075114842565</v>
      </c>
      <c r="AU36" s="13"/>
      <c r="AV36" s="13"/>
      <c r="AW36" s="13"/>
      <c r="AX36" s="13"/>
      <c r="AY36" s="236">
        <f>AY61</f>
        <v>656.85196999999994</v>
      </c>
      <c r="AZ36" s="225">
        <f t="shared" ref="AZ36:BC36" si="809">AZ61</f>
        <v>224.027919</v>
      </c>
      <c r="BA36" s="225">
        <f t="shared" si="809"/>
        <v>243.10681699999992</v>
      </c>
      <c r="BB36" s="225">
        <f t="shared" si="809"/>
        <v>251.22978750000001</v>
      </c>
      <c r="BC36" s="225">
        <f t="shared" si="809"/>
        <v>264.68278100000003</v>
      </c>
      <c r="BD36" s="236">
        <f>BD61</f>
        <v>983.04730449999988</v>
      </c>
      <c r="BE36" s="225">
        <f>BE61</f>
        <v>276.76528953791052</v>
      </c>
      <c r="BF36" s="225">
        <f t="shared" ref="BF36:BH36" si="810">BF61</f>
        <v>282.29168633791056</v>
      </c>
      <c r="BG36" s="225">
        <f t="shared" si="810"/>
        <v>294.73754259305628</v>
      </c>
      <c r="BH36" s="225">
        <f t="shared" si="810"/>
        <v>327.0847820501948</v>
      </c>
      <c r="BI36" s="236">
        <f>SUM(BE36:BH36)</f>
        <v>1180.8793005190723</v>
      </c>
      <c r="BJ36" s="361">
        <f>BJ61</f>
        <v>274.71690722941338</v>
      </c>
      <c r="BK36" s="225">
        <f t="shared" ref="BK36:BM36" si="811">BK61</f>
        <v>280.61299331683068</v>
      </c>
      <c r="BL36" s="225">
        <f t="shared" si="811"/>
        <v>284.308772365094</v>
      </c>
      <c r="BM36" s="225">
        <f t="shared" si="811"/>
        <v>288.52940789637785</v>
      </c>
      <c r="BN36" s="236">
        <f>SUM(BJ36:BM36)</f>
        <v>1128.1680808077158</v>
      </c>
      <c r="BO36" s="225">
        <f>BO61</f>
        <v>315.94803196671023</v>
      </c>
      <c r="BP36" s="225">
        <f t="shared" ref="BP36:BR36" si="812">BP61</f>
        <v>291.64043086223279</v>
      </c>
      <c r="BQ36" s="225">
        <f t="shared" si="812"/>
        <v>305.63238694980106</v>
      </c>
      <c r="BR36" s="225">
        <f t="shared" si="812"/>
        <v>303.10165837108138</v>
      </c>
      <c r="BS36" s="236">
        <f>SUM(BO36:BR36)</f>
        <v>1216.3225081498254</v>
      </c>
      <c r="BT36" s="225">
        <f>BT61</f>
        <v>344.44574689375673</v>
      </c>
      <c r="BU36" s="225">
        <f t="shared" ref="BU36:BW36" si="813">BU61</f>
        <v>323.90827658177409</v>
      </c>
      <c r="BV36" s="225">
        <f t="shared" si="813"/>
        <v>334.1345659275251</v>
      </c>
      <c r="BW36" s="225">
        <f t="shared" si="813"/>
        <v>331.62929277374741</v>
      </c>
      <c r="BX36" s="236">
        <f>SUM(BT36:BW36)</f>
        <v>1334.1178821768033</v>
      </c>
      <c r="BY36" s="13"/>
      <c r="BZ36" s="13"/>
      <c r="CA36" s="13"/>
      <c r="CB36" s="13"/>
      <c r="CC36" s="235"/>
      <c r="CD36" s="13"/>
      <c r="CE36" s="13"/>
      <c r="CF36" s="13"/>
      <c r="CG36" s="13"/>
      <c r="CH36" s="235"/>
      <c r="CI36" s="13"/>
      <c r="CJ36" s="13"/>
      <c r="CK36" s="13"/>
      <c r="CL36" s="13"/>
      <c r="CM36" s="235"/>
      <c r="CN36" s="13"/>
      <c r="CO36" s="13"/>
      <c r="CP36" s="13"/>
      <c r="CQ36" s="13"/>
      <c r="CR36" s="235"/>
      <c r="CS36" s="13"/>
      <c r="CT36" s="13"/>
      <c r="CU36" s="13"/>
      <c r="CV36" s="13"/>
      <c r="CW36" s="235"/>
      <c r="CX36" s="13"/>
      <c r="CY36" s="13"/>
      <c r="CZ36" s="13"/>
      <c r="DA36" s="13"/>
      <c r="DB36" s="235"/>
    </row>
    <row r="37" spans="1:106">
      <c r="A37" s="277" t="s">
        <v>281</v>
      </c>
      <c r="F37" s="217"/>
      <c r="G37" s="119"/>
      <c r="H37" s="13"/>
      <c r="I37" s="13"/>
      <c r="J37" s="13"/>
      <c r="K37" s="235"/>
      <c r="L37" s="13"/>
      <c r="M37" s="13"/>
      <c r="N37" s="13"/>
      <c r="O37" s="13"/>
      <c r="P37" s="235"/>
      <c r="Q37" s="13"/>
      <c r="R37" s="13"/>
      <c r="S37" s="13"/>
      <c r="T37" s="13"/>
      <c r="U37" s="235"/>
      <c r="V37" s="13"/>
      <c r="W37" s="13"/>
      <c r="X37" s="13"/>
      <c r="Y37" s="13"/>
      <c r="Z37" s="235"/>
      <c r="AA37" s="13"/>
      <c r="AB37" s="13"/>
      <c r="AC37" s="13"/>
      <c r="AD37" s="13"/>
      <c r="AE37" s="235"/>
      <c r="AF37" s="13"/>
      <c r="AG37" s="13"/>
      <c r="AH37" s="13"/>
      <c r="AI37" s="13"/>
      <c r="AJ37" s="235"/>
      <c r="AK37" s="13"/>
      <c r="AL37" s="13"/>
      <c r="AM37" s="13"/>
      <c r="AN37" s="13"/>
      <c r="AO37" s="235"/>
      <c r="AP37" s="13"/>
      <c r="AQ37" s="13"/>
      <c r="AR37" s="13"/>
      <c r="AS37" s="13"/>
      <c r="AT37" s="235"/>
      <c r="AU37" s="13"/>
      <c r="AV37" s="13"/>
      <c r="AW37" s="13"/>
      <c r="AX37" s="13"/>
      <c r="AY37" s="235"/>
      <c r="AZ37" s="13"/>
      <c r="BA37" s="13"/>
      <c r="BB37" s="13"/>
      <c r="BC37" s="13"/>
      <c r="BD37" s="239">
        <f t="shared" ref="BD37" si="814">+BD36/AY36-1</f>
        <v>0.49660402860632358</v>
      </c>
      <c r="BE37" s="13">
        <f>+BE36/AZ36-1</f>
        <v>0.23540534935697233</v>
      </c>
      <c r="BF37" s="13">
        <f t="shared" ref="BF37" si="815">+BF36/BA36-1</f>
        <v>0.16118375379786509</v>
      </c>
      <c r="BG37" s="13">
        <f t="shared" ref="BG37" si="816">+BG36/BB36-1</f>
        <v>0.17317912627321808</v>
      </c>
      <c r="BH37" s="13">
        <f t="shared" ref="BH37" si="817">+BH36/BC36-1</f>
        <v>0.23576146817875077</v>
      </c>
      <c r="BI37" s="239">
        <f t="shared" ref="BI37" si="818">+BI36/BD36-1</f>
        <v>0.20124361779283273</v>
      </c>
      <c r="BJ37" s="328">
        <f>+BJ36/BE36-1</f>
        <v>-7.4011532006673653E-3</v>
      </c>
      <c r="BK37" s="13">
        <f t="shared" ref="BK37" si="819">+BK36/BF36-1</f>
        <v>-5.9466612101017891E-3</v>
      </c>
      <c r="BL37" s="13">
        <f t="shared" ref="BL37" si="820">+BL36/BG36-1</f>
        <v>-3.5383243465394787E-2</v>
      </c>
      <c r="BM37" s="13">
        <f t="shared" ref="BM37" si="821">+BM36/BH36-1</f>
        <v>-0.11787578105024832</v>
      </c>
      <c r="BN37" s="239">
        <f t="shared" ref="BN37" si="822">+BN36/BI36-1</f>
        <v>-4.463726283303171E-2</v>
      </c>
      <c r="BO37" s="13">
        <f>+BO36/BJ36-1</f>
        <v>0.15008586531175938</v>
      </c>
      <c r="BP37" s="13">
        <f t="shared" ref="BP37" si="823">+BP36/BK36-1</f>
        <v>3.9297672623987978E-2</v>
      </c>
      <c r="BQ37" s="13">
        <f t="shared" ref="BQ37" si="824">+BQ36/BL36-1</f>
        <v>7.5001606202021787E-2</v>
      </c>
      <c r="BR37" s="13">
        <f t="shared" ref="BR37" si="825">+BR36/BM36-1</f>
        <v>5.0505252067536199E-2</v>
      </c>
      <c r="BS37" s="239">
        <f t="shared" ref="BS37" si="826">+BS36/BN36-1</f>
        <v>7.8139444681855519E-2</v>
      </c>
      <c r="BT37" s="13">
        <f>+BT36/BO36-1</f>
        <v>9.0197475672357363E-2</v>
      </c>
      <c r="BU37" s="13">
        <f t="shared" ref="BU37" si="827">+BU36/BP36-1</f>
        <v>0.11064256634151048</v>
      </c>
      <c r="BV37" s="13">
        <f t="shared" ref="BV37" si="828">+BV36/BQ36-1</f>
        <v>9.3256409316351041E-2</v>
      </c>
      <c r="BW37" s="13">
        <f t="shared" ref="BW37" si="829">+BW36/BR36-1</f>
        <v>9.4119031073529147E-2</v>
      </c>
      <c r="BX37" s="239">
        <f t="shared" ref="BX37" si="830">+BX36/BS36-1</f>
        <v>9.6845510329459428E-2</v>
      </c>
      <c r="BY37" s="13"/>
      <c r="BZ37" s="13"/>
      <c r="CA37" s="13"/>
      <c r="CB37" s="13"/>
      <c r="CC37" s="235"/>
      <c r="CD37" s="13"/>
      <c r="CE37" s="13"/>
      <c r="CF37" s="13"/>
      <c r="CG37" s="13"/>
      <c r="CH37" s="235"/>
      <c r="CI37" s="13"/>
      <c r="CJ37" s="13"/>
      <c r="CK37" s="13"/>
      <c r="CL37" s="13"/>
      <c r="CM37" s="235"/>
      <c r="CN37" s="13"/>
      <c r="CO37" s="13"/>
      <c r="CP37" s="13"/>
      <c r="CQ37" s="13"/>
      <c r="CR37" s="235"/>
      <c r="CS37" s="13"/>
      <c r="CT37" s="13"/>
      <c r="CU37" s="13"/>
      <c r="CV37" s="13"/>
      <c r="CW37" s="235"/>
      <c r="CX37" s="13"/>
      <c r="CY37" s="13"/>
      <c r="CZ37" s="13"/>
      <c r="DA37" s="13"/>
      <c r="DB37" s="235"/>
    </row>
    <row r="38" spans="1:106">
      <c r="A38" s="277" t="s">
        <v>288</v>
      </c>
      <c r="F38" s="217"/>
      <c r="G38" s="119"/>
      <c r="H38" s="13"/>
      <c r="I38" s="13"/>
      <c r="J38" s="13"/>
      <c r="K38" s="235"/>
      <c r="L38" s="13"/>
      <c r="M38" s="13"/>
      <c r="N38" s="13"/>
      <c r="O38" s="13"/>
      <c r="P38" s="235"/>
      <c r="Q38" s="13"/>
      <c r="R38" s="13"/>
      <c r="S38" s="13"/>
      <c r="T38" s="13"/>
      <c r="U38" s="235"/>
      <c r="V38" s="13"/>
      <c r="W38" s="13"/>
      <c r="X38" s="13"/>
      <c r="Y38" s="13"/>
      <c r="Z38" s="235"/>
      <c r="AA38" s="13"/>
      <c r="AB38" s="13"/>
      <c r="AC38" s="13"/>
      <c r="AD38" s="13"/>
      <c r="AE38" s="235"/>
      <c r="AF38" s="13"/>
      <c r="AG38" s="13"/>
      <c r="AH38" s="13"/>
      <c r="AI38" s="13"/>
      <c r="AJ38" s="235"/>
      <c r="AK38" s="13"/>
      <c r="AL38" s="13"/>
      <c r="AM38" s="13"/>
      <c r="AN38" s="13"/>
      <c r="AO38" s="235"/>
      <c r="AP38" s="13"/>
      <c r="AQ38" s="13"/>
      <c r="AR38" s="13"/>
      <c r="AS38" s="13"/>
      <c r="AT38" s="235"/>
      <c r="AU38" s="13"/>
      <c r="AV38" s="13"/>
      <c r="AW38" s="13"/>
      <c r="AX38" s="13"/>
      <c r="AY38" s="235"/>
      <c r="AZ38" s="13"/>
      <c r="BA38" s="13"/>
      <c r="BB38" s="13"/>
      <c r="BC38" s="13"/>
      <c r="BD38" s="235"/>
      <c r="BE38" s="13">
        <f>+BE36/BC36-1</f>
        <v>4.5649016125119513E-2</v>
      </c>
      <c r="BF38" s="13">
        <f t="shared" ref="BF38" si="831">+BF36/BE36-1</f>
        <v>1.9967810303188616E-2</v>
      </c>
      <c r="BG38" s="13">
        <f t="shared" ref="BG38" si="832">+BG36/BF36-1</f>
        <v>4.4088639012371367E-2</v>
      </c>
      <c r="BH38" s="13">
        <f t="shared" ref="BH38" si="833">+BH36/BG36-1</f>
        <v>0.10974930160763519</v>
      </c>
      <c r="BI38" s="235" t="s">
        <v>290</v>
      </c>
      <c r="BJ38" s="328">
        <f>+BJ36/BH36-1</f>
        <v>-0.16010489541132178</v>
      </c>
      <c r="BK38" s="13">
        <f t="shared" ref="BK38" si="834">+BK36/BJ36-1</f>
        <v>2.1462407053431054E-2</v>
      </c>
      <c r="BL38" s="13">
        <f t="shared" ref="BL38" si="835">+BL36/BK36-1</f>
        <v>1.3170377481738882E-2</v>
      </c>
      <c r="BM38" s="13">
        <f t="shared" ref="BM38" si="836">+BM36/BL36-1</f>
        <v>1.4845252561760391E-2</v>
      </c>
      <c r="BN38" s="235" t="s">
        <v>290</v>
      </c>
      <c r="BO38" s="62">
        <f>+BO36/BM36-1</f>
        <v>9.5028871650336244E-2</v>
      </c>
      <c r="BP38" s="13">
        <f t="shared" ref="BP38" si="837">+BP36/BO36-1</f>
        <v>-7.693544078489023E-2</v>
      </c>
      <c r="BQ38" s="13">
        <f t="shared" ref="BQ38" si="838">+BQ36/BP36-1</f>
        <v>4.7976736442890244E-2</v>
      </c>
      <c r="BR38" s="13">
        <f t="shared" ref="BR38" si="839">+BR36/BQ36-1</f>
        <v>-8.2803023723245772E-3</v>
      </c>
      <c r="BS38" s="235" t="s">
        <v>290</v>
      </c>
      <c r="BT38" s="13">
        <f t="shared" ref="BT38" si="840">+BT36/BS36-1</f>
        <v>-0.71681380177885501</v>
      </c>
      <c r="BU38" s="13">
        <f t="shared" ref="BU38" si="841">+BU36/BT36-1</f>
        <v>-5.9624688349882216E-2</v>
      </c>
      <c r="BV38" s="13">
        <f t="shared" ref="BV38" si="842">+BV36/BU36-1</f>
        <v>3.1571559250259673E-2</v>
      </c>
      <c r="BW38" s="13">
        <f t="shared" ref="BW38" si="843">+BW36/BV36-1</f>
        <v>-7.4977970232540381E-3</v>
      </c>
      <c r="BX38" s="235"/>
      <c r="BY38" s="13"/>
      <c r="BZ38" s="13"/>
      <c r="CA38" s="13"/>
      <c r="CB38" s="13"/>
      <c r="CC38" s="235"/>
      <c r="CD38" s="13"/>
      <c r="CE38" s="13"/>
      <c r="CF38" s="13"/>
      <c r="CG38" s="13"/>
      <c r="CH38" s="235"/>
      <c r="CI38" s="13"/>
      <c r="CJ38" s="13"/>
      <c r="CK38" s="13"/>
      <c r="CL38" s="13"/>
      <c r="CM38" s="235"/>
      <c r="CN38" s="13"/>
      <c r="CO38" s="13"/>
      <c r="CP38" s="13"/>
      <c r="CQ38" s="13"/>
      <c r="CR38" s="235"/>
      <c r="CS38" s="13"/>
      <c r="CT38" s="13"/>
      <c r="CU38" s="13"/>
      <c r="CV38" s="13"/>
      <c r="CW38" s="235"/>
      <c r="CX38" s="13"/>
      <c r="CY38" s="13"/>
      <c r="CZ38" s="13"/>
      <c r="DA38" s="13"/>
      <c r="DB38" s="235"/>
    </row>
    <row r="39" spans="1:106">
      <c r="A39" s="277" t="s">
        <v>490</v>
      </c>
      <c r="F39" s="217"/>
      <c r="G39" s="119"/>
      <c r="H39" s="13"/>
      <c r="I39" s="13"/>
      <c r="J39" s="13"/>
      <c r="K39" s="235"/>
      <c r="L39" s="13"/>
      <c r="M39" s="13"/>
      <c r="N39" s="13"/>
      <c r="O39" s="13"/>
      <c r="P39" s="235"/>
      <c r="Q39" s="13"/>
      <c r="R39" s="13"/>
      <c r="S39" s="13"/>
      <c r="T39" s="13"/>
      <c r="U39" s="235"/>
      <c r="V39" s="13"/>
      <c r="W39" s="13"/>
      <c r="X39" s="13"/>
      <c r="Y39" s="13"/>
      <c r="Z39" s="235"/>
      <c r="AA39" s="13"/>
      <c r="AB39" s="13"/>
      <c r="AC39" s="13"/>
      <c r="AD39" s="13"/>
      <c r="AE39" s="235"/>
      <c r="AF39" s="13"/>
      <c r="AG39" s="13"/>
      <c r="AH39" s="13"/>
      <c r="AI39" s="13"/>
      <c r="AJ39" s="235"/>
      <c r="AK39" s="13"/>
      <c r="AL39" s="13"/>
      <c r="AM39" s="13"/>
      <c r="AN39" s="13"/>
      <c r="AO39" s="235"/>
      <c r="AP39" s="13"/>
      <c r="AQ39" s="13"/>
      <c r="AR39" s="13"/>
      <c r="AS39" s="13"/>
      <c r="AT39" s="235"/>
      <c r="AU39" s="13"/>
      <c r="AV39" s="13"/>
      <c r="AW39" s="13"/>
      <c r="AX39" s="13"/>
      <c r="AY39" s="235"/>
      <c r="AZ39" s="13"/>
      <c r="BA39" s="13"/>
      <c r="BB39" s="13"/>
      <c r="BC39" s="13"/>
      <c r="BD39" s="239">
        <f t="shared" ref="BD39:BX39" si="844">BD36/BD31</f>
        <v>0.58338524272524517</v>
      </c>
      <c r="BE39" s="13">
        <f t="shared" si="844"/>
        <v>0.55349072774342356</v>
      </c>
      <c r="BF39" s="62">
        <f t="shared" si="844"/>
        <v>0.51851154762330032</v>
      </c>
      <c r="BG39" s="62">
        <f t="shared" si="844"/>
        <v>0.49938841199304007</v>
      </c>
      <c r="BH39" s="13">
        <f t="shared" si="844"/>
        <v>0.4947135066401398</v>
      </c>
      <c r="BI39" s="239">
        <f t="shared" si="844"/>
        <v>0.51436057727481788</v>
      </c>
      <c r="BJ39" s="328">
        <f t="shared" si="844"/>
        <v>0.44694912303913353</v>
      </c>
      <c r="BK39" s="13">
        <f t="shared" si="844"/>
        <v>0.432893648834553</v>
      </c>
      <c r="BL39" s="13">
        <f t="shared" si="844"/>
        <v>0.42151261606978374</v>
      </c>
      <c r="BM39" s="13">
        <f t="shared" si="844"/>
        <v>0.4059507018632677</v>
      </c>
      <c r="BN39" s="239">
        <f t="shared" si="844"/>
        <v>0.42602577073348646</v>
      </c>
      <c r="BO39" s="62">
        <f t="shared" si="844"/>
        <v>0.41562779266984629</v>
      </c>
      <c r="BP39" s="13">
        <f t="shared" si="844"/>
        <v>0.38339770084613561</v>
      </c>
      <c r="BQ39" s="13">
        <f t="shared" si="844"/>
        <v>0.38758250750373963</v>
      </c>
      <c r="BR39" s="13">
        <f t="shared" si="844"/>
        <v>0.37496832424708282</v>
      </c>
      <c r="BS39" s="239">
        <f t="shared" si="844"/>
        <v>0.39012902477199857</v>
      </c>
      <c r="BT39" s="13">
        <f t="shared" si="844"/>
        <v>0.3937316793352999</v>
      </c>
      <c r="BU39" s="13">
        <f t="shared" si="844"/>
        <v>0.36660440369675307</v>
      </c>
      <c r="BV39" s="13">
        <f t="shared" si="844"/>
        <v>0.36664113540270354</v>
      </c>
      <c r="BW39" s="13">
        <f t="shared" si="844"/>
        <v>0.35447230686096631</v>
      </c>
      <c r="BX39" s="239">
        <f t="shared" si="844"/>
        <v>0.37004792467941527</v>
      </c>
      <c r="BY39" s="13"/>
      <c r="BZ39" s="13"/>
      <c r="CA39" s="13"/>
      <c r="CB39" s="13"/>
      <c r="CC39" s="235"/>
      <c r="CD39" s="13"/>
      <c r="CE39" s="13"/>
      <c r="CF39" s="13"/>
      <c r="CG39" s="13"/>
      <c r="CH39" s="235"/>
      <c r="CI39" s="13"/>
      <c r="CJ39" s="13"/>
      <c r="CK39" s="13"/>
      <c r="CL39" s="13"/>
      <c r="CM39" s="235"/>
      <c r="CN39" s="13"/>
      <c r="CO39" s="13"/>
      <c r="CP39" s="13"/>
      <c r="CQ39" s="13"/>
      <c r="CR39" s="235"/>
      <c r="CS39" s="13"/>
      <c r="CT39" s="13"/>
      <c r="CU39" s="13"/>
      <c r="CV39" s="13"/>
      <c r="CW39" s="235"/>
      <c r="CX39" s="13"/>
      <c r="CY39" s="13"/>
      <c r="CZ39" s="13"/>
      <c r="DA39" s="13"/>
      <c r="DB39" s="235"/>
    </row>
    <row r="40" spans="1:106">
      <c r="A40" s="277"/>
      <c r="F40" s="217"/>
      <c r="G40" s="119"/>
      <c r="H40" s="13"/>
      <c r="I40" s="13"/>
      <c r="J40" s="13"/>
      <c r="K40" s="235"/>
      <c r="L40" s="13"/>
      <c r="M40" s="13"/>
      <c r="N40" s="13"/>
      <c r="O40" s="13"/>
      <c r="P40" s="235"/>
      <c r="Q40" s="13"/>
      <c r="R40" s="13"/>
      <c r="S40" s="13"/>
      <c r="T40" s="13"/>
      <c r="U40" s="235"/>
      <c r="V40" s="13"/>
      <c r="W40" s="13"/>
      <c r="X40" s="13"/>
      <c r="Y40" s="13"/>
      <c r="Z40" s="235"/>
      <c r="AA40" s="13"/>
      <c r="AB40" s="13"/>
      <c r="AC40" s="13"/>
      <c r="AD40" s="13"/>
      <c r="AE40" s="235"/>
      <c r="AF40" s="13"/>
      <c r="AG40" s="13"/>
      <c r="AH40" s="13"/>
      <c r="AI40" s="13"/>
      <c r="AJ40" s="235"/>
      <c r="AK40" s="13"/>
      <c r="AL40" s="13"/>
      <c r="AM40" s="13"/>
      <c r="AN40" s="13"/>
      <c r="AO40" s="235"/>
      <c r="AP40" s="13"/>
      <c r="AQ40" s="13"/>
      <c r="AR40" s="13"/>
      <c r="AS40" s="13"/>
      <c r="AT40" s="235"/>
      <c r="AU40" s="13"/>
      <c r="AV40" s="13"/>
      <c r="AW40" s="13"/>
      <c r="AX40" s="13"/>
      <c r="AY40" s="235"/>
      <c r="AZ40" s="13"/>
      <c r="BA40" s="13"/>
      <c r="BB40" s="13"/>
      <c r="BC40" s="13"/>
      <c r="BD40" s="235"/>
      <c r="BE40" s="13"/>
      <c r="BF40" s="62"/>
      <c r="BG40" s="62"/>
      <c r="BH40" s="13"/>
      <c r="BI40" s="235"/>
      <c r="BJ40" s="328"/>
      <c r="BK40" s="13"/>
      <c r="BL40" s="13"/>
      <c r="BM40" s="13"/>
      <c r="BN40" s="235"/>
      <c r="BO40" s="62"/>
      <c r="BP40" s="13"/>
      <c r="BQ40" s="13"/>
      <c r="BR40" s="13"/>
      <c r="BS40" s="235"/>
      <c r="BT40" s="13"/>
      <c r="BU40" s="13"/>
      <c r="BV40" s="13"/>
      <c r="BW40" s="13"/>
      <c r="BX40" s="235"/>
      <c r="BY40" s="13"/>
      <c r="BZ40" s="13"/>
      <c r="CA40" s="13"/>
      <c r="CB40" s="13"/>
      <c r="CC40" s="235"/>
      <c r="CD40" s="13"/>
      <c r="CE40" s="13"/>
      <c r="CF40" s="13"/>
      <c r="CG40" s="13"/>
      <c r="CH40" s="235"/>
      <c r="CI40" s="13"/>
      <c r="CJ40" s="13"/>
      <c r="CK40" s="13"/>
      <c r="CL40" s="13"/>
      <c r="CM40" s="235"/>
      <c r="CN40" s="13"/>
      <c r="CO40" s="13"/>
      <c r="CP40" s="13"/>
      <c r="CQ40" s="13"/>
      <c r="CR40" s="235"/>
      <c r="CS40" s="13"/>
      <c r="CT40" s="13"/>
      <c r="CU40" s="13"/>
      <c r="CV40" s="13"/>
      <c r="CW40" s="235"/>
      <c r="CX40" s="13"/>
      <c r="CY40" s="13"/>
      <c r="CZ40" s="13"/>
      <c r="DA40" s="13"/>
      <c r="DB40" s="235"/>
    </row>
    <row r="41" spans="1:106">
      <c r="A41" s="305" t="s">
        <v>503</v>
      </c>
      <c r="F41" s="217"/>
      <c r="G41" s="119"/>
      <c r="H41" s="13"/>
      <c r="I41" s="13"/>
      <c r="J41" s="13"/>
      <c r="K41" s="235"/>
      <c r="L41" s="13"/>
      <c r="M41" s="13"/>
      <c r="N41" s="13"/>
      <c r="O41" s="13"/>
      <c r="P41" s="235"/>
      <c r="Q41" s="13"/>
      <c r="R41" s="13"/>
      <c r="S41" s="13"/>
      <c r="T41" s="13"/>
      <c r="U41" s="235"/>
      <c r="V41" s="13"/>
      <c r="W41" s="13"/>
      <c r="X41" s="13"/>
      <c r="Y41" s="13"/>
      <c r="Z41" s="235"/>
      <c r="AA41" s="13"/>
      <c r="AB41" s="13"/>
      <c r="AC41" s="13"/>
      <c r="AD41" s="13"/>
      <c r="AE41" s="235"/>
      <c r="AF41" s="13"/>
      <c r="AG41" s="13"/>
      <c r="AH41" s="13"/>
      <c r="AI41" s="13"/>
      <c r="AJ41" s="235"/>
      <c r="AK41" s="13"/>
      <c r="AL41" s="13"/>
      <c r="AM41" s="13"/>
      <c r="AN41" s="13"/>
      <c r="AO41" s="235"/>
      <c r="AP41" s="13"/>
      <c r="AQ41" s="13"/>
      <c r="AR41" s="13"/>
      <c r="AS41" s="13"/>
      <c r="AT41" s="235"/>
      <c r="AU41" s="13"/>
      <c r="AV41" s="13"/>
      <c r="AW41" s="13"/>
      <c r="AX41" s="13"/>
      <c r="AY41" s="236">
        <f t="shared" ref="AY41:BH41" si="845">AY195</f>
        <v>84.135629999999992</v>
      </c>
      <c r="AZ41" s="225">
        <f t="shared" si="845"/>
        <v>21.465080999999998</v>
      </c>
      <c r="BA41" s="225">
        <f t="shared" si="845"/>
        <v>29.551863000000001</v>
      </c>
      <c r="BB41" s="225">
        <f t="shared" si="845"/>
        <v>34.221292500000004</v>
      </c>
      <c r="BC41" s="225">
        <f t="shared" si="845"/>
        <v>38.274378999999996</v>
      </c>
      <c r="BD41" s="236">
        <f t="shared" si="845"/>
        <v>123.5126155</v>
      </c>
      <c r="BE41" s="225">
        <f t="shared" si="845"/>
        <v>30.608810462089469</v>
      </c>
      <c r="BF41" s="225">
        <f t="shared" si="845"/>
        <v>39.97046166208947</v>
      </c>
      <c r="BG41" s="225">
        <f t="shared" si="845"/>
        <v>43.295945406943659</v>
      </c>
      <c r="BH41" s="225">
        <f t="shared" si="845"/>
        <v>49.310993949805201</v>
      </c>
      <c r="BI41" s="236">
        <f>SUM(BE41:BH41)</f>
        <v>163.1862114809278</v>
      </c>
      <c r="BJ41" s="361">
        <f>BJ195</f>
        <v>34.188329173880959</v>
      </c>
      <c r="BK41" s="225">
        <f>BK195</f>
        <v>43.928559893880951</v>
      </c>
      <c r="BL41" s="225">
        <f>BL195</f>
        <v>47.13295728638095</v>
      </c>
      <c r="BM41" s="225">
        <f>BM195</f>
        <v>53.280997953104738</v>
      </c>
      <c r="BN41" s="236">
        <f>SUM(BJ41:BM41)</f>
        <v>178.53084430724761</v>
      </c>
      <c r="BO41" s="225">
        <f>BO195</f>
        <v>41.558267001104056</v>
      </c>
      <c r="BP41" s="225">
        <f>BP195</f>
        <v>51.90392955470405</v>
      </c>
      <c r="BQ41" s="225">
        <f>BQ195</f>
        <v>55.243586798729041</v>
      </c>
      <c r="BR41" s="225">
        <f>BR195</f>
        <v>61.765412271704548</v>
      </c>
      <c r="BS41" s="236">
        <f>SUM(BO41:BR41)</f>
        <v>210.47119562624169</v>
      </c>
      <c r="BT41" s="225">
        <f>BT195</f>
        <v>48.648055356344031</v>
      </c>
      <c r="BU41" s="225">
        <f>BU195</f>
        <v>59.479506469992025</v>
      </c>
      <c r="BV41" s="225">
        <f>BV195</f>
        <v>62.941266662564033</v>
      </c>
      <c r="BW41" s="225">
        <f>BW195</f>
        <v>69.764787004922539</v>
      </c>
      <c r="BX41" s="236">
        <f>SUM(BT41:BW41)</f>
        <v>240.83361549382263</v>
      </c>
      <c r="BY41" s="13"/>
      <c r="BZ41" s="13"/>
      <c r="CA41" s="13"/>
      <c r="CB41" s="13"/>
      <c r="CC41" s="235"/>
      <c r="CD41" s="13"/>
      <c r="CE41" s="13"/>
      <c r="CF41" s="13"/>
      <c r="CG41" s="13"/>
      <c r="CH41" s="235"/>
      <c r="CI41" s="13"/>
      <c r="CJ41" s="13"/>
      <c r="CK41" s="13"/>
      <c r="CL41" s="13"/>
      <c r="CM41" s="235"/>
      <c r="CN41" s="13"/>
      <c r="CO41" s="13"/>
      <c r="CP41" s="13"/>
      <c r="CQ41" s="13"/>
      <c r="CR41" s="235"/>
      <c r="CS41" s="13"/>
      <c r="CT41" s="13"/>
      <c r="CU41" s="13"/>
      <c r="CV41" s="13"/>
      <c r="CW41" s="235"/>
      <c r="CX41" s="13"/>
      <c r="CY41" s="13"/>
      <c r="CZ41" s="13"/>
      <c r="DA41" s="13"/>
      <c r="DB41" s="235"/>
    </row>
    <row r="42" spans="1:106">
      <c r="A42" s="277" t="s">
        <v>281</v>
      </c>
      <c r="F42" s="217"/>
      <c r="G42" s="119"/>
      <c r="H42" s="13"/>
      <c r="I42" s="13"/>
      <c r="J42" s="13"/>
      <c r="K42" s="235"/>
      <c r="L42" s="13"/>
      <c r="M42" s="13"/>
      <c r="N42" s="13"/>
      <c r="O42" s="13"/>
      <c r="P42" s="235"/>
      <c r="Q42" s="13"/>
      <c r="R42" s="13"/>
      <c r="S42" s="13"/>
      <c r="T42" s="13"/>
      <c r="U42" s="235"/>
      <c r="V42" s="13"/>
      <c r="W42" s="13"/>
      <c r="X42" s="13"/>
      <c r="Y42" s="13"/>
      <c r="Z42" s="235"/>
      <c r="AA42" s="13"/>
      <c r="AB42" s="13"/>
      <c r="AC42" s="13"/>
      <c r="AD42" s="13"/>
      <c r="AE42" s="235"/>
      <c r="AF42" s="13"/>
      <c r="AG42" s="13"/>
      <c r="AH42" s="13"/>
      <c r="AI42" s="13"/>
      <c r="AJ42" s="235"/>
      <c r="AK42" s="13"/>
      <c r="AL42" s="13"/>
      <c r="AM42" s="13"/>
      <c r="AN42" s="13"/>
      <c r="AO42" s="235"/>
      <c r="AP42" s="13"/>
      <c r="AQ42" s="13"/>
      <c r="AR42" s="13"/>
      <c r="AS42" s="13"/>
      <c r="AT42" s="235"/>
      <c r="AU42" s="13"/>
      <c r="AV42" s="13"/>
      <c r="AW42" s="13"/>
      <c r="AX42" s="13"/>
      <c r="AY42" s="235"/>
      <c r="AZ42" s="13"/>
      <c r="BA42" s="13"/>
      <c r="BB42" s="13"/>
      <c r="BC42" s="13"/>
      <c r="BD42" s="239">
        <f t="shared" ref="BD42" si="846">+BD41/AY41-1</f>
        <v>0.46801795505661525</v>
      </c>
      <c r="BE42" s="13">
        <f>+BE41/AZ41-1</f>
        <v>0.42598159597392016</v>
      </c>
      <c r="BF42" s="13">
        <f t="shared" ref="BF42" si="847">+BF41/BA41-1</f>
        <v>0.35255302388514287</v>
      </c>
      <c r="BG42" s="13">
        <f t="shared" ref="BG42" si="848">+BG41/BB41-1</f>
        <v>0.26517563318053083</v>
      </c>
      <c r="BH42" s="13">
        <f t="shared" ref="BH42" si="849">+BH41/BC41-1</f>
        <v>0.28835516703759478</v>
      </c>
      <c r="BI42" s="239">
        <f t="shared" ref="BI42" si="850">+BI41/BD41-1</f>
        <v>0.32121088052683811</v>
      </c>
      <c r="BJ42" s="328">
        <f>+BJ41/BE41-1</f>
        <v>0.11694406472361618</v>
      </c>
      <c r="BK42" s="13">
        <f t="shared" ref="BK42" si="851">+BK41/BF41-1</f>
        <v>9.9025582072413076E-2</v>
      </c>
      <c r="BL42" s="13">
        <f t="shared" ref="BL42" si="852">+BL41/BG41-1</f>
        <v>8.8622891667401449E-2</v>
      </c>
      <c r="BM42" s="13">
        <f t="shared" ref="BM42" si="853">+BM41/BH41-1</f>
        <v>8.0509510867712297E-2</v>
      </c>
      <c r="BN42" s="239">
        <f t="shared" ref="BN42" si="854">+BN41/BI41-1</f>
        <v>9.4031430027488483E-2</v>
      </c>
      <c r="BO42" s="62">
        <f>+BO41/BJ41-1</f>
        <v>0.21556882144604916</v>
      </c>
      <c r="BP42" s="13">
        <f t="shared" ref="BP42" si="855">+BP41/BK41-1</f>
        <v>0.18155317816221039</v>
      </c>
      <c r="BQ42" s="13">
        <f t="shared" ref="BQ42" si="856">+BQ41/BL41-1</f>
        <v>0.17207979255508454</v>
      </c>
      <c r="BR42" s="13">
        <f t="shared" ref="BR42" si="857">+BR41/BM41-1</f>
        <v>0.15923902788133515</v>
      </c>
      <c r="BS42" s="239">
        <f t="shared" ref="BS42" si="858">+BS41/BN41-1</f>
        <v>0.1789066278319138</v>
      </c>
      <c r="BT42" s="13">
        <f>+BT41/BO41-1</f>
        <v>0.17059874886148707</v>
      </c>
      <c r="BU42" s="13">
        <f t="shared" ref="BU42" si="859">+BU41/BP41-1</f>
        <v>0.14595382238455978</v>
      </c>
      <c r="BV42" s="13">
        <f t="shared" ref="BV42" si="860">+BV41/BQ41-1</f>
        <v>0.13934069653877157</v>
      </c>
      <c r="BW42" s="13">
        <f t="shared" ref="BW42" si="861">+BW41/BR41-1</f>
        <v>0.12951220495427007</v>
      </c>
      <c r="BX42" s="239">
        <f t="shared" ref="BX42" si="862">+BX41/BS41-1</f>
        <v>0.1442592644434777</v>
      </c>
      <c r="BY42" s="13"/>
      <c r="BZ42" s="13"/>
      <c r="CA42" s="13"/>
      <c r="CB42" s="13"/>
      <c r="CC42" s="235"/>
      <c r="CD42" s="13"/>
      <c r="CE42" s="13"/>
      <c r="CF42" s="13"/>
      <c r="CG42" s="13"/>
      <c r="CH42" s="235"/>
      <c r="CI42" s="13"/>
      <c r="CJ42" s="13"/>
      <c r="CK42" s="13"/>
      <c r="CL42" s="13"/>
      <c r="CM42" s="235"/>
      <c r="CN42" s="13"/>
      <c r="CO42" s="13"/>
      <c r="CP42" s="13"/>
      <c r="CQ42" s="13"/>
      <c r="CR42" s="235"/>
      <c r="CS42" s="13"/>
      <c r="CT42" s="13"/>
      <c r="CU42" s="13"/>
      <c r="CV42" s="13"/>
      <c r="CW42" s="235"/>
      <c r="CX42" s="13"/>
      <c r="CY42" s="13"/>
      <c r="CZ42" s="13"/>
      <c r="DA42" s="13"/>
      <c r="DB42" s="235"/>
    </row>
    <row r="43" spans="1:106">
      <c r="A43" s="277" t="s">
        <v>288</v>
      </c>
      <c r="F43" s="217"/>
      <c r="G43" s="119"/>
      <c r="H43" s="13"/>
      <c r="I43" s="13"/>
      <c r="J43" s="13"/>
      <c r="K43" s="235"/>
      <c r="L43" s="13"/>
      <c r="M43" s="13"/>
      <c r="N43" s="13"/>
      <c r="O43" s="13"/>
      <c r="P43" s="235"/>
      <c r="Q43" s="13"/>
      <c r="R43" s="13"/>
      <c r="S43" s="13"/>
      <c r="T43" s="13"/>
      <c r="U43" s="235"/>
      <c r="V43" s="13"/>
      <c r="W43" s="13"/>
      <c r="X43" s="13"/>
      <c r="Y43" s="13"/>
      <c r="Z43" s="235"/>
      <c r="AA43" s="13"/>
      <c r="AB43" s="13"/>
      <c r="AC43" s="13"/>
      <c r="AD43" s="13"/>
      <c r="AE43" s="235"/>
      <c r="AF43" s="13"/>
      <c r="AG43" s="13"/>
      <c r="AH43" s="13"/>
      <c r="AI43" s="13"/>
      <c r="AJ43" s="235"/>
      <c r="AK43" s="13"/>
      <c r="AL43" s="13"/>
      <c r="AM43" s="13"/>
      <c r="AN43" s="13"/>
      <c r="AO43" s="235"/>
      <c r="AP43" s="13"/>
      <c r="AQ43" s="13"/>
      <c r="AR43" s="13"/>
      <c r="AS43" s="13"/>
      <c r="AT43" s="235"/>
      <c r="AU43" s="13"/>
      <c r="AV43" s="13"/>
      <c r="AW43" s="13"/>
      <c r="AX43" s="13"/>
      <c r="AY43" s="235"/>
      <c r="AZ43" s="13"/>
      <c r="BA43" s="13"/>
      <c r="BB43" s="13"/>
      <c r="BC43" s="13"/>
      <c r="BD43" s="235"/>
      <c r="BE43" s="13">
        <f>+BE41/BC41-1</f>
        <v>-0.20027937064401558</v>
      </c>
      <c r="BF43" s="13">
        <f t="shared" ref="BF43" si="863">+BF41/BE41-1</f>
        <v>0.30584825279619632</v>
      </c>
      <c r="BG43" s="13">
        <f t="shared" ref="BG43" si="864">+BG41/BF41-1</f>
        <v>8.3198532280358561E-2</v>
      </c>
      <c r="BH43" s="13">
        <f t="shared" ref="BH43" si="865">+BH41/BG41-1</f>
        <v>0.13892867995664249</v>
      </c>
      <c r="BI43" s="235" t="s">
        <v>290</v>
      </c>
      <c r="BJ43" s="328">
        <f>+BJ41/BH41-1</f>
        <v>-0.30667937440721538</v>
      </c>
      <c r="BK43" s="13">
        <f t="shared" ref="BK43" si="866">+BK41/BJ41-1</f>
        <v>0.28489929035319128</v>
      </c>
      <c r="BL43" s="13">
        <f t="shared" ref="BL43" si="867">+BL41/BK41-1</f>
        <v>7.2945650853133426E-2</v>
      </c>
      <c r="BM43" s="13">
        <f t="shared" ref="BM43" si="868">+BM41/BL41-1</f>
        <v>0.13044037592142055</v>
      </c>
      <c r="BN43" s="235" t="s">
        <v>290</v>
      </c>
      <c r="BO43" s="62">
        <f>+BO41/BM41-1</f>
        <v>-0.22001710557896159</v>
      </c>
      <c r="BP43" s="13">
        <f t="shared" ref="BP43" si="869">+BP41/BO41-1</f>
        <v>0.24894355083009456</v>
      </c>
      <c r="BQ43" s="13">
        <f t="shared" ref="BQ43" si="870">+BQ41/BP41-1</f>
        <v>6.4343052109477883E-2</v>
      </c>
      <c r="BR43" s="13">
        <f t="shared" ref="BR43" si="871">+BR41/BQ41-1</f>
        <v>0.11805579345774042</v>
      </c>
      <c r="BS43" s="235" t="s">
        <v>290</v>
      </c>
      <c r="BT43" s="13">
        <f t="shared" ref="BT43" si="872">+BT41/BS41-1</f>
        <v>-0.76886122012280445</v>
      </c>
      <c r="BU43" s="13">
        <f t="shared" ref="BU43" si="873">+BU41/BT41-1</f>
        <v>0.22264921042184072</v>
      </c>
      <c r="BV43" s="13">
        <f t="shared" ref="BV43" si="874">+BV41/BU41-1</f>
        <v>5.8200889651270016E-2</v>
      </c>
      <c r="BW43" s="13">
        <f t="shared" ref="BW43" si="875">+BW41/BV41-1</f>
        <v>0.10841091551176185</v>
      </c>
      <c r="BX43" s="235"/>
      <c r="BY43" s="13"/>
      <c r="BZ43" s="13"/>
      <c r="CA43" s="13"/>
      <c r="CB43" s="13"/>
      <c r="CC43" s="235"/>
      <c r="CD43" s="13"/>
      <c r="CE43" s="13"/>
      <c r="CF43" s="13"/>
      <c r="CG43" s="13"/>
      <c r="CH43" s="235"/>
      <c r="CI43" s="13"/>
      <c r="CJ43" s="13"/>
      <c r="CK43" s="13"/>
      <c r="CL43" s="13"/>
      <c r="CM43" s="235"/>
      <c r="CN43" s="13"/>
      <c r="CO43" s="13"/>
      <c r="CP43" s="13"/>
      <c r="CQ43" s="13"/>
      <c r="CR43" s="235"/>
      <c r="CS43" s="13"/>
      <c r="CT43" s="13"/>
      <c r="CU43" s="13"/>
      <c r="CV43" s="13"/>
      <c r="CW43" s="235"/>
      <c r="CX43" s="13"/>
      <c r="CY43" s="13"/>
      <c r="CZ43" s="13"/>
      <c r="DA43" s="13"/>
      <c r="DB43" s="235"/>
    </row>
    <row r="44" spans="1:106">
      <c r="A44" s="277" t="s">
        <v>490</v>
      </c>
      <c r="F44" s="217"/>
      <c r="G44" s="119"/>
      <c r="H44" s="13"/>
      <c r="I44" s="13"/>
      <c r="J44" s="13"/>
      <c r="K44" s="235"/>
      <c r="L44" s="13"/>
      <c r="M44" s="13"/>
      <c r="N44" s="13"/>
      <c r="O44" s="13"/>
      <c r="P44" s="235"/>
      <c r="Q44" s="13"/>
      <c r="R44" s="13"/>
      <c r="S44" s="13"/>
      <c r="T44" s="13"/>
      <c r="U44" s="235"/>
      <c r="V44" s="13"/>
      <c r="W44" s="13"/>
      <c r="X44" s="13"/>
      <c r="Y44" s="13"/>
      <c r="Z44" s="235"/>
      <c r="AA44" s="13"/>
      <c r="AB44" s="13"/>
      <c r="AC44" s="13"/>
      <c r="AD44" s="13"/>
      <c r="AE44" s="235"/>
      <c r="AF44" s="13"/>
      <c r="AG44" s="13"/>
      <c r="AH44" s="13"/>
      <c r="AI44" s="13"/>
      <c r="AJ44" s="235"/>
      <c r="AK44" s="13"/>
      <c r="AL44" s="13"/>
      <c r="AM44" s="13"/>
      <c r="AN44" s="13"/>
      <c r="AO44" s="235"/>
      <c r="AP44" s="13"/>
      <c r="AQ44" s="13"/>
      <c r="AR44" s="13"/>
      <c r="AS44" s="13"/>
      <c r="AT44" s="235"/>
      <c r="AU44" s="13"/>
      <c r="AV44" s="13"/>
      <c r="AW44" s="13"/>
      <c r="AX44" s="13"/>
      <c r="AY44" s="235"/>
      <c r="AZ44" s="13"/>
      <c r="BA44" s="13"/>
      <c r="BB44" s="13"/>
      <c r="BC44" s="13"/>
      <c r="BD44" s="239">
        <f t="shared" ref="BD44:BX44" si="876">BD41/BD31</f>
        <v>7.3298036466054303E-2</v>
      </c>
      <c r="BE44" s="13">
        <f t="shared" si="876"/>
        <v>6.1213213572801697E-2</v>
      </c>
      <c r="BF44" s="62">
        <f t="shared" si="876"/>
        <v>7.341748602124705E-2</v>
      </c>
      <c r="BG44" s="62">
        <f t="shared" si="876"/>
        <v>7.3358464050043731E-2</v>
      </c>
      <c r="BH44" s="13">
        <f t="shared" si="876"/>
        <v>7.458254272763809E-2</v>
      </c>
      <c r="BI44" s="239">
        <f t="shared" si="876"/>
        <v>7.1079706371112633E-2</v>
      </c>
      <c r="BJ44" s="328">
        <f t="shared" si="876"/>
        <v>5.5622509355344379E-2</v>
      </c>
      <c r="BK44" s="13">
        <f t="shared" si="876"/>
        <v>6.776733449059702E-2</v>
      </c>
      <c r="BL44" s="13">
        <f t="shared" si="876"/>
        <v>6.9878730661801405E-2</v>
      </c>
      <c r="BM44" s="13">
        <f t="shared" si="876"/>
        <v>7.4964485155032026E-2</v>
      </c>
      <c r="BN44" s="239">
        <f t="shared" si="876"/>
        <v>6.7417915680827209E-2</v>
      </c>
      <c r="BO44" s="62">
        <f t="shared" si="876"/>
        <v>5.4669657770404882E-2</v>
      </c>
      <c r="BP44" s="13">
        <f t="shared" si="876"/>
        <v>6.8234185491084232E-2</v>
      </c>
      <c r="BQ44" s="13">
        <f t="shared" si="876"/>
        <v>7.0056213965533159E-2</v>
      </c>
      <c r="BR44" s="13">
        <f t="shared" si="876"/>
        <v>7.6410248826803973E-2</v>
      </c>
      <c r="BS44" s="239">
        <f t="shared" si="876"/>
        <v>6.7507525135881041E-2</v>
      </c>
      <c r="BT44" s="13">
        <f t="shared" si="876"/>
        <v>5.5608991269554126E-2</v>
      </c>
      <c r="BU44" s="13">
        <f t="shared" si="876"/>
        <v>6.7319826562392812E-2</v>
      </c>
      <c r="BV44" s="13">
        <f t="shared" si="876"/>
        <v>6.9064562083805042E-2</v>
      </c>
      <c r="BW44" s="13">
        <f t="shared" si="876"/>
        <v>7.4570267241653387E-2</v>
      </c>
      <c r="BX44" s="239">
        <f t="shared" si="876"/>
        <v>6.6800678408655612E-2</v>
      </c>
      <c r="BY44" s="13"/>
      <c r="BZ44" s="13"/>
      <c r="CA44" s="13"/>
      <c r="CB44" s="13"/>
      <c r="CC44" s="235"/>
      <c r="CD44" s="13"/>
      <c r="CE44" s="13"/>
      <c r="CF44" s="13"/>
      <c r="CG44" s="13"/>
      <c r="CH44" s="235"/>
      <c r="CI44" s="13"/>
      <c r="CJ44" s="13"/>
      <c r="CK44" s="13"/>
      <c r="CL44" s="13"/>
      <c r="CM44" s="235"/>
      <c r="CN44" s="13"/>
      <c r="CO44" s="13"/>
      <c r="CP44" s="13"/>
      <c r="CQ44" s="13"/>
      <c r="CR44" s="235"/>
      <c r="CS44" s="13"/>
      <c r="CT44" s="13"/>
      <c r="CU44" s="13"/>
      <c r="CV44" s="13"/>
      <c r="CW44" s="235"/>
      <c r="CX44" s="13"/>
      <c r="CY44" s="13"/>
      <c r="CZ44" s="13"/>
      <c r="DA44" s="13"/>
      <c r="DB44" s="235"/>
    </row>
    <row r="45" spans="1:106">
      <c r="A45" s="277"/>
      <c r="F45" s="217"/>
      <c r="G45" s="119"/>
      <c r="H45" s="13"/>
      <c r="I45" s="13"/>
      <c r="J45" s="13"/>
      <c r="K45" s="235"/>
      <c r="L45" s="13"/>
      <c r="M45" s="13"/>
      <c r="N45" s="13"/>
      <c r="O45" s="13"/>
      <c r="P45" s="235"/>
      <c r="Q45" s="13"/>
      <c r="R45" s="13"/>
      <c r="S45" s="13"/>
      <c r="T45" s="13"/>
      <c r="U45" s="235"/>
      <c r="V45" s="13"/>
      <c r="W45" s="13"/>
      <c r="X45" s="13"/>
      <c r="Y45" s="13"/>
      <c r="Z45" s="235"/>
      <c r="AA45" s="13"/>
      <c r="AB45" s="13"/>
      <c r="AC45" s="13"/>
      <c r="AD45" s="13"/>
      <c r="AE45" s="235"/>
      <c r="AF45" s="13"/>
      <c r="AG45" s="13"/>
      <c r="AH45" s="13"/>
      <c r="AI45" s="13"/>
      <c r="AJ45" s="235"/>
      <c r="AK45" s="13"/>
      <c r="AL45" s="13"/>
      <c r="AM45" s="13"/>
      <c r="AN45" s="13"/>
      <c r="AO45" s="235"/>
      <c r="AP45" s="13"/>
      <c r="AQ45" s="13"/>
      <c r="AR45" s="13"/>
      <c r="AS45" s="13"/>
      <c r="AT45" s="235"/>
      <c r="AU45" s="13"/>
      <c r="AV45" s="13"/>
      <c r="AW45" s="13"/>
      <c r="AX45" s="13"/>
      <c r="AY45" s="235"/>
      <c r="AZ45" s="13"/>
      <c r="BA45" s="13"/>
      <c r="BB45" s="13"/>
      <c r="BC45" s="13"/>
      <c r="BD45" s="235"/>
      <c r="BE45" s="13"/>
      <c r="BF45" s="62"/>
      <c r="BG45" s="62"/>
      <c r="BH45" s="345"/>
      <c r="BI45" s="235"/>
      <c r="BJ45" s="328"/>
      <c r="BK45" s="13"/>
      <c r="BL45" s="13"/>
      <c r="BM45" s="13"/>
      <c r="BN45" s="235"/>
      <c r="BO45" s="62"/>
      <c r="BP45" s="13"/>
      <c r="BQ45" s="13"/>
      <c r="BR45" s="13"/>
      <c r="BS45" s="235"/>
      <c r="BT45" s="13"/>
      <c r="BU45" s="13"/>
      <c r="BV45" s="13"/>
      <c r="BW45" s="13"/>
      <c r="BX45" s="235"/>
      <c r="BY45" s="13"/>
      <c r="BZ45" s="13"/>
      <c r="CA45" s="13"/>
      <c r="CB45" s="13"/>
      <c r="CC45" s="235"/>
      <c r="CD45" s="13"/>
      <c r="CE45" s="13"/>
      <c r="CF45" s="13"/>
      <c r="CG45" s="13"/>
      <c r="CH45" s="235"/>
      <c r="CI45" s="13"/>
      <c r="CJ45" s="13"/>
      <c r="CK45" s="13"/>
      <c r="CL45" s="13"/>
      <c r="CM45" s="235"/>
      <c r="CN45" s="13"/>
      <c r="CO45" s="13"/>
      <c r="CP45" s="13"/>
      <c r="CQ45" s="13"/>
      <c r="CR45" s="235"/>
      <c r="CS45" s="13"/>
      <c r="CT45" s="13"/>
      <c r="CU45" s="13"/>
      <c r="CV45" s="13"/>
      <c r="CW45" s="235"/>
      <c r="CX45" s="13"/>
      <c r="CY45" s="13"/>
      <c r="CZ45" s="13"/>
      <c r="DA45" s="13"/>
      <c r="DB45" s="235"/>
    </row>
    <row r="46" spans="1:106">
      <c r="A46" s="305" t="s">
        <v>217</v>
      </c>
      <c r="F46" s="217"/>
      <c r="G46" s="119"/>
      <c r="H46" s="13"/>
      <c r="I46" s="13"/>
      <c r="J46" s="13"/>
      <c r="K46" s="235"/>
      <c r="L46" s="13"/>
      <c r="M46" s="13"/>
      <c r="N46" s="13"/>
      <c r="O46" s="13"/>
      <c r="P46" s="235"/>
      <c r="Q46" s="13"/>
      <c r="R46" s="13"/>
      <c r="S46" s="13"/>
      <c r="T46" s="13"/>
      <c r="U46" s="235"/>
      <c r="V46" s="13"/>
      <c r="W46" s="13"/>
      <c r="X46" s="13"/>
      <c r="Y46" s="13"/>
      <c r="Z46" s="235"/>
      <c r="AA46" s="13"/>
      <c r="AB46" s="13"/>
      <c r="AC46" s="13"/>
      <c r="AD46" s="13"/>
      <c r="AE46" s="235"/>
      <c r="AF46" s="13"/>
      <c r="AG46" s="13"/>
      <c r="AH46" s="13"/>
      <c r="AI46" s="13"/>
      <c r="AJ46" s="235"/>
      <c r="AK46" s="13"/>
      <c r="AL46" s="13"/>
      <c r="AM46" s="13"/>
      <c r="AN46" s="13"/>
      <c r="AO46" s="235"/>
      <c r="AP46" s="13"/>
      <c r="AQ46" s="13"/>
      <c r="AR46" s="13"/>
      <c r="AS46" s="13"/>
      <c r="AT46" s="235"/>
      <c r="AU46" s="13"/>
      <c r="AV46" s="13"/>
      <c r="AW46" s="13"/>
      <c r="AX46" s="13"/>
      <c r="AY46" s="236">
        <f t="shared" ref="AY46:BH46" si="877">AY312</f>
        <v>327.53439999999995</v>
      </c>
      <c r="AZ46" s="225">
        <f t="shared" si="877"/>
        <v>119.17900000000002</v>
      </c>
      <c r="BA46" s="225">
        <f t="shared" si="877"/>
        <v>138.70532000000003</v>
      </c>
      <c r="BB46" s="225">
        <f t="shared" si="877"/>
        <v>150.67591999999999</v>
      </c>
      <c r="BC46" s="225">
        <f t="shared" si="877"/>
        <v>169.95384000000001</v>
      </c>
      <c r="BD46" s="236">
        <f t="shared" si="877"/>
        <v>566.00327400000003</v>
      </c>
      <c r="BE46" s="225">
        <f t="shared" si="877"/>
        <v>192.6619</v>
      </c>
      <c r="BF46" s="225">
        <f t="shared" si="877"/>
        <v>222.164852</v>
      </c>
      <c r="BG46" s="225">
        <f t="shared" si="877"/>
        <v>252.16351200000003</v>
      </c>
      <c r="BH46" s="225">
        <f t="shared" si="877"/>
        <v>284.76422400000001</v>
      </c>
      <c r="BI46" s="236">
        <f>SUM(BE46:BH46)</f>
        <v>951.75448800000004</v>
      </c>
      <c r="BJ46" s="361">
        <f>BJ312</f>
        <v>305.74393297288094</v>
      </c>
      <c r="BK46" s="225">
        <f>BK312</f>
        <v>323.68461982810265</v>
      </c>
      <c r="BL46" s="225">
        <f>BL312</f>
        <v>343.05474216474499</v>
      </c>
      <c r="BM46" s="225">
        <f>BM312</f>
        <v>368.93946247704224</v>
      </c>
      <c r="BN46" s="236">
        <f>SUM(BJ46:BM46)</f>
        <v>1341.4227574427709</v>
      </c>
      <c r="BO46" s="225">
        <f>BO312</f>
        <v>402.66430929967316</v>
      </c>
      <c r="BP46" s="225">
        <f>BP312</f>
        <v>417.12903490755247</v>
      </c>
      <c r="BQ46" s="225">
        <f>BQ312</f>
        <v>427.68486435083167</v>
      </c>
      <c r="BR46" s="225">
        <f>BR312</f>
        <v>443.47229770171077</v>
      </c>
      <c r="BS46" s="236">
        <f>SUM(BO46:BR46)</f>
        <v>1690.9505062597682</v>
      </c>
      <c r="BT46" s="225">
        <f>BT312</f>
        <v>481.72975138229168</v>
      </c>
      <c r="BU46" s="225">
        <f>BU312</f>
        <v>500.14845741768482</v>
      </c>
      <c r="BV46" s="225">
        <f>BV312</f>
        <v>514.26371353183049</v>
      </c>
      <c r="BW46" s="225">
        <f>BW312</f>
        <v>534.16361077971112</v>
      </c>
      <c r="BX46" s="236">
        <f>SUM(BT46:BW46)</f>
        <v>2030.3055331115183</v>
      </c>
      <c r="BY46" s="13"/>
      <c r="BZ46" s="13"/>
      <c r="CA46" s="13"/>
      <c r="CB46" s="13"/>
      <c r="CC46" s="235"/>
      <c r="CD46" s="13"/>
      <c r="CE46" s="13"/>
      <c r="CF46" s="13"/>
      <c r="CG46" s="13"/>
      <c r="CH46" s="235"/>
      <c r="CI46" s="13"/>
      <c r="CJ46" s="13"/>
      <c r="CK46" s="13"/>
      <c r="CL46" s="13"/>
      <c r="CM46" s="235"/>
      <c r="CN46" s="13"/>
      <c r="CO46" s="13"/>
      <c r="CP46" s="13"/>
      <c r="CQ46" s="13"/>
      <c r="CR46" s="235"/>
      <c r="CS46" s="13"/>
      <c r="CT46" s="13"/>
      <c r="CU46" s="13"/>
      <c r="CV46" s="13"/>
      <c r="CW46" s="235"/>
      <c r="CX46" s="13"/>
      <c r="CY46" s="13"/>
      <c r="CZ46" s="13"/>
      <c r="DA46" s="13"/>
      <c r="DB46" s="235"/>
    </row>
    <row r="47" spans="1:106">
      <c r="A47" s="277" t="s">
        <v>281</v>
      </c>
      <c r="F47" s="217"/>
      <c r="G47" s="119"/>
      <c r="H47" s="13"/>
      <c r="I47" s="13"/>
      <c r="J47" s="13"/>
      <c r="K47" s="235"/>
      <c r="L47" s="13"/>
      <c r="M47" s="13"/>
      <c r="N47" s="13"/>
      <c r="O47" s="13"/>
      <c r="P47" s="235"/>
      <c r="Q47" s="13"/>
      <c r="R47" s="13"/>
      <c r="S47" s="13"/>
      <c r="T47" s="13"/>
      <c r="U47" s="235"/>
      <c r="V47" s="13"/>
      <c r="W47" s="13"/>
      <c r="X47" s="13"/>
      <c r="Y47" s="13"/>
      <c r="Z47" s="235"/>
      <c r="AA47" s="13"/>
      <c r="AB47" s="13"/>
      <c r="AC47" s="13"/>
      <c r="AD47" s="13"/>
      <c r="AE47" s="235"/>
      <c r="AF47" s="13"/>
      <c r="AG47" s="13"/>
      <c r="AH47" s="13"/>
      <c r="AI47" s="13"/>
      <c r="AJ47" s="235"/>
      <c r="AK47" s="13"/>
      <c r="AL47" s="13"/>
      <c r="AM47" s="13"/>
      <c r="AN47" s="13"/>
      <c r="AO47" s="235"/>
      <c r="AP47" s="13"/>
      <c r="AQ47" s="13"/>
      <c r="AR47" s="13"/>
      <c r="AS47" s="13"/>
      <c r="AT47" s="235"/>
      <c r="AU47" s="13"/>
      <c r="AV47" s="13"/>
      <c r="AW47" s="13"/>
      <c r="AX47" s="13"/>
      <c r="AY47" s="235"/>
      <c r="AZ47" s="13"/>
      <c r="BA47" s="13"/>
      <c r="BB47" s="13"/>
      <c r="BC47" s="13"/>
      <c r="BD47" s="239">
        <f t="shared" ref="BD47" si="878">+BD46/AY46-1</f>
        <v>0.7280727581591433</v>
      </c>
      <c r="BE47" s="13">
        <f>+BE46/AZ46-1</f>
        <v>0.61657590682922314</v>
      </c>
      <c r="BF47" s="13">
        <f t="shared" ref="BF47" si="879">+BF46/BA46-1</f>
        <v>0.60170390003786411</v>
      </c>
      <c r="BG47" s="13">
        <f t="shared" ref="BG47" si="880">+BG46/BB46-1</f>
        <v>0.67354884576115448</v>
      </c>
      <c r="BH47" s="13">
        <f t="shared" ref="BH47" si="881">+BH46/BC46-1</f>
        <v>0.67553862860644975</v>
      </c>
      <c r="BI47" s="239">
        <f t="shared" ref="BI47" si="882">+BI46/BD46-1</f>
        <v>0.68153530504136262</v>
      </c>
      <c r="BJ47" s="328">
        <f>+BJ46/BE46-1</f>
        <v>0.58694548830298543</v>
      </c>
      <c r="BK47" s="13">
        <f t="shared" ref="BK47" si="883">+BK46/BF46-1</f>
        <v>0.45695692596821158</v>
      </c>
      <c r="BL47" s="13">
        <f t="shared" ref="BL47" si="884">+BL46/BG46-1</f>
        <v>0.36044560707397255</v>
      </c>
      <c r="BM47" s="13">
        <f t="shared" ref="BM47" si="885">+BM46/BH46-1</f>
        <v>0.2955962560698715</v>
      </c>
      <c r="BN47" s="239">
        <f t="shared" ref="BN47" si="886">+BN46/BI46-1</f>
        <v>0.40942099496857942</v>
      </c>
      <c r="BO47" s="62">
        <f>+BO46/BJ46-1</f>
        <v>0.31699852678806528</v>
      </c>
      <c r="BP47" s="13">
        <f t="shared" ref="BP47" si="887">+BP46/BK46-1</f>
        <v>0.28868969779619058</v>
      </c>
      <c r="BQ47" s="13">
        <f t="shared" ref="BQ47" si="888">+BQ46/BL46-1</f>
        <v>0.24669567793190517</v>
      </c>
      <c r="BR47" s="13">
        <f t="shared" ref="BR47" si="889">+BR46/BM46-1</f>
        <v>0.20201914624220074</v>
      </c>
      <c r="BS47" s="239">
        <f t="shared" ref="BS47" si="890">+BS46/BN46-1</f>
        <v>0.26056494634347893</v>
      </c>
      <c r="BT47" s="13">
        <f>+BT46/BO46-1</f>
        <v>0.19635572425113046</v>
      </c>
      <c r="BU47" s="13">
        <f t="shared" ref="BU47" si="891">+BU46/BP46-1</f>
        <v>0.19902575836882663</v>
      </c>
      <c r="BV47" s="13">
        <f t="shared" ref="BV47" si="892">+BV46/BQ46-1</f>
        <v>0.20243608413034186</v>
      </c>
      <c r="BW47" s="13">
        <f t="shared" ref="BW47" si="893">+BW46/BR46-1</f>
        <v>0.20450276950331925</v>
      </c>
      <c r="BX47" s="239">
        <f t="shared" ref="BX47" si="894">+BX46/BS46-1</f>
        <v>0.20068891762087904</v>
      </c>
      <c r="BY47" s="13"/>
      <c r="BZ47" s="13"/>
      <c r="CA47" s="13"/>
      <c r="CB47" s="13"/>
      <c r="CC47" s="235"/>
      <c r="CD47" s="13"/>
      <c r="CE47" s="13"/>
      <c r="CF47" s="13"/>
      <c r="CG47" s="13"/>
      <c r="CH47" s="235"/>
      <c r="CI47" s="13"/>
      <c r="CJ47" s="13"/>
      <c r="CK47" s="13"/>
      <c r="CL47" s="13"/>
      <c r="CM47" s="235"/>
      <c r="CN47" s="13"/>
      <c r="CO47" s="13"/>
      <c r="CP47" s="13"/>
      <c r="CQ47" s="13"/>
      <c r="CR47" s="235"/>
      <c r="CS47" s="13"/>
      <c r="CT47" s="13"/>
      <c r="CU47" s="13"/>
      <c r="CV47" s="13"/>
      <c r="CW47" s="235"/>
      <c r="CX47" s="13"/>
      <c r="CY47" s="13"/>
      <c r="CZ47" s="13"/>
      <c r="DA47" s="13"/>
      <c r="DB47" s="235"/>
    </row>
    <row r="48" spans="1:106">
      <c r="A48" s="277" t="s">
        <v>288</v>
      </c>
      <c r="F48" s="217"/>
      <c r="G48" s="119"/>
      <c r="H48" s="13"/>
      <c r="I48" s="13"/>
      <c r="J48" s="13"/>
      <c r="K48" s="235"/>
      <c r="L48" s="13"/>
      <c r="M48" s="13"/>
      <c r="N48" s="13"/>
      <c r="O48" s="13"/>
      <c r="P48" s="235"/>
      <c r="Q48" s="13"/>
      <c r="R48" s="13"/>
      <c r="S48" s="13"/>
      <c r="T48" s="13"/>
      <c r="U48" s="235"/>
      <c r="V48" s="13"/>
      <c r="W48" s="13"/>
      <c r="X48" s="13"/>
      <c r="Y48" s="13"/>
      <c r="Z48" s="235"/>
      <c r="AA48" s="13"/>
      <c r="AB48" s="13"/>
      <c r="AC48" s="13"/>
      <c r="AD48" s="13"/>
      <c r="AE48" s="235"/>
      <c r="AF48" s="13"/>
      <c r="AG48" s="13"/>
      <c r="AH48" s="13"/>
      <c r="AI48" s="13"/>
      <c r="AJ48" s="235"/>
      <c r="AK48" s="13"/>
      <c r="AL48" s="13"/>
      <c r="AM48" s="13"/>
      <c r="AN48" s="13"/>
      <c r="AO48" s="235"/>
      <c r="AP48" s="13"/>
      <c r="AQ48" s="13"/>
      <c r="AR48" s="13"/>
      <c r="AS48" s="13"/>
      <c r="AT48" s="235"/>
      <c r="AU48" s="13"/>
      <c r="AV48" s="13"/>
      <c r="AW48" s="13"/>
      <c r="AX48" s="13"/>
      <c r="AY48" s="235"/>
      <c r="AZ48" s="13"/>
      <c r="BA48" s="13"/>
      <c r="BB48" s="13"/>
      <c r="BC48" s="13"/>
      <c r="BD48" s="235"/>
      <c r="BE48" s="13">
        <f>+BE46/BC46-1</f>
        <v>0.13361310341678645</v>
      </c>
      <c r="BF48" s="13">
        <f t="shared" ref="BF48" si="895">+BF46/BE46-1</f>
        <v>0.15313329724247504</v>
      </c>
      <c r="BG48" s="13">
        <f t="shared" ref="BG48" si="896">+BG46/BF46-1</f>
        <v>0.13502882985288789</v>
      </c>
      <c r="BH48" s="13">
        <f t="shared" ref="BH48" si="897">+BH46/BG46-1</f>
        <v>0.12928401790343069</v>
      </c>
      <c r="BI48" s="235" t="s">
        <v>290</v>
      </c>
      <c r="BJ48" s="328">
        <f t="shared" ref="BJ48" si="898">+BJ46/BI46-1</f>
        <v>-0.6787575610855634</v>
      </c>
      <c r="BK48" s="13">
        <f t="shared" ref="BK48" si="899">+BK46/BJ46-1</f>
        <v>5.8678799218603084E-2</v>
      </c>
      <c r="BL48" s="13">
        <f t="shared" ref="BL48" si="900">+BL46/BK46-1</f>
        <v>5.9842578701852167E-2</v>
      </c>
      <c r="BM48" s="13">
        <f t="shared" ref="BM48" si="901">+BM46/BL46-1</f>
        <v>7.5453614630013321E-2</v>
      </c>
      <c r="BN48" s="235" t="s">
        <v>290</v>
      </c>
      <c r="BO48" s="62">
        <f>+BO46/BM46-1</f>
        <v>9.1410245453831029E-2</v>
      </c>
      <c r="BP48" s="13">
        <f t="shared" ref="BP48" si="902">+BP46/BO46-1</f>
        <v>3.5922542112154954E-2</v>
      </c>
      <c r="BQ48" s="13">
        <f t="shared" ref="BQ48" si="903">+BQ46/BP46-1</f>
        <v>2.5305909107043334E-2</v>
      </c>
      <c r="BR48" s="13">
        <f t="shared" ref="BR48" si="904">+BR46/BQ46-1</f>
        <v>3.6913706017729364E-2</v>
      </c>
      <c r="BS48" s="235" t="s">
        <v>290</v>
      </c>
      <c r="BT48" s="13">
        <f t="shared" ref="BT48" si="905">+BT46/BS46-1</f>
        <v>-0.71511303873237841</v>
      </c>
      <c r="BU48" s="13">
        <f t="shared" ref="BU48" si="906">+BU46/BT46-1</f>
        <v>3.8234520459950572E-2</v>
      </c>
      <c r="BV48" s="13">
        <f t="shared" ref="BV48" si="907">+BV46/BU46-1</f>
        <v>2.822213265841933E-2</v>
      </c>
      <c r="BW48" s="13">
        <f t="shared" ref="BW48" si="908">+BW46/BV46-1</f>
        <v>3.8695900029992902E-2</v>
      </c>
      <c r="BX48" s="235"/>
      <c r="BY48" s="13"/>
      <c r="BZ48" s="13"/>
      <c r="CA48" s="13"/>
      <c r="CB48" s="13"/>
      <c r="CC48" s="235"/>
      <c r="CD48" s="13"/>
      <c r="CE48" s="13"/>
      <c r="CF48" s="13"/>
      <c r="CG48" s="13"/>
      <c r="CH48" s="235"/>
      <c r="CI48" s="13"/>
      <c r="CJ48" s="13"/>
      <c r="CK48" s="13"/>
      <c r="CL48" s="13"/>
      <c r="CM48" s="235"/>
      <c r="CN48" s="13"/>
      <c r="CO48" s="13"/>
      <c r="CP48" s="13"/>
      <c r="CQ48" s="13"/>
      <c r="CR48" s="235"/>
      <c r="CS48" s="13"/>
      <c r="CT48" s="13"/>
      <c r="CU48" s="13"/>
      <c r="CV48" s="13"/>
      <c r="CW48" s="235"/>
      <c r="CX48" s="13"/>
      <c r="CY48" s="13"/>
      <c r="CZ48" s="13"/>
      <c r="DA48" s="13"/>
      <c r="DB48" s="235"/>
    </row>
    <row r="49" spans="1:106">
      <c r="A49" s="277" t="s">
        <v>490</v>
      </c>
      <c r="F49" s="217"/>
      <c r="G49" s="119"/>
      <c r="H49" s="13"/>
      <c r="I49" s="13"/>
      <c r="J49" s="13"/>
      <c r="K49" s="235"/>
      <c r="L49" s="13"/>
      <c r="M49" s="13"/>
      <c r="N49" s="13"/>
      <c r="O49" s="13"/>
      <c r="P49" s="235"/>
      <c r="Q49" s="13"/>
      <c r="R49" s="13"/>
      <c r="S49" s="13"/>
      <c r="T49" s="13"/>
      <c r="U49" s="235"/>
      <c r="V49" s="13"/>
      <c r="W49" s="13"/>
      <c r="X49" s="13"/>
      <c r="Y49" s="13"/>
      <c r="Z49" s="235"/>
      <c r="AA49" s="13"/>
      <c r="AB49" s="13"/>
      <c r="AC49" s="13"/>
      <c r="AD49" s="13"/>
      <c r="AE49" s="235"/>
      <c r="AF49" s="13"/>
      <c r="AG49" s="13"/>
      <c r="AH49" s="13"/>
      <c r="AI49" s="13"/>
      <c r="AJ49" s="235"/>
      <c r="AK49" s="13"/>
      <c r="AL49" s="13"/>
      <c r="AM49" s="13"/>
      <c r="AN49" s="13"/>
      <c r="AO49" s="235"/>
      <c r="AP49" s="13"/>
      <c r="AQ49" s="13"/>
      <c r="AR49" s="13"/>
      <c r="AS49" s="13"/>
      <c r="AT49" s="235"/>
      <c r="AU49" s="13"/>
      <c r="AV49" s="13"/>
      <c r="AW49" s="13"/>
      <c r="AX49" s="13"/>
      <c r="AY49" s="235"/>
      <c r="AZ49" s="13"/>
      <c r="BA49" s="13"/>
      <c r="BB49" s="13"/>
      <c r="BC49" s="13"/>
      <c r="BD49" s="239">
        <f t="shared" ref="BD49:BX49" si="909">BD46/BD31</f>
        <v>0.33589223618666003</v>
      </c>
      <c r="BE49" s="13">
        <f t="shared" si="909"/>
        <v>0.38529605868377476</v>
      </c>
      <c r="BF49" s="62">
        <f t="shared" si="909"/>
        <v>0.40807096635545259</v>
      </c>
      <c r="BG49" s="62">
        <f t="shared" si="909"/>
        <v>0.42725312395691611</v>
      </c>
      <c r="BH49" s="13">
        <f t="shared" si="909"/>
        <v>0.43070395063222222</v>
      </c>
      <c r="BI49" s="239">
        <f t="shared" si="909"/>
        <v>0.41455971635406963</v>
      </c>
      <c r="BJ49" s="328">
        <f t="shared" si="909"/>
        <v>0.49742836760552217</v>
      </c>
      <c r="BK49" s="13">
        <f t="shared" si="909"/>
        <v>0.49933901667484992</v>
      </c>
      <c r="BL49" s="13">
        <f t="shared" si="909"/>
        <v>0.50860865326841487</v>
      </c>
      <c r="BM49" s="13">
        <f t="shared" si="909"/>
        <v>0.51908481298170028</v>
      </c>
      <c r="BN49" s="239">
        <f t="shared" si="909"/>
        <v>0.50655631358568631</v>
      </c>
      <c r="BO49" s="13">
        <f t="shared" si="909"/>
        <v>0.52970254955974871</v>
      </c>
      <c r="BP49" s="13">
        <f t="shared" si="909"/>
        <v>0.54836811366278015</v>
      </c>
      <c r="BQ49" s="13">
        <f t="shared" si="909"/>
        <v>0.54236127853072724</v>
      </c>
      <c r="BR49" s="13">
        <f t="shared" si="909"/>
        <v>0.54862142692611315</v>
      </c>
      <c r="BS49" s="239">
        <f t="shared" si="909"/>
        <v>0.5423634500921205</v>
      </c>
      <c r="BT49" s="13">
        <f t="shared" si="909"/>
        <v>0.55065932939514584</v>
      </c>
      <c r="BU49" s="13">
        <f t="shared" si="909"/>
        <v>0.56607576974085416</v>
      </c>
      <c r="BV49" s="13">
        <f t="shared" si="909"/>
        <v>0.56429430251349144</v>
      </c>
      <c r="BW49" s="13">
        <f t="shared" si="909"/>
        <v>0.5709574258973803</v>
      </c>
      <c r="BX49" s="239">
        <f t="shared" si="909"/>
        <v>0.56315139691192906</v>
      </c>
      <c r="BY49" s="13"/>
      <c r="BZ49" s="13"/>
      <c r="CA49" s="13"/>
      <c r="CB49" s="13"/>
      <c r="CC49" s="235"/>
      <c r="CD49" s="13"/>
      <c r="CE49" s="13"/>
      <c r="CF49" s="13"/>
      <c r="CG49" s="13"/>
      <c r="CH49" s="235"/>
      <c r="CI49" s="13"/>
      <c r="CJ49" s="13"/>
      <c r="CK49" s="13"/>
      <c r="CL49" s="13"/>
      <c r="CM49" s="235"/>
      <c r="CN49" s="13"/>
      <c r="CO49" s="13"/>
      <c r="CP49" s="13"/>
      <c r="CQ49" s="13"/>
      <c r="CR49" s="235"/>
      <c r="CS49" s="13"/>
      <c r="CT49" s="13"/>
      <c r="CU49" s="13"/>
      <c r="CV49" s="13"/>
      <c r="CW49" s="235"/>
      <c r="CX49" s="13"/>
      <c r="CY49" s="13"/>
      <c r="CZ49" s="13"/>
      <c r="DA49" s="13"/>
      <c r="DB49" s="235"/>
    </row>
    <row r="50" spans="1:106">
      <c r="F50" s="217"/>
      <c r="K50" s="217"/>
      <c r="P50" s="217"/>
      <c r="U50" s="217"/>
      <c r="Z50" s="217"/>
      <c r="AE50" s="217"/>
      <c r="AJ50" s="217"/>
      <c r="AO50" s="217"/>
      <c r="AT50" s="217"/>
      <c r="AY50" s="217"/>
      <c r="BD50" s="217"/>
      <c r="BI50" s="217"/>
      <c r="BJ50" s="356"/>
      <c r="BN50" s="217"/>
      <c r="BS50" s="217"/>
      <c r="BX50" s="217"/>
      <c r="CC50" s="217"/>
      <c r="CH50" s="217"/>
      <c r="CM50" s="217"/>
      <c r="CR50" s="217"/>
      <c r="CW50" s="217"/>
      <c r="DB50" s="217"/>
    </row>
    <row r="51" spans="1:106" s="125" customFormat="1">
      <c r="A51" s="125" t="s">
        <v>218</v>
      </c>
      <c r="F51" s="232"/>
      <c r="K51" s="232"/>
      <c r="P51" s="232"/>
      <c r="U51" s="232"/>
      <c r="Z51" s="232"/>
      <c r="AE51" s="232"/>
      <c r="AJ51" s="232"/>
      <c r="AO51" s="232"/>
      <c r="AT51" s="232"/>
      <c r="AY51" s="232"/>
      <c r="BD51" s="232"/>
      <c r="BF51" s="326"/>
      <c r="BG51" s="326"/>
      <c r="BH51" s="326"/>
      <c r="BI51" s="327"/>
      <c r="BN51" s="327"/>
      <c r="BS51" s="232"/>
      <c r="BX51" s="232"/>
      <c r="CC51" s="232"/>
      <c r="CH51" s="232"/>
      <c r="CM51" s="232"/>
      <c r="CR51" s="232"/>
      <c r="CW51" s="232"/>
      <c r="DB51" s="232"/>
    </row>
    <row r="52" spans="1:106" s="51" customFormat="1">
      <c r="A52" s="51" t="s">
        <v>378</v>
      </c>
      <c r="B52" s="213">
        <f t="shared" ref="B52:AG52" si="910">+B23-B187-B303</f>
        <v>44000</v>
      </c>
      <c r="C52" s="213">
        <f t="shared" si="910"/>
        <v>54000</v>
      </c>
      <c r="D52" s="213">
        <f t="shared" si="910"/>
        <v>57000</v>
      </c>
      <c r="E52" s="213">
        <f t="shared" si="910"/>
        <v>60000</v>
      </c>
      <c r="F52" s="234">
        <f t="shared" si="910"/>
        <v>215000</v>
      </c>
      <c r="G52" s="213">
        <f t="shared" si="910"/>
        <v>64000</v>
      </c>
      <c r="H52" s="213">
        <f t="shared" si="910"/>
        <v>69000</v>
      </c>
      <c r="I52" s="213">
        <f t="shared" si="910"/>
        <v>84000</v>
      </c>
      <c r="J52" s="213">
        <f t="shared" si="910"/>
        <v>96000</v>
      </c>
      <c r="K52" s="234">
        <f t="shared" si="910"/>
        <v>313000</v>
      </c>
      <c r="L52" s="213">
        <f t="shared" si="910"/>
        <v>105000</v>
      </c>
      <c r="M52" s="213">
        <f t="shared" si="910"/>
        <v>103000</v>
      </c>
      <c r="N52" s="213">
        <f t="shared" si="910"/>
        <v>109000</v>
      </c>
      <c r="O52" s="213">
        <f t="shared" si="910"/>
        <v>117000</v>
      </c>
      <c r="P52" s="234">
        <f t="shared" si="910"/>
        <v>434000</v>
      </c>
      <c r="Q52" s="213">
        <f t="shared" si="910"/>
        <v>121300</v>
      </c>
      <c r="R52" s="213">
        <f t="shared" si="910"/>
        <v>125700</v>
      </c>
      <c r="S52" s="213">
        <f t="shared" si="910"/>
        <v>130400</v>
      </c>
      <c r="T52" s="213">
        <f t="shared" si="910"/>
        <v>137800</v>
      </c>
      <c r="U52" s="234">
        <f t="shared" si="910"/>
        <v>515200</v>
      </c>
      <c r="V52" s="213">
        <f t="shared" si="910"/>
        <v>163605</v>
      </c>
      <c r="W52" s="213">
        <f t="shared" si="910"/>
        <v>161907</v>
      </c>
      <c r="X52" s="213">
        <f t="shared" si="910"/>
        <v>166422</v>
      </c>
      <c r="Y52" s="213">
        <f t="shared" si="910"/>
        <v>173400</v>
      </c>
      <c r="Z52" s="234">
        <f t="shared" si="910"/>
        <v>665334</v>
      </c>
      <c r="AA52" s="213">
        <f t="shared" si="910"/>
        <v>198400</v>
      </c>
      <c r="AB52" s="213">
        <f t="shared" si="910"/>
        <v>193120</v>
      </c>
      <c r="AC52" s="213">
        <f t="shared" si="910"/>
        <v>199150</v>
      </c>
      <c r="AD52" s="213">
        <f t="shared" si="910"/>
        <v>208320</v>
      </c>
      <c r="AE52" s="234">
        <f t="shared" si="910"/>
        <v>798990</v>
      </c>
      <c r="AF52" s="213">
        <f t="shared" si="910"/>
        <v>233287</v>
      </c>
      <c r="AG52" s="213">
        <f t="shared" si="910"/>
        <v>228917</v>
      </c>
      <c r="AH52" s="213">
        <f t="shared" ref="AH52:BH52" si="911">+AH23-AH187-AH303</f>
        <v>252483.6678</v>
      </c>
      <c r="AI52" s="213">
        <f t="shared" si="911"/>
        <v>281604.33559999999</v>
      </c>
      <c r="AJ52" s="234">
        <f t="shared" si="911"/>
        <v>996292.00340000005</v>
      </c>
      <c r="AK52" s="213">
        <f t="shared" si="911"/>
        <v>328587.93170780002</v>
      </c>
      <c r="AL52" s="213">
        <f t="shared" si="911"/>
        <v>346541.63707404002</v>
      </c>
      <c r="AM52" s="213">
        <f t="shared" si="911"/>
        <v>373881.74714408</v>
      </c>
      <c r="AN52" s="213">
        <f t="shared" si="911"/>
        <v>397112.22127119999</v>
      </c>
      <c r="AO52" s="234">
        <f t="shared" si="911"/>
        <v>1446123.53719712</v>
      </c>
      <c r="AP52" s="213">
        <f t="shared" si="911"/>
        <v>444501.512091454</v>
      </c>
      <c r="AQ52" s="213">
        <f t="shared" si="911"/>
        <v>437366</v>
      </c>
      <c r="AR52" s="213">
        <f t="shared" si="911"/>
        <v>445289</v>
      </c>
      <c r="AS52" s="213">
        <f t="shared" si="911"/>
        <v>475985</v>
      </c>
      <c r="AT52" s="234">
        <f t="shared" si="911"/>
        <v>1803141.5120914541</v>
      </c>
      <c r="AU52" s="213">
        <f t="shared" si="911"/>
        <v>537722</v>
      </c>
      <c r="AV52" s="213">
        <f t="shared" si="911"/>
        <v>513556</v>
      </c>
      <c r="AW52" s="213">
        <f t="shared" si="911"/>
        <v>515227</v>
      </c>
      <c r="AX52" s="213">
        <f t="shared" si="911"/>
        <v>505116</v>
      </c>
      <c r="AY52" s="234">
        <f t="shared" si="911"/>
        <v>2071621</v>
      </c>
      <c r="AZ52" s="213">
        <f t="shared" si="911"/>
        <v>599833.80000000005</v>
      </c>
      <c r="BA52" s="213">
        <f t="shared" si="911"/>
        <v>606469.4</v>
      </c>
      <c r="BB52" s="213">
        <f t="shared" si="911"/>
        <v>606634.55000000005</v>
      </c>
      <c r="BC52" s="213">
        <f t="shared" si="911"/>
        <v>605349.4</v>
      </c>
      <c r="BD52" s="234">
        <f t="shared" si="911"/>
        <v>2418287.15</v>
      </c>
      <c r="BE52" s="213">
        <f t="shared" si="911"/>
        <v>657625.01102916198</v>
      </c>
      <c r="BF52" s="213">
        <f t="shared" si="911"/>
        <v>626112.21102916193</v>
      </c>
      <c r="BG52" s="213">
        <f t="shared" si="911"/>
        <v>641847.75102916197</v>
      </c>
      <c r="BH52" s="213">
        <f t="shared" si="911"/>
        <v>644264.17988564493</v>
      </c>
      <c r="BI52" s="234">
        <f>+BE52+BF52+BG52+BH52</f>
        <v>2569849.1529731308</v>
      </c>
      <c r="BJ52" s="360">
        <f>+BJ67+BJ160+BJ174</f>
        <v>688245.27713284316</v>
      </c>
      <c r="BK52" s="213">
        <f>+BK67+BK160+BK174</f>
        <v>667472.13271072647</v>
      </c>
      <c r="BL52" s="213">
        <f>+BL67+BL160+BL174</f>
        <v>678591.0212850942</v>
      </c>
      <c r="BM52" s="213">
        <f>+BM67+BM160+BM174</f>
        <v>690214.69532235735</v>
      </c>
      <c r="BN52" s="234">
        <f>+BJ52+BK52+BL52+BM52</f>
        <v>2724523.1264510211</v>
      </c>
      <c r="BO52" s="213">
        <f>+BO67+BO160+BO174</f>
        <v>801024.56966265757</v>
      </c>
      <c r="BP52" s="213">
        <f>+BP67+BP160+BP174</f>
        <v>745139.60385706089</v>
      </c>
      <c r="BQ52" s="213">
        <f>+BQ67+BQ160+BQ174</f>
        <v>780084.44451576541</v>
      </c>
      <c r="BR52" s="213">
        <f>+BR67+BR160+BR174</f>
        <v>778103.54790889728</v>
      </c>
      <c r="BS52" s="234">
        <f>+BO52+BP52+BQ52+BR52</f>
        <v>3104352.1659443816</v>
      </c>
      <c r="BT52" s="213">
        <f>+BT67+BT160+BT174</f>
        <v>874657.64196632325</v>
      </c>
      <c r="BU52" s="213">
        <f>+BU67+BU160+BU174</f>
        <v>826972.73815361818</v>
      </c>
      <c r="BV52" s="213">
        <f>+BV67+BV160+BV174</f>
        <v>853715.4503108171</v>
      </c>
      <c r="BW52" s="213">
        <f>+BW67+BW160+BW174</f>
        <v>851828.59392710018</v>
      </c>
      <c r="BX52" s="234">
        <f>+BT52+BU52+BV52+BW52</f>
        <v>3407174.424357859</v>
      </c>
      <c r="BY52" s="213">
        <f>+BY67+BY160+BY174</f>
        <v>952487.859086546</v>
      </c>
      <c r="BZ52" s="213">
        <f>+BZ67+BZ160+BZ174</f>
        <v>893963.11033688288</v>
      </c>
      <c r="CA52" s="213">
        <f>+CA67+CA160+CA174</f>
        <v>931559.4255275256</v>
      </c>
      <c r="CB52" s="213">
        <f>+CB67+CB160+CB174</f>
        <v>925743.74914642842</v>
      </c>
      <c r="CC52" s="234">
        <f>+BY52+BZ52+CA52+CB52</f>
        <v>3703754.1440973827</v>
      </c>
      <c r="CD52" s="213">
        <f>+CD67+CD160+CD174</f>
        <v>1028406.3171255942</v>
      </c>
      <c r="CE52" s="213">
        <f>+CE67+CE160+CE174</f>
        <v>968654.24748662638</v>
      </c>
      <c r="CF52" s="213">
        <f>+CF67+CF160+CF174</f>
        <v>1007470.3002453713</v>
      </c>
      <c r="CG52" s="213">
        <f>+CG67+CG160+CG174</f>
        <v>1002403.1598544109</v>
      </c>
      <c r="CH52" s="234">
        <f>+CD52+CE52+CF52+CG52</f>
        <v>4006934.0247120028</v>
      </c>
      <c r="CI52" s="213">
        <f>+CI67+CI160+CI174</f>
        <v>1107112.640028439</v>
      </c>
      <c r="CJ52" s="213">
        <f>+CJ67+CJ160+CJ174</f>
        <v>1045045.3859599194</v>
      </c>
      <c r="CK52" s="213">
        <f>+CK67+CK160+CK174</f>
        <v>1086176.1462816256</v>
      </c>
      <c r="CL52" s="213">
        <f>+CL67+CL160+CL174</f>
        <v>1080787.2124047563</v>
      </c>
      <c r="CM52" s="234">
        <f>+CI52+CJ52+CK52+CL52</f>
        <v>4319121.384674741</v>
      </c>
      <c r="CN52" s="213">
        <f>+CN67+CN160+CN174</f>
        <v>1187579.8566646499</v>
      </c>
      <c r="CO52" s="213">
        <f>+CO67+CO160+CO174</f>
        <v>1123704.670913372</v>
      </c>
      <c r="CP52" s="213">
        <f>+CP67+CP160+CP174</f>
        <v>1166643.6782605217</v>
      </c>
      <c r="CQ52" s="213">
        <f>+CQ67+CQ160+CQ174</f>
        <v>1161478.8320342752</v>
      </c>
      <c r="CR52" s="234">
        <f>+CN52+CO52+CP52+CQ52</f>
        <v>4639407.0378728183</v>
      </c>
      <c r="CS52" s="213">
        <f>+CS67+CS160+CS174</f>
        <v>1270395.6830744278</v>
      </c>
      <c r="CT52" s="213">
        <f>+CT67+CT160+CT174</f>
        <v>1204408.7590330399</v>
      </c>
      <c r="CU52" s="213">
        <f>+CU67+CU160+CU174</f>
        <v>1249464.0040008973</v>
      </c>
      <c r="CV52" s="213">
        <f>+CV67+CV160+CV174</f>
        <v>1244248.1222982567</v>
      </c>
      <c r="CW52" s="234">
        <f>+CS52+CT52+CU52+CV52</f>
        <v>4968516.5684066219</v>
      </c>
      <c r="CX52" s="213">
        <f>+CX67+CX160+CX174</f>
        <v>1355328.8488208537</v>
      </c>
      <c r="CY52" s="213">
        <f>+CY67+CY160+CY174</f>
        <v>1287337.7801601319</v>
      </c>
      <c r="CZ52" s="213">
        <f>+CZ67+CZ160+CZ174</f>
        <v>1334404.3498108019</v>
      </c>
      <c r="DA52" s="213">
        <f>+DA67+DA160+DA174</f>
        <v>1329279.449490577</v>
      </c>
      <c r="DB52" s="234">
        <f>+CX52+CY52+CZ52+DA52</f>
        <v>5306350.4282823652</v>
      </c>
    </row>
    <row r="53" spans="1:106">
      <c r="A53" s="277" t="s">
        <v>281</v>
      </c>
      <c r="B53" s="119" t="s">
        <v>290</v>
      </c>
      <c r="C53" s="119" t="s">
        <v>290</v>
      </c>
      <c r="D53" s="119" t="s">
        <v>290</v>
      </c>
      <c r="E53" s="119" t="s">
        <v>290</v>
      </c>
      <c r="F53" s="235" t="s">
        <v>290</v>
      </c>
      <c r="G53" s="13">
        <f>+G52/B52-1</f>
        <v>0.45454545454545459</v>
      </c>
      <c r="H53" s="13">
        <f t="shared" ref="H53" si="912">+H52/C52-1</f>
        <v>0.27777777777777768</v>
      </c>
      <c r="I53" s="13">
        <f t="shared" ref="I53" si="913">+I52/D52-1</f>
        <v>0.47368421052631571</v>
      </c>
      <c r="J53" s="13">
        <f t="shared" ref="J53" si="914">+J52/E52-1</f>
        <v>0.60000000000000009</v>
      </c>
      <c r="K53" s="239">
        <f t="shared" ref="K53" si="915">+K52/F52-1</f>
        <v>0.45581395348837206</v>
      </c>
      <c r="L53" s="13">
        <f>+L52/G52-1</f>
        <v>0.640625</v>
      </c>
      <c r="M53" s="13">
        <f t="shared" ref="M53" si="916">+M52/H52-1</f>
        <v>0.49275362318840576</v>
      </c>
      <c r="N53" s="13">
        <f t="shared" ref="N53" si="917">+N52/I52-1</f>
        <v>0.29761904761904767</v>
      </c>
      <c r="O53" s="13">
        <f t="shared" ref="O53" si="918">+O52/J52-1</f>
        <v>0.21875</v>
      </c>
      <c r="P53" s="239">
        <f t="shared" ref="P53" si="919">+P52/K52-1</f>
        <v>0.38658146964856233</v>
      </c>
      <c r="Q53" s="13">
        <f>+Q52/L52-1</f>
        <v>0.15523809523809518</v>
      </c>
      <c r="R53" s="13">
        <f t="shared" ref="R53" si="920">+R52/M52-1</f>
        <v>0.2203883495145631</v>
      </c>
      <c r="S53" s="13">
        <f t="shared" ref="S53" si="921">+S52/N52-1</f>
        <v>0.19633027522935786</v>
      </c>
      <c r="T53" s="13">
        <f t="shared" ref="T53" si="922">+T52/O52-1</f>
        <v>0.17777777777777781</v>
      </c>
      <c r="U53" s="239">
        <f t="shared" ref="U53" si="923">+U52/P52-1</f>
        <v>0.18709677419354831</v>
      </c>
      <c r="V53" s="13">
        <f>+V52/Q52-1</f>
        <v>0.34876339653751032</v>
      </c>
      <c r="W53" s="13">
        <f t="shared" ref="W53" si="924">+W52/R52-1</f>
        <v>0.28804295942720759</v>
      </c>
      <c r="X53" s="13">
        <f t="shared" ref="X53" si="925">+X52/S52-1</f>
        <v>0.27624233128834352</v>
      </c>
      <c r="Y53" s="13">
        <f t="shared" ref="Y53" si="926">+Y52/T52-1</f>
        <v>0.25834542815674899</v>
      </c>
      <c r="Z53" s="239">
        <f t="shared" ref="Z53" si="927">+Z52/U52-1</f>
        <v>0.2914091614906833</v>
      </c>
      <c r="AA53" s="13">
        <f>+AA52/V52-1</f>
        <v>0.21267687417866199</v>
      </c>
      <c r="AB53" s="13">
        <f t="shared" ref="AB53" si="928">+AB52/W52-1</f>
        <v>0.19278351152204665</v>
      </c>
      <c r="AC53" s="13">
        <f t="shared" ref="AC53" si="929">+AC52/X52-1</f>
        <v>0.19665669202389102</v>
      </c>
      <c r="AD53" s="13">
        <f t="shared" ref="AD53" si="930">+AD52/Y52-1</f>
        <v>0.20138408304498268</v>
      </c>
      <c r="AE53" s="239">
        <f t="shared" ref="AE53" si="931">+AE52/Z52-1</f>
        <v>0.20088557025493969</v>
      </c>
      <c r="AF53" s="13">
        <f t="shared" ref="AF53" si="932">+AF52/AA52-1</f>
        <v>0.17584173387096769</v>
      </c>
      <c r="AG53" s="13">
        <f t="shared" ref="AG53" si="933">+AG52/AB52-1</f>
        <v>0.18536143330571675</v>
      </c>
      <c r="AH53" s="13">
        <f t="shared" ref="AH53" si="934">+AH52/AC52-1</f>
        <v>0.26780651669595779</v>
      </c>
      <c r="AI53" s="13">
        <f t="shared" ref="AI53" si="935">+AI52/AD52-1</f>
        <v>0.35178732526881706</v>
      </c>
      <c r="AJ53" s="239">
        <f t="shared" ref="AJ53" si="936">+AJ52/AE52-1</f>
        <v>0.24693926507215358</v>
      </c>
      <c r="AK53" s="13">
        <f t="shared" ref="AK53" si="937">+AK52/AF52-1</f>
        <v>0.40851368360774498</v>
      </c>
      <c r="AL53" s="13">
        <f t="shared" ref="AL53" si="938">+AL52/AG52-1</f>
        <v>0.51383093904795185</v>
      </c>
      <c r="AM53" s="13">
        <f t="shared" ref="AM53" si="939">+AM52/AH52-1</f>
        <v>0.48081557275317754</v>
      </c>
      <c r="AN53" s="13">
        <f t="shared" ref="AN53" si="940">+AN52/AI52-1</f>
        <v>0.41017793786836854</v>
      </c>
      <c r="AO53" s="239">
        <f t="shared" ref="AO53" si="941">+AO52/AJ52-1</f>
        <v>0.45150571545490736</v>
      </c>
      <c r="AP53" s="13">
        <f t="shared" ref="AP53" si="942">+AP52/AK52-1</f>
        <v>0.35276274384517348</v>
      </c>
      <c r="AQ53" s="13">
        <f t="shared" ref="AQ53" si="943">+AQ52/AL52-1</f>
        <v>0.26208787980809078</v>
      </c>
      <c r="AR53" s="13">
        <f t="shared" ref="AR53" si="944">+AR52/AM52-1</f>
        <v>0.19098887121762154</v>
      </c>
      <c r="AS53" s="13">
        <f t="shared" ref="AS53" si="945">+AS52/AN52-1</f>
        <v>0.19861584334100701</v>
      </c>
      <c r="AT53" s="239">
        <f t="shared" ref="AT53" si="946">+AT52/AO52-1</f>
        <v>0.2468793057516423</v>
      </c>
      <c r="AU53" s="13">
        <f t="shared" ref="AU53" si="947">+AU52/AP52-1</f>
        <v>0.20971916939028623</v>
      </c>
      <c r="AV53" s="13">
        <f t="shared" ref="AV53" si="948">+AV52/AQ52-1</f>
        <v>0.17420192699020953</v>
      </c>
      <c r="AW53" s="13">
        <f t="shared" ref="AW53" si="949">+AW52/AR52-1</f>
        <v>0.15706204285306846</v>
      </c>
      <c r="AX53" s="13">
        <f t="shared" ref="AX53" si="950">+AX52/AS52-1</f>
        <v>6.1201508450896558E-2</v>
      </c>
      <c r="AY53" s="239">
        <f t="shared" ref="AY53" si="951">+AY52/AT52-1</f>
        <v>0.14889540621641939</v>
      </c>
      <c r="AZ53" s="13">
        <f>+AZ52/AU52-1</f>
        <v>0.11550912925266221</v>
      </c>
      <c r="BA53" s="13">
        <f t="shared" ref="BA53" si="952">+BA52/AV52-1</f>
        <v>0.18092165216646294</v>
      </c>
      <c r="BB53" s="13">
        <f t="shared" ref="BB53" si="953">+BB52/AW52-1</f>
        <v>0.1774121891903957</v>
      </c>
      <c r="BC53" s="13">
        <f t="shared" ref="BC53" si="954">+BC52/AX52-1</f>
        <v>0.19843639876780794</v>
      </c>
      <c r="BD53" s="239">
        <f t="shared" ref="BD53" si="955">+BD52/AY52-1</f>
        <v>0.16734052705586588</v>
      </c>
      <c r="BE53" s="13">
        <f>+BE52/AZ52-1</f>
        <v>9.6345372716845734E-2</v>
      </c>
      <c r="BF53" s="13">
        <f t="shared" ref="BF53" si="956">+BF52/BA52-1</f>
        <v>3.2388791634271996E-2</v>
      </c>
      <c r="BG53" s="13">
        <f t="shared" ref="BG53:BH53" si="957">+BG52/BB52-1</f>
        <v>5.804681093281272E-2</v>
      </c>
      <c r="BH53" s="13">
        <f t="shared" si="957"/>
        <v>6.428482440991079E-2</v>
      </c>
      <c r="BI53" s="239">
        <f t="shared" ref="BI53" si="958">+BI52/BD52-1</f>
        <v>6.2673286327114219E-2</v>
      </c>
      <c r="BJ53" s="328">
        <f>+BJ52/BE52-1</f>
        <v>4.6561894073586796E-2</v>
      </c>
      <c r="BK53" s="13">
        <f t="shared" ref="BK53" si="959">+BK52/BF52-1</f>
        <v>6.6058321420660038E-2</v>
      </c>
      <c r="BL53" s="13">
        <f t="shared" ref="BL53" si="960">+BL52/BG52-1</f>
        <v>5.7246083977106288E-2</v>
      </c>
      <c r="BM53" s="13">
        <f t="shared" ref="BM53" si="961">+BM52/BH52-1</f>
        <v>7.1322474337885078E-2</v>
      </c>
      <c r="BN53" s="365">
        <f t="shared" ref="BN53" si="962">+BN52/BI52-1</f>
        <v>6.0187958230522476E-2</v>
      </c>
      <c r="BO53" s="13">
        <f>+BO52/BJ52-1</f>
        <v>0.1638649712202036</v>
      </c>
      <c r="BP53" s="13">
        <f t="shared" ref="BP53" si="963">+BP52/BK52-1</f>
        <v>0.11636061992717606</v>
      </c>
      <c r="BQ53" s="13">
        <f t="shared" ref="BQ53" si="964">+BQ52/BL52-1</f>
        <v>0.14956493682817396</v>
      </c>
      <c r="BR53" s="13">
        <f t="shared" ref="BR53" si="965">+BR52/BM52-1</f>
        <v>0.12733552789033609</v>
      </c>
      <c r="BS53" s="239">
        <f t="shared" ref="BS53" si="966">+BS52/BN52-1</f>
        <v>0.13941120036963239</v>
      </c>
      <c r="BT53" s="13">
        <f>+BT52/BO52-1</f>
        <v>9.1923612698516122E-2</v>
      </c>
      <c r="BU53" s="13">
        <f t="shared" ref="BU53" si="967">+BU52/BP52-1</f>
        <v>0.10982255388515783</v>
      </c>
      <c r="BV53" s="13">
        <f t="shared" ref="BV53" si="968">+BV52/BQ52-1</f>
        <v>9.4388506670912919E-2</v>
      </c>
      <c r="BW53" s="13">
        <f t="shared" ref="BW53" si="969">+BW52/BR52-1</f>
        <v>9.4749659240513928E-2</v>
      </c>
      <c r="BX53" s="239">
        <f t="shared" ref="BX53" si="970">+BX52/BS52-1</f>
        <v>9.7547649952709259E-2</v>
      </c>
      <c r="BY53" s="13">
        <f>+BY52/BT52-1</f>
        <v>8.8983635866088262E-2</v>
      </c>
      <c r="BZ53" s="13">
        <f t="shared" ref="BZ53" si="971">+BZ52/BU52-1</f>
        <v>8.1006747976764215E-2</v>
      </c>
      <c r="CA53" s="13">
        <f t="shared" ref="CA53" si="972">+CA52/BV52-1</f>
        <v>9.1182577506788043E-2</v>
      </c>
      <c r="CB53" s="13">
        <f t="shared" ref="CB53" si="973">+CB52/BW52-1</f>
        <v>8.6772333948740288E-2</v>
      </c>
      <c r="CC53" s="239">
        <f t="shared" ref="CC53" si="974">+CC52/BX52-1</f>
        <v>8.7045652144861707E-2</v>
      </c>
      <c r="CD53" s="13">
        <f>+CD52/BY52-1</f>
        <v>7.9705433843383133E-2</v>
      </c>
      <c r="CE53" s="13">
        <f t="shared" ref="CE53" si="975">+CE52/BZ52-1</f>
        <v>8.3550580875307867E-2</v>
      </c>
      <c r="CF53" s="13">
        <f t="shared" ref="CF53" si="976">+CF52/CA52-1</f>
        <v>8.1487957330106608E-2</v>
      </c>
      <c r="CG53" s="13">
        <f t="shared" ref="CG53" si="977">+CG52/CB52-1</f>
        <v>8.2808456204716885E-2</v>
      </c>
      <c r="CH53" s="239">
        <f t="shared" ref="CH53" si="978">+CH52/CC52-1</f>
        <v>8.1857452956966226E-2</v>
      </c>
      <c r="CI53" s="13">
        <f>+CI52/CD52-1</f>
        <v>7.6532321507738033E-2</v>
      </c>
      <c r="CJ53" s="13">
        <f t="shared" ref="CJ53" si="979">+CJ52/CE52-1</f>
        <v>7.8863163684571358E-2</v>
      </c>
      <c r="CK53" s="13">
        <f t="shared" ref="CK53" si="980">+CK52/CF52-1</f>
        <v>7.8122249377560182E-2</v>
      </c>
      <c r="CL53" s="13">
        <f t="shared" ref="CL53" si="981">+CL52/CG52-1</f>
        <v>7.8196134738571565E-2</v>
      </c>
      <c r="CM53" s="239">
        <f t="shared" ref="CM53" si="982">+CM52/CH52-1</f>
        <v>7.7911779439686857E-2</v>
      </c>
      <c r="CN53" s="13">
        <f>+CN52/CI52-1</f>
        <v>7.2682050341457582E-2</v>
      </c>
      <c r="CO53" s="13">
        <f t="shared" ref="CO53" si="983">+CO52/CJ52-1</f>
        <v>7.5268773978845571E-2</v>
      </c>
      <c r="CP53" s="13">
        <f t="shared" ref="CP53" si="984">+CP52/CK52-1</f>
        <v>7.4083317198932797E-2</v>
      </c>
      <c r="CQ53" s="13">
        <f t="shared" ref="CQ53" si="985">+CQ52/CL52-1</f>
        <v>7.4660042886684153E-2</v>
      </c>
      <c r="CR53" s="239">
        <f t="shared" ref="CR53" si="986">+CR52/CM52-1</f>
        <v>7.4155279435888621E-2</v>
      </c>
      <c r="CS53" s="13">
        <f>+CS52/CN52-1</f>
        <v>6.9734953775966169E-2</v>
      </c>
      <c r="CT53" s="13">
        <f t="shared" ref="CT53" si="987">+CT52/CO52-1</f>
        <v>7.1819660635627613E-2</v>
      </c>
      <c r="CU53" s="13">
        <f t="shared" ref="CU53" si="988">+CU52/CP52-1</f>
        <v>7.0990249451196252E-2</v>
      </c>
      <c r="CV53" s="13">
        <f t="shared" ref="CV53" si="989">+CV52/CQ52-1</f>
        <v>7.1261987718721498E-2</v>
      </c>
      <c r="CW53" s="239">
        <f t="shared" ref="CW53" si="990">+CW52/CR52-1</f>
        <v>7.093784353198318E-2</v>
      </c>
      <c r="CX53" s="13">
        <f>+CX52/CS52-1</f>
        <v>6.6855678807789198E-2</v>
      </c>
      <c r="CY53" s="13">
        <f t="shared" ref="CY53" si="991">+CY52/CT52-1</f>
        <v>6.8854548345921751E-2</v>
      </c>
      <c r="CZ53" s="13">
        <f t="shared" ref="CZ53" si="992">+CZ52/CU52-1</f>
        <v>6.7981426866174477E-2</v>
      </c>
      <c r="DA53" s="13">
        <f t="shared" ref="DA53" si="993">+DA52/CV52-1</f>
        <v>6.8339526231519176E-2</v>
      </c>
      <c r="DB53" s="239">
        <f t="shared" ref="DB53" si="994">+DB52/CW52-1</f>
        <v>6.7994914623799918E-2</v>
      </c>
    </row>
    <row r="54" spans="1:106">
      <c r="A54" s="277" t="s">
        <v>288</v>
      </c>
      <c r="B54" s="119" t="s">
        <v>290</v>
      </c>
      <c r="C54" s="13">
        <f>+C52/B52-1</f>
        <v>0.22727272727272729</v>
      </c>
      <c r="D54" s="13">
        <f t="shared" ref="D54" si="995">+D52/C52-1</f>
        <v>5.555555555555558E-2</v>
      </c>
      <c r="E54" s="13">
        <f t="shared" ref="E54" si="996">+E52/D52-1</f>
        <v>5.2631578947368363E-2</v>
      </c>
      <c r="F54" s="235" t="s">
        <v>290</v>
      </c>
      <c r="G54" s="13">
        <f>+G52/E52-1</f>
        <v>6.6666666666666652E-2</v>
      </c>
      <c r="H54" s="13">
        <f>+H52/G52-1</f>
        <v>7.8125E-2</v>
      </c>
      <c r="I54" s="13">
        <f>+I52/H52-1</f>
        <v>0.21739130434782616</v>
      </c>
      <c r="J54" s="13">
        <f>+J52/I52-1</f>
        <v>0.14285714285714279</v>
      </c>
      <c r="K54" s="235" t="s">
        <v>290</v>
      </c>
      <c r="L54" s="13">
        <f>+L52/J52-1</f>
        <v>9.375E-2</v>
      </c>
      <c r="M54" s="13">
        <f>+M52/L52-1</f>
        <v>-1.9047619047619091E-2</v>
      </c>
      <c r="N54" s="13">
        <f t="shared" ref="N54" si="997">+N52/M52-1</f>
        <v>5.8252427184465994E-2</v>
      </c>
      <c r="O54" s="13">
        <f t="shared" ref="O54" si="998">+O52/N52-1</f>
        <v>7.3394495412844041E-2</v>
      </c>
      <c r="P54" s="235" t="s">
        <v>290</v>
      </c>
      <c r="Q54" s="13">
        <f>+Q52/O52-1</f>
        <v>3.6752136752136844E-2</v>
      </c>
      <c r="R54" s="13">
        <f>+R52/Q52-1</f>
        <v>3.6273701566364336E-2</v>
      </c>
      <c r="S54" s="13">
        <f t="shared" ref="S54" si="999">+S52/R52-1</f>
        <v>3.7390612569610182E-2</v>
      </c>
      <c r="T54" s="13">
        <f t="shared" ref="T54" si="1000">+T52/S52-1</f>
        <v>5.6748466257668717E-2</v>
      </c>
      <c r="U54" s="235" t="s">
        <v>290</v>
      </c>
      <c r="V54" s="13">
        <f>+V52/T52-1</f>
        <v>0.18726415094339632</v>
      </c>
      <c r="W54" s="13">
        <f>+W52/V52-1</f>
        <v>-1.0378655909049184E-2</v>
      </c>
      <c r="X54" s="13">
        <f t="shared" ref="X54" si="1001">+X52/W52-1</f>
        <v>2.7886379217699098E-2</v>
      </c>
      <c r="Y54" s="13">
        <f t="shared" ref="Y54" si="1002">+Y52/X52-1</f>
        <v>4.1929552583192198E-2</v>
      </c>
      <c r="Z54" s="235" t="s">
        <v>290</v>
      </c>
      <c r="AA54" s="13">
        <f>+AA52/Y52-1</f>
        <v>0.14417531718569787</v>
      </c>
      <c r="AB54" s="13">
        <f>+AB52/AA52-1</f>
        <v>-2.661290322580645E-2</v>
      </c>
      <c r="AC54" s="13">
        <f t="shared" ref="AC54" si="1003">+AC52/AB52-1</f>
        <v>3.1224109362054664E-2</v>
      </c>
      <c r="AD54" s="13">
        <f t="shared" ref="AD54" si="1004">+AD52/AC52-1</f>
        <v>4.6045694200351539E-2</v>
      </c>
      <c r="AE54" s="235" t="s">
        <v>290</v>
      </c>
      <c r="AF54" s="13">
        <f>+AF52/AD52-1</f>
        <v>0.11984927035330251</v>
      </c>
      <c r="AG54" s="13">
        <f>+AG52/AF52-1</f>
        <v>-1.8732291126380862E-2</v>
      </c>
      <c r="AH54" s="13">
        <f t="shared" ref="AH54" si="1005">+AH52/AG52-1</f>
        <v>0.10294852632176732</v>
      </c>
      <c r="AI54" s="13">
        <f t="shared" ref="AI54" si="1006">+AI52/AH52-1</f>
        <v>0.11533683764079083</v>
      </c>
      <c r="AJ54" s="235" t="s">
        <v>290</v>
      </c>
      <c r="AK54" s="13">
        <f>+AK52/AI52-1</f>
        <v>0.16684258787313944</v>
      </c>
      <c r="AL54" s="13">
        <f>+AL52/AK52-1</f>
        <v>5.4638967636235325E-2</v>
      </c>
      <c r="AM54" s="13">
        <f t="shared" ref="AM54" si="1007">+AM52/AL52-1</f>
        <v>7.8894156271901883E-2</v>
      </c>
      <c r="AN54" s="13">
        <f t="shared" ref="AN54" si="1008">+AN52/AM52-1</f>
        <v>6.2133212719175157E-2</v>
      </c>
      <c r="AO54" s="235" t="s">
        <v>290</v>
      </c>
      <c r="AP54" s="13">
        <f>+AP52/AN52-1</f>
        <v>0.11933475798995974</v>
      </c>
      <c r="AQ54" s="13">
        <f>+AQ52/AP52-1</f>
        <v>-1.6052840985580019E-2</v>
      </c>
      <c r="AR54" s="13">
        <f t="shared" ref="AR54" si="1009">+AR52/AQ52-1</f>
        <v>1.8115262731899673E-2</v>
      </c>
      <c r="AS54" s="13">
        <f t="shared" ref="AS54" si="1010">+AS52/AR52-1</f>
        <v>6.8935006254365216E-2</v>
      </c>
      <c r="AT54" s="235" t="s">
        <v>290</v>
      </c>
      <c r="AU54" s="13">
        <f>+AU52/AS52-1</f>
        <v>0.12970366713236769</v>
      </c>
      <c r="AV54" s="13">
        <f>+AV52/AU52-1</f>
        <v>-4.4941438140898127E-2</v>
      </c>
      <c r="AW54" s="13">
        <f t="shared" ref="AW54" si="1011">+AW52/AV52-1</f>
        <v>3.2537834238135499E-3</v>
      </c>
      <c r="AX54" s="13">
        <f t="shared" ref="AX54" si="1012">+AX52/AW52-1</f>
        <v>-1.9624359748227516E-2</v>
      </c>
      <c r="AY54" s="235" t="s">
        <v>290</v>
      </c>
      <c r="AZ54" s="13">
        <f>+AZ52/AX52-1</f>
        <v>0.18751692680493193</v>
      </c>
      <c r="BA54" s="13">
        <f>+BA52/AZ52-1</f>
        <v>1.1062397617473296E-2</v>
      </c>
      <c r="BB54" s="13">
        <f t="shared" ref="BB54" si="1013">+BB52/BA52-1</f>
        <v>2.7231382160430861E-4</v>
      </c>
      <c r="BC54" s="13">
        <f t="shared" ref="BC54" si="1014">+BC52/BB52-1</f>
        <v>-2.1184912728758887E-3</v>
      </c>
      <c r="BD54" s="235" t="s">
        <v>290</v>
      </c>
      <c r="BE54" s="13">
        <f>+BE52/BC52-1</f>
        <v>8.6356096213462852E-2</v>
      </c>
      <c r="BF54" s="13">
        <f>+BF52/BE52-1</f>
        <v>-4.7919102028500249E-2</v>
      </c>
      <c r="BG54" s="13">
        <f>+BG52/BF52-1</f>
        <v>2.5132140409999337E-2</v>
      </c>
      <c r="BH54" s="13">
        <f>+BH52/BG52-1</f>
        <v>3.7648006908310716E-3</v>
      </c>
      <c r="BI54" s="235" t="s">
        <v>290</v>
      </c>
      <c r="BJ54" s="328">
        <f>+BJ52/BH52-1</f>
        <v>6.8265625531136465E-2</v>
      </c>
      <c r="BK54" s="13">
        <f>+BK52/BJ52-1</f>
        <v>-3.0182763488992514E-2</v>
      </c>
      <c r="BL54" s="13">
        <f t="shared" ref="BL54" si="1015">+BL52/BK52-1</f>
        <v>1.66582064320977E-2</v>
      </c>
      <c r="BM54" s="13">
        <f t="shared" ref="BM54" si="1016">+BM52/BL52-1</f>
        <v>1.7129130319541552E-2</v>
      </c>
      <c r="BN54" s="235" t="s">
        <v>290</v>
      </c>
      <c r="BO54" s="62">
        <f>+BO52/BM52-1</f>
        <v>0.16054406707256152</v>
      </c>
      <c r="BP54" s="13">
        <f>+BP52/BO52-1</f>
        <v>-6.9766856001847732E-2</v>
      </c>
      <c r="BQ54" s="13">
        <f t="shared" ref="BQ54" si="1017">+BQ52/BP52-1</f>
        <v>4.6897038458055151E-2</v>
      </c>
      <c r="BR54" s="13">
        <f t="shared" ref="BR54" si="1018">+BR52/BQ52-1</f>
        <v>-2.5393361203321918E-3</v>
      </c>
      <c r="BS54" s="235" t="s">
        <v>290</v>
      </c>
      <c r="BT54" s="13">
        <f>+BT52/BR52-1</f>
        <v>0.12408900372824272</v>
      </c>
      <c r="BU54" s="13">
        <f>+BU52/BT52-1</f>
        <v>-5.4518364128740004E-2</v>
      </c>
      <c r="BV54" s="13">
        <f t="shared" ref="BV54" si="1019">+BV52/BU52-1</f>
        <v>3.2338081926264417E-2</v>
      </c>
      <c r="BW54" s="13">
        <f t="shared" ref="BW54" si="1020">+BW52/BV52-1</f>
        <v>-2.2101701252214001E-3</v>
      </c>
      <c r="BX54" s="235" t="s">
        <v>290</v>
      </c>
      <c r="BY54" s="13">
        <f>+BY52/BW52-1</f>
        <v>0.11816845064496651</v>
      </c>
      <c r="BZ54" s="13">
        <f>+BZ52/BY52-1</f>
        <v>-6.1444088962760657E-2</v>
      </c>
      <c r="CA54" s="13">
        <f t="shared" ref="CA54" si="1021">+CA52/BZ52-1</f>
        <v>4.2055779210480981E-2</v>
      </c>
      <c r="CB54" s="13">
        <f t="shared" ref="CB54" si="1022">+CB52/CA52-1</f>
        <v>-6.2429472792934204E-3</v>
      </c>
      <c r="CC54" s="235" t="s">
        <v>290</v>
      </c>
      <c r="CD54" s="13">
        <f>+CD52/CB52-1</f>
        <v>0.11089739258172115</v>
      </c>
      <c r="CE54" s="13">
        <f>+CE52/CD52-1</f>
        <v>-5.8101616689768543E-2</v>
      </c>
      <c r="CF54" s="13">
        <f t="shared" ref="CF54" si="1023">+CF52/CE52-1</f>
        <v>4.0072144275897337E-2</v>
      </c>
      <c r="CG54" s="13">
        <f t="shared" ref="CG54" si="1024">+CG52/CF52-1</f>
        <v>-5.0295680078372706E-3</v>
      </c>
      <c r="CH54" s="235" t="s">
        <v>290</v>
      </c>
      <c r="CI54" s="13">
        <f>+CI52/CG52-1</f>
        <v>0.10445844982096442</v>
      </c>
      <c r="CJ54" s="13">
        <f>+CJ52/CI52-1</f>
        <v>-5.6062275711101228E-2</v>
      </c>
      <c r="CK54" s="13">
        <f t="shared" ref="CK54" si="1025">+CK52/CJ52-1</f>
        <v>3.9357869882297836E-2</v>
      </c>
      <c r="CL54" s="13">
        <f t="shared" ref="CL54" si="1026">+CL52/CK52-1</f>
        <v>-4.961381167610357E-3</v>
      </c>
      <c r="CM54" s="235" t="s">
        <v>290</v>
      </c>
      <c r="CN54" s="13">
        <f>+CN52/CL52-1</f>
        <v>9.8810055332057001E-2</v>
      </c>
      <c r="CO54" s="13">
        <f>+CO52/CN52-1</f>
        <v>-5.3786013119718201E-2</v>
      </c>
      <c r="CP54" s="13">
        <f t="shared" ref="CP54" si="1027">+CP52/CO52-1</f>
        <v>3.8212003970979236E-2</v>
      </c>
      <c r="CQ54" s="13">
        <f t="shared" ref="CQ54" si="1028">+CQ52/CP52-1</f>
        <v>-4.4270982841542184E-3</v>
      </c>
      <c r="CR54" s="235" t="s">
        <v>290</v>
      </c>
      <c r="CS54" s="13">
        <f>+CS52/CQ52-1</f>
        <v>9.3774288464121058E-2</v>
      </c>
      <c r="CT54" s="13">
        <f>+CT52/CS52-1</f>
        <v>-5.1942024772703821E-2</v>
      </c>
      <c r="CU54" s="13">
        <f t="shared" ref="CU54" si="1029">+CU52/CT52-1</f>
        <v>3.7408599555544653E-2</v>
      </c>
      <c r="CV54" s="13">
        <f t="shared" ref="CV54" si="1030">+CV52/CU52-1</f>
        <v>-4.1744953723666933E-3</v>
      </c>
      <c r="CW54" s="235" t="s">
        <v>290</v>
      </c>
      <c r="CX54" s="13">
        <f>+CX52/CV52-1</f>
        <v>8.9275382081685839E-2</v>
      </c>
      <c r="CY54" s="13">
        <f>+CY52/CX52-1</f>
        <v>-5.0165735585038784E-2</v>
      </c>
      <c r="CZ54" s="13">
        <f t="shared" ref="CZ54" si="1031">+CZ52/CY52-1</f>
        <v>3.6561165512298821E-2</v>
      </c>
      <c r="DA54" s="13">
        <f t="shared" ref="DA54" si="1032">+DA52/CZ52-1</f>
        <v>-3.8405902385971746E-3</v>
      </c>
      <c r="DB54" s="235" t="s">
        <v>290</v>
      </c>
    </row>
    <row r="55" spans="1:106">
      <c r="A55" s="277" t="s">
        <v>400</v>
      </c>
      <c r="B55" s="119"/>
      <c r="C55" s="13"/>
      <c r="D55" s="13"/>
      <c r="E55" s="13"/>
      <c r="F55" s="235"/>
      <c r="G55" s="13"/>
      <c r="H55" s="13"/>
      <c r="I55" s="13"/>
      <c r="J55" s="13"/>
      <c r="K55" s="235"/>
      <c r="L55" s="13"/>
      <c r="M55" s="13"/>
      <c r="N55" s="13"/>
      <c r="O55" s="13"/>
      <c r="P55" s="235"/>
      <c r="Q55" s="13"/>
      <c r="R55" s="13"/>
      <c r="S55" s="13"/>
      <c r="T55" s="13"/>
      <c r="U55" s="235"/>
      <c r="V55" s="13"/>
      <c r="W55" s="13"/>
      <c r="X55" s="13"/>
      <c r="Y55" s="13"/>
      <c r="Z55" s="235"/>
      <c r="AA55" s="13"/>
      <c r="AB55" s="13"/>
      <c r="AC55" s="13"/>
      <c r="AD55" s="13"/>
      <c r="AE55" s="235"/>
      <c r="AF55" s="13"/>
      <c r="AG55" s="13"/>
      <c r="AH55" s="13"/>
      <c r="AI55" s="13"/>
      <c r="AJ55" s="235"/>
      <c r="AK55" s="13"/>
      <c r="AL55" s="13"/>
      <c r="AM55" s="13"/>
      <c r="AN55" s="13"/>
      <c r="AO55" s="235"/>
      <c r="AP55" s="13"/>
      <c r="AQ55" s="13"/>
      <c r="AR55" s="13"/>
      <c r="AS55" s="13"/>
      <c r="AT55" s="235"/>
      <c r="AU55" s="13"/>
      <c r="AV55" s="13"/>
      <c r="AW55" s="13"/>
      <c r="AX55" s="13"/>
      <c r="AY55" s="239">
        <f t="shared" ref="AY55:CC55" si="1033">AY52/AY23</f>
        <v>0.8299098629917474</v>
      </c>
      <c r="AZ55" s="13">
        <f t="shared" si="1033"/>
        <v>0.81521310138624636</v>
      </c>
      <c r="BA55" s="13">
        <f t="shared" si="1033"/>
        <v>0.79767118242798896</v>
      </c>
      <c r="BB55" s="13">
        <f t="shared" si="1033"/>
        <v>0.78194708687806147</v>
      </c>
      <c r="BC55" s="13">
        <f t="shared" si="1033"/>
        <v>0.76355877901109992</v>
      </c>
      <c r="BD55" s="239">
        <f t="shared" si="1033"/>
        <v>0.78907793585016472</v>
      </c>
      <c r="BE55" s="13">
        <f t="shared" si="1033"/>
        <v>0.76906211089832999</v>
      </c>
      <c r="BF55" s="13">
        <f t="shared" si="1033"/>
        <v>0.73392593017133034</v>
      </c>
      <c r="BG55" s="13">
        <f t="shared" si="1033"/>
        <v>0.7182718789493755</v>
      </c>
      <c r="BH55" s="13">
        <f t="shared" si="1033"/>
        <v>0.69755757891473036</v>
      </c>
      <c r="BI55" s="239">
        <f t="shared" si="1033"/>
        <v>0.72895250268710809</v>
      </c>
      <c r="BJ55" s="328">
        <f t="shared" si="1033"/>
        <v>0.70775590684932155</v>
      </c>
      <c r="BK55" s="13">
        <f t="shared" si="1033"/>
        <v>0.68558287985979127</v>
      </c>
      <c r="BL55" s="13">
        <f t="shared" si="1033"/>
        <v>0.6776528875098593</v>
      </c>
      <c r="BM55" s="13">
        <f t="shared" si="1033"/>
        <v>0.66532121431282509</v>
      </c>
      <c r="BN55" s="239">
        <f t="shared" si="1033"/>
        <v>0.68372609291147612</v>
      </c>
      <c r="BO55" s="13">
        <f t="shared" si="1033"/>
        <v>0.69517991364072151</v>
      </c>
      <c r="BP55" s="13">
        <f t="shared" si="1033"/>
        <v>0.66678208952358742</v>
      </c>
      <c r="BQ55" s="13">
        <f t="shared" si="1033"/>
        <v>0.67031950541333774</v>
      </c>
      <c r="BR55" s="13">
        <f t="shared" si="1033"/>
        <v>0.65929559221341694</v>
      </c>
      <c r="BS55" s="239">
        <f t="shared" si="1033"/>
        <v>0.67285150296468199</v>
      </c>
      <c r="BT55" s="13">
        <f t="shared" si="1033"/>
        <v>0.6835460320618979</v>
      </c>
      <c r="BU55" s="13">
        <f t="shared" si="1033"/>
        <v>0.65837909092546509</v>
      </c>
      <c r="BV55" s="13">
        <f t="shared" si="1033"/>
        <v>0.65847735416236919</v>
      </c>
      <c r="BW55" s="13">
        <f t="shared" si="1033"/>
        <v>0.64730487619008759</v>
      </c>
      <c r="BX55" s="239">
        <f t="shared" si="1033"/>
        <v>0.66182840230395079</v>
      </c>
      <c r="BY55" s="13">
        <f t="shared" si="1033"/>
        <v>0.66998815033897108</v>
      </c>
      <c r="BZ55" s="13">
        <f t="shared" si="1033"/>
        <v>0.64459785834859973</v>
      </c>
      <c r="CA55" s="13">
        <f t="shared" si="1033"/>
        <v>0.64726916178673621</v>
      </c>
      <c r="CB55" s="13">
        <f t="shared" si="1033"/>
        <v>0.63660200409190104</v>
      </c>
      <c r="CC55" s="239">
        <f t="shared" si="1033"/>
        <v>0.64956340628360509</v>
      </c>
      <c r="CD55" s="13"/>
      <c r="CE55" s="13"/>
      <c r="CF55" s="13"/>
      <c r="CG55" s="13"/>
      <c r="CH55" s="235"/>
      <c r="CI55" s="13"/>
      <c r="CJ55" s="13"/>
      <c r="CK55" s="13"/>
      <c r="CL55" s="13"/>
      <c r="CM55" s="235"/>
      <c r="CN55" s="13"/>
      <c r="CO55" s="13"/>
      <c r="CP55" s="13"/>
      <c r="CQ55" s="13"/>
      <c r="CR55" s="235"/>
      <c r="CS55" s="13"/>
      <c r="CT55" s="13"/>
      <c r="CU55" s="13"/>
      <c r="CV55" s="13"/>
      <c r="CW55" s="235"/>
      <c r="CX55" s="13"/>
      <c r="CY55" s="13"/>
      <c r="CZ55" s="13"/>
      <c r="DA55" s="13"/>
      <c r="DB55" s="235"/>
    </row>
    <row r="56" spans="1:106">
      <c r="F56" s="217"/>
      <c r="K56" s="217"/>
      <c r="P56" s="217"/>
      <c r="U56" s="217"/>
      <c r="Z56" s="217"/>
      <c r="AE56" s="217"/>
      <c r="AJ56" s="217"/>
      <c r="AO56" s="217"/>
      <c r="AT56" s="217"/>
      <c r="AY56" s="217"/>
      <c r="AZ56" s="65"/>
      <c r="BA56" s="65"/>
      <c r="BB56" s="65"/>
      <c r="BC56" s="65"/>
      <c r="BD56" s="291"/>
      <c r="BE56" s="65"/>
      <c r="BF56" s="65"/>
      <c r="BI56" s="217"/>
      <c r="BJ56" s="356"/>
      <c r="BN56" s="217"/>
      <c r="BS56" s="217"/>
      <c r="BX56" s="217"/>
      <c r="CC56" s="217"/>
      <c r="CH56" s="217"/>
      <c r="CM56" s="217"/>
      <c r="CR56" s="217"/>
      <c r="CW56" s="217"/>
      <c r="DB56" s="217"/>
    </row>
    <row r="57" spans="1:106" s="51" customFormat="1">
      <c r="A57" s="51" t="s">
        <v>289</v>
      </c>
      <c r="B57" s="225">
        <f t="shared" ref="B57:AG57" si="1034">+B61/B52*1000000</f>
        <v>618.38636363636363</v>
      </c>
      <c r="C57" s="225">
        <f t="shared" si="1034"/>
        <v>661.77777777777771</v>
      </c>
      <c r="D57" s="225">
        <f t="shared" si="1034"/>
        <v>803.57894736842115</v>
      </c>
      <c r="E57" s="225">
        <f t="shared" si="1034"/>
        <v>809.31666666666672</v>
      </c>
      <c r="F57" s="236">
        <f t="shared" si="1034"/>
        <v>731.66511627906971</v>
      </c>
      <c r="G57" s="225">
        <f t="shared" si="1034"/>
        <v>732.796875</v>
      </c>
      <c r="H57" s="225">
        <f t="shared" si="1034"/>
        <v>645.20289855072463</v>
      </c>
      <c r="I57" s="225">
        <f t="shared" si="1034"/>
        <v>528.84523809523807</v>
      </c>
      <c r="J57" s="225">
        <f t="shared" si="1034"/>
        <v>545.07291666666674</v>
      </c>
      <c r="K57" s="236">
        <f t="shared" si="1034"/>
        <v>601.17571884984022</v>
      </c>
      <c r="L57" s="225">
        <f t="shared" si="1034"/>
        <v>582.24761904761908</v>
      </c>
      <c r="M57" s="225">
        <f t="shared" si="1034"/>
        <v>497.38834951456312</v>
      </c>
      <c r="N57" s="225">
        <f t="shared" si="1034"/>
        <v>487.06422018348627</v>
      </c>
      <c r="O57" s="225">
        <f t="shared" si="1034"/>
        <v>414.62393162393164</v>
      </c>
      <c r="P57" s="236">
        <f t="shared" si="1034"/>
        <v>493.0138248847926</v>
      </c>
      <c r="Q57" s="225">
        <f t="shared" si="1034"/>
        <v>378.50783182192907</v>
      </c>
      <c r="R57" s="225">
        <f t="shared" si="1034"/>
        <v>415.87907716786003</v>
      </c>
      <c r="S57" s="225">
        <f t="shared" si="1034"/>
        <v>424.3174846625767</v>
      </c>
      <c r="T57" s="225">
        <f t="shared" si="1034"/>
        <v>377.13352685050796</v>
      </c>
      <c r="U57" s="236">
        <f t="shared" si="1034"/>
        <v>398.85287267080741</v>
      </c>
      <c r="V57" s="225">
        <f t="shared" si="1034"/>
        <v>324.8311481922924</v>
      </c>
      <c r="W57" s="225">
        <f t="shared" si="1034"/>
        <v>364.42525647439578</v>
      </c>
      <c r="X57" s="225">
        <f t="shared" si="1034"/>
        <v>369.76481474805013</v>
      </c>
      <c r="Y57" s="225">
        <f t="shared" si="1034"/>
        <v>356.87427912341406</v>
      </c>
      <c r="Z57" s="236">
        <f t="shared" si="1034"/>
        <v>354.05675946216479</v>
      </c>
      <c r="AA57" s="225">
        <f t="shared" si="1034"/>
        <v>305.76612903225805</v>
      </c>
      <c r="AB57" s="225">
        <f t="shared" si="1034"/>
        <v>328.70236122618064</v>
      </c>
      <c r="AC57" s="225">
        <f t="shared" si="1034"/>
        <v>328.19984935977908</v>
      </c>
      <c r="AD57" s="225">
        <f t="shared" si="1034"/>
        <v>349.75998463901686</v>
      </c>
      <c r="AE57" s="236">
        <f t="shared" si="1034"/>
        <v>328.37206973804427</v>
      </c>
      <c r="AF57" s="225">
        <f t="shared" si="1034"/>
        <v>359.1774466644091</v>
      </c>
      <c r="AG57" s="225">
        <f t="shared" si="1034"/>
        <v>334.86324737787061</v>
      </c>
      <c r="AH57" s="225">
        <f t="shared" ref="AH57:BC57" si="1035">+AH61/AH52*1000000</f>
        <v>345.6994194933032</v>
      </c>
      <c r="AI57" s="225">
        <f t="shared" si="1035"/>
        <v>348.45733096021269</v>
      </c>
      <c r="AJ57" s="236">
        <f t="shared" si="1035"/>
        <v>347.14508435248575</v>
      </c>
      <c r="AK57" s="225">
        <f t="shared" si="1035"/>
        <v>317.75177100194617</v>
      </c>
      <c r="AL57" s="225">
        <f t="shared" si="1035"/>
        <v>310.88983787428032</v>
      </c>
      <c r="AM57" s="225">
        <f t="shared" si="1035"/>
        <v>338.4247360134213</v>
      </c>
      <c r="AN57" s="225">
        <f t="shared" si="1035"/>
        <v>327.62607171746487</v>
      </c>
      <c r="AO57" s="236">
        <f t="shared" si="1035"/>
        <v>324.16374341627829</v>
      </c>
      <c r="AP57" s="225">
        <f t="shared" si="1035"/>
        <v>335.26151676569458</v>
      </c>
      <c r="AQ57" s="225">
        <f t="shared" si="1035"/>
        <v>323.99043364138964</v>
      </c>
      <c r="AR57" s="225">
        <f t="shared" si="1035"/>
        <v>315.7282124642648</v>
      </c>
      <c r="AS57" s="225">
        <f t="shared" si="1035"/>
        <v>300.68972761746699</v>
      </c>
      <c r="AT57" s="236">
        <f t="shared" si="1035"/>
        <v>318.57774184464029</v>
      </c>
      <c r="AU57" s="225">
        <f t="shared" si="1035"/>
        <v>301.48719970542396</v>
      </c>
      <c r="AV57" s="225">
        <f t="shared" si="1035"/>
        <v>310.4181043547344</v>
      </c>
      <c r="AW57" s="225">
        <f t="shared" si="1035"/>
        <v>318.97274405262152</v>
      </c>
      <c r="AX57" s="225">
        <f t="shared" si="1035"/>
        <v>338.48704060057486</v>
      </c>
      <c r="AY57" s="236">
        <f>+AY61/AY52*1000000</f>
        <v>317.07149618583702</v>
      </c>
      <c r="AZ57" s="225">
        <f t="shared" si="1035"/>
        <v>373.4833198796066</v>
      </c>
      <c r="BA57" s="225">
        <f t="shared" si="1035"/>
        <v>400.85586675931205</v>
      </c>
      <c r="BB57" s="225">
        <f t="shared" si="1035"/>
        <v>414.13695856920776</v>
      </c>
      <c r="BC57" s="225">
        <f t="shared" si="1035"/>
        <v>437.239685048007</v>
      </c>
      <c r="BD57" s="236">
        <f t="shared" ref="BD57:BI57" si="1036">+BD61/BD52*1000000</f>
        <v>406.50561472817651</v>
      </c>
      <c r="BE57" s="225">
        <f t="shared" si="1036"/>
        <v>420.85578391366494</v>
      </c>
      <c r="BF57" s="225">
        <f t="shared" si="1036"/>
        <v>450.8643680242206</v>
      </c>
      <c r="BG57" s="225">
        <f t="shared" si="1036"/>
        <v>459.20164419126405</v>
      </c>
      <c r="BH57" s="225">
        <f t="shared" si="1036"/>
        <v>507.68736220637226</v>
      </c>
      <c r="BI57" s="236">
        <f t="shared" si="1036"/>
        <v>459.51308042842896</v>
      </c>
      <c r="BJ57" s="361">
        <f t="shared" ref="BJ57:CJ57" si="1037">+BJ61/BJ52*1000000</f>
        <v>399.15552835154188</v>
      </c>
      <c r="BK57" s="225">
        <f t="shared" si="1037"/>
        <v>420.41154913420871</v>
      </c>
      <c r="BL57" s="225">
        <f t="shared" si="1037"/>
        <v>418.96925165128039</v>
      </c>
      <c r="BM57" s="225">
        <f t="shared" si="1037"/>
        <v>418.02849149947946</v>
      </c>
      <c r="BN57" s="366">
        <f t="shared" si="1037"/>
        <v>414.07909878059058</v>
      </c>
      <c r="BO57" s="225">
        <f t="shared" si="1037"/>
        <v>394.42988883570473</v>
      </c>
      <c r="BP57" s="225">
        <f t="shared" si="1037"/>
        <v>391.39032384350054</v>
      </c>
      <c r="BQ57" s="225">
        <f t="shared" si="1037"/>
        <v>391.79397704760186</v>
      </c>
      <c r="BR57" s="225">
        <f t="shared" si="1037"/>
        <v>389.53897483907815</v>
      </c>
      <c r="BS57" s="236">
        <f t="shared" si="1037"/>
        <v>391.81202490272403</v>
      </c>
      <c r="BT57" s="225">
        <f t="shared" si="1037"/>
        <v>393.80636533330471</v>
      </c>
      <c r="BU57" s="225">
        <f t="shared" si="1037"/>
        <v>391.67950965948893</v>
      </c>
      <c r="BV57" s="225">
        <f t="shared" si="1037"/>
        <v>391.38868320337275</v>
      </c>
      <c r="BW57" s="225">
        <f t="shared" si="1037"/>
        <v>389.31458175742853</v>
      </c>
      <c r="BX57" s="236">
        <f t="shared" si="1037"/>
        <v>391.56136904503825</v>
      </c>
      <c r="BY57" s="225">
        <f t="shared" si="1037"/>
        <v>393.60002128099063</v>
      </c>
      <c r="BZ57" s="225">
        <f t="shared" si="1037"/>
        <v>390.86234455393776</v>
      </c>
      <c r="CA57" s="225">
        <f t="shared" si="1037"/>
        <v>391.38741945479546</v>
      </c>
      <c r="CB57" s="225">
        <f t="shared" si="1037"/>
        <v>389.17964528995788</v>
      </c>
      <c r="CC57" s="236">
        <f t="shared" si="1037"/>
        <v>391.27786727289407</v>
      </c>
      <c r="CD57" s="225">
        <f t="shared" si="1037"/>
        <v>393.34537713319872</v>
      </c>
      <c r="CE57" s="225">
        <f t="shared" si="1037"/>
        <v>390.7308064046797</v>
      </c>
      <c r="CF57" s="225">
        <f t="shared" si="1037"/>
        <v>391.30184549628643</v>
      </c>
      <c r="CG57" s="225">
        <f t="shared" si="1037"/>
        <v>389.29256384305546</v>
      </c>
      <c r="CH57" s="236">
        <f t="shared" si="1037"/>
        <v>391.18562973823214</v>
      </c>
      <c r="CI57" s="225">
        <f t="shared" si="1037"/>
        <v>393.32942798068046</v>
      </c>
      <c r="CJ57" s="225">
        <f t="shared" si="1037"/>
        <v>390.76522674827294</v>
      </c>
      <c r="CK57" s="225">
        <f t="shared" ref="CK57:DB57" si="1038">+CK61/CK52*1000000</f>
        <v>391.44224387915119</v>
      </c>
      <c r="CL57" s="225">
        <f t="shared" si="1038"/>
        <v>389.54140367992318</v>
      </c>
      <c r="CM57" s="236">
        <f t="shared" si="1038"/>
        <v>391.28651960649847</v>
      </c>
      <c r="CN57" s="225">
        <f t="shared" si="1038"/>
        <v>393.45405386280271</v>
      </c>
      <c r="CO57" s="225">
        <f t="shared" si="1038"/>
        <v>390.97127649902279</v>
      </c>
      <c r="CP57" s="225">
        <f t="shared" si="1038"/>
        <v>391.70846316955834</v>
      </c>
      <c r="CQ57" s="225">
        <f t="shared" si="1038"/>
        <v>389.93714383252791</v>
      </c>
      <c r="CR57" s="236">
        <f t="shared" si="1038"/>
        <v>391.53328956055253</v>
      </c>
      <c r="CS57" s="225">
        <f t="shared" si="1038"/>
        <v>393.72723622236771</v>
      </c>
      <c r="CT57" s="225">
        <f t="shared" si="1038"/>
        <v>391.30671672215425</v>
      </c>
      <c r="CU57" s="225">
        <f t="shared" si="1038"/>
        <v>392.11178167141804</v>
      </c>
      <c r="CV57" s="225">
        <f t="shared" si="1038"/>
        <v>390.44156014803212</v>
      </c>
      <c r="CW57" s="236">
        <f t="shared" si="1038"/>
        <v>391.91141386156107</v>
      </c>
      <c r="CX57" s="225">
        <f t="shared" si="1038"/>
        <v>394.11399555183692</v>
      </c>
      <c r="CY57" s="225">
        <f t="shared" si="1038"/>
        <v>391.76014543458217</v>
      </c>
      <c r="CZ57" s="225">
        <f t="shared" si="1038"/>
        <v>392.61783551197266</v>
      </c>
      <c r="DA57" s="225">
        <f t="shared" si="1038"/>
        <v>391.0464532986793</v>
      </c>
      <c r="DB57" s="236">
        <f t="shared" si="1038"/>
        <v>392.39825821963478</v>
      </c>
    </row>
    <row r="58" spans="1:106">
      <c r="A58" s="277" t="s">
        <v>281</v>
      </c>
      <c r="B58" s="119" t="s">
        <v>290</v>
      </c>
      <c r="C58" s="119" t="s">
        <v>290</v>
      </c>
      <c r="D58" s="119" t="s">
        <v>290</v>
      </c>
      <c r="E58" s="119" t="s">
        <v>290</v>
      </c>
      <c r="F58" s="235" t="s">
        <v>290</v>
      </c>
      <c r="G58" s="13">
        <f>+G57/B57-1</f>
        <v>0.18501460913668266</v>
      </c>
      <c r="H58" s="13">
        <f t="shared" ref="H58" si="1039">+H57/C57-1</f>
        <v>-2.5045989429731019E-2</v>
      </c>
      <c r="I58" s="13">
        <f t="shared" ref="I58" si="1040">+I57/D57-1</f>
        <v>-0.3418876392579564</v>
      </c>
      <c r="J58" s="13">
        <f t="shared" ref="J58" si="1041">+J57/E57-1</f>
        <v>-0.32650229617578608</v>
      </c>
      <c r="K58" s="239">
        <f t="shared" ref="K58" si="1042">+K57/F57-1</f>
        <v>-0.17834579581003085</v>
      </c>
      <c r="L58" s="13">
        <f>+L57/G57-1</f>
        <v>-0.205444729758681</v>
      </c>
      <c r="M58" s="13">
        <f t="shared" ref="M58" si="1043">+M57/H57-1</f>
        <v>-0.2290977758596362</v>
      </c>
      <c r="N58" s="13">
        <f t="shared" ref="N58" si="1044">+N57/I57-1</f>
        <v>-7.9004243400651708E-2</v>
      </c>
      <c r="O58" s="13">
        <f t="shared" ref="O58" si="1045">+O57/J57-1</f>
        <v>-0.23932391622112037</v>
      </c>
      <c r="P58" s="239">
        <f t="shared" ref="P58" si="1046">+P57/K57-1</f>
        <v>-0.17991726973268518</v>
      </c>
      <c r="Q58" s="13">
        <f>+Q57/L57-1</f>
        <v>-0.34991948538827289</v>
      </c>
      <c r="R58" s="13">
        <f t="shared" ref="R58" si="1047">+R57/M57-1</f>
        <v>-0.16387451058363911</v>
      </c>
      <c r="S58" s="13">
        <f t="shared" ref="S58" si="1048">+S57/N57-1</f>
        <v>-0.12882641122205951</v>
      </c>
      <c r="T58" s="13">
        <f t="shared" ref="T58" si="1049">+T57/O57-1</f>
        <v>-9.042026258973368E-2</v>
      </c>
      <c r="U58" s="239">
        <f t="shared" ref="U58" si="1050">+U57/P57-1</f>
        <v>-0.19099049045123373</v>
      </c>
      <c r="V58" s="13">
        <f>+V57/Q57-1</f>
        <v>-0.14181128927046649</v>
      </c>
      <c r="W58" s="13">
        <f t="shared" ref="W58" si="1051">+W57/R57-1</f>
        <v>-0.12372303277160568</v>
      </c>
      <c r="X58" s="13">
        <f t="shared" ref="X58" si="1052">+X57/S57-1</f>
        <v>-0.12856568933968782</v>
      </c>
      <c r="Y58" s="13">
        <f t="shared" ref="Y58" si="1053">+Y57/T57-1</f>
        <v>-5.3719031283910423E-2</v>
      </c>
      <c r="Z58" s="239">
        <f t="shared" ref="Z58" si="1054">+Z57/U57-1</f>
        <v>-0.11231237450711562</v>
      </c>
      <c r="AA58" s="13">
        <f>+AA57/V57-1</f>
        <v>-5.8692090540369946E-2</v>
      </c>
      <c r="AB58" s="13">
        <f t="shared" ref="AB58" si="1055">+AB57/W57-1</f>
        <v>-9.8025300424601558E-2</v>
      </c>
      <c r="AC58" s="13">
        <f t="shared" ref="AC58" si="1056">+AC57/X57-1</f>
        <v>-0.11240919560340679</v>
      </c>
      <c r="AD58" s="13">
        <f t="shared" ref="AD58" si="1057">+AD57/Y57-1</f>
        <v>-1.9935016056276011E-2</v>
      </c>
      <c r="AE58" s="239">
        <f t="shared" ref="AE58" si="1058">+AE57/Z57-1</f>
        <v>-7.2543989170372636E-2</v>
      </c>
      <c r="AF58" s="13">
        <f t="shared" ref="AF58" si="1059">+AF57/AA57-1</f>
        <v>0.17468029503855287</v>
      </c>
      <c r="AG58" s="13">
        <f t="shared" ref="AG58" si="1060">+AG57/AB57-1</f>
        <v>1.8743054137815074E-2</v>
      </c>
      <c r="AH58" s="13">
        <f t="shared" ref="AH58" si="1061">+AH57/AC57-1</f>
        <v>5.3319860346251247E-2</v>
      </c>
      <c r="AI58" s="13">
        <f t="shared" ref="AI58" si="1062">+AI57/AD57-1</f>
        <v>-3.7244217063556739E-3</v>
      </c>
      <c r="AJ58" s="239">
        <f t="shared" ref="AJ58" si="1063">+AJ57/AE57-1</f>
        <v>5.7169949409575205E-2</v>
      </c>
      <c r="AK58" s="13">
        <f t="shared" ref="AK58" si="1064">+AK57/AF57-1</f>
        <v>-0.11533484645868719</v>
      </c>
      <c r="AL58" s="13">
        <f t="shared" ref="AL58" si="1065">+AL57/AG57-1</f>
        <v>-7.1591641338106915E-2</v>
      </c>
      <c r="AM58" s="13">
        <f t="shared" ref="AM58" si="1066">+AM57/AH57-1</f>
        <v>-2.1043377771777894E-2</v>
      </c>
      <c r="AN58" s="13">
        <f t="shared" ref="AN58" si="1067">+AN57/AI57-1</f>
        <v>-5.9781377494182664E-2</v>
      </c>
      <c r="AO58" s="239">
        <f t="shared" ref="AO58" si="1068">+AO57/AJ57-1</f>
        <v>-6.6200968909220004E-2</v>
      </c>
      <c r="AP58" s="13">
        <f t="shared" ref="AP58" si="1069">+AP57/AK57-1</f>
        <v>5.5105108332004216E-2</v>
      </c>
      <c r="AQ58" s="13">
        <f t="shared" ref="AQ58" si="1070">+AQ57/AL57-1</f>
        <v>4.2139028591880345E-2</v>
      </c>
      <c r="AR58" s="13">
        <f t="shared" ref="AR58" si="1071">+AR57/AM57-1</f>
        <v>-6.7065202787825795E-2</v>
      </c>
      <c r="AS58" s="13">
        <f t="shared" ref="AS58" si="1072">+AS57/AN57-1</f>
        <v>-8.2216729452554094E-2</v>
      </c>
      <c r="AT58" s="239">
        <f t="shared" ref="AT58" si="1073">+AT57/AO57-1</f>
        <v>-1.7232036848934928E-2</v>
      </c>
      <c r="AU58" s="13">
        <f t="shared" ref="AU58" si="1074">+AU57/AP57-1</f>
        <v>-0.10074021434400005</v>
      </c>
      <c r="AV58" s="13">
        <f t="shared" ref="AV58" si="1075">+AV57/AQ57-1</f>
        <v>-4.1891142075132559E-2</v>
      </c>
      <c r="AW58" s="13">
        <f t="shared" ref="AW58" si="1076">+AW57/AR57-1</f>
        <v>1.0276343577386049E-2</v>
      </c>
      <c r="AX58" s="13">
        <f t="shared" ref="AX58" si="1077">+AX57/AS57-1</f>
        <v>0.1257020427089317</v>
      </c>
      <c r="AY58" s="239">
        <f t="shared" ref="AY58" si="1078">+AY57/AT57-1</f>
        <v>-4.7280316888484997E-3</v>
      </c>
      <c r="AZ58" s="13">
        <f>+AZ57/AU57-1</f>
        <v>0.23880324021891597</v>
      </c>
      <c r="BA58" s="13">
        <f t="shared" ref="BA58" si="1079">+BA57/AV57-1</f>
        <v>0.29134177786624416</v>
      </c>
      <c r="BB58" s="13">
        <f t="shared" ref="BB58" si="1080">+BB57/AW57-1</f>
        <v>0.29834591290623513</v>
      </c>
      <c r="BC58" s="13">
        <f t="shared" ref="BC58" si="1081">+BC57/AX57-1</f>
        <v>0.29174719443384345</v>
      </c>
      <c r="BD58" s="239">
        <f t="shared" ref="BD58" si="1082">+BD57/AY57-1</f>
        <v>0.28206294043511804</v>
      </c>
      <c r="BE58" s="13">
        <f>+BE57/AZ57-1</f>
        <v>0.12683957090594822</v>
      </c>
      <c r="BF58" s="13">
        <f t="shared" ref="BF58" si="1083">+BF57/BA57-1</f>
        <v>0.12475432047233936</v>
      </c>
      <c r="BG58" s="13">
        <f t="shared" ref="BG58" si="1084">+BG57/BB57-1</f>
        <v>0.10881589940137015</v>
      </c>
      <c r="BH58" s="13">
        <f t="shared" ref="BH58" si="1085">+BH57/BC57-1</f>
        <v>0.16111912886093682</v>
      </c>
      <c r="BI58" s="239">
        <f t="shared" ref="BI58" si="1086">+BI57/BD57-1</f>
        <v>0.13039786851578339</v>
      </c>
      <c r="BJ58" s="328">
        <f>+BJ57/BE57-1</f>
        <v>-5.1562212975489685E-2</v>
      </c>
      <c r="BK58" s="13">
        <f t="shared" ref="BK58" si="1087">+BK57/BF57-1</f>
        <v>-6.7543192697755994E-2</v>
      </c>
      <c r="BL58" s="13">
        <f t="shared" ref="BL58" si="1088">+BL57/BG57-1</f>
        <v>-8.7613781546536207E-2</v>
      </c>
      <c r="BM58" s="13">
        <f t="shared" ref="BM58" si="1089">+BM57/BH57-1</f>
        <v>-0.17660252624221706</v>
      </c>
      <c r="BN58" s="365">
        <f t="shared" ref="BN58" si="1090">+BN57/BI57-1</f>
        <v>-9.8874185704306394E-2</v>
      </c>
      <c r="BO58" s="13">
        <f>+BO57/BJ57-1</f>
        <v>-1.183909323604615E-2</v>
      </c>
      <c r="BP58" s="13">
        <f t="shared" ref="BP58" si="1091">+BP57/BK57-1</f>
        <v>-6.9030513910652957E-2</v>
      </c>
      <c r="BQ58" s="13">
        <f t="shared" ref="BQ58" si="1092">+BQ57/BL57-1</f>
        <v>-6.4862217207045214E-2</v>
      </c>
      <c r="BR58" s="13">
        <f t="shared" ref="BR58" si="1093">+BR57/BM57-1</f>
        <v>-6.8152093074346776E-2</v>
      </c>
      <c r="BS58" s="239">
        <f t="shared" ref="BS58" si="1094">+BS57/BN57-1</f>
        <v>-5.3774928373444109E-2</v>
      </c>
      <c r="BT58" s="13">
        <f>+BT57/BO57-1</f>
        <v>-1.5808221436781622E-3</v>
      </c>
      <c r="BU58" s="13">
        <f t="shared" ref="BU58" si="1095">+BU57/BP57-1</f>
        <v>7.3886807713718916E-4</v>
      </c>
      <c r="BV58" s="13">
        <f t="shared" ref="BV58" si="1096">+BV57/BQ57-1</f>
        <v>-1.0344565459715627E-3</v>
      </c>
      <c r="BW58" s="13">
        <f t="shared" ref="BW58" si="1097">+BW57/BR57-1</f>
        <v>-5.7604783126596892E-4</v>
      </c>
      <c r="BX58" s="239">
        <f t="shared" ref="BX58" si="1098">+BX57/BS57-1</f>
        <v>-6.3973497941527402E-4</v>
      </c>
      <c r="BY58" s="13">
        <f>+BY57/BT57-1</f>
        <v>-5.2397338001242133E-4</v>
      </c>
      <c r="BZ58" s="13">
        <f t="shared" ref="BZ58" si="1099">+BZ57/BU57-1</f>
        <v>-2.0863105814792338E-3</v>
      </c>
      <c r="CA58" s="13">
        <f t="shared" ref="CA58" si="1100">+CA57/BV57-1</f>
        <v>-3.2288837964467021E-6</v>
      </c>
      <c r="CB58" s="13">
        <f t="shared" ref="CB58" si="1101">+CB57/BW57-1</f>
        <v>-3.4660008587794611E-4</v>
      </c>
      <c r="CC58" s="239">
        <f t="shared" ref="CC58" si="1102">+CC57/BX57-1</f>
        <v>-7.240289634179442E-4</v>
      </c>
      <c r="CD58" s="13">
        <f>+CD57/BY57-1</f>
        <v>-6.4696172262179719E-4</v>
      </c>
      <c r="CE58" s="13">
        <f t="shared" ref="CE58" si="1103">+CE57/BZ57-1</f>
        <v>-3.3653318384552211E-4</v>
      </c>
      <c r="CF58" s="13">
        <f t="shared" ref="CF58" si="1104">+CF57/CA57-1</f>
        <v>-2.1864258853343532E-4</v>
      </c>
      <c r="CG58" s="13">
        <f t="shared" ref="CG58" si="1105">+CG57/CB57-1</f>
        <v>2.9014506401914275E-4</v>
      </c>
      <c r="CH58" s="239">
        <f t="shared" ref="CH58" si="1106">+CH57/CC57-1</f>
        <v>-2.3573409685762048E-4</v>
      </c>
      <c r="CI58" s="13">
        <f>+CI57/CD57-1</f>
        <v>-4.054745128700965E-5</v>
      </c>
      <c r="CJ58" s="13">
        <f t="shared" ref="CJ58" si="1107">+CJ57/CE57-1</f>
        <v>8.8092218553104118E-5</v>
      </c>
      <c r="CK58" s="13">
        <f t="shared" ref="CK58" si="1108">+CK57/CF57-1</f>
        <v>3.5879816177897261E-4</v>
      </c>
      <c r="CL58" s="13">
        <f t="shared" ref="CL58" si="1109">+CL57/CG57-1</f>
        <v>6.3921035226366385E-4</v>
      </c>
      <c r="CM58" s="239">
        <f t="shared" ref="CM58" si="1110">+CM57/CH57-1</f>
        <v>2.5790791020074977E-4</v>
      </c>
      <c r="CN58" s="13">
        <f>+CN57/CI57-1</f>
        <v>3.1684860896907807E-4</v>
      </c>
      <c r="CO58" s="13">
        <f t="shared" ref="CO58" si="1111">+CO57/CJ57-1</f>
        <v>5.2729807220686098E-4</v>
      </c>
      <c r="CP58" s="13">
        <f t="shared" ref="CP58" si="1112">+CP57/CK57-1</f>
        <v>6.8009851918104935E-4</v>
      </c>
      <c r="CQ58" s="13">
        <f t="shared" ref="CQ58" si="1113">+CQ57/CL57-1</f>
        <v>1.0159129398472633E-3</v>
      </c>
      <c r="CR58" s="239">
        <f t="shared" ref="CR58" si="1114">+CR57/CM57-1</f>
        <v>6.3066306067027789E-4</v>
      </c>
      <c r="CS58" s="13">
        <f>+CS57/CN57-1</f>
        <v>6.9431832480315592E-4</v>
      </c>
      <c r="CT58" s="13">
        <f t="shared" ref="CT58" si="1115">+CT57/CO57-1</f>
        <v>8.5796641158708553E-4</v>
      </c>
      <c r="CU58" s="13">
        <f t="shared" ref="CU58" si="1116">+CU57/CP57-1</f>
        <v>1.0296394890123572E-3</v>
      </c>
      <c r="CV58" s="13">
        <f t="shared" ref="CV58" si="1117">+CV57/CQ57-1</f>
        <v>1.2935836543974677E-3</v>
      </c>
      <c r="CW58" s="239">
        <f t="shared" ref="CW58" si="1118">+CW57/CR57-1</f>
        <v>9.6575262203879575E-4</v>
      </c>
      <c r="CX58" s="13">
        <f>+CX57/CS57-1</f>
        <v>9.8230270575139222E-4</v>
      </c>
      <c r="CY58" s="13">
        <f t="shared" ref="CY58" si="1119">+CY57/CT57-1</f>
        <v>1.1587552501683973E-3</v>
      </c>
      <c r="CZ58" s="13">
        <f t="shared" ref="CZ58" si="1120">+CZ57/CU57-1</f>
        <v>1.2905856549310091E-3</v>
      </c>
      <c r="DA58" s="13">
        <f t="shared" ref="DA58" si="1121">+DA57/CV57-1</f>
        <v>1.5492540046655456E-3</v>
      </c>
      <c r="DB58" s="239">
        <f t="shared" ref="DB58" si="1122">+DB57/CW57-1</f>
        <v>1.2422306185899679E-3</v>
      </c>
    </row>
    <row r="59" spans="1:106">
      <c r="A59" s="277" t="s">
        <v>288</v>
      </c>
      <c r="B59" s="119" t="s">
        <v>290</v>
      </c>
      <c r="C59" s="13">
        <f>+C57/B57-1</f>
        <v>7.0168775854394516E-2</v>
      </c>
      <c r="D59" s="13">
        <f t="shared" ref="D59" si="1123">+D57/C57-1</f>
        <v>0.21427309038210063</v>
      </c>
      <c r="E59" s="13">
        <f t="shared" ref="E59" si="1124">+E57/D57-1</f>
        <v>7.1402060955374491E-3</v>
      </c>
      <c r="F59" s="235" t="s">
        <v>290</v>
      </c>
      <c r="G59" s="13">
        <f>+G57/E57-1</f>
        <v>-9.4548641858357985E-2</v>
      </c>
      <c r="H59" s="13">
        <f>+H57/G57-1</f>
        <v>-0.11953377455283964</v>
      </c>
      <c r="I59" s="13">
        <f t="shared" ref="I59" si="1125">+I57/H57-1</f>
        <v>-0.18034274290591823</v>
      </c>
      <c r="J59" s="13">
        <f t="shared" ref="J59" si="1126">+J57/I57-1</f>
        <v>3.068511806946872E-2</v>
      </c>
      <c r="K59" s="235" t="s">
        <v>290</v>
      </c>
      <c r="L59" s="13">
        <f>+L57/J57-1</f>
        <v>6.8201338287527058E-2</v>
      </c>
      <c r="M59" s="13">
        <f>+M57/L57-1</f>
        <v>-0.14574429633883268</v>
      </c>
      <c r="N59" s="13">
        <f t="shared" ref="N59" si="1127">+N57/M57-1</f>
        <v>-2.0756677033454629E-2</v>
      </c>
      <c r="O59" s="13">
        <f t="shared" ref="O59" si="1128">+O57/N57-1</f>
        <v>-0.1487284131284885</v>
      </c>
      <c r="P59" s="235" t="s">
        <v>290</v>
      </c>
      <c r="Q59" s="13">
        <f>+Q57/O57-1</f>
        <v>-8.7105680708175481E-2</v>
      </c>
      <c r="R59" s="13">
        <f>+R57/Q57-1</f>
        <v>9.8733083450469827E-2</v>
      </c>
      <c r="S59" s="13">
        <f t="shared" ref="S59" si="1129">+S57/R57-1</f>
        <v>2.0290531450108729E-2</v>
      </c>
      <c r="T59" s="13">
        <f t="shared" ref="T59" si="1130">+T57/S57-1</f>
        <v>-0.11119965478111304</v>
      </c>
      <c r="U59" s="235" t="s">
        <v>290</v>
      </c>
      <c r="V59" s="13">
        <f>+V57/T57-1</f>
        <v>-0.1386839804326061</v>
      </c>
      <c r="W59" s="13">
        <f>+W57/V57-1</f>
        <v>0.12189135340760049</v>
      </c>
      <c r="X59" s="13">
        <f t="shared" ref="X59" si="1131">+X57/W57-1</f>
        <v>1.4651998396904453E-2</v>
      </c>
      <c r="Y59" s="13">
        <f t="shared" ref="Y59" si="1132">+Y57/X57-1</f>
        <v>-3.4861444654812335E-2</v>
      </c>
      <c r="Z59" s="235" t="s">
        <v>290</v>
      </c>
      <c r="AA59" s="13">
        <f>+AA57/Y57-1</f>
        <v>-0.14321051720704647</v>
      </c>
      <c r="AB59" s="13">
        <f>+AB57/AA57-1</f>
        <v>7.50123379149783E-2</v>
      </c>
      <c r="AC59" s="13">
        <f t="shared" ref="AC59" si="1133">+AC57/AB57-1</f>
        <v>-1.5287747387241479E-3</v>
      </c>
      <c r="AD59" s="13">
        <f t="shared" ref="AD59" si="1134">+AD57/AC57-1</f>
        <v>6.5692093769376347E-2</v>
      </c>
      <c r="AE59" s="235" t="s">
        <v>290</v>
      </c>
      <c r="AF59" s="13">
        <f t="shared" ref="AF59" si="1135">+AF57/AE57-1</f>
        <v>9.3812415139142402E-2</v>
      </c>
      <c r="AG59" s="13">
        <f t="shared" ref="AG59" si="1136">+AG57/AF57-1</f>
        <v>-6.7694114740049383E-2</v>
      </c>
      <c r="AH59" s="13">
        <f t="shared" ref="AH59" si="1137">+AH57/AG57-1</f>
        <v>3.2359992326075337E-2</v>
      </c>
      <c r="AI59" s="13">
        <f t="shared" ref="AI59" si="1138">+AI57/AH57-1</f>
        <v>7.9777729188894586E-3</v>
      </c>
      <c r="AJ59" s="235" t="s">
        <v>290</v>
      </c>
      <c r="AK59" s="13">
        <f t="shared" ref="AK59" si="1139">+AK57/AJ57-1</f>
        <v>-8.4671552833206931E-2</v>
      </c>
      <c r="AL59" s="13">
        <f t="shared" ref="AL59" si="1140">+AL57/AK57-1</f>
        <v>-2.1595263201928172E-2</v>
      </c>
      <c r="AM59" s="13">
        <f t="shared" ref="AM59" si="1141">+AM57/AL57-1</f>
        <v>8.8568022446187999E-2</v>
      </c>
      <c r="AN59" s="13">
        <f t="shared" ref="AN59" si="1142">+AN57/AM57-1</f>
        <v>-3.1908614078162922E-2</v>
      </c>
      <c r="AO59" s="235" t="s">
        <v>290</v>
      </c>
      <c r="AP59" s="13">
        <f t="shared" ref="AP59" si="1143">+AP57/AO57-1</f>
        <v>3.4235085122289455E-2</v>
      </c>
      <c r="AQ59" s="13">
        <f t="shared" ref="AQ59" si="1144">+AQ57/AP57-1</f>
        <v>-3.3618779849946212E-2</v>
      </c>
      <c r="AR59" s="13">
        <f t="shared" ref="AR59" si="1145">+AR57/AQ57-1</f>
        <v>-2.5501435595687738E-2</v>
      </c>
      <c r="AS59" s="13">
        <f t="shared" ref="AS59" si="1146">+AS57/AR57-1</f>
        <v>-4.7631108824333857E-2</v>
      </c>
      <c r="AT59" s="235" t="s">
        <v>290</v>
      </c>
      <c r="AU59" s="13">
        <f t="shared" ref="AU59" si="1147">+AU57/AT57-1</f>
        <v>-5.3646378558206975E-2</v>
      </c>
      <c r="AV59" s="13">
        <f t="shared" ref="AV59" si="1148">+AV57/AU57-1</f>
        <v>2.9622831941245265E-2</v>
      </c>
      <c r="AW59" s="13">
        <f t="shared" ref="AW59" si="1149">+AW57/AV57-1</f>
        <v>2.7558443202498228E-2</v>
      </c>
      <c r="AX59" s="13">
        <f t="shared" ref="AX59" si="1150">+AX57/AW57-1</f>
        <v>6.1178570620234574E-2</v>
      </c>
      <c r="AY59" s="235" t="s">
        <v>290</v>
      </c>
      <c r="AZ59" s="13">
        <f>+AZ57/AY57-1</f>
        <v>0.17791515280423176</v>
      </c>
      <c r="BA59" s="13">
        <f t="shared" ref="BA59" si="1151">+BA57/AZ57-1</f>
        <v>7.3289877814433746E-2</v>
      </c>
      <c r="BB59" s="13">
        <f t="shared" ref="BB59" si="1152">+BB57/BA57-1</f>
        <v>3.3131838426778248E-2</v>
      </c>
      <c r="BC59" s="13">
        <f t="shared" ref="BC59" si="1153">+BC57/BB57-1</f>
        <v>5.5785232399002238E-2</v>
      </c>
      <c r="BD59" s="235" t="s">
        <v>290</v>
      </c>
      <c r="BE59" s="13">
        <f>+BE57/BC57-1</f>
        <v>-3.7471212459919245E-2</v>
      </c>
      <c r="BF59" s="13">
        <f t="shared" ref="BF59" si="1154">+BF57/BE57-1</f>
        <v>7.1303722694498362E-2</v>
      </c>
      <c r="BG59" s="13">
        <f t="shared" ref="BG59" si="1155">+BG57/BF57-1</f>
        <v>1.849176106681294E-2</v>
      </c>
      <c r="BH59" s="13">
        <f t="shared" ref="BH59" si="1156">+BH57/BG57-1</f>
        <v>0.10558698695537161</v>
      </c>
      <c r="BI59" s="235" t="s">
        <v>290</v>
      </c>
      <c r="BJ59" s="328">
        <f t="shared" ref="BJ59" si="1157">+BJ57/BI57-1</f>
        <v>-0.13135110761289426</v>
      </c>
      <c r="BK59" s="13">
        <f t="shared" ref="BK59" si="1158">+BK57/BJ57-1</f>
        <v>5.3252477475262072E-2</v>
      </c>
      <c r="BL59" s="13">
        <f t="shared" ref="BL59" si="1159">+BL57/BK57-1</f>
        <v>-3.4306799751304684E-3</v>
      </c>
      <c r="BM59" s="13">
        <f t="shared" ref="BM59" si="1160">+BM57/BL57-1</f>
        <v>-2.2454157389668605E-3</v>
      </c>
      <c r="BN59" s="235" t="s">
        <v>290</v>
      </c>
      <c r="BO59" s="13">
        <f t="shared" ref="BO59" si="1161">+BO57/BN57-1</f>
        <v>-4.7452793446349339E-2</v>
      </c>
      <c r="BP59" s="13">
        <f t="shared" ref="BP59" si="1162">+BP57/BO57-1</f>
        <v>-7.7062237884063522E-3</v>
      </c>
      <c r="BQ59" s="13">
        <f t="shared" ref="BQ59" si="1163">+BQ57/BP57-1</f>
        <v>1.0313315877035212E-3</v>
      </c>
      <c r="BR59" s="13">
        <f t="shared" ref="BR59" si="1164">+BR57/BQ57-1</f>
        <v>-5.7555816082638378E-3</v>
      </c>
      <c r="BS59" s="235" t="s">
        <v>290</v>
      </c>
      <c r="BT59" s="13">
        <f t="shared" ref="BT59" si="1165">+BT57/BS57-1</f>
        <v>5.0900439594110392E-3</v>
      </c>
      <c r="BU59" s="13">
        <f t="shared" ref="BU59" si="1166">+BU57/BT57-1</f>
        <v>-5.4007650994053469E-3</v>
      </c>
      <c r="BV59" s="13">
        <f t="shared" ref="BV59" si="1167">+BV57/BU57-1</f>
        <v>-7.4251128523172838E-4</v>
      </c>
      <c r="BW59" s="13">
        <f t="shared" ref="BW59" si="1168">+BW57/BV57-1</f>
        <v>-5.2993393395242006E-3</v>
      </c>
      <c r="BX59" s="235" t="s">
        <v>290</v>
      </c>
      <c r="BY59" s="13">
        <f t="shared" ref="BY59" si="1169">+BY57/BX57-1</f>
        <v>5.2064692717883609E-3</v>
      </c>
      <c r="BZ59" s="13">
        <f t="shared" ref="BZ59" si="1170">+BZ57/BY57-1</f>
        <v>-6.9554791133977778E-3</v>
      </c>
      <c r="CA59" s="13">
        <f t="shared" ref="CA59" si="1171">+CA57/BZ57-1</f>
        <v>1.3433755084719667E-3</v>
      </c>
      <c r="CB59" s="13">
        <f t="shared" ref="CB59" si="1172">+CB57/CA57-1</f>
        <v>-5.6408920039203725E-3</v>
      </c>
      <c r="CC59" s="235" t="s">
        <v>290</v>
      </c>
      <c r="CD59" s="13">
        <f t="shared" ref="CD59" si="1173">+CD57/CC57-1</f>
        <v>5.2839938908753048E-3</v>
      </c>
      <c r="CE59" s="13">
        <f t="shared" ref="CE59" si="1174">+CE57/CD57-1</f>
        <v>-6.6470101862508013E-3</v>
      </c>
      <c r="CF59" s="13">
        <f t="shared" ref="CF59" si="1175">+CF57/CE57-1</f>
        <v>1.4614642158912172E-3</v>
      </c>
      <c r="CG59" s="13">
        <f t="shared" ref="CG59" si="1176">+CG57/CF57-1</f>
        <v>-5.1348637282366827E-3</v>
      </c>
      <c r="CH59" s="235" t="s">
        <v>290</v>
      </c>
      <c r="CI59" s="13">
        <f t="shared" ref="CI59" si="1177">+CI57/CH57-1</f>
        <v>5.4802581676707263E-3</v>
      </c>
      <c r="CJ59" s="13">
        <f t="shared" ref="CJ59" si="1178">+CJ57/CI57-1</f>
        <v>-6.5192204040565027E-3</v>
      </c>
      <c r="CK59" s="13">
        <f t="shared" ref="CK59" si="1179">+CK57/CJ57-1</f>
        <v>1.7325419063307645E-3</v>
      </c>
      <c r="CL59" s="13">
        <f t="shared" ref="CL59" si="1180">+CL57/CK57-1</f>
        <v>-4.8559914749897182E-3</v>
      </c>
      <c r="CM59" s="235" t="s">
        <v>290</v>
      </c>
      <c r="CN59" s="13">
        <f t="shared" ref="CN59" si="1181">+CN57/CM57-1</f>
        <v>5.5395065960464063E-3</v>
      </c>
      <c r="CO59" s="13">
        <f t="shared" ref="CO59" si="1182">+CO57/CN57-1</f>
        <v>-6.3102091321841636E-3</v>
      </c>
      <c r="CP59" s="13">
        <f t="shared" ref="CP59" si="1183">+CP57/CO57-1</f>
        <v>1.8855264180446252E-3</v>
      </c>
      <c r="CQ59" s="13">
        <f t="shared" ref="CQ59" si="1184">+CQ57/CP57-1</f>
        <v>-4.5220348896666263E-3</v>
      </c>
      <c r="CR59" s="235" t="s">
        <v>290</v>
      </c>
      <c r="CS59" s="13">
        <f t="shared" ref="CS59" si="1185">+CS57/CR57-1</f>
        <v>5.6034741369694885E-3</v>
      </c>
      <c r="CT59" s="13">
        <f t="shared" ref="CT59" si="1186">+CT57/CS57-1</f>
        <v>-6.1477065275881149E-3</v>
      </c>
      <c r="CU59" s="13">
        <f t="shared" ref="CU59" si="1187">+CU57/CT57-1</f>
        <v>2.0573757486392896E-3</v>
      </c>
      <c r="CV59" s="13">
        <f t="shared" ref="CV59" si="1188">+CV57/CU57-1</f>
        <v>-4.2595545491298514E-3</v>
      </c>
      <c r="CW59" s="235" t="s">
        <v>290</v>
      </c>
      <c r="CX59" s="13">
        <f t="shared" ref="CX59" si="1189">+CX57/CW57-1</f>
        <v>5.6201009013070458E-3</v>
      </c>
      <c r="CY59" s="13">
        <f t="shared" ref="CY59" si="1190">+CY57/CX57-1</f>
        <v>-5.9725108568116081E-3</v>
      </c>
      <c r="CZ59" s="13">
        <f t="shared" ref="CZ59" si="1191">+CZ57/CY57-1</f>
        <v>2.1893244817923208E-3</v>
      </c>
      <c r="DA59" s="13">
        <f t="shared" ref="DA59" si="1192">+DA57/CZ57-1</f>
        <v>-4.0023199945674603E-3</v>
      </c>
      <c r="DB59" s="235" t="s">
        <v>290</v>
      </c>
    </row>
    <row r="60" spans="1:106">
      <c r="F60" s="217"/>
      <c r="K60" s="217"/>
      <c r="P60" s="217"/>
      <c r="U60" s="217"/>
      <c r="Z60" s="217"/>
      <c r="AE60" s="217"/>
      <c r="AJ60" s="217"/>
      <c r="AO60" s="217"/>
      <c r="AT60" s="217"/>
      <c r="AY60" s="217"/>
      <c r="BD60" s="217"/>
      <c r="BI60" s="217"/>
      <c r="BJ60" s="356"/>
      <c r="BN60" s="217"/>
      <c r="BS60" s="217"/>
      <c r="BX60" s="217"/>
      <c r="CC60" s="217"/>
      <c r="CH60" s="217"/>
      <c r="CM60" s="217"/>
      <c r="CR60" s="217"/>
      <c r="CW60" s="217"/>
      <c r="DB60" s="217"/>
    </row>
    <row r="61" spans="1:106" s="51" customFormat="1">
      <c r="A61" s="51" t="s">
        <v>379</v>
      </c>
      <c r="B61" s="135">
        <v>27.209</v>
      </c>
      <c r="C61" s="135">
        <v>35.735999999999997</v>
      </c>
      <c r="D61" s="135">
        <v>45.804000000000002</v>
      </c>
      <c r="E61" s="135">
        <f>157.308-B61-C61-D61</f>
        <v>48.558999999999997</v>
      </c>
      <c r="F61" s="216">
        <f>+F75+F169+F182</f>
        <v>157.30799999999999</v>
      </c>
      <c r="G61" s="135">
        <f t="shared" ref="G61:AL61" si="1193">+G31-G195-G312</f>
        <v>46.899000000000001</v>
      </c>
      <c r="H61" s="135">
        <f t="shared" si="1193"/>
        <v>44.518999999999998</v>
      </c>
      <c r="I61" s="135">
        <f t="shared" si="1193"/>
        <v>44.423000000000002</v>
      </c>
      <c r="J61" s="135">
        <f t="shared" si="1193"/>
        <v>52.326999999999998</v>
      </c>
      <c r="K61" s="216">
        <f t="shared" si="1193"/>
        <v>188.16800000000001</v>
      </c>
      <c r="L61" s="135">
        <f t="shared" si="1193"/>
        <v>61.136000000000003</v>
      </c>
      <c r="M61" s="135">
        <f t="shared" si="1193"/>
        <v>51.231000000000002</v>
      </c>
      <c r="N61" s="135">
        <f t="shared" si="1193"/>
        <v>53.09</v>
      </c>
      <c r="O61" s="135">
        <f t="shared" si="1193"/>
        <v>48.511000000000003</v>
      </c>
      <c r="P61" s="216">
        <f t="shared" si="1193"/>
        <v>213.96799999999999</v>
      </c>
      <c r="Q61" s="135">
        <f t="shared" si="1193"/>
        <v>45.912999999999997</v>
      </c>
      <c r="R61" s="135">
        <f t="shared" si="1193"/>
        <v>52.276000000000003</v>
      </c>
      <c r="S61" s="135">
        <f t="shared" si="1193"/>
        <v>55.331000000000003</v>
      </c>
      <c r="T61" s="135">
        <f t="shared" si="1193"/>
        <v>51.969000000000001</v>
      </c>
      <c r="U61" s="216">
        <f t="shared" si="1193"/>
        <v>205.48899999999998</v>
      </c>
      <c r="V61" s="135">
        <f t="shared" si="1193"/>
        <v>53.143999999999998</v>
      </c>
      <c r="W61" s="135">
        <f t="shared" si="1193"/>
        <v>59.003</v>
      </c>
      <c r="X61" s="135">
        <f t="shared" si="1193"/>
        <v>61.536999999999999</v>
      </c>
      <c r="Y61" s="135">
        <f t="shared" si="1193"/>
        <v>61.881999999999998</v>
      </c>
      <c r="Z61" s="216">
        <f t="shared" si="1193"/>
        <v>235.56599999999997</v>
      </c>
      <c r="AA61" s="135">
        <f t="shared" si="1193"/>
        <v>60.663999999999994</v>
      </c>
      <c r="AB61" s="135">
        <f t="shared" si="1193"/>
        <v>63.479000000000006</v>
      </c>
      <c r="AC61" s="135">
        <f t="shared" si="1193"/>
        <v>65.361000000000004</v>
      </c>
      <c r="AD61" s="135">
        <f t="shared" si="1193"/>
        <v>72.861999999999995</v>
      </c>
      <c r="AE61" s="216">
        <f t="shared" si="1193"/>
        <v>262.36599999999999</v>
      </c>
      <c r="AF61" s="135">
        <f t="shared" si="1193"/>
        <v>83.791429000000008</v>
      </c>
      <c r="AG61" s="135">
        <f t="shared" si="1193"/>
        <v>76.655889999999999</v>
      </c>
      <c r="AH61" s="135">
        <f t="shared" si="1193"/>
        <v>87.283457390000009</v>
      </c>
      <c r="AI61" s="135">
        <f t="shared" si="1193"/>
        <v>98.127095170000004</v>
      </c>
      <c r="AJ61" s="216">
        <f t="shared" si="1193"/>
        <v>345.85787156000004</v>
      </c>
      <c r="AK61" s="135">
        <f t="shared" si="1193"/>
        <v>104.40939723002001</v>
      </c>
      <c r="AL61" s="135">
        <f t="shared" si="1193"/>
        <v>107.736273366636</v>
      </c>
      <c r="AM61" s="135">
        <f t="shared" ref="AM61:BC61" si="1194">+AM31-AM195-AM312</f>
        <v>126.53083157747201</v>
      </c>
      <c r="AN61" s="135">
        <f t="shared" si="1194"/>
        <v>130.10431708607996</v>
      </c>
      <c r="AO61" s="216">
        <f t="shared" si="1194"/>
        <v>468.78081926020798</v>
      </c>
      <c r="AP61" s="135">
        <f t="shared" si="1194"/>
        <v>149.02425114842561</v>
      </c>
      <c r="AQ61" s="135">
        <f t="shared" si="1194"/>
        <v>141.70240000000001</v>
      </c>
      <c r="AR61" s="135">
        <f t="shared" si="1194"/>
        <v>140.59030000000001</v>
      </c>
      <c r="AS61" s="135">
        <f t="shared" si="1194"/>
        <v>143.12380000000002</v>
      </c>
      <c r="AT61" s="216">
        <f t="shared" si="1194"/>
        <v>574.44075114842565</v>
      </c>
      <c r="AU61" s="135">
        <f t="shared" si="1194"/>
        <v>162.1163</v>
      </c>
      <c r="AV61" s="135">
        <f t="shared" si="1194"/>
        <v>159.41707999999997</v>
      </c>
      <c r="AW61" s="135">
        <f t="shared" si="1194"/>
        <v>164.34337000000005</v>
      </c>
      <c r="AX61" s="135">
        <f t="shared" si="1194"/>
        <v>170.97521999999998</v>
      </c>
      <c r="AY61" s="216">
        <f t="shared" si="1194"/>
        <v>656.85196999999994</v>
      </c>
      <c r="AZ61" s="135">
        <f t="shared" si="1194"/>
        <v>224.027919</v>
      </c>
      <c r="BA61" s="135">
        <f t="shared" si="1194"/>
        <v>243.10681699999992</v>
      </c>
      <c r="BB61" s="135">
        <f t="shared" si="1194"/>
        <v>251.22978750000001</v>
      </c>
      <c r="BC61" s="135">
        <f t="shared" si="1194"/>
        <v>264.68278100000003</v>
      </c>
      <c r="BD61" s="216">
        <f>+AZ61+BA61+BB61+BC61</f>
        <v>983.04730449999988</v>
      </c>
      <c r="BE61" s="135">
        <f>+BE31-BE195-BE312</f>
        <v>276.76528953791052</v>
      </c>
      <c r="BF61" s="135">
        <f>+BF31-BF195-BF312</f>
        <v>282.29168633791056</v>
      </c>
      <c r="BG61" s="135">
        <f>+BG31-BG195-BG312</f>
        <v>294.73754259305628</v>
      </c>
      <c r="BH61" s="135">
        <f>+BH31-BH195-BH312</f>
        <v>327.0847820501948</v>
      </c>
      <c r="BI61" s="216">
        <f>+BE61+BF61+BG61+BH61</f>
        <v>1180.8793005190723</v>
      </c>
      <c r="BJ61" s="273">
        <f>+BJ75+BJ169+BJ182</f>
        <v>274.71690722941338</v>
      </c>
      <c r="BK61" s="135">
        <f>+BK75+BK169+BK182</f>
        <v>280.61299331683068</v>
      </c>
      <c r="BL61" s="135">
        <f>+BL75+BL169+BL182</f>
        <v>284.308772365094</v>
      </c>
      <c r="BM61" s="135">
        <f>+BM75+BM169+BM182</f>
        <v>288.52940789637785</v>
      </c>
      <c r="BN61" s="216">
        <f>+BJ61+BK61+BL61+BM61</f>
        <v>1128.1680808077158</v>
      </c>
      <c r="BO61" s="135">
        <f>+BO75+BO169+BO182</f>
        <v>315.94803196671023</v>
      </c>
      <c r="BP61" s="135">
        <f>+BP75+BP169+BP182</f>
        <v>291.64043086223279</v>
      </c>
      <c r="BQ61" s="135">
        <f>+BQ75+BQ169+BQ182</f>
        <v>305.63238694980106</v>
      </c>
      <c r="BR61" s="135">
        <f>+BR75+BR169+BR182</f>
        <v>303.10165837108138</v>
      </c>
      <c r="BS61" s="216">
        <f>+BO61+BP61+BQ61+BR61</f>
        <v>1216.3225081498254</v>
      </c>
      <c r="BT61" s="135">
        <f>+BT75+BT169+BT182</f>
        <v>344.44574689375673</v>
      </c>
      <c r="BU61" s="135">
        <f>+BU75+BU169+BU182</f>
        <v>323.90827658177409</v>
      </c>
      <c r="BV61" s="135">
        <f>+BV75+BV169+BV182</f>
        <v>334.1345659275251</v>
      </c>
      <c r="BW61" s="135">
        <f>+BW75+BW169+BW182</f>
        <v>331.62929277374741</v>
      </c>
      <c r="BX61" s="216">
        <f>+BT61+BU61+BV61+BW61</f>
        <v>1334.1178821768033</v>
      </c>
      <c r="BY61" s="135">
        <f>+BY75+BY169+BY182</f>
        <v>374.89924160634968</v>
      </c>
      <c r="BZ61" s="135">
        <f>+BZ75+BZ169+BZ182</f>
        <v>349.41651725100456</v>
      </c>
      <c r="CA61" s="135">
        <f>+CA75+CA169+CA182</f>
        <v>364.60063962600998</v>
      </c>
      <c r="CB61" s="135">
        <f>+CB75+CB169+CB182</f>
        <v>360.28062392220278</v>
      </c>
      <c r="CC61" s="216">
        <f>+BY61+BZ61+CA61+CB61</f>
        <v>1449.1970224055669</v>
      </c>
      <c r="CD61" s="135">
        <f>+CD75+CD169+CD182</f>
        <v>404.51887065593081</v>
      </c>
      <c r="CE61" s="135">
        <f>+CE75+CE169+CE182</f>
        <v>378.48305524776771</v>
      </c>
      <c r="CF61" s="135">
        <f>+CF75+CF169+CF182</f>
        <v>394.22498776871157</v>
      </c>
      <c r="CG61" s="135">
        <f>+CG75+CG169+CG182</f>
        <v>390.22809610410383</v>
      </c>
      <c r="CH61" s="216">
        <f>+CD61+CE61+CF61+CG61</f>
        <v>1567.4550097765139</v>
      </c>
      <c r="CI61" s="135">
        <f>+CI75+CI169+CI182</f>
        <v>435.45998141256689</v>
      </c>
      <c r="CJ61" s="135">
        <f>+CJ75+CJ169+CJ182</f>
        <v>408.36739720686433</v>
      </c>
      <c r="CK61" s="135">
        <f>+CK75+CK169+CK182</f>
        <v>425.17522794848867</v>
      </c>
      <c r="CL61" s="135">
        <f>+CL75+CL169+CL182</f>
        <v>421.01136779946006</v>
      </c>
      <c r="CM61" s="216">
        <f>+CI61+CJ61+CK61+CL61</f>
        <v>1690.0139743673799</v>
      </c>
      <c r="CN61" s="135">
        <f>+CN75+CN169+CN182</f>
        <v>467.25810889051269</v>
      </c>
      <c r="CO61" s="135">
        <f>+CO75+CO169+CO182</f>
        <v>439.33624959491533</v>
      </c>
      <c r="CP61" s="135">
        <f>+CP75+CP169+CP182</f>
        <v>456.98420227790962</v>
      </c>
      <c r="CQ61" s="135">
        <f>+CQ75+CQ169+CQ182</f>
        <v>452.90373838538568</v>
      </c>
      <c r="CR61" s="216">
        <f>+CN61+CO61+CP61+CQ61</f>
        <v>1816.4822991487233</v>
      </c>
      <c r="CS61" s="135">
        <f>+CS75+CS169+CS182</f>
        <v>500.18938120572136</v>
      </c>
      <c r="CT61" s="135">
        <f>+CT75+CT169+CT182</f>
        <v>471.29323708862307</v>
      </c>
      <c r="CU61" s="135">
        <f>+CU75+CU169+CU182</f>
        <v>489.92955674309559</v>
      </c>
      <c r="CV61" s="135">
        <f>+CV75+CV169+CV182</f>
        <v>485.80617808139084</v>
      </c>
      <c r="CW61" s="216">
        <f>+CS61+CT61+CU61+CV61</f>
        <v>1947.2183531188307</v>
      </c>
      <c r="CX61" s="135">
        <f>+CX75+CX169+CX182</f>
        <v>534.15406789545818</v>
      </c>
      <c r="CY61" s="135">
        <f>+CY75+CY169+CY182</f>
        <v>504.32763597896542</v>
      </c>
      <c r="CZ61" s="135">
        <f>+CZ75+CZ169+CZ182</f>
        <v>523.9109475204782</v>
      </c>
      <c r="DA61" s="135">
        <f>+DA75+DA169+DA182</f>
        <v>519.81001416611105</v>
      </c>
      <c r="DB61" s="216">
        <f>+CX61+CY61+CZ61+DA61</f>
        <v>2082.202665561013</v>
      </c>
    </row>
    <row r="62" spans="1:106">
      <c r="A62" s="277" t="s">
        <v>281</v>
      </c>
      <c r="B62" s="119" t="s">
        <v>290</v>
      </c>
      <c r="C62" s="119" t="s">
        <v>290</v>
      </c>
      <c r="D62" s="119" t="s">
        <v>290</v>
      </c>
      <c r="E62" s="119" t="s">
        <v>290</v>
      </c>
      <c r="F62" s="235" t="s">
        <v>290</v>
      </c>
      <c r="G62" s="13">
        <f>+G61/B61-1</f>
        <v>0.72365761328972034</v>
      </c>
      <c r="H62" s="13">
        <f t="shared" ref="H62" si="1195">+H61/C61-1</f>
        <v>0.24577456906201034</v>
      </c>
      <c r="I62" s="13">
        <f t="shared" ref="I62" si="1196">+I61/D61-1</f>
        <v>-3.0150205222251314E-2</v>
      </c>
      <c r="J62" s="13">
        <f t="shared" ref="J62" si="1197">+J61/E61-1</f>
        <v>7.7596326118742232E-2</v>
      </c>
      <c r="K62" s="239">
        <f t="shared" ref="K62" si="1198">+K61/F61-1</f>
        <v>0.19617565540214121</v>
      </c>
      <c r="L62" s="13">
        <f>+L61/G61-1</f>
        <v>0.30356724023966408</v>
      </c>
      <c r="M62" s="13">
        <f t="shared" ref="M62" si="1199">+M61/H61-1</f>
        <v>0.15076708820952867</v>
      </c>
      <c r="N62" s="13">
        <f t="shared" ref="N62" si="1200">+N61/I61-1</f>
        <v>0.19510163653963031</v>
      </c>
      <c r="O62" s="13">
        <f t="shared" ref="O62" si="1201">+O61/J61-1</f>
        <v>-7.292602289449035E-2</v>
      </c>
      <c r="P62" s="239">
        <f t="shared" ref="P62" si="1202">+P61/K61-1</f>
        <v>0.13711151736745886</v>
      </c>
      <c r="Q62" s="13">
        <f>+Q61/L61-1</f>
        <v>-0.24900222454854759</v>
      </c>
      <c r="R62" s="13">
        <f t="shared" ref="R62" si="1203">+R61/M61-1</f>
        <v>2.039780601588892E-2</v>
      </c>
      <c r="S62" s="13">
        <f t="shared" ref="S62" si="1204">+S61/N61-1</f>
        <v>4.221133923526077E-2</v>
      </c>
      <c r="T62" s="13">
        <f t="shared" ref="T62" si="1205">+T61/O61-1</f>
        <v>7.1282801838758125E-2</v>
      </c>
      <c r="U62" s="239">
        <f t="shared" ref="U62" si="1206">+U61/P61-1</f>
        <v>-3.9627420922754841E-2</v>
      </c>
      <c r="V62" s="13">
        <f>+V61/Q61-1</f>
        <v>0.15749352035371245</v>
      </c>
      <c r="W62" s="13">
        <f t="shared" ref="W62" si="1207">+W61/R61-1</f>
        <v>0.12868237814675942</v>
      </c>
      <c r="X62" s="13">
        <f t="shared" ref="X62" si="1208">+X61/S61-1</f>
        <v>0.11216135620176737</v>
      </c>
      <c r="Y62" s="13">
        <f t="shared" ref="Y62" si="1209">+Y61/T61-1</f>
        <v>0.1907483307356308</v>
      </c>
      <c r="Z62" s="239">
        <f t="shared" ref="Z62" si="1210">+Z61/U61-1</f>
        <v>0.14636793210342169</v>
      </c>
      <c r="AA62" s="13">
        <f>+AA61/V61-1</f>
        <v>0.14150233328315509</v>
      </c>
      <c r="AB62" s="13">
        <f t="shared" ref="AB62" si="1211">+AB61/W61-1</f>
        <v>7.5860549463586668E-2</v>
      </c>
      <c r="AC62" s="13">
        <f t="shared" ref="AC62" si="1212">+AC61/X61-1</f>
        <v>6.2141475860051809E-2</v>
      </c>
      <c r="AD62" s="13">
        <f t="shared" ref="AD62" si="1213">+AD61/Y61-1</f>
        <v>0.17743447205972651</v>
      </c>
      <c r="AE62" s="239">
        <f t="shared" ref="AE62" si="1214">+AE61/Z61-1</f>
        <v>0.1137685404515083</v>
      </c>
      <c r="AF62" s="13">
        <f t="shared" ref="AF62" si="1215">+AF61/AA61-1</f>
        <v>0.38123811486219195</v>
      </c>
      <c r="AG62" s="13">
        <f t="shared" ref="AG62" si="1216">+AG61/AB61-1</f>
        <v>0.20757872682304379</v>
      </c>
      <c r="AH62" s="13">
        <f t="shared" ref="AH62" si="1217">+AH61/AC61-1</f>
        <v>0.33540578311225344</v>
      </c>
      <c r="AI62" s="13">
        <f t="shared" ref="AI62" si="1218">+AI61/AD61-1</f>
        <v>0.34675269921220964</v>
      </c>
      <c r="AJ62" s="239">
        <f t="shared" ref="AJ62" si="1219">+AJ61/AE61-1</f>
        <v>0.31822671977314165</v>
      </c>
      <c r="AK62" s="13">
        <f t="shared" ref="AK62" si="1220">+AK61/AF61-1</f>
        <v>0.24606297417388601</v>
      </c>
      <c r="AL62" s="13">
        <f t="shared" ref="AL62" si="1221">+AL61/AG61-1</f>
        <v>0.40545329741310154</v>
      </c>
      <c r="AM62" s="13">
        <f t="shared" ref="AM62" si="1222">+AM61/AH61-1</f>
        <v>0.44965421124540073</v>
      </c>
      <c r="AN62" s="13">
        <f t="shared" ref="AN62" si="1223">+AN61/AI61-1</f>
        <v>0.32587555823069159</v>
      </c>
      <c r="AO62" s="239">
        <f t="shared" ref="AO62" si="1224">+AO61/AJ61-1</f>
        <v>0.35541463071452184</v>
      </c>
      <c r="AP62" s="13">
        <f t="shared" ref="AP62" si="1225">+AP61/AK61-1</f>
        <v>0.4273068813922607</v>
      </c>
      <c r="AQ62" s="13">
        <f t="shared" ref="AQ62" si="1226">+AQ61/AL61-1</f>
        <v>0.31527103706078918</v>
      </c>
      <c r="AR62" s="13">
        <f t="shared" ref="AR62" si="1227">+AR61/AM61-1</f>
        <v>0.11111496105136798</v>
      </c>
      <c r="AS62" s="13">
        <f t="shared" ref="AS62" si="1228">+AS61/AN61-1</f>
        <v>0.10006956883149454</v>
      </c>
      <c r="AT62" s="239">
        <f t="shared" ref="AT62" si="1229">+AT61/AO61-1</f>
        <v>0.22539303560875568</v>
      </c>
      <c r="AU62" s="13">
        <f t="shared" ref="AU62" si="1230">+AU61/AP61-1</f>
        <v>8.7851800969863225E-2</v>
      </c>
      <c r="AV62" s="13">
        <f t="shared" ref="AV62" si="1231">+AV61/AQ61-1</f>
        <v>0.12501326724176831</v>
      </c>
      <c r="AW62" s="13">
        <f t="shared" ref="AW62" si="1232">+AW61/AR61-1</f>
        <v>0.16895240994577887</v>
      </c>
      <c r="AX62" s="13">
        <f t="shared" ref="AX62" si="1233">+AX61/AS61-1</f>
        <v>0.19459670578897392</v>
      </c>
      <c r="AY62" s="239">
        <f t="shared" ref="AY62" si="1234">+AY61/AT61-1</f>
        <v>0.14346339232865568</v>
      </c>
      <c r="AZ62" s="13">
        <f>+AZ61/AU61-1</f>
        <v>0.38189632381197947</v>
      </c>
      <c r="BA62" s="13">
        <f t="shared" ref="BA62" si="1235">+BA61/AV61-1</f>
        <v>0.52497346582938276</v>
      </c>
      <c r="BB62" s="13">
        <f t="shared" ref="BB62" si="1236">+BB61/AW61-1</f>
        <v>0.52868830364133301</v>
      </c>
      <c r="BC62" s="13">
        <f t="shared" ref="BC62" si="1237">+BC61/AX61-1</f>
        <v>0.54807685581571453</v>
      </c>
      <c r="BD62" s="239">
        <f t="shared" ref="BD62" si="1238">+BD61/AY61-1</f>
        <v>0.49660402860632358</v>
      </c>
      <c r="BE62" s="13">
        <f>+BE61/AZ61-1</f>
        <v>0.23540534935697233</v>
      </c>
      <c r="BF62" s="13">
        <f t="shared" ref="BF62" si="1239">+BF61/BA61-1</f>
        <v>0.16118375379786509</v>
      </c>
      <c r="BG62" s="13">
        <f t="shared" ref="BG62:BH62" si="1240">+BG61/BB61-1</f>
        <v>0.17317912627321808</v>
      </c>
      <c r="BH62" s="13">
        <f t="shared" si="1240"/>
        <v>0.23576146817875077</v>
      </c>
      <c r="BI62" s="239">
        <f t="shared" ref="BI62" si="1241">+BI61/BD61-1</f>
        <v>0.20124361779283273</v>
      </c>
      <c r="BJ62" s="328">
        <f>+BJ61/BE61-1</f>
        <v>-7.4011532006673653E-3</v>
      </c>
      <c r="BK62" s="13">
        <f t="shared" ref="BK62" si="1242">+BK61/BF61-1</f>
        <v>-5.9466612101017891E-3</v>
      </c>
      <c r="BL62" s="13">
        <f t="shared" ref="BL62" si="1243">+BL61/BG61-1</f>
        <v>-3.5383243465394787E-2</v>
      </c>
      <c r="BM62" s="13">
        <f t="shared" ref="BM62" si="1244">+BM61/BH61-1</f>
        <v>-0.11787578105024832</v>
      </c>
      <c r="BN62" s="365">
        <f t="shared" ref="BN62" si="1245">+BN61/BI61-1</f>
        <v>-4.463726283303171E-2</v>
      </c>
      <c r="BO62" s="13">
        <f>+BO61/BJ61-1</f>
        <v>0.15008586531175938</v>
      </c>
      <c r="BP62" s="13">
        <f t="shared" ref="BP62" si="1246">+BP61/BK61-1</f>
        <v>3.9297672623987978E-2</v>
      </c>
      <c r="BQ62" s="13">
        <f t="shared" ref="BQ62" si="1247">+BQ61/BL61-1</f>
        <v>7.5001606202021787E-2</v>
      </c>
      <c r="BR62" s="13">
        <f t="shared" ref="BR62" si="1248">+BR61/BM61-1</f>
        <v>5.0505252067536199E-2</v>
      </c>
      <c r="BS62" s="239">
        <f t="shared" ref="BS62" si="1249">+BS61/BN61-1</f>
        <v>7.8139444681855519E-2</v>
      </c>
      <c r="BT62" s="13">
        <f>+BT61/BO61-1</f>
        <v>9.0197475672357363E-2</v>
      </c>
      <c r="BU62" s="13">
        <f t="shared" ref="BU62" si="1250">+BU61/BP61-1</f>
        <v>0.11064256634151048</v>
      </c>
      <c r="BV62" s="13">
        <f t="shared" ref="BV62" si="1251">+BV61/BQ61-1</f>
        <v>9.3256409316351041E-2</v>
      </c>
      <c r="BW62" s="13">
        <f t="shared" ref="BW62" si="1252">+BW61/BR61-1</f>
        <v>9.4119031073529147E-2</v>
      </c>
      <c r="BX62" s="239">
        <f t="shared" ref="BX62" si="1253">+BX61/BS61-1</f>
        <v>9.6845510329459428E-2</v>
      </c>
      <c r="BY62" s="13">
        <f>+BY61/BT61-1</f>
        <v>8.8413037429625252E-2</v>
      </c>
      <c r="BZ62" s="13">
        <f t="shared" ref="BZ62" si="1254">+BZ61/BU61-1</f>
        <v>7.8751432159809731E-2</v>
      </c>
      <c r="CA62" s="13">
        <f t="shared" ref="CA62" si="1255">+CA61/BV61-1</f>
        <v>9.1179054205044574E-2</v>
      </c>
      <c r="CB62" s="13">
        <f t="shared" ref="CB62" si="1256">+CB61/BW61-1</f>
        <v>8.6395658564464073E-2</v>
      </c>
      <c r="CC62" s="239">
        <f t="shared" ref="CC62" si="1257">+CC61/BX61-1</f>
        <v>8.6258599608151298E-2</v>
      </c>
      <c r="CD62" s="13">
        <f>+CD61/BY61-1</f>
        <v>7.9006905755979684E-2</v>
      </c>
      <c r="CE62" s="13">
        <f t="shared" ref="CE62" si="1258">+CE61/BZ61-1</f>
        <v>8.3185930148468312E-2</v>
      </c>
      <c r="CF62" s="13">
        <f t="shared" ref="CF62" si="1259">+CF61/CA61-1</f>
        <v>8.1251498003648059E-2</v>
      </c>
      <c r="CG62" s="13">
        <f t="shared" ref="CG62" si="1260">+CG61/CB61-1</f>
        <v>8.3122627733562826E-2</v>
      </c>
      <c r="CH62" s="239">
        <f t="shared" ref="CH62" si="1261">+CH61/CC61-1</f>
        <v>8.1602422267364805E-2</v>
      </c>
      <c r="CI62" s="13">
        <f>+CI61/CD61-1</f>
        <v>7.6488670865872743E-2</v>
      </c>
      <c r="CJ62" s="13">
        <f t="shared" ref="CJ62" si="1262">+CJ61/CE61-1</f>
        <v>7.8958203134175564E-2</v>
      </c>
      <c r="CK62" s="13">
        <f t="shared" ref="CK62" si="1263">+CK61/CF61-1</f>
        <v>7.8509077658809767E-2</v>
      </c>
      <c r="CL62" s="13">
        <f t="shared" ref="CL62" si="1264">+CL61/CG61-1</f>
        <v>7.8885328869666926E-2</v>
      </c>
      <c r="CM62" s="239">
        <f t="shared" ref="CM62" si="1265">+CM61/CH61-1</f>
        <v>7.8189781414102821E-2</v>
      </c>
      <c r="CN62" s="13">
        <f>+CN61/CI61-1</f>
        <v>7.302192815697417E-2</v>
      </c>
      <c r="CO62" s="13">
        <f t="shared" ref="CO62" si="1266">+CO61/CJ61-1</f>
        <v>7.5835761130468748E-2</v>
      </c>
      <c r="CP62" s="13">
        <f t="shared" ref="CP62" si="1267">+CP61/CK61-1</f>
        <v>7.4813799672436954E-2</v>
      </c>
      <c r="CQ62" s="13">
        <f t="shared" ref="CQ62" si="1268">+CQ61/CL61-1</f>
        <v>7.5751803930189654E-2</v>
      </c>
      <c r="CR62" s="239">
        <f t="shared" ref="CR62" si="1269">+CR61/CM61-1</f>
        <v>7.4832709492052674E-2</v>
      </c>
      <c r="CS62" s="13">
        <f>+CS61/CN61-1</f>
        <v>7.0477690357054978E-2</v>
      </c>
      <c r="CT62" s="13">
        <f t="shared" ref="CT62" si="1270">+CT61/CO61-1</f>
        <v>7.2739245903731486E-2</v>
      </c>
      <c r="CU62" s="13">
        <f t="shared" ref="CU62" si="1271">+CU61/CP61-1</f>
        <v>7.2092983304378189E-2</v>
      </c>
      <c r="CV62" s="13">
        <f t="shared" ref="CV62" si="1272">+CV61/CQ61-1</f>
        <v>7.2647754715611912E-2</v>
      </c>
      <c r="CW62" s="239">
        <f t="shared" ref="CW62" si="1273">+CW61/CR61-1</f>
        <v>7.1972104562414652E-2</v>
      </c>
      <c r="CX62" s="13">
        <f>+CX61/CS61-1</f>
        <v>6.7903654027728244E-2</v>
      </c>
      <c r="CY62" s="13">
        <f t="shared" ref="CY62" si="1274">+CY61/CT61-1</f>
        <v>7.0093089165483846E-2</v>
      </c>
      <c r="CZ62" s="13">
        <f t="shared" ref="CZ62" si="1275">+CZ61/CU61-1</f>
        <v>6.9359748375420915E-2</v>
      </c>
      <c r="DA62" s="13">
        <f t="shared" ref="DA62" si="1276">+DA61/CV61-1</f>
        <v>6.9994655520875915E-2</v>
      </c>
      <c r="DB62" s="239">
        <f t="shared" ref="DB62" si="1277">+DB61/CW61-1</f>
        <v>6.9321610607243844E-2</v>
      </c>
    </row>
    <row r="63" spans="1:106">
      <c r="A63" s="277" t="s">
        <v>288</v>
      </c>
      <c r="B63" s="119" t="s">
        <v>290</v>
      </c>
      <c r="C63" s="13">
        <f>+C61/B61-1</f>
        <v>0.31338895218493867</v>
      </c>
      <c r="D63" s="13">
        <f t="shared" ref="D63" si="1278">+D61/C61-1</f>
        <v>0.28173270651443949</v>
      </c>
      <c r="E63" s="13">
        <f t="shared" ref="E63" si="1279">+E61/D61-1</f>
        <v>6.0147585363723666E-2</v>
      </c>
      <c r="F63" s="235" t="s">
        <v>290</v>
      </c>
      <c r="G63" s="13">
        <f>+G61/E61-1</f>
        <v>-3.4185217982248384E-2</v>
      </c>
      <c r="H63" s="13">
        <f>+H61/G61-1</f>
        <v>-5.0747350689780202E-2</v>
      </c>
      <c r="I63" s="13">
        <f t="shared" ref="I63" si="1280">+I61/H61-1</f>
        <v>-2.1563826680742748E-3</v>
      </c>
      <c r="J63" s="13">
        <f t="shared" ref="J63" si="1281">+J61/I61-1</f>
        <v>0.17792584922224974</v>
      </c>
      <c r="K63" s="235" t="s">
        <v>290</v>
      </c>
      <c r="L63" s="13">
        <f>+L61/J61-1</f>
        <v>0.16834521375198275</v>
      </c>
      <c r="M63" s="13">
        <f>+M61/L61-1</f>
        <v>-0.16201583355142635</v>
      </c>
      <c r="N63" s="13">
        <f t="shared" ref="N63" si="1282">+N61/M61-1</f>
        <v>3.6286623333528611E-2</v>
      </c>
      <c r="O63" s="13">
        <f t="shared" ref="O63" si="1283">+O61/N61-1</f>
        <v>-8.6249764550762831E-2</v>
      </c>
      <c r="P63" s="235" t="s">
        <v>290</v>
      </c>
      <c r="Q63" s="13">
        <f>+Q61/O61-1</f>
        <v>-5.3554863845313605E-2</v>
      </c>
      <c r="R63" s="13">
        <f>+R61/Q61-1</f>
        <v>0.13858819942064349</v>
      </c>
      <c r="S63" s="13">
        <f t="shared" ref="S63" si="1284">+S61/R61-1</f>
        <v>5.8439819420001538E-2</v>
      </c>
      <c r="T63" s="13">
        <f t="shared" ref="T63" si="1285">+T61/S61-1</f>
        <v>-6.0761598380654647E-2</v>
      </c>
      <c r="U63" s="235" t="s">
        <v>290</v>
      </c>
      <c r="V63" s="13">
        <f>+V61/T61-1</f>
        <v>2.2609632665627544E-2</v>
      </c>
      <c r="W63" s="13">
        <f>+W61/V61-1</f>
        <v>0.11024762908324548</v>
      </c>
      <c r="X63" s="13">
        <f t="shared" ref="X63" si="1286">+X61/W61-1</f>
        <v>4.2946968798196705E-2</v>
      </c>
      <c r="Y63" s="13">
        <f t="shared" ref="Y63" si="1287">+Y61/X61-1</f>
        <v>5.6063831515997808E-3</v>
      </c>
      <c r="Z63" s="235" t="s">
        <v>290</v>
      </c>
      <c r="AA63" s="13">
        <f>+AA61/Y61-1</f>
        <v>-1.9682621764002484E-2</v>
      </c>
      <c r="AB63" s="13">
        <f>+AB61/AA61-1</f>
        <v>4.6403138599499183E-2</v>
      </c>
      <c r="AC63" s="13">
        <f t="shared" ref="AC63" si="1288">+AC61/AB61-1</f>
        <v>2.9647599993698703E-2</v>
      </c>
      <c r="AD63" s="13">
        <f t="shared" ref="AD63" si="1289">+AD61/AC61-1</f>
        <v>0.11476262603081322</v>
      </c>
      <c r="AE63" s="235" t="s">
        <v>290</v>
      </c>
      <c r="AF63" s="13">
        <f t="shared" ref="AF63" si="1290">+AF61/AE61-1</f>
        <v>-0.68063152618860667</v>
      </c>
      <c r="AG63" s="13">
        <f t="shared" ref="AG63" si="1291">+AG61/AF61-1</f>
        <v>-8.5158340001577071E-2</v>
      </c>
      <c r="AH63" s="13">
        <f t="shared" ref="AH63" si="1292">+AH61/AG61-1</f>
        <v>0.13863993216959591</v>
      </c>
      <c r="AI63" s="13">
        <f t="shared" ref="AI63" si="1293">+AI61/AH61-1</f>
        <v>0.1242347416595615</v>
      </c>
      <c r="AJ63" s="235" t="s">
        <v>290</v>
      </c>
      <c r="AK63" s="13">
        <f t="shared" ref="AK63" si="1294">+AK61/AJ61-1</f>
        <v>-0.69811472915426509</v>
      </c>
      <c r="AL63" s="13">
        <f t="shared" ref="AL63" si="1295">+AL61/AK61-1</f>
        <v>3.1863761547120895E-2</v>
      </c>
      <c r="AM63" s="13">
        <f t="shared" ref="AM63" si="1296">+AM61/AL61-1</f>
        <v>0.17444967812165246</v>
      </c>
      <c r="AN63" s="13">
        <f t="shared" ref="AN63" si="1297">+AN61/AM61-1</f>
        <v>2.8242013934919763E-2</v>
      </c>
      <c r="AO63" s="235" t="s">
        <v>290</v>
      </c>
      <c r="AP63" s="13">
        <f t="shared" ref="AP63" si="1298">+AP61/AO61-1</f>
        <v>-0.68210249859709782</v>
      </c>
      <c r="AQ63" s="13">
        <f t="shared" ref="AQ63" si="1299">+AQ61/AP61-1</f>
        <v>-4.913194390846598E-2</v>
      </c>
      <c r="AR63" s="13">
        <f t="shared" ref="AR63" si="1300">+AR61/AQ61-1</f>
        <v>-7.8481380696445724E-3</v>
      </c>
      <c r="AS63" s="13">
        <f t="shared" ref="AS63" si="1301">+AS61/AR61-1</f>
        <v>1.8020446645323318E-2</v>
      </c>
      <c r="AT63" s="235" t="s">
        <v>290</v>
      </c>
      <c r="AU63" s="13">
        <f t="shared" ref="AU63" si="1302">+AU61/AT61-1</f>
        <v>-0.71778412364391619</v>
      </c>
      <c r="AV63" s="13">
        <f t="shared" ref="AV63" si="1303">+AV61/AU61-1</f>
        <v>-1.6649898868898561E-2</v>
      </c>
      <c r="AW63" s="13">
        <f t="shared" ref="AW63" si="1304">+AW61/AV61-1</f>
        <v>3.0901895831990434E-2</v>
      </c>
      <c r="AX63" s="13">
        <f t="shared" ref="AX63" si="1305">+AX61/AW61-1</f>
        <v>4.0353620593273298E-2</v>
      </c>
      <c r="AY63" s="235" t="s">
        <v>290</v>
      </c>
      <c r="AZ63" s="13">
        <f>+AZ61/AX61-1</f>
        <v>0.31029466726230859</v>
      </c>
      <c r="BA63" s="13">
        <f t="shared" ref="BA63" si="1306">+BA61/AZ61-1</f>
        <v>8.5163037201626324E-2</v>
      </c>
      <c r="BB63" s="13">
        <f t="shared" ref="BB63" si="1307">+BB61/BA61-1</f>
        <v>3.3413174505921406E-2</v>
      </c>
      <c r="BC63" s="13">
        <f t="shared" ref="BC63" si="1308">+BC61/BB61-1</f>
        <v>5.3548560598133843E-2</v>
      </c>
      <c r="BD63" s="235" t="s">
        <v>290</v>
      </c>
      <c r="BE63" s="13">
        <f>+BE61/BC61-1</f>
        <v>4.5649016125119513E-2</v>
      </c>
      <c r="BF63" s="13">
        <f t="shared" ref="BF63" si="1309">+BF61/BE61-1</f>
        <v>1.9967810303188616E-2</v>
      </c>
      <c r="BG63" s="13">
        <f t="shared" ref="BG63:BH63" si="1310">+BG61/BF61-1</f>
        <v>4.4088639012371367E-2</v>
      </c>
      <c r="BH63" s="13">
        <f t="shared" si="1310"/>
        <v>0.10974930160763519</v>
      </c>
      <c r="BI63" s="235" t="s">
        <v>290</v>
      </c>
      <c r="BJ63" s="328">
        <f>+BJ61/BH61-1</f>
        <v>-0.16010489541132178</v>
      </c>
      <c r="BK63" s="13">
        <f t="shared" ref="BK63" si="1311">+BK61/BJ61-1</f>
        <v>2.1462407053431054E-2</v>
      </c>
      <c r="BL63" s="13">
        <f t="shared" ref="BL63" si="1312">+BL61/BK61-1</f>
        <v>1.3170377481738882E-2</v>
      </c>
      <c r="BM63" s="13">
        <f t="shared" ref="BM63" si="1313">+BM61/BL61-1</f>
        <v>1.4845252561760391E-2</v>
      </c>
      <c r="BN63" s="235" t="s">
        <v>290</v>
      </c>
      <c r="BO63" s="13">
        <f>+BO61/BM61-1</f>
        <v>9.5028871650336244E-2</v>
      </c>
      <c r="BP63" s="13">
        <f t="shared" ref="BP63" si="1314">+BP61/BO61-1</f>
        <v>-7.693544078489023E-2</v>
      </c>
      <c r="BQ63" s="13">
        <f t="shared" ref="BQ63" si="1315">+BQ61/BP61-1</f>
        <v>4.7976736442890244E-2</v>
      </c>
      <c r="BR63" s="13">
        <f t="shared" ref="BR63" si="1316">+BR61/BQ61-1</f>
        <v>-8.2803023723245772E-3</v>
      </c>
      <c r="BS63" s="235" t="s">
        <v>290</v>
      </c>
      <c r="BT63" s="13">
        <f>+BT61/BR61-1</f>
        <v>0.13640337286462012</v>
      </c>
      <c r="BU63" s="13">
        <f t="shared" ref="BU63" si="1317">+BU61/BT61-1</f>
        <v>-5.9624688349882216E-2</v>
      </c>
      <c r="BV63" s="13">
        <f t="shared" ref="BV63" si="1318">+BV61/BU61-1</f>
        <v>3.1571559250259673E-2</v>
      </c>
      <c r="BW63" s="13">
        <f t="shared" ref="BW63" si="1319">+BW61/BV61-1</f>
        <v>-7.4977970232540381E-3</v>
      </c>
      <c r="BX63" s="235" t="s">
        <v>290</v>
      </c>
      <c r="BY63" s="13">
        <f>+BY61/BW61-1</f>
        <v>0.13047686008281234</v>
      </c>
      <c r="BZ63" s="13">
        <f t="shared" ref="BZ63" si="1320">+BZ61/BY61-1</f>
        <v>-6.7972194998736191E-2</v>
      </c>
      <c r="CA63" s="13">
        <f t="shared" ref="CA63" si="1321">+CA61/BZ61-1</f>
        <v>4.3455651422734221E-2</v>
      </c>
      <c r="CB63" s="13">
        <f t="shared" ref="CB63" si="1322">+CB61/CA61-1</f>
        <v>-1.1848623491825139E-2</v>
      </c>
      <c r="CC63" s="235" t="s">
        <v>290</v>
      </c>
      <c r="CD63" s="13">
        <f>+CD61/CB61-1</f>
        <v>0.12278830388414286</v>
      </c>
      <c r="CE63" s="13">
        <f t="shared" ref="CE63" si="1323">+CE61/CD61-1</f>
        <v>-6.4362424838044774E-2</v>
      </c>
      <c r="CF63" s="13">
        <f t="shared" ref="CF63" si="1324">+CF61/CE61-1</f>
        <v>4.1592172496701885E-2</v>
      </c>
      <c r="CG63" s="13">
        <f t="shared" ref="CG63" si="1325">+CG61/CF61-1</f>
        <v>-1.0138605589741778E-2</v>
      </c>
      <c r="CH63" s="235" t="s">
        <v>290</v>
      </c>
      <c r="CI63" s="13">
        <f>+CI61/CG61-1</f>
        <v>0.11591140094739938</v>
      </c>
      <c r="CJ63" s="13">
        <f t="shared" ref="CJ63" si="1326">+CJ61/CI61-1</f>
        <v>-6.2216013783444102E-2</v>
      </c>
      <c r="CK63" s="13">
        <f t="shared" ref="CK63" si="1327">+CK61/CJ61-1</f>
        <v>4.1158600947543533E-2</v>
      </c>
      <c r="CL63" s="13">
        <f t="shared" ref="CL63" si="1328">+CL61/CK61-1</f>
        <v>-9.7932802179460099E-3</v>
      </c>
      <c r="CM63" s="235" t="s">
        <v>290</v>
      </c>
      <c r="CN63" s="13">
        <f>+CN61/CL61-1</f>
        <v>0.10984677523738817</v>
      </c>
      <c r="CO63" s="13">
        <f t="shared" ref="CO63" si="1329">+CO61/CN61-1</f>
        <v>-5.9756821260730564E-2</v>
      </c>
      <c r="CP63" s="13">
        <f t="shared" ref="CP63" si="1330">+CP61/CO61-1</f>
        <v>4.0169580131997673E-2</v>
      </c>
      <c r="CQ63" s="13">
        <f t="shared" ref="CQ63" si="1331">+CQ61/CP61-1</f>
        <v>-8.9291136809198646E-3</v>
      </c>
      <c r="CR63" s="235" t="s">
        <v>290</v>
      </c>
      <c r="CS63" s="13">
        <f>+CS61/CQ61-1</f>
        <v>0.10440550344960786</v>
      </c>
      <c r="CT63" s="13">
        <f t="shared" ref="CT63" si="1332">+CT61/CS61-1</f>
        <v>-5.7770406975540478E-2</v>
      </c>
      <c r="CU63" s="13">
        <f t="shared" ref="CU63" si="1333">+CU61/CT61-1</f>
        <v>3.9542938849699949E-2</v>
      </c>
      <c r="CV63" s="13">
        <f t="shared" ref="CV63" si="1334">+CV61/CU61-1</f>
        <v>-8.4162684307428348E-3</v>
      </c>
      <c r="CW63" s="235" t="s">
        <v>290</v>
      </c>
      <c r="CX63" s="13">
        <f>+CX61/CV61-1</f>
        <v>9.9520944762393038E-2</v>
      </c>
      <c r="CY63" s="13">
        <f t="shared" ref="CY63" si="1335">+CY61/CX61-1</f>
        <v>-5.5838631041428721E-2</v>
      </c>
      <c r="CZ63" s="13">
        <f t="shared" ref="CZ63" si="1336">+CZ61/CY61-1</f>
        <v>3.8830534248830206E-2</v>
      </c>
      <c r="DA63" s="13">
        <f t="shared" ref="DA63" si="1337">+DA61/CZ61-1</f>
        <v>-7.8275389620615643E-3</v>
      </c>
      <c r="DB63" s="235" t="s">
        <v>290</v>
      </c>
    </row>
    <row r="64" spans="1:106">
      <c r="A64" s="277" t="s">
        <v>401</v>
      </c>
      <c r="B64" s="119"/>
      <c r="C64" s="13"/>
      <c r="D64" s="13"/>
      <c r="E64" s="13"/>
      <c r="F64" s="235"/>
      <c r="G64" s="13"/>
      <c r="H64" s="13"/>
      <c r="I64" s="13"/>
      <c r="J64" s="13"/>
      <c r="K64" s="235"/>
      <c r="L64" s="13"/>
      <c r="M64" s="13"/>
      <c r="N64" s="13"/>
      <c r="O64" s="13"/>
      <c r="P64" s="235"/>
      <c r="Q64" s="13"/>
      <c r="R64" s="13"/>
      <c r="S64" s="13"/>
      <c r="T64" s="13"/>
      <c r="U64" s="235"/>
      <c r="V64" s="13"/>
      <c r="W64" s="13"/>
      <c r="X64" s="13"/>
      <c r="Y64" s="13"/>
      <c r="Z64" s="235"/>
      <c r="AA64" s="13"/>
      <c r="AB64" s="13"/>
      <c r="AC64" s="13"/>
      <c r="AD64" s="13"/>
      <c r="AE64" s="235"/>
      <c r="AF64" s="13"/>
      <c r="AG64" s="13"/>
      <c r="AH64" s="13"/>
      <c r="AI64" s="13"/>
      <c r="AJ64" s="235"/>
      <c r="AK64" s="13"/>
      <c r="AL64" s="13"/>
      <c r="AM64" s="13"/>
      <c r="AN64" s="13"/>
      <c r="AO64" s="235"/>
      <c r="AP64" s="13"/>
      <c r="AQ64" s="13"/>
      <c r="AR64" s="13"/>
      <c r="AS64" s="13"/>
      <c r="AT64" s="235"/>
      <c r="AU64" s="13"/>
      <c r="AV64" s="13"/>
      <c r="AW64" s="13"/>
      <c r="AX64" s="13"/>
      <c r="AY64" s="239">
        <f t="shared" ref="AY64:BH64" si="1338">AY61/AY$17</f>
        <v>0.60675186200258457</v>
      </c>
      <c r="AZ64" s="13">
        <f t="shared" si="1338"/>
        <v>0.60920027682526556</v>
      </c>
      <c r="BA64" s="13">
        <f t="shared" si="1338"/>
        <v>0.58813651593923788</v>
      </c>
      <c r="BB64" s="13">
        <f t="shared" si="1338"/>
        <v>0.57129099982262976</v>
      </c>
      <c r="BC64" s="13">
        <f t="shared" si="1338"/>
        <v>0.5559850124248783</v>
      </c>
      <c r="BD64" s="239">
        <f>BD61/BD$17</f>
        <v>0.57931577112765476</v>
      </c>
      <c r="BE64" s="13">
        <f t="shared" si="1338"/>
        <v>0.55151204499115347</v>
      </c>
      <c r="BF64" s="13">
        <f t="shared" si="1338"/>
        <v>0.516450212839207</v>
      </c>
      <c r="BG64" s="13">
        <f t="shared" si="1338"/>
        <v>0.49771361655612584</v>
      </c>
      <c r="BH64" s="13">
        <f t="shared" si="1338"/>
        <v>0.49148727580795615</v>
      </c>
      <c r="BI64" s="239">
        <f>BI61/BI$17</f>
        <v>0.51206480364104989</v>
      </c>
      <c r="BJ64" s="328">
        <f t="shared" ref="BJ64:BM64" si="1339">BJ61/BJ$17</f>
        <v>0.44558355421890067</v>
      </c>
      <c r="BK64" s="13">
        <f t="shared" si="1339"/>
        <v>0.43137527848006701</v>
      </c>
      <c r="BL64" s="13">
        <f t="shared" si="1339"/>
        <v>0.42021346747473548</v>
      </c>
      <c r="BM64" s="13">
        <f t="shared" si="1339"/>
        <v>0.40336451482899688</v>
      </c>
      <c r="BN64" s="239">
        <f>BN61/BN$17</f>
        <v>0.42429411981494225</v>
      </c>
      <c r="BO64" s="13">
        <f t="shared" ref="BO64:BR64" si="1340">BO61/BO$17</f>
        <v>0.41454917874622565</v>
      </c>
      <c r="BP64" s="13">
        <f t="shared" si="1340"/>
        <v>0.38219398508979113</v>
      </c>
      <c r="BQ64" s="13">
        <f t="shared" si="1340"/>
        <v>0.38650930274821094</v>
      </c>
      <c r="BR64" s="13">
        <f t="shared" si="1340"/>
        <v>0.37276181367244204</v>
      </c>
      <c r="BS64" s="239">
        <f>BS61/BS$17</f>
        <v>0.38871417455054325</v>
      </c>
      <c r="BT64" s="13">
        <f t="shared" ref="BT64:BW64" si="1341">BT61/BT$17</f>
        <v>0.39279919732902285</v>
      </c>
      <c r="BU64" s="13">
        <f t="shared" si="1341"/>
        <v>0.36556360627287515</v>
      </c>
      <c r="BV64" s="13">
        <f t="shared" si="1341"/>
        <v>0.36571853445597757</v>
      </c>
      <c r="BW64" s="13">
        <f t="shared" si="1341"/>
        <v>0.35257890249099527</v>
      </c>
      <c r="BX64" s="239">
        <f>BX61/BX$17</f>
        <v>0.36882893893505603</v>
      </c>
      <c r="BY64" s="13">
        <f t="shared" ref="BY64:CB64" si="1342">BY61/BY$17</f>
        <v>0.37015385108948057</v>
      </c>
      <c r="BZ64" s="13">
        <f t="shared" si="1342"/>
        <v>0.34361297544449965</v>
      </c>
      <c r="CA64" s="13">
        <f t="shared" si="1342"/>
        <v>0.34673795935638824</v>
      </c>
      <c r="CB64" s="13">
        <f t="shared" si="1342"/>
        <v>0.33464491035141669</v>
      </c>
      <c r="CC64" s="239">
        <f>CC61/CC$17</f>
        <v>0.34854632365360438</v>
      </c>
      <c r="CD64" s="13">
        <f t="shared" ref="CD64:CG64" si="1343">CD61/CD$17</f>
        <v>0.35022187253548298</v>
      </c>
      <c r="CE64" s="13">
        <f t="shared" si="1343"/>
        <v>0.32576877545040606</v>
      </c>
      <c r="CF64" s="13">
        <f t="shared" si="1343"/>
        <v>0.32942224559681843</v>
      </c>
      <c r="CG64" s="13">
        <f t="shared" si="1343"/>
        <v>0.31842234153258481</v>
      </c>
      <c r="CH64" s="239">
        <f>CH61/CH$17</f>
        <v>0.33075145655251986</v>
      </c>
      <c r="CI64" s="13">
        <f t="shared" ref="CI64:CL64" si="1344">CI61/CI$17</f>
        <v>0.33538190049342997</v>
      </c>
      <c r="CJ64" s="13">
        <f t="shared" si="1344"/>
        <v>0.31388036497325283</v>
      </c>
      <c r="CK64" s="13">
        <f t="shared" si="1344"/>
        <v>0.31900070526760121</v>
      </c>
      <c r="CL64" s="13">
        <f t="shared" si="1344"/>
        <v>0.30992578672662247</v>
      </c>
      <c r="CM64" s="239">
        <f>CM61/CM$17</f>
        <v>0.31943165673577695</v>
      </c>
      <c r="CN64" s="13">
        <f t="shared" ref="CN64:CQ64" si="1345">CN61/CN$17</f>
        <v>0.32554176164556553</v>
      </c>
      <c r="CO64" s="13">
        <f t="shared" si="1345"/>
        <v>0.30552878078840912</v>
      </c>
      <c r="CP64" s="13">
        <f t="shared" si="1345"/>
        <v>0.31073858380881586</v>
      </c>
      <c r="CQ64" s="13">
        <f t="shared" si="1345"/>
        <v>0.30249835897763155</v>
      </c>
      <c r="CR64" s="239">
        <f>CR61/CR$17</f>
        <v>0.31098144075453976</v>
      </c>
      <c r="CS64" s="13">
        <f t="shared" ref="CS64:CV64" si="1346">CS61/CS$17</f>
        <v>0.31678614755179302</v>
      </c>
      <c r="CT64" s="13">
        <f t="shared" si="1346"/>
        <v>0.29785701381307844</v>
      </c>
      <c r="CU64" s="13">
        <f t="shared" si="1346"/>
        <v>0.30302645412496004</v>
      </c>
      <c r="CV64" s="13">
        <f t="shared" si="1346"/>
        <v>0.29531172965469882</v>
      </c>
      <c r="CW64" s="239">
        <f>CW61/CW$17</f>
        <v>0.30315959252216479</v>
      </c>
      <c r="CX64" s="13">
        <f t="shared" ref="CX64:DA64" si="1347">CX61/CX$17</f>
        <v>0.31099736641407072</v>
      </c>
      <c r="CY64" s="13">
        <f t="shared" si="1347"/>
        <v>0.29371464912768908</v>
      </c>
      <c r="CZ64" s="13">
        <f t="shared" si="1347"/>
        <v>0.29959243066967739</v>
      </c>
      <c r="DA64" s="13">
        <f t="shared" si="1347"/>
        <v>0.29298276126164818</v>
      </c>
      <c r="DB64" s="239">
        <f>DB61/DB$17</f>
        <v>0.29927179387624031</v>
      </c>
    </row>
    <row r="65" spans="1:106">
      <c r="A65" s="277"/>
      <c r="F65" s="217"/>
      <c r="K65" s="217"/>
      <c r="P65" s="217"/>
      <c r="U65" s="217"/>
      <c r="Z65" s="217"/>
      <c r="AE65" s="217"/>
      <c r="AJ65" s="217"/>
      <c r="AO65" s="217"/>
      <c r="AT65" s="217"/>
      <c r="AY65" s="217"/>
      <c r="BD65" s="217"/>
      <c r="BI65" s="217"/>
      <c r="BJ65" s="356"/>
      <c r="BN65" s="217"/>
      <c r="BS65" s="217"/>
      <c r="BX65" s="217"/>
      <c r="CC65" s="217"/>
      <c r="CH65" s="217"/>
      <c r="CM65" s="217"/>
      <c r="CR65" s="217"/>
      <c r="CW65" s="217"/>
      <c r="DB65" s="217"/>
    </row>
    <row r="66" spans="1:106" s="121" customFormat="1">
      <c r="A66" s="121" t="s">
        <v>380</v>
      </c>
      <c r="F66" s="237"/>
      <c r="K66" s="237"/>
      <c r="P66" s="237"/>
      <c r="U66" s="237"/>
      <c r="Z66" s="237"/>
      <c r="AE66" s="237"/>
      <c r="AJ66" s="237"/>
      <c r="AO66" s="237"/>
      <c r="AT66" s="237"/>
      <c r="AY66" s="237"/>
      <c r="BD66" s="237"/>
      <c r="BI66" s="237"/>
      <c r="BN66" s="237"/>
      <c r="BS66" s="237"/>
      <c r="BX66" s="237"/>
      <c r="CC66" s="237"/>
      <c r="CH66" s="237"/>
      <c r="CM66" s="237"/>
      <c r="CR66" s="237"/>
      <c r="CW66" s="237"/>
      <c r="DB66" s="237"/>
    </row>
    <row r="67" spans="1:106" s="51" customFormat="1">
      <c r="A67" s="51" t="s">
        <v>296</v>
      </c>
      <c r="B67" s="213">
        <v>39600</v>
      </c>
      <c r="C67" s="213">
        <v>46800</v>
      </c>
      <c r="D67" s="213">
        <v>49000</v>
      </c>
      <c r="E67" s="213">
        <v>50000</v>
      </c>
      <c r="F67" s="234">
        <f>+B67+C67+D67+E67</f>
        <v>185400</v>
      </c>
      <c r="G67" s="213">
        <v>55000</v>
      </c>
      <c r="H67" s="213">
        <v>58000</v>
      </c>
      <c r="I67" s="213">
        <v>67000</v>
      </c>
      <c r="J67" s="213">
        <v>73000</v>
      </c>
      <c r="K67" s="234">
        <f>+G67+H67+I67+J67</f>
        <v>253000</v>
      </c>
      <c r="L67" s="213">
        <v>81000</v>
      </c>
      <c r="M67" s="213">
        <v>80000</v>
      </c>
      <c r="N67" s="213">
        <v>84000</v>
      </c>
      <c r="O67" s="213">
        <v>84000</v>
      </c>
      <c r="P67" s="234">
        <f>+L67+M67+N67+O67</f>
        <v>329000</v>
      </c>
      <c r="Q67" s="213">
        <v>84100</v>
      </c>
      <c r="R67" s="213">
        <v>83900</v>
      </c>
      <c r="S67" s="213">
        <v>83500</v>
      </c>
      <c r="T67" s="213">
        <v>90600</v>
      </c>
      <c r="U67" s="234">
        <f>+Q67+R67+S67+T67</f>
        <v>342100</v>
      </c>
      <c r="V67" s="213">
        <v>107200</v>
      </c>
      <c r="W67" s="213">
        <v>105700</v>
      </c>
      <c r="X67" s="213">
        <v>98200</v>
      </c>
      <c r="Y67" s="213">
        <v>111300</v>
      </c>
      <c r="Z67" s="234">
        <f>+V67+W67+X67+Y67</f>
        <v>422400</v>
      </c>
      <c r="AA67" s="213">
        <v>127000</v>
      </c>
      <c r="AB67" s="213">
        <v>123500</v>
      </c>
      <c r="AC67" s="213">
        <v>126100</v>
      </c>
      <c r="AD67" s="213">
        <f>+AD95+AD124+AD146</f>
        <v>130424.08676412846</v>
      </c>
      <c r="AE67" s="234">
        <f>+AA67+AB67+AC67+AD67</f>
        <v>507024.08676412847</v>
      </c>
      <c r="AF67" s="213">
        <f>+AF95+AF124+AF146</f>
        <v>147635.73548424334</v>
      </c>
      <c r="AG67" s="213">
        <f>+AG95+AG124+AG146</f>
        <v>147238.7452908468</v>
      </c>
      <c r="AH67" s="213">
        <f>+AH95+AH124+AH146</f>
        <v>164391.57418530891</v>
      </c>
      <c r="AI67" s="213">
        <f>+AI95+AI124+AI146</f>
        <v>175055.16827194454</v>
      </c>
      <c r="AJ67" s="234">
        <f>+AF67+AG67+AH67+AI67</f>
        <v>634321.22323234356</v>
      </c>
      <c r="AK67" s="213">
        <f>+AK95+AK124+AK146</f>
        <v>209794.84467850233</v>
      </c>
      <c r="AL67" s="213">
        <f>+AL95+AL124+AL146</f>
        <v>224693.75719814669</v>
      </c>
      <c r="AM67" s="213">
        <f>+AM95+AM124+AM146</f>
        <v>243379.56245062084</v>
      </c>
      <c r="AN67" s="213">
        <f>+AN95+AN124+AN146</f>
        <v>251720.47810188576</v>
      </c>
      <c r="AO67" s="234">
        <f>+AK67+AL67+AM67+AN67</f>
        <v>929588.64242915565</v>
      </c>
      <c r="AP67" s="213">
        <f>+AP95+AP124+AP146</f>
        <v>287257.53252523823</v>
      </c>
      <c r="AQ67" s="213">
        <f>+AQ95+AQ124+AQ146</f>
        <v>284885.06522246386</v>
      </c>
      <c r="AR67" s="213">
        <f>+AR95+AR124+AR146</f>
        <v>288640.04995372833</v>
      </c>
      <c r="AS67" s="213">
        <f>+AS95+AS124+AS146</f>
        <v>302273.86073803686</v>
      </c>
      <c r="AT67" s="234">
        <f>+AP67+AQ67+AR67+AS67</f>
        <v>1163056.5084394673</v>
      </c>
      <c r="AU67" s="213">
        <f>+AU95+AU124+AU146</f>
        <v>313499.68747619301</v>
      </c>
      <c r="AV67" s="213">
        <f>+AV95+AV124+AV146</f>
        <v>307366.53123457159</v>
      </c>
      <c r="AW67" s="213">
        <f>+AW95+AW124+AW146</f>
        <v>309496.54837739817</v>
      </c>
      <c r="AX67" s="213">
        <f>+AX95+AX124+AX146</f>
        <v>314409.21173397242</v>
      </c>
      <c r="AY67" s="234">
        <f>+AU67+AV67+AW67+AX67</f>
        <v>1244771.9788221351</v>
      </c>
      <c r="AZ67" s="213">
        <f>+AZ95+AZ124+AZ146</f>
        <v>346225.96315161145</v>
      </c>
      <c r="BA67" s="213">
        <f>+BA95+BA124+BA146</f>
        <v>348952.43103856914</v>
      </c>
      <c r="BB67" s="213">
        <f>+BB95+BB124+BB146</f>
        <v>349062.56431071128</v>
      </c>
      <c r="BC67" s="213">
        <f>+BC95+BC124+BC146</f>
        <v>348564.30240860203</v>
      </c>
      <c r="BD67" s="234">
        <f>+AZ67+BA67+BB67+BC67</f>
        <v>1392805.260909494</v>
      </c>
      <c r="BE67" s="213">
        <f>+BE95+BE124+BE146</f>
        <v>380116.49639030569</v>
      </c>
      <c r="BF67" s="213">
        <f>+BF95+BF124+BF146</f>
        <v>372514.21457365307</v>
      </c>
      <c r="BG67" s="213">
        <f>+BG95+BG124+BG146</f>
        <v>372635.44935817958</v>
      </c>
      <c r="BH67" s="213">
        <f>+BH95+BH124+BH146</f>
        <v>369985.7667882145</v>
      </c>
      <c r="BI67" s="234">
        <f>+BE67+BF67+BG67+BH67</f>
        <v>1495251.9271103528</v>
      </c>
      <c r="BJ67" s="360">
        <f>+BJ95+BJ124+BJ146</f>
        <v>398568.37034488068</v>
      </c>
      <c r="BK67" s="213">
        <f>+BK95+BK124+BK146</f>
        <v>398216.19346068392</v>
      </c>
      <c r="BL67" s="213">
        <f>+BL95+BL124+BL146</f>
        <v>393630.23492603382</v>
      </c>
      <c r="BM67" s="213">
        <f>+BM95+BM124+BM146</f>
        <v>398828.52460840787</v>
      </c>
      <c r="BN67" s="234">
        <f>+BJ67+BK67+BL67+BM67</f>
        <v>1589243.3233400062</v>
      </c>
      <c r="BO67" s="213">
        <f>+BO95+BO124+BO146</f>
        <v>462296.54280215991</v>
      </c>
      <c r="BP67" s="213">
        <f>+BP95+BP124+BP146</f>
        <v>441302.02867084881</v>
      </c>
      <c r="BQ67" s="213">
        <f>+BQ95+BQ124+BQ146</f>
        <v>451441.29097248189</v>
      </c>
      <c r="BR67" s="213">
        <f>+BR95+BR124+BR146</f>
        <v>448404.41830537206</v>
      </c>
      <c r="BS67" s="234">
        <f>+BO67+BP67+BQ67+BR67</f>
        <v>1803444.2807508628</v>
      </c>
      <c r="BT67" s="213">
        <f>+BT95+BT124+BT146</f>
        <v>503796.83717883145</v>
      </c>
      <c r="BU67" s="213">
        <f>+BU95+BU124+BU146</f>
        <v>488903.88385729271</v>
      </c>
      <c r="BV67" s="213">
        <f>+BV95+BV124+BV146</f>
        <v>492848.67178394186</v>
      </c>
      <c r="BW67" s="213">
        <f>+BW95+BW124+BW146</f>
        <v>489772.29505921243</v>
      </c>
      <c r="BX67" s="234">
        <f>+BT67+BU67+BV67+BW67</f>
        <v>1975321.6878792786</v>
      </c>
      <c r="BY67" s="213">
        <f>+BY95+BY124+BY146</f>
        <v>547326.31122039119</v>
      </c>
      <c r="BZ67" s="213">
        <f>+BZ95+BZ124+BZ146</f>
        <v>526746.21943866566</v>
      </c>
      <c r="CA67" s="213">
        <f>+CA95+CA124+CA146</f>
        <v>536285.53061618458</v>
      </c>
      <c r="CB67" s="213">
        <f>+CB95+CB124+CB146</f>
        <v>530747.37192865531</v>
      </c>
      <c r="CC67" s="234">
        <f>+BY67+BZ67+CA67+CB67</f>
        <v>2141105.4332038965</v>
      </c>
      <c r="CD67" s="213">
        <f>+CD95+CD124+CD146</f>
        <v>589168.00159110595</v>
      </c>
      <c r="CE67" s="213">
        <f>+CE95+CE124+CE146</f>
        <v>568838.85149905342</v>
      </c>
      <c r="CF67" s="213">
        <f>+CF95+CF124+CF146</f>
        <v>578034.93811174785</v>
      </c>
      <c r="CG67" s="213">
        <f>+CG95+CG124+CG146</f>
        <v>572862.26711596292</v>
      </c>
      <c r="CH67" s="234">
        <f>+CD67+CE67+CF67+CG67</f>
        <v>2308904.0583178699</v>
      </c>
      <c r="CI67" s="213">
        <f>+CI95+CI124+CI146</f>
        <v>632166.14182897808</v>
      </c>
      <c r="CJ67" s="213">
        <f>+CJ95+CJ124+CJ146</f>
        <v>611444.83416212606</v>
      </c>
      <c r="CK67" s="213">
        <f>+CK95+CK124+CK146</f>
        <v>620941.16286362987</v>
      </c>
      <c r="CL67" s="213">
        <f>+CL95+CL124+CL146</f>
        <v>615491.00546818378</v>
      </c>
      <c r="CM67" s="234">
        <f>+CI67+CJ67+CK67+CL67</f>
        <v>2480043.1443229178</v>
      </c>
      <c r="CN67" s="213">
        <f>+CN95+CN124+CN146</f>
        <v>675688.55346852576</v>
      </c>
      <c r="CO67" s="213">
        <f>+CO95+CO124+CO146</f>
        <v>654898.96716403542</v>
      </c>
      <c r="CP67" s="213">
        <f>+CP95+CP124+CP146</f>
        <v>664372.06256590516</v>
      </c>
      <c r="CQ67" s="213">
        <f>+CQ95+CQ124+CQ146</f>
        <v>658968.39767061023</v>
      </c>
      <c r="CR67" s="234">
        <f>+CN67+CO67+CP67+CQ67</f>
        <v>2653927.9808690767</v>
      </c>
      <c r="CS67" s="213">
        <f>+CS95+CS124+CS146</f>
        <v>720073.4523669529</v>
      </c>
      <c r="CT67" s="213">
        <f>+CT95+CT124+CT146</f>
        <v>699051.17857739294</v>
      </c>
      <c r="CU67" s="213">
        <f>+CU95+CU124+CU146</f>
        <v>708665.8903683956</v>
      </c>
      <c r="CV67" s="213">
        <f>+CV95+CV124+CV146</f>
        <v>703144.38297558087</v>
      </c>
      <c r="CW67" s="234">
        <f>+CS67+CT67+CU67+CV67</f>
        <v>2830934.9042883227</v>
      </c>
      <c r="CX67" s="213">
        <f>+CX95+CX124+CX146</f>
        <v>765169.3348677007</v>
      </c>
      <c r="CY67" s="213">
        <f>+CY95+CY124+CY146</f>
        <v>743996.58773273812</v>
      </c>
      <c r="CZ67" s="213">
        <f>+CZ95+CZ124+CZ146</f>
        <v>753671.18106940622</v>
      </c>
      <c r="DA67" s="213">
        <f>+DA95+DA124+DA146</f>
        <v>748114.09212867741</v>
      </c>
      <c r="DB67" s="234">
        <f>+CX67+CY67+CZ67+DA67</f>
        <v>3010951.1957985223</v>
      </c>
    </row>
    <row r="68" spans="1:106">
      <c r="A68" s="117" t="s">
        <v>281</v>
      </c>
      <c r="B68" s="119" t="s">
        <v>290</v>
      </c>
      <c r="C68" s="119" t="s">
        <v>290</v>
      </c>
      <c r="D68" s="119" t="s">
        <v>290</v>
      </c>
      <c r="E68" s="119" t="s">
        <v>290</v>
      </c>
      <c r="F68" s="235" t="s">
        <v>290</v>
      </c>
      <c r="G68" s="13">
        <f>+G67/B67-1</f>
        <v>0.38888888888888884</v>
      </c>
      <c r="H68" s="13">
        <f t="shared" ref="H68" si="1348">+H67/C67-1</f>
        <v>0.23931623931623935</v>
      </c>
      <c r="I68" s="13">
        <f t="shared" ref="I68" si="1349">+I67/D67-1</f>
        <v>0.36734693877551017</v>
      </c>
      <c r="J68" s="13">
        <f t="shared" ref="J68" si="1350">+J67/E67-1</f>
        <v>0.45999999999999996</v>
      </c>
      <c r="K68" s="239">
        <f t="shared" ref="K68" si="1351">+K67/F67-1</f>
        <v>0.36461704422869468</v>
      </c>
      <c r="L68" s="13">
        <f>+L67/G67-1</f>
        <v>0.47272727272727266</v>
      </c>
      <c r="M68" s="13">
        <f t="shared" ref="M68" si="1352">+M67/H67-1</f>
        <v>0.3793103448275863</v>
      </c>
      <c r="N68" s="13">
        <f t="shared" ref="N68" si="1353">+N67/I67-1</f>
        <v>0.25373134328358216</v>
      </c>
      <c r="O68" s="13">
        <f t="shared" ref="O68" si="1354">+O67/J67-1</f>
        <v>0.15068493150684925</v>
      </c>
      <c r="P68" s="239">
        <f t="shared" ref="P68" si="1355">+P67/K67-1</f>
        <v>0.30039525691699609</v>
      </c>
      <c r="Q68" s="13">
        <f>+Q67/L67-1</f>
        <v>3.8271604938271642E-2</v>
      </c>
      <c r="R68" s="13">
        <f t="shared" ref="R68" si="1356">+R67/M67-1</f>
        <v>4.8750000000000071E-2</v>
      </c>
      <c r="S68" s="13">
        <f t="shared" ref="S68" si="1357">+S67/N67-1</f>
        <v>-5.9523809523809312E-3</v>
      </c>
      <c r="T68" s="13">
        <f t="shared" ref="T68" si="1358">+T67/O67-1</f>
        <v>7.8571428571428514E-2</v>
      </c>
      <c r="U68" s="239">
        <f t="shared" ref="U68" si="1359">+U67/P67-1</f>
        <v>3.9817629179331293E-2</v>
      </c>
      <c r="V68" s="13">
        <f>+V67/Q67-1</f>
        <v>0.27467300832342456</v>
      </c>
      <c r="W68" s="13">
        <f t="shared" ref="W68" si="1360">+W67/R67-1</f>
        <v>0.25983313468414782</v>
      </c>
      <c r="X68" s="13">
        <f t="shared" ref="X68" si="1361">+X67/S67-1</f>
        <v>0.17604790419161676</v>
      </c>
      <c r="Y68" s="13">
        <f t="shared" ref="Y68" si="1362">+Y67/T67-1</f>
        <v>0.22847682119205293</v>
      </c>
      <c r="Z68" s="239">
        <f t="shared" ref="Z68" si="1363">+Z67/U67-1</f>
        <v>0.23472668810289399</v>
      </c>
      <c r="AA68" s="13">
        <f>+AA67/V67-1</f>
        <v>0.18470149253731338</v>
      </c>
      <c r="AB68" s="13">
        <f t="shared" ref="AB68" si="1364">+AB67/W67-1</f>
        <v>0.16840113528855261</v>
      </c>
      <c r="AC68" s="13">
        <f t="shared" ref="AC68" si="1365">+AC67/X67-1</f>
        <v>0.28411405295315673</v>
      </c>
      <c r="AD68" s="13">
        <f t="shared" ref="AD68" si="1366">+AD67/Y67-1</f>
        <v>0.17182467892298714</v>
      </c>
      <c r="AE68" s="239">
        <f t="shared" ref="AE68" si="1367">+AE67/Z67-1</f>
        <v>0.20034111449841019</v>
      </c>
      <c r="AF68" s="13">
        <f t="shared" ref="AF68" si="1368">+AF67/AA67-1</f>
        <v>0.16248610617514436</v>
      </c>
      <c r="AG68" s="13">
        <f t="shared" ref="AG68" si="1369">+AG67/AB67-1</f>
        <v>0.19221656105948814</v>
      </c>
      <c r="AH68" s="13">
        <f t="shared" ref="AH68" si="1370">+AH67/AC67-1</f>
        <v>0.30366038211981694</v>
      </c>
      <c r="AI68" s="13">
        <f t="shared" ref="AI68:AJ68" si="1371">+AI67/AD67-1</f>
        <v>0.34219968577223958</v>
      </c>
      <c r="AJ68" s="239">
        <f t="shared" si="1371"/>
        <v>0.25106723682623522</v>
      </c>
      <c r="AK68" s="13">
        <f t="shared" ref="AK68" si="1372">+AK67/AF67-1</f>
        <v>0.42103024034376157</v>
      </c>
      <c r="AL68" s="13">
        <f t="shared" ref="AL68" si="1373">+AL67/AG67-1</f>
        <v>0.52605047505872049</v>
      </c>
      <c r="AM68" s="13">
        <f t="shared" ref="AM68" si="1374">+AM67/AH67-1</f>
        <v>0.48048684159611144</v>
      </c>
      <c r="AN68" s="13">
        <f t="shared" ref="AN68" si="1375">+AN67/AI67-1</f>
        <v>0.43794942238348122</v>
      </c>
      <c r="AO68" s="239">
        <f t="shared" ref="AO68" si="1376">+AO67/AJ67-1</f>
        <v>0.46548563784797015</v>
      </c>
      <c r="AP68" s="13">
        <f t="shared" ref="AP68" si="1377">+AP67/AK67-1</f>
        <v>0.3692306546685773</v>
      </c>
      <c r="AQ68" s="13">
        <f t="shared" ref="AQ68" si="1378">+AQ67/AL67-1</f>
        <v>0.26788153251288294</v>
      </c>
      <c r="AR68" s="13">
        <f t="shared" ref="AR68" si="1379">+AR67/AM67-1</f>
        <v>0.18596667299165826</v>
      </c>
      <c r="AS68" s="13">
        <f t="shared" ref="AS68" si="1380">+AS67/AN67-1</f>
        <v>0.20083142626039852</v>
      </c>
      <c r="AT68" s="239">
        <f t="shared" ref="AT68" si="1381">+AT67/AO67-1</f>
        <v>0.25115180559889883</v>
      </c>
      <c r="AU68" s="13">
        <f t="shared" ref="AU68" si="1382">+AU67/AP67-1</f>
        <v>9.1354105566053834E-2</v>
      </c>
      <c r="AV68" s="13">
        <f t="shared" ref="AV68" si="1383">+AV67/AQ67-1</f>
        <v>7.8914161381370418E-2</v>
      </c>
      <c r="AW68" s="13">
        <f t="shared" ref="AW68" si="1384">+AW67/AR67-1</f>
        <v>7.2257811856023979E-2</v>
      </c>
      <c r="AX68" s="13">
        <f t="shared" ref="AX68" si="1385">+AX67/AS67-1</f>
        <v>4.0146875308058938E-2</v>
      </c>
      <c r="AY68" s="239">
        <f t="shared" ref="AY68" si="1386">+AY67/AT67-1</f>
        <v>7.0259243458694609E-2</v>
      </c>
      <c r="AZ68" s="13">
        <f t="shared" ref="AZ68" si="1387">+AZ67/AU67-1</f>
        <v>0.1043901381174539</v>
      </c>
      <c r="BA68" s="13">
        <f t="shared" ref="BA68" si="1388">+BA67/AV67-1</f>
        <v>0.13529742368813924</v>
      </c>
      <c r="BB68" s="13">
        <f t="shared" ref="BB68" si="1389">+BB67/AW67-1</f>
        <v>0.12783992629561269</v>
      </c>
      <c r="BC68" s="13">
        <f t="shared" ref="BC68" si="1390">+BC67/AX67-1</f>
        <v>0.10863260171756317</v>
      </c>
      <c r="BD68" s="239">
        <f t="shared" ref="BD68" si="1391">+BD67/AY67-1</f>
        <v>0.11892401548710585</v>
      </c>
      <c r="BE68" s="13">
        <f t="shared" ref="BE68" si="1392">+BE67/AZ67-1</f>
        <v>9.7885591624027546E-2</v>
      </c>
      <c r="BF68" s="13">
        <f t="shared" ref="BF68" si="1393">+BF67/BA67-1</f>
        <v>6.752147696738553E-2</v>
      </c>
      <c r="BG68" s="13">
        <f t="shared" ref="BG68" si="1394">+BG67/BB67-1</f>
        <v>6.7531976950943928E-2</v>
      </c>
      <c r="BH68" s="13">
        <f t="shared" ref="BH68" si="1395">+BH67/BC67-1</f>
        <v>6.1456277167767137E-2</v>
      </c>
      <c r="BI68" s="239">
        <f t="shared" ref="BI68" si="1396">+BI67/BD67-1</f>
        <v>7.3554192446086519E-2</v>
      </c>
      <c r="BJ68" s="328">
        <f t="shared" ref="BJ68" si="1397">+BJ67/BE67-1</f>
        <v>4.8542681335325355E-2</v>
      </c>
      <c r="BK68" s="13">
        <f t="shared" ref="BK68" si="1398">+BK67/BF67-1</f>
        <v>6.8995968157744114E-2</v>
      </c>
      <c r="BL68" s="13">
        <f t="shared" ref="BL68" si="1399">+BL67/BG67-1</f>
        <v>5.6341353470302558E-2</v>
      </c>
      <c r="BM68" s="13">
        <f t="shared" ref="BM68" si="1400">+BM67/BH67-1</f>
        <v>7.7956398351678668E-2</v>
      </c>
      <c r="BN68" s="239">
        <f t="shared" ref="BN68" si="1401">+BN67/BI67-1</f>
        <v>6.2859906431484314E-2</v>
      </c>
      <c r="BO68" s="13">
        <f t="shared" ref="BO68" si="1402">+BO67/BJ67-1</f>
        <v>0.15989269896689318</v>
      </c>
      <c r="BP68" s="13">
        <f t="shared" ref="BP68" si="1403">+BP67/BK67-1</f>
        <v>0.10819709473823491</v>
      </c>
      <c r="BQ68" s="13">
        <f t="shared" ref="BQ68" si="1404">+BQ67/BL67-1</f>
        <v>0.1468664012999692</v>
      </c>
      <c r="BR68" s="13">
        <f t="shared" ref="BR68" si="1405">+BR67/BM67-1</f>
        <v>0.12430378129458153</v>
      </c>
      <c r="BS68" s="239">
        <f t="shared" ref="BS68" si="1406">+BS67/BN67-1</f>
        <v>0.13478172553255385</v>
      </c>
      <c r="BT68" s="13">
        <f t="shared" ref="BT68" si="1407">+BT67/BO67-1</f>
        <v>8.9769856648985735E-2</v>
      </c>
      <c r="BU68" s="13">
        <f t="shared" ref="BU68" si="1408">+BU67/BP67-1</f>
        <v>0.10786683970117972</v>
      </c>
      <c r="BV68" s="13">
        <f t="shared" ref="BV68" si="1409">+BV67/BQ67-1</f>
        <v>9.1722626262789042E-2</v>
      </c>
      <c r="BW68" s="13">
        <f t="shared" ref="BW68" si="1410">+BW67/BR67-1</f>
        <v>9.2255729571486977E-2</v>
      </c>
      <c r="BX68" s="239">
        <f t="shared" ref="BX68" si="1411">+BX67/BS67-1</f>
        <v>9.5305083147262382E-2</v>
      </c>
      <c r="BY68" s="13">
        <f t="shared" ref="BY68" si="1412">+BY67/BT67-1</f>
        <v>8.6402833104941124E-2</v>
      </c>
      <c r="BZ68" s="13">
        <f t="shared" ref="BZ68" si="1413">+BZ67/BU67-1</f>
        <v>7.7402403275689258E-2</v>
      </c>
      <c r="CA68" s="13">
        <f t="shared" ref="CA68" si="1414">+CA67/BV67-1</f>
        <v>8.8134271875008441E-2</v>
      </c>
      <c r="CB68" s="13">
        <f t="shared" ref="CB68" si="1415">+CB67/BW67-1</f>
        <v>8.366148367883719E-2</v>
      </c>
      <c r="CC68" s="239">
        <f t="shared" ref="CC68" si="1416">+CC67/BX67-1</f>
        <v>8.3927466772566461E-2</v>
      </c>
      <c r="CD68" s="13">
        <f t="shared" ref="CD68" si="1417">+CD67/BY67-1</f>
        <v>7.6447430925473014E-2</v>
      </c>
      <c r="CE68" s="13">
        <f t="shared" ref="CE68" si="1418">+CE67/BZ67-1</f>
        <v>7.9910648633120474E-2</v>
      </c>
      <c r="CF68" s="13">
        <f t="shared" ref="CF68" si="1419">+CF67/CA67-1</f>
        <v>7.7849214853128235E-2</v>
      </c>
      <c r="CG68" s="13">
        <f t="shared" ref="CG68" si="1420">+CG67/CB67-1</f>
        <v>7.935017187983151E-2</v>
      </c>
      <c r="CH68" s="239">
        <f t="shared" ref="CH68" si="1421">+CH67/CC67-1</f>
        <v>7.8370089819857158E-2</v>
      </c>
      <c r="CI68" s="13">
        <f t="shared" ref="CI68" si="1422">+CI67/CD67-1</f>
        <v>7.2981119344145418E-2</v>
      </c>
      <c r="CJ68" s="13">
        <f t="shared" ref="CJ68" si="1423">+CJ67/CE67-1</f>
        <v>7.4899916823180535E-2</v>
      </c>
      <c r="CK68" s="13">
        <f t="shared" ref="CK68" si="1424">+CK67/CF67-1</f>
        <v>7.4227735942818063E-2</v>
      </c>
      <c r="CL68" s="13">
        <f t="shared" ref="CL68" si="1425">+CL67/CG67-1</f>
        <v>7.4413590838915633E-2</v>
      </c>
      <c r="CM68" s="239">
        <f t="shared" ref="CM68" si="1426">+CM67/CH67-1</f>
        <v>7.4121350078846238E-2</v>
      </c>
      <c r="CN68" s="13">
        <f t="shared" ref="CN68" si="1427">+CN67/CI67-1</f>
        <v>6.8846476835391579E-2</v>
      </c>
      <c r="CO68" s="13">
        <f t="shared" ref="CO68" si="1428">+CO67/CJ67-1</f>
        <v>7.1067953434352571E-2</v>
      </c>
      <c r="CP68" s="13">
        <f t="shared" ref="CP68" si="1429">+CP67/CK67-1</f>
        <v>6.994366342534386E-2</v>
      </c>
      <c r="CQ68" s="13">
        <f t="shared" ref="CQ68" si="1430">+CQ67/CL67-1</f>
        <v>7.0638550061921102E-2</v>
      </c>
      <c r="CR68" s="239">
        <f t="shared" ref="CR68" si="1431">+CR67/CM67-1</f>
        <v>7.0113633685849219E-2</v>
      </c>
      <c r="CS68" s="13">
        <f t="shared" ref="CS68" si="1432">+CS67/CN67-1</f>
        <v>6.5688398405722825E-2</v>
      </c>
      <c r="CT68" s="13">
        <f t="shared" ref="CT68" si="1433">+CT67/CO67-1</f>
        <v>6.7418355543533037E-2</v>
      </c>
      <c r="CU68" s="13">
        <f t="shared" ref="CU68" si="1434">+CU67/CP67-1</f>
        <v>6.6670214324517252E-2</v>
      </c>
      <c r="CV68" s="13">
        <f t="shared" ref="CV68" si="1435">+CV67/CQ67-1</f>
        <v>6.7038093876927274E-2</v>
      </c>
      <c r="CW68" s="239">
        <f t="shared" ref="CW68" si="1436">+CW67/CR67-1</f>
        <v>6.6696204529740788E-2</v>
      </c>
      <c r="CX68" s="13">
        <f t="shared" ref="CX68" si="1437">+CX67/CS67-1</f>
        <v>6.2626781132554044E-2</v>
      </c>
      <c r="CY68" s="13">
        <f t="shared" ref="CY68" si="1438">+CY67/CT67-1</f>
        <v>6.429487644497156E-2</v>
      </c>
      <c r="CZ68" s="13">
        <f t="shared" ref="CZ68" si="1439">+CZ67/CU67-1</f>
        <v>6.3507064912655675E-2</v>
      </c>
      <c r="DA68" s="13">
        <f t="shared" ref="DA68" si="1440">+DA67/CV67-1</f>
        <v>6.3955156639085686E-2</v>
      </c>
      <c r="DB68" s="239">
        <f t="shared" ref="DB68" si="1441">+DB67/CW67-1</f>
        <v>6.3588990067383611E-2</v>
      </c>
    </row>
    <row r="69" spans="1:106">
      <c r="A69" s="117" t="s">
        <v>288</v>
      </c>
      <c r="B69" s="119" t="s">
        <v>290</v>
      </c>
      <c r="C69" s="13">
        <f>+C67/B67-1</f>
        <v>0.18181818181818188</v>
      </c>
      <c r="D69" s="13">
        <f t="shared" ref="D69" si="1442">+D67/C67-1</f>
        <v>4.7008547008547064E-2</v>
      </c>
      <c r="E69" s="13">
        <f t="shared" ref="E69" si="1443">+E67/D67-1</f>
        <v>2.0408163265306145E-2</v>
      </c>
      <c r="F69" s="235" t="s">
        <v>290</v>
      </c>
      <c r="G69" s="13">
        <f>+G67/E67-1</f>
        <v>0.10000000000000009</v>
      </c>
      <c r="H69" s="13">
        <f>+H67/G67-1</f>
        <v>5.4545454545454453E-2</v>
      </c>
      <c r="I69" s="13">
        <f>+I67/H67-1</f>
        <v>0.15517241379310343</v>
      </c>
      <c r="J69" s="13">
        <f>+J67/I67-1</f>
        <v>8.9552238805970186E-2</v>
      </c>
      <c r="K69" s="235" t="s">
        <v>290</v>
      </c>
      <c r="L69" s="13">
        <f>+L67/J67-1</f>
        <v>0.1095890410958904</v>
      </c>
      <c r="M69" s="13">
        <f>+M67/L67-1</f>
        <v>-1.2345679012345734E-2</v>
      </c>
      <c r="N69" s="13">
        <f t="shared" ref="N69" si="1444">+N67/M67-1</f>
        <v>5.0000000000000044E-2</v>
      </c>
      <c r="O69" s="13">
        <f t="shared" ref="O69" si="1445">+O67/N67-1</f>
        <v>0</v>
      </c>
      <c r="P69" s="235" t="s">
        <v>290</v>
      </c>
      <c r="Q69" s="13">
        <f>+Q67/O67-1</f>
        <v>1.1904761904761862E-3</v>
      </c>
      <c r="R69" s="13">
        <f>+R67/Q67-1</f>
        <v>-2.3781212841854638E-3</v>
      </c>
      <c r="S69" s="13">
        <f t="shared" ref="S69" si="1446">+S67/R67-1</f>
        <v>-4.7675804529201393E-3</v>
      </c>
      <c r="T69" s="13">
        <f t="shared" ref="T69" si="1447">+T67/S67-1</f>
        <v>8.5029940119760505E-2</v>
      </c>
      <c r="U69" s="235" t="s">
        <v>290</v>
      </c>
      <c r="V69" s="13">
        <f>+V67/T67-1</f>
        <v>0.18322295805739519</v>
      </c>
      <c r="W69" s="13">
        <f>+W67/V67-1</f>
        <v>-1.3992537313432862E-2</v>
      </c>
      <c r="X69" s="13">
        <f t="shared" ref="X69" si="1448">+X67/W67-1</f>
        <v>-7.0955534531693454E-2</v>
      </c>
      <c r="Y69" s="13">
        <f t="shared" ref="Y69" si="1449">+Y67/X67-1</f>
        <v>0.13340122199592663</v>
      </c>
      <c r="Z69" s="235" t="s">
        <v>290</v>
      </c>
      <c r="AA69" s="13">
        <f>+AA67/Y67-1</f>
        <v>0.14106019766397115</v>
      </c>
      <c r="AB69" s="13">
        <f>+AB67/AA67-1</f>
        <v>-2.7559055118110187E-2</v>
      </c>
      <c r="AC69" s="13">
        <f t="shared" ref="AC69" si="1450">+AC67/AB67-1</f>
        <v>2.1052631578947434E-2</v>
      </c>
      <c r="AD69" s="13">
        <f t="shared" ref="AD69" si="1451">+AD67/AC67-1</f>
        <v>3.4290933894753906E-2</v>
      </c>
      <c r="AE69" s="235" t="s">
        <v>290</v>
      </c>
      <c r="AF69" s="13">
        <f>+AF67/AD67-1</f>
        <v>0.13196679499272324</v>
      </c>
      <c r="AG69" s="13">
        <f>+AG67/AF67-1</f>
        <v>-2.6889844257179663E-3</v>
      </c>
      <c r="AH69" s="13">
        <f t="shared" ref="AH69" si="1452">+AH67/AG67-1</f>
        <v>0.11649670649243471</v>
      </c>
      <c r="AI69" s="13">
        <f t="shared" ref="AI69" si="1453">+AI67/AH67-1</f>
        <v>6.4867035549006857E-2</v>
      </c>
      <c r="AJ69" s="235" t="s">
        <v>290</v>
      </c>
      <c r="AK69" s="13">
        <f>+AK67/AI67-1</f>
        <v>0.1984498758276616</v>
      </c>
      <c r="AL69" s="13">
        <f>+AL67/AK67-1</f>
        <v>7.1016580709959864E-2</v>
      </c>
      <c r="AM69" s="13">
        <f t="shared" ref="AM69" si="1454">+AM67/AL67-1</f>
        <v>8.3161212333977108E-2</v>
      </c>
      <c r="AN69" s="13">
        <f t="shared" ref="AN69" si="1455">+AN67/AM67-1</f>
        <v>3.4271224614257356E-2</v>
      </c>
      <c r="AO69" s="235" t="s">
        <v>290</v>
      </c>
      <c r="AP69" s="13">
        <f>+AP67/AN67-1</f>
        <v>0.14117665233802934</v>
      </c>
      <c r="AQ69" s="13">
        <f>+AQ67/AP67-1</f>
        <v>-8.2590255577229543E-3</v>
      </c>
      <c r="AR69" s="13">
        <f t="shared" ref="AR69" si="1456">+AR67/AQ67-1</f>
        <v>1.3180700533852896E-2</v>
      </c>
      <c r="AS69" s="13">
        <f t="shared" ref="AS69" si="1457">+AS67/AR67-1</f>
        <v>4.723464670441313E-2</v>
      </c>
      <c r="AT69" s="235" t="s">
        <v>290</v>
      </c>
      <c r="AU69" s="13">
        <f>+AU67/AS67-1</f>
        <v>3.7137934159265251E-2</v>
      </c>
      <c r="AV69" s="13">
        <f>+AV67/AU67-1</f>
        <v>-1.9563516286079774E-2</v>
      </c>
      <c r="AW69" s="13">
        <f t="shared" ref="AW69" si="1458">+AW67/AV67-1</f>
        <v>6.9298929010621624E-3</v>
      </c>
      <c r="AX69" s="13">
        <f t="shared" ref="AX69" si="1459">+AX67/AW67-1</f>
        <v>1.5873079626670838E-2</v>
      </c>
      <c r="AY69" s="235" t="s">
        <v>290</v>
      </c>
      <c r="AZ69" s="13">
        <f>+AZ67/AX67-1</f>
        <v>0.10119535379440392</v>
      </c>
      <c r="BA69" s="13">
        <f>+BA67/AZ67-1</f>
        <v>7.8748221598960999E-3</v>
      </c>
      <c r="BB69" s="13">
        <f t="shared" ref="BB69" si="1460">+BB67/BA67-1</f>
        <v>3.1561113305444977E-4</v>
      </c>
      <c r="BC69" s="13">
        <f t="shared" ref="BC69" si="1461">+BC67/BB67-1</f>
        <v>-1.4274286418916038E-3</v>
      </c>
      <c r="BD69" s="235" t="s">
        <v>290</v>
      </c>
      <c r="BE69" s="13">
        <f>+BE67/BC67-1</f>
        <v>9.0520439883476245E-2</v>
      </c>
      <c r="BF69" s="13">
        <f>+BF67/BE67-1</f>
        <v>-1.999987343050369E-2</v>
      </c>
      <c r="BG69" s="13">
        <f t="shared" ref="BG69" si="1462">+BG67/BF67-1</f>
        <v>3.2545008964368627E-4</v>
      </c>
      <c r="BH69" s="13">
        <f t="shared" ref="BH69" si="1463">+BH67/BG67-1</f>
        <v>-7.1106562044186417E-3</v>
      </c>
      <c r="BI69" s="235" t="s">
        <v>290</v>
      </c>
      <c r="BJ69" s="328">
        <f>+BJ67/BH67-1</f>
        <v>7.7253251671779211E-2</v>
      </c>
      <c r="BK69" s="13">
        <f>+BK67/BJ67-1</f>
        <v>-8.8360469721171508E-4</v>
      </c>
      <c r="BL69" s="13">
        <f t="shared" ref="BL69" si="1464">+BL67/BK67-1</f>
        <v>-1.1516253256292686E-2</v>
      </c>
      <c r="BM69" s="13">
        <f t="shared" ref="BM69" si="1465">+BM67/BL67-1</f>
        <v>1.3206022355855884E-2</v>
      </c>
      <c r="BN69" s="235" t="s">
        <v>290</v>
      </c>
      <c r="BO69" s="13">
        <f>+BO67/BM67-1</f>
        <v>0.15913610556333313</v>
      </c>
      <c r="BP69" s="13">
        <f>+BP67/BO67-1</f>
        <v>-4.5413521814494096E-2</v>
      </c>
      <c r="BQ69" s="13">
        <f t="shared" ref="BQ69" si="1466">+BQ67/BP67-1</f>
        <v>2.2975789012734449E-2</v>
      </c>
      <c r="BR69" s="13">
        <f t="shared" ref="BR69" si="1467">+BR67/BQ67-1</f>
        <v>-6.7270600360190835E-3</v>
      </c>
      <c r="BS69" s="235" t="s">
        <v>290</v>
      </c>
      <c r="BT69" s="13">
        <f>+BT67/BR67-1</f>
        <v>0.12353227714124815</v>
      </c>
      <c r="BU69" s="13">
        <f>+BU67/BT67-1</f>
        <v>-2.9561426794452506E-2</v>
      </c>
      <c r="BV69" s="13">
        <f t="shared" ref="BV69" si="1468">+BV67/BU67-1</f>
        <v>8.0686369180094086E-3</v>
      </c>
      <c r="BW69" s="13">
        <f t="shared" ref="BW69" si="1469">+BW67/BV67-1</f>
        <v>-6.2420310753684705E-3</v>
      </c>
      <c r="BX69" s="235" t="s">
        <v>290</v>
      </c>
      <c r="BY69" s="13">
        <f>+BY67/BW67-1</f>
        <v>0.11751178403061902</v>
      </c>
      <c r="BZ69" s="13">
        <f>+BZ67/BY67-1</f>
        <v>-3.7601137310277366E-2</v>
      </c>
      <c r="CA69" s="13">
        <f t="shared" ref="CA69" si="1470">+CA67/BZ67-1</f>
        <v>1.8109880670210909E-2</v>
      </c>
      <c r="CB69" s="13">
        <f t="shared" ref="CB69" si="1471">+CB67/CA67-1</f>
        <v>-1.0326884413916604E-2</v>
      </c>
      <c r="CC69" s="235" t="s">
        <v>290</v>
      </c>
      <c r="CD69" s="13">
        <f>+CD67/CB67-1</f>
        <v>0.11007238613383796</v>
      </c>
      <c r="CE69" s="13">
        <f>+CE67/CD67-1</f>
        <v>-3.4504844182222549E-2</v>
      </c>
      <c r="CF69" s="13">
        <f t="shared" ref="CF69" si="1472">+CF67/CE67-1</f>
        <v>1.6166417937980349E-2</v>
      </c>
      <c r="CG69" s="13">
        <f t="shared" ref="CG69" si="1473">+CG67/CF67-1</f>
        <v>-8.9487168590229871E-3</v>
      </c>
      <c r="CH69" s="235" t="s">
        <v>290</v>
      </c>
      <c r="CI69" s="13">
        <f>+CI67/CG67-1</f>
        <v>0.10352204730043857</v>
      </c>
      <c r="CJ69" s="13">
        <f>+CJ67/CI67-1</f>
        <v>-3.2778262383526768E-2</v>
      </c>
      <c r="CK69" s="13">
        <f t="shared" ref="CK69" si="1474">+CK67/CJ67-1</f>
        <v>1.5530965625896176E-2</v>
      </c>
      <c r="CL69" s="13">
        <f t="shared" ref="CL69" si="1475">+CL67/CK67-1</f>
        <v>-8.777252534380664E-3</v>
      </c>
      <c r="CM69" s="235" t="s">
        <v>290</v>
      </c>
      <c r="CN69" s="13">
        <f>+CN67/CL67-1</f>
        <v>9.7804106746534281E-2</v>
      </c>
      <c r="CO69" s="13">
        <f>+CO67/CN67-1</f>
        <v>-3.0768001319203542E-2</v>
      </c>
      <c r="CP69" s="13">
        <f t="shared" ref="CP69" si="1476">+CP67/CO67-1</f>
        <v>1.4464972273344534E-2</v>
      </c>
      <c r="CQ69" s="13">
        <f t="shared" ref="CQ69" si="1477">+CQ67/CP67-1</f>
        <v>-8.1334920592915916E-3</v>
      </c>
      <c r="CR69" s="235" t="s">
        <v>290</v>
      </c>
      <c r="CS69" s="13">
        <f>+CS67/CQ67-1</f>
        <v>9.2728353760731297E-2</v>
      </c>
      <c r="CT69" s="13">
        <f>+CT67/CS67-1</f>
        <v>-2.9194624132382163E-2</v>
      </c>
      <c r="CU69" s="13">
        <f t="shared" ref="CU69" si="1478">+CU67/CT67-1</f>
        <v>1.3753945470157403E-2</v>
      </c>
      <c r="CV69" s="13">
        <f t="shared" ref="CV69" si="1479">+CV67/CU67-1</f>
        <v>-7.7914112529734458E-3</v>
      </c>
      <c r="CW69" s="235" t="s">
        <v>290</v>
      </c>
      <c r="CX69" s="13">
        <f>+CX67/CV67-1</f>
        <v>8.8210833214142026E-2</v>
      </c>
      <c r="CY69" s="13">
        <f>+CY67/CX67-1</f>
        <v>-2.7670668661366804E-2</v>
      </c>
      <c r="CZ69" s="13">
        <f t="shared" ref="CZ69" si="1480">+CZ67/CY67-1</f>
        <v>1.3003545306774278E-2</v>
      </c>
      <c r="DA69" s="13">
        <f t="shared" ref="DA69" si="1481">+DA67/CZ67-1</f>
        <v>-7.373360001431517E-3</v>
      </c>
      <c r="DB69" s="235" t="s">
        <v>290</v>
      </c>
    </row>
    <row r="70" spans="1:106">
      <c r="F70" s="217"/>
      <c r="K70" s="217"/>
      <c r="P70" s="217"/>
      <c r="U70" s="217"/>
      <c r="Z70" s="217"/>
      <c r="AE70" s="217"/>
      <c r="AJ70" s="217"/>
      <c r="AO70" s="217"/>
      <c r="AT70" s="217"/>
      <c r="AY70" s="217"/>
      <c r="BD70" s="217"/>
      <c r="BI70" s="217"/>
      <c r="BJ70" s="356"/>
      <c r="BN70" s="217"/>
      <c r="BS70" s="217"/>
      <c r="BX70" s="217"/>
      <c r="CC70" s="217"/>
      <c r="CH70" s="217"/>
      <c r="CM70" s="217"/>
      <c r="CR70" s="217"/>
      <c r="CW70" s="217"/>
      <c r="DB70" s="217"/>
    </row>
    <row r="71" spans="1:106" s="51" customFormat="1">
      <c r="A71" s="51" t="s">
        <v>289</v>
      </c>
      <c r="B71" s="225">
        <f>+B75/B67*1000000</f>
        <v>515.15151515151513</v>
      </c>
      <c r="C71" s="225">
        <f t="shared" ref="C71:AE71" si="1482">+C75/C67*1000000</f>
        <v>572.64957264957263</v>
      </c>
      <c r="D71" s="225">
        <f>+D75/D67*1000000</f>
        <v>702.0408163265306</v>
      </c>
      <c r="E71" s="225">
        <f t="shared" si="1482"/>
        <v>728</v>
      </c>
      <c r="F71" s="236">
        <f t="shared" si="1482"/>
        <v>636.4617044228695</v>
      </c>
      <c r="G71" s="225">
        <f>+G75/G67*1000000</f>
        <v>636.36363636363637</v>
      </c>
      <c r="H71" s="225">
        <f t="shared" si="1482"/>
        <v>593.10344827586209</v>
      </c>
      <c r="I71" s="225">
        <f t="shared" si="1482"/>
        <v>504.47761194029846</v>
      </c>
      <c r="J71" s="225">
        <f t="shared" si="1482"/>
        <v>479.45205479452056</v>
      </c>
      <c r="K71" s="236">
        <f t="shared" si="1482"/>
        <v>546.2450592885375</v>
      </c>
      <c r="L71" s="225">
        <f t="shared" si="1482"/>
        <v>476.54320987654324</v>
      </c>
      <c r="M71" s="225">
        <f t="shared" si="1482"/>
        <v>401.25</v>
      </c>
      <c r="N71" s="225">
        <f t="shared" si="1482"/>
        <v>454.76190476190482</v>
      </c>
      <c r="O71" s="225">
        <f t="shared" si="1482"/>
        <v>409.52380952380952</v>
      </c>
      <c r="P71" s="236">
        <f t="shared" si="1482"/>
        <v>435.56231003039522</v>
      </c>
      <c r="Q71" s="225">
        <f t="shared" si="1482"/>
        <v>373.36504161712247</v>
      </c>
      <c r="R71" s="225">
        <f t="shared" si="1482"/>
        <v>392.13349225268172</v>
      </c>
      <c r="S71" s="225">
        <f>+S75/S67*1000000</f>
        <v>427.54491017964079</v>
      </c>
      <c r="T71" s="225">
        <f>+T75/T67*1000000</f>
        <v>353.20088300220749</v>
      </c>
      <c r="U71" s="236">
        <f t="shared" si="1482"/>
        <v>385.85209003215431</v>
      </c>
      <c r="V71" s="225">
        <f t="shared" si="1482"/>
        <v>310.6343283582089</v>
      </c>
      <c r="W71" s="225">
        <f t="shared" si="1482"/>
        <v>337.74834437086093</v>
      </c>
      <c r="X71" s="225">
        <f t="shared" si="1482"/>
        <v>366.59877800407332</v>
      </c>
      <c r="Y71" s="225">
        <f t="shared" si="1482"/>
        <v>323.45013477088946</v>
      </c>
      <c r="Z71" s="236">
        <f t="shared" si="1482"/>
        <v>333.80681818181819</v>
      </c>
      <c r="AA71" s="225">
        <f t="shared" si="1482"/>
        <v>292.91338582677167</v>
      </c>
      <c r="AB71" s="225">
        <f t="shared" si="1482"/>
        <v>295.54655870445345</v>
      </c>
      <c r="AC71" s="225">
        <f t="shared" si="1482"/>
        <v>298.17605075337036</v>
      </c>
      <c r="AD71" s="225">
        <f t="shared" si="1482"/>
        <v>326.48201202365402</v>
      </c>
      <c r="AE71" s="236">
        <f t="shared" si="1482"/>
        <v>303.49863503563091</v>
      </c>
      <c r="AF71" s="225">
        <f t="shared" ref="AF71:AI71" si="1483">+AF75/AF67*1000000</f>
        <v>316.23540863318732</v>
      </c>
      <c r="AG71" s="225">
        <f>+AG75/AG67*1000000</f>
        <v>295.27499077671166</v>
      </c>
      <c r="AH71" s="225">
        <f t="shared" si="1483"/>
        <v>314.22330790990287</v>
      </c>
      <c r="AI71" s="225">
        <f t="shared" si="1483"/>
        <v>312.05777226938693</v>
      </c>
      <c r="AJ71" s="236">
        <f>+AJ75/AJ67*1000000</f>
        <v>309.69570175283894</v>
      </c>
      <c r="AK71" s="225">
        <f t="shared" ref="AK71:AN71" si="1484">+AK75/AK67*1000000</f>
        <v>299.62085687959075</v>
      </c>
      <c r="AL71" s="225">
        <f t="shared" si="1484"/>
        <v>280.44998311954049</v>
      </c>
      <c r="AM71" s="225">
        <f t="shared" si="1484"/>
        <v>298.20510771527637</v>
      </c>
      <c r="AN71" s="225">
        <f t="shared" si="1484"/>
        <v>295.61992271661347</v>
      </c>
      <c r="AO71" s="236">
        <f>+AO75/AO67*1000000</f>
        <v>293.53294135639965</v>
      </c>
      <c r="AP71" s="225">
        <f t="shared" ref="AP71:AS71" si="1485">+AP75/AP67*1000000</f>
        <v>301.76106629437396</v>
      </c>
      <c r="AQ71" s="225">
        <f t="shared" si="1485"/>
        <v>301.47808245376865</v>
      </c>
      <c r="AR71" s="225">
        <f t="shared" si="1485"/>
        <v>301.83340053981453</v>
      </c>
      <c r="AS71" s="225">
        <f t="shared" si="1485"/>
        <v>303.09224772943298</v>
      </c>
      <c r="AT71" s="236">
        <f>+AT75/AT67*1000000</f>
        <v>302.05567110468314</v>
      </c>
      <c r="AU71" s="225">
        <f t="shared" ref="AU71:AX71" si="1486">+AU75/AU67*1000000</f>
        <v>310.46715479166568</v>
      </c>
      <c r="AV71" s="225">
        <f t="shared" si="1486"/>
        <v>309.67679372121137</v>
      </c>
      <c r="AW71" s="225">
        <f t="shared" si="1486"/>
        <v>309.86651434149661</v>
      </c>
      <c r="AX71" s="225">
        <f t="shared" si="1486"/>
        <v>310.32374861019531</v>
      </c>
      <c r="AY71" s="236">
        <f>+AY75/AY67*1000000</f>
        <v>310.08643051498819</v>
      </c>
      <c r="AZ71" s="225">
        <f t="shared" ref="AZ71:BC71" si="1487">+AZ75/AZ67*1000000</f>
        <v>339.68404488979741</v>
      </c>
      <c r="BA71" s="225">
        <f t="shared" si="1487"/>
        <v>394.60592495110859</v>
      </c>
      <c r="BB71" s="225">
        <f t="shared" si="1487"/>
        <v>412.16174008556123</v>
      </c>
      <c r="BC71" s="225">
        <f t="shared" si="1487"/>
        <v>429.75953916225444</v>
      </c>
      <c r="BD71" s="236">
        <f>+BD75/BD67*1000000</f>
        <v>394.15072279466011</v>
      </c>
      <c r="BE71" s="225">
        <f>+BE75/BE67*1000000</f>
        <v>431.90848051459295</v>
      </c>
      <c r="BF71" s="225">
        <f t="shared" ref="BF71:BH71" si="1488">+BF75/BF67*1000000</f>
        <v>444.13847324094041</v>
      </c>
      <c r="BG71" s="225">
        <f t="shared" si="1488"/>
        <v>444.46289422569993</v>
      </c>
      <c r="BH71" s="225">
        <f t="shared" si="1488"/>
        <v>474.29596688073997</v>
      </c>
      <c r="BI71" s="236">
        <f>+BI75/BI67*1000000</f>
        <v>448.57244992536675</v>
      </c>
      <c r="BJ71" s="361">
        <f t="shared" ref="BJ71:BM71" si="1489">+BJ75/BJ67*1000000</f>
        <v>404.3814475760941</v>
      </c>
      <c r="BK71" s="225">
        <f t="shared" si="1489"/>
        <v>390.78964769771795</v>
      </c>
      <c r="BL71" s="225">
        <f t="shared" si="1489"/>
        <v>386.61214522579581</v>
      </c>
      <c r="BM71" s="225">
        <f t="shared" si="1489"/>
        <v>384.60942883823407</v>
      </c>
      <c r="BN71" s="236">
        <f>+BN75/BN67*1000000</f>
        <v>391.61269515650315</v>
      </c>
      <c r="BO71" s="225">
        <f t="shared" ref="BO71:BR71" si="1490">+BO75/BO67*1000000</f>
        <v>393.88007728709982</v>
      </c>
      <c r="BP71" s="225">
        <f t="shared" si="1490"/>
        <v>386.96305121087516</v>
      </c>
      <c r="BQ71" s="225">
        <f t="shared" si="1490"/>
        <v>386.13739809477886</v>
      </c>
      <c r="BR71" s="225">
        <f t="shared" si="1490"/>
        <v>382.71364050271376</v>
      </c>
      <c r="BS71" s="236">
        <f>+BS75/BS67*1000000</f>
        <v>387.47292490421069</v>
      </c>
      <c r="BT71" s="225">
        <f t="shared" ref="BT71:BW71" si="1491">+BT75/BT67*1000000</f>
        <v>389.91336781576513</v>
      </c>
      <c r="BU71" s="225">
        <f t="shared" si="1491"/>
        <v>384.53268299533374</v>
      </c>
      <c r="BV71" s="225">
        <f t="shared" si="1491"/>
        <v>382.67463467932464</v>
      </c>
      <c r="BW71" s="225">
        <f t="shared" si="1491"/>
        <v>379.49634418553819</v>
      </c>
      <c r="BX71" s="236">
        <f>+BX75/BX67*1000000</f>
        <v>384.19267565781672</v>
      </c>
      <c r="BY71" s="225">
        <f t="shared" ref="BY71:CB71" si="1492">+BY75/BY67*1000000</f>
        <v>386.76358520271782</v>
      </c>
      <c r="BZ71" s="225">
        <f t="shared" si="1492"/>
        <v>380.70049318447064</v>
      </c>
      <c r="CA71" s="225">
        <f t="shared" si="1492"/>
        <v>379.99117449962444</v>
      </c>
      <c r="CB71" s="225">
        <f t="shared" si="1492"/>
        <v>376.58819271480223</v>
      </c>
      <c r="CC71" s="236">
        <f>+CC75/CC67*1000000</f>
        <v>381.05334819248878</v>
      </c>
      <c r="CD71" s="225">
        <f t="shared" ref="CD71:CG71" si="1493">+CD75/CD67*1000000</f>
        <v>383.70880912376697</v>
      </c>
      <c r="CE71" s="225">
        <f t="shared" si="1493"/>
        <v>377.99830386420933</v>
      </c>
      <c r="CF71" s="225">
        <f t="shared" si="1493"/>
        <v>377.3143572702138</v>
      </c>
      <c r="CG71" s="225">
        <f t="shared" si="1493"/>
        <v>374.1850244093622</v>
      </c>
      <c r="CH71" s="236">
        <f>+CH75/CH67*1000000</f>
        <v>378.33812657284034</v>
      </c>
      <c r="CI71" s="225">
        <f t="shared" ref="CI71:CL71" si="1494">+CI75/CI67*1000000</f>
        <v>381.12785041702421</v>
      </c>
      <c r="CJ71" s="225">
        <f t="shared" si="1494"/>
        <v>375.64465501465025</v>
      </c>
      <c r="CK71" s="225">
        <f t="shared" si="1494"/>
        <v>375.07874717983708</v>
      </c>
      <c r="CL71" s="225">
        <f t="shared" si="1494"/>
        <v>372.09008768370734</v>
      </c>
      <c r="CM71" s="236">
        <f>+CM75/CM67*1000000</f>
        <v>376.01847544393854</v>
      </c>
      <c r="CN71" s="225">
        <f t="shared" ref="CN71:CQ71" si="1495">+CN75/CN67*1000000</f>
        <v>378.85188325337566</v>
      </c>
      <c r="CO71" s="225">
        <f t="shared" si="1495"/>
        <v>373.62697946069648</v>
      </c>
      <c r="CP71" s="225">
        <f t="shared" si="1495"/>
        <v>373.11188972970069</v>
      </c>
      <c r="CQ71" s="225">
        <f t="shared" si="1495"/>
        <v>370.29977198171952</v>
      </c>
      <c r="CR71" s="236">
        <f>+CR75/CR67*1000000</f>
        <v>374.00214860045367</v>
      </c>
      <c r="CS71" s="225">
        <f t="shared" ref="CS71:CV71" si="1496">+CS75/CS67*1000000</f>
        <v>376.87491622187571</v>
      </c>
      <c r="CT71" s="225">
        <f t="shared" si="1496"/>
        <v>371.86603220913662</v>
      </c>
      <c r="CU71" s="225">
        <f t="shared" si="1496"/>
        <v>371.41639542032209</v>
      </c>
      <c r="CV71" s="225">
        <f t="shared" si="1496"/>
        <v>368.73958633887094</v>
      </c>
      <c r="CW71" s="236">
        <f>+CW75/CW67*1000000</f>
        <v>372.25098606104802</v>
      </c>
      <c r="CX71" s="225">
        <f t="shared" ref="CX71:DA71" si="1497">+CX75/CX67*1000000</f>
        <v>375.13016430836961</v>
      </c>
      <c r="CY71" s="225">
        <f t="shared" si="1497"/>
        <v>370.33270449791007</v>
      </c>
      <c r="CZ71" s="225">
        <f t="shared" si="1497"/>
        <v>369.92742323490506</v>
      </c>
      <c r="DA71" s="225">
        <f t="shared" si="1497"/>
        <v>367.38508376808772</v>
      </c>
      <c r="DB71" s="236">
        <f>+DB75/DB67*1000000</f>
        <v>370.71805239709158</v>
      </c>
    </row>
    <row r="72" spans="1:106">
      <c r="A72" s="117" t="s">
        <v>281</v>
      </c>
      <c r="B72" s="119" t="s">
        <v>290</v>
      </c>
      <c r="C72" s="119" t="s">
        <v>290</v>
      </c>
      <c r="D72" s="119" t="s">
        <v>290</v>
      </c>
      <c r="E72" s="119" t="s">
        <v>290</v>
      </c>
      <c r="F72" s="235" t="s">
        <v>290</v>
      </c>
      <c r="G72" s="13">
        <f>+G71/B71-1</f>
        <v>0.23529411764705888</v>
      </c>
      <c r="H72" s="13">
        <f t="shared" ref="H72" si="1498">+H71/C71-1</f>
        <v>3.5717961914565111E-2</v>
      </c>
      <c r="I72" s="13">
        <f t="shared" ref="I72" si="1499">+I71/D71-1</f>
        <v>-0.28141270392224926</v>
      </c>
      <c r="J72" s="13">
        <f t="shared" ref="J72" si="1500">+J71/E71-1</f>
        <v>-0.3414120126448893</v>
      </c>
      <c r="K72" s="239">
        <f t="shared" ref="K72" si="1501">+K71/F71-1</f>
        <v>-0.14174716955851818</v>
      </c>
      <c r="L72" s="13">
        <f>+L71/G71-1</f>
        <v>-0.25114638447971782</v>
      </c>
      <c r="M72" s="13">
        <f t="shared" ref="M72" si="1502">+M71/H71-1</f>
        <v>-0.32347383720930234</v>
      </c>
      <c r="N72" s="13">
        <f t="shared" ref="N72" si="1503">+N71/I71-1</f>
        <v>-9.8548887010425301E-2</v>
      </c>
      <c r="O72" s="13">
        <f t="shared" ref="O72" si="1504">+O71/J71-1</f>
        <v>-0.14585034013605447</v>
      </c>
      <c r="P72" s="239">
        <f t="shared" ref="P72" si="1505">+P71/K71-1</f>
        <v>-0.20262471463321274</v>
      </c>
      <c r="Q72" s="13">
        <f>+Q71/L71-1</f>
        <v>-0.21651377277235961</v>
      </c>
      <c r="R72" s="13">
        <f t="shared" ref="R72" si="1506">+R71/M71-1</f>
        <v>-2.2720268529142107E-2</v>
      </c>
      <c r="S72" s="13">
        <f t="shared" ref="S72" si="1507">+S71/N71-1</f>
        <v>-5.984888861021409E-2</v>
      </c>
      <c r="T72" s="13">
        <f t="shared" ref="T72" si="1508">+T71/O71-1</f>
        <v>-0.13753272755274915</v>
      </c>
      <c r="U72" s="239">
        <f t="shared" ref="U72" si="1509">+U71/P71-1</f>
        <v>-0.11412883726044143</v>
      </c>
      <c r="V72" s="13">
        <f>+V71/Q71-1</f>
        <v>-0.16801442627626217</v>
      </c>
      <c r="W72" s="13">
        <f t="shared" ref="W72" si="1510">+W71/R71-1</f>
        <v>-0.13869039231868585</v>
      </c>
      <c r="X72" s="13">
        <f t="shared" ref="X72" si="1511">+X71/S71-1</f>
        <v>-0.14254907665713956</v>
      </c>
      <c r="Y72" s="13">
        <f t="shared" ref="Y72" si="1512">+Y71/T71-1</f>
        <v>-8.423180592991919E-2</v>
      </c>
      <c r="Z72" s="239">
        <f t="shared" ref="Z72" si="1513">+Z71/U71-1</f>
        <v>-0.1348839962121211</v>
      </c>
      <c r="AA72" s="13">
        <f>+AA71/V71-1</f>
        <v>-5.704759877988208E-2</v>
      </c>
      <c r="AB72" s="13">
        <f t="shared" ref="AB72" si="1514">+AB71/W71-1</f>
        <v>-0.12495038501230449</v>
      </c>
      <c r="AC72" s="13">
        <f t="shared" ref="AC72" si="1515">+AC71/X71-1</f>
        <v>-0.18664199488941757</v>
      </c>
      <c r="AD72" s="13">
        <f t="shared" ref="AD72" si="1516">+AD71/Y71-1</f>
        <v>9.3735538397969886E-3</v>
      </c>
      <c r="AE72" s="239">
        <f t="shared" ref="AE72" si="1517">+AE71/Z71-1</f>
        <v>-9.0795578446450365E-2</v>
      </c>
      <c r="AF72" s="13">
        <f t="shared" ref="AF72" si="1518">+AF71/AA71-1</f>
        <v>7.9620884312225471E-2</v>
      </c>
      <c r="AG72" s="13">
        <f t="shared" ref="AG72" si="1519">+AG71/AB71-1</f>
        <v>-9.1886682400299513E-4</v>
      </c>
      <c r="AH72" s="13">
        <f t="shared" ref="AH72" si="1520">+AH71/AC71-1</f>
        <v>5.3818061899966629E-2</v>
      </c>
      <c r="AI72" s="13">
        <f t="shared" ref="AI72:AJ72" si="1521">+AI71/AD71-1</f>
        <v>-4.4180810038692231E-2</v>
      </c>
      <c r="AJ72" s="239">
        <f t="shared" si="1521"/>
        <v>2.0418763057963973E-2</v>
      </c>
      <c r="AK72" s="13">
        <f t="shared" ref="AK72" si="1522">+AK71/AF71-1</f>
        <v>-5.2538556088348676E-2</v>
      </c>
      <c r="AL72" s="13">
        <f t="shared" ref="AL72" si="1523">+AL71/AG71-1</f>
        <v>-5.0207461248832685E-2</v>
      </c>
      <c r="AM72" s="13">
        <f t="shared" ref="AM72" si="1524">+AM71/AH71-1</f>
        <v>-5.0977122929465768E-2</v>
      </c>
      <c r="AN72" s="13">
        <f t="shared" ref="AN72" si="1525">+AN71/AI71-1</f>
        <v>-5.2675661411129115E-2</v>
      </c>
      <c r="AO72" s="239">
        <f t="shared" ref="AO72" si="1526">+AO71/AJ71-1</f>
        <v>-5.2189166026393341E-2</v>
      </c>
      <c r="AP72" s="13">
        <f t="shared" ref="AP72" si="1527">+AP71/AK71-1</f>
        <v>7.1430588546887996E-3</v>
      </c>
      <c r="AQ72" s="13">
        <f t="shared" ref="AQ72" si="1528">+AQ71/AL71-1</f>
        <v>7.4979855945525253E-2</v>
      </c>
      <c r="AR72" s="13">
        <f t="shared" ref="AR72" si="1529">+AR71/AM71-1</f>
        <v>1.21671048907801E-2</v>
      </c>
      <c r="AS72" s="13">
        <f t="shared" ref="AS72" si="1530">+AS71/AN71-1</f>
        <v>2.5276797802232798E-2</v>
      </c>
      <c r="AT72" s="239">
        <f t="shared" ref="AT72" si="1531">+AT71/AO71-1</f>
        <v>2.903500271179249E-2</v>
      </c>
      <c r="AU72" s="13">
        <f t="shared" ref="AU72" si="1532">+AU71/AP71-1</f>
        <v>2.885093363501956E-2</v>
      </c>
      <c r="AV72" s="13">
        <f t="shared" ref="AV72" si="1533">+AV71/AQ71-1</f>
        <v>2.7195049141590433E-2</v>
      </c>
      <c r="AW72" s="13">
        <f t="shared" ref="AW72" si="1534">+AW71/AR71-1</f>
        <v>2.661439650918429E-2</v>
      </c>
      <c r="AX72" s="13">
        <f t="shared" ref="AX72" si="1535">+AX71/AS71-1</f>
        <v>2.3859075693740017E-2</v>
      </c>
      <c r="AY72" s="239">
        <f t="shared" ref="AY72" si="1536">+AY71/AT71-1</f>
        <v>2.6587017488977516E-2</v>
      </c>
      <c r="AZ72" s="13">
        <f t="shared" ref="AZ72" si="1537">+AZ71/AU71-1</f>
        <v>9.4106219119176382E-2</v>
      </c>
      <c r="BA72" s="13">
        <f t="shared" ref="BA72" si="1538">+BA71/AV71-1</f>
        <v>0.27425087365879675</v>
      </c>
      <c r="BB72" s="13">
        <f t="shared" ref="BB72" si="1539">+BB71/AW71-1</f>
        <v>0.33012675138988223</v>
      </c>
      <c r="BC72" s="13">
        <f t="shared" ref="BC72" si="1540">+BC71/AX71-1</f>
        <v>0.38487479958256476</v>
      </c>
      <c r="BD72" s="239">
        <f t="shared" ref="BD72" si="1541">+BD71/AY71-1</f>
        <v>0.27109955163164945</v>
      </c>
      <c r="BE72" s="13">
        <f t="shared" ref="BE72" si="1542">+BE71/AZ71-1</f>
        <v>0.27150064011606911</v>
      </c>
      <c r="BF72" s="13">
        <f t="shared" ref="BF72" si="1543">+BF71/BA71-1</f>
        <v>0.12552408658326364</v>
      </c>
      <c r="BG72" s="13">
        <f t="shared" ref="BG72" si="1544">+BG71/BB71-1</f>
        <v>7.8370093578878253E-2</v>
      </c>
      <c r="BH72" s="13">
        <f t="shared" ref="BH72" si="1545">+BH71/BC71-1</f>
        <v>0.10363103936052709</v>
      </c>
      <c r="BI72" s="239">
        <f t="shared" ref="BI72" si="1546">+BI71/BD71-1</f>
        <v>0.1380733916833603</v>
      </c>
      <c r="BJ72" s="328">
        <f t="shared" ref="BJ72" si="1547">+BJ71/BE71-1</f>
        <v>-6.3733485634970721E-2</v>
      </c>
      <c r="BK72" s="13">
        <f t="shared" ref="BK72" si="1548">+BK71/BF71-1</f>
        <v>-0.1201175506231843</v>
      </c>
      <c r="BL72" s="13">
        <f t="shared" ref="BL72" si="1549">+BL71/BG71-1</f>
        <v>-0.13015878209740339</v>
      </c>
      <c r="BM72" s="13">
        <f t="shared" ref="BM72" si="1550">+BM71/BH71-1</f>
        <v>-0.18909403474868103</v>
      </c>
      <c r="BN72" s="239">
        <f t="shared" ref="BN72" si="1551">+BN71/BI71-1</f>
        <v>-0.12698005590477202</v>
      </c>
      <c r="BO72" s="13">
        <f t="shared" ref="BO72" si="1552">+BO71/BJ71-1</f>
        <v>-2.5968971504357174E-2</v>
      </c>
      <c r="BP72" s="13">
        <f t="shared" ref="BP72" si="1553">+BP71/BK71-1</f>
        <v>-9.7919597138426129E-3</v>
      </c>
      <c r="BQ72" s="13">
        <f t="shared" ref="BQ72" si="1554">+BQ71/BL71-1</f>
        <v>-1.2279674523408834E-3</v>
      </c>
      <c r="BR72" s="13">
        <f t="shared" ref="BR72" si="1555">+BR71/BM71-1</f>
        <v>-4.9291259999704184E-3</v>
      </c>
      <c r="BS72" s="239">
        <f t="shared" ref="BS72" si="1556">+BS71/BN71-1</f>
        <v>-1.0571082867060877E-2</v>
      </c>
      <c r="BT72" s="13">
        <f t="shared" ref="BT72" si="1557">+BT71/BO71-1</f>
        <v>-1.0070855826615821E-2</v>
      </c>
      <c r="BU72" s="13">
        <f t="shared" ref="BU72" si="1558">+BU71/BP71-1</f>
        <v>-6.2806208704846433E-3</v>
      </c>
      <c r="BV72" s="13">
        <f t="shared" ref="BV72" si="1559">+BV71/BQ71-1</f>
        <v>-8.9676975929803282E-3</v>
      </c>
      <c r="BW72" s="13">
        <f t="shared" ref="BW72" si="1560">+BW71/BR71-1</f>
        <v>-8.4065368376979865E-3</v>
      </c>
      <c r="BX72" s="239">
        <f t="shared" ref="BX72" si="1561">+BX71/BS71-1</f>
        <v>-8.465750857830634E-3</v>
      </c>
      <c r="BY72" s="13">
        <f t="shared" ref="BY72" si="1562">+BY71/BT71-1</f>
        <v>-8.0781601069280784E-3</v>
      </c>
      <c r="BZ72" s="13">
        <f t="shared" ref="BZ72" si="1563">+BZ71/BU71-1</f>
        <v>-9.9658364043651027E-3</v>
      </c>
      <c r="CA72" s="13">
        <f t="shared" ref="CA72" si="1564">+CA71/BV71-1</f>
        <v>-7.0123805878822276E-3</v>
      </c>
      <c r="CB72" s="13">
        <f t="shared" ref="CB72" si="1565">+CB71/BW71-1</f>
        <v>-7.6631870511884026E-3</v>
      </c>
      <c r="CC72" s="239">
        <f t="shared" ref="CC72" si="1566">+CC71/BX71-1</f>
        <v>-8.1712319474929185E-3</v>
      </c>
      <c r="CD72" s="13">
        <f t="shared" ref="CD72" si="1567">+CD71/BY71-1</f>
        <v>-7.898303242146576E-3</v>
      </c>
      <c r="CE72" s="13">
        <f t="shared" ref="CE72" si="1568">+CE71/BZ71-1</f>
        <v>-7.0979401619843951E-3</v>
      </c>
      <c r="CF72" s="13">
        <f t="shared" ref="CF72" si="1569">+CF71/CA71-1</f>
        <v>-7.0444194735193033E-3</v>
      </c>
      <c r="CG72" s="13">
        <f t="shared" ref="CG72" si="1570">+CG71/CB71-1</f>
        <v>-6.3814223385915136E-3</v>
      </c>
      <c r="CH72" s="239">
        <f t="shared" ref="CH72" si="1571">+CH71/CC71-1</f>
        <v>-7.1255681980698649E-3</v>
      </c>
      <c r="CI72" s="13">
        <f t="shared" ref="CI72" si="1572">+CI71/CD71-1</f>
        <v>-6.7263472856842199E-3</v>
      </c>
      <c r="CJ72" s="13">
        <f t="shared" ref="CJ72" si="1573">+CJ71/CE71-1</f>
        <v>-6.2266121977219147E-3</v>
      </c>
      <c r="CK72" s="13">
        <f t="shared" ref="CK72" si="1574">+CK71/CF71-1</f>
        <v>-5.9250596943908329E-3</v>
      </c>
      <c r="CL72" s="13">
        <f t="shared" ref="CL72" si="1575">+CL71/CG71-1</f>
        <v>-5.5986653366516537E-3</v>
      </c>
      <c r="CM72" s="239">
        <f t="shared" ref="CM72" si="1576">+CM71/CH71-1</f>
        <v>-6.1311587862271644E-3</v>
      </c>
      <c r="CN72" s="13">
        <f t="shared" ref="CN72" si="1577">+CN71/CI71-1</f>
        <v>-5.9716632126416425E-3</v>
      </c>
      <c r="CO72" s="13">
        <f t="shared" ref="CO72" si="1578">+CO71/CJ71-1</f>
        <v>-5.3712345617564772E-3</v>
      </c>
      <c r="CP72" s="13">
        <f t="shared" ref="CP72" si="1579">+CP71/CK71-1</f>
        <v>-5.2438520308732972E-3</v>
      </c>
      <c r="CQ72" s="13">
        <f t="shared" ref="CQ72" si="1580">+CQ71/CL71-1</f>
        <v>-4.8115114087899924E-3</v>
      </c>
      <c r="CR72" s="239">
        <f t="shared" ref="CR72" si="1581">+CR71/CM71-1</f>
        <v>-5.3623079054940792E-3</v>
      </c>
      <c r="CS72" s="13">
        <f t="shared" ref="CS72" si="1582">+CS71/CN71-1</f>
        <v>-5.2183112157786482E-3</v>
      </c>
      <c r="CT72" s="13">
        <f t="shared" ref="CT72" si="1583">+CT71/CO71-1</f>
        <v>-4.7131158839269771E-3</v>
      </c>
      <c r="CU72" s="13">
        <f t="shared" ref="CU72" si="1584">+CU71/CP71-1</f>
        <v>-4.5441980168653417E-3</v>
      </c>
      <c r="CV72" s="13">
        <f t="shared" ref="CV72" si="1585">+CV71/CQ71-1</f>
        <v>-4.2133043574371642E-3</v>
      </c>
      <c r="CW72" s="239">
        <f t="shared" ref="CW72" si="1586">+CW71/CR71-1</f>
        <v>-4.6822258801416661E-3</v>
      </c>
      <c r="CX72" s="13">
        <f t="shared" ref="CX72" si="1587">+CX71/CS71-1</f>
        <v>-4.6295251777354052E-3</v>
      </c>
      <c r="CY72" s="13">
        <f t="shared" ref="CY72" si="1588">+CY71/CT71-1</f>
        <v>-4.1233336159195444E-3</v>
      </c>
      <c r="CZ72" s="13">
        <f t="shared" ref="CZ72" si="1589">+CZ71/CU71-1</f>
        <v>-4.0089026865171018E-3</v>
      </c>
      <c r="DA72" s="13">
        <f t="shared" ref="DA72" si="1590">+DA71/CV71-1</f>
        <v>-3.6733310470724589E-3</v>
      </c>
      <c r="DB72" s="239">
        <f t="shared" ref="DB72" si="1591">+DB71/CW71-1</f>
        <v>-4.1180110230925049E-3</v>
      </c>
    </row>
    <row r="73" spans="1:106">
      <c r="A73" s="117" t="s">
        <v>288</v>
      </c>
      <c r="B73" s="119" t="s">
        <v>290</v>
      </c>
      <c r="C73" s="13">
        <f>+C71/B71-1</f>
        <v>0.11161387631975872</v>
      </c>
      <c r="D73" s="13">
        <f t="shared" ref="D73" si="1592">+D71/C71-1</f>
        <v>0.22595187328662814</v>
      </c>
      <c r="E73" s="13">
        <f t="shared" ref="E73" si="1593">+E71/D71-1</f>
        <v>3.6976744186046462E-2</v>
      </c>
      <c r="F73" s="235" t="s">
        <v>290</v>
      </c>
      <c r="G73" s="13">
        <f>+G71/E71-1</f>
        <v>-0.12587412587412583</v>
      </c>
      <c r="H73" s="13">
        <f>+H71/G71-1</f>
        <v>-6.7980295566502424E-2</v>
      </c>
      <c r="I73" s="13">
        <f>+I71/H71-1</f>
        <v>-0.14942728219368284</v>
      </c>
      <c r="J73" s="13">
        <f>+J71/I71-1</f>
        <v>-4.9606873632163317E-2</v>
      </c>
      <c r="K73" s="235" t="s">
        <v>290</v>
      </c>
      <c r="L73" s="13">
        <f>+L71/J71-1</f>
        <v>-6.0670194003527023E-3</v>
      </c>
      <c r="M73" s="13">
        <f>+M71/L71-1</f>
        <v>-0.15799870466321253</v>
      </c>
      <c r="N73" s="13">
        <f t="shared" ref="N73" si="1594">+N71/M71-1</f>
        <v>0.13336300252188127</v>
      </c>
      <c r="O73" s="13">
        <f t="shared" ref="O73" si="1595">+O71/N71-1</f>
        <v>-9.9476439790576077E-2</v>
      </c>
      <c r="P73" s="235" t="s">
        <v>290</v>
      </c>
      <c r="Q73" s="13">
        <f>+Q71/O71-1</f>
        <v>-8.8294665818654416E-2</v>
      </c>
      <c r="R73" s="13">
        <f>+R71/Q71-1</f>
        <v>5.0268366192692149E-2</v>
      </c>
      <c r="S73" s="13">
        <f t="shared" ref="S73" si="1596">+S71/R71-1</f>
        <v>9.0304497388202565E-2</v>
      </c>
      <c r="T73" s="13">
        <f t="shared" ref="T73" si="1597">+T71/S71-1</f>
        <v>-0.17388588989679776</v>
      </c>
      <c r="U73" s="235" t="s">
        <v>290</v>
      </c>
      <c r="V73" s="13">
        <f>+V71/T71-1</f>
        <v>-0.12051655783582105</v>
      </c>
      <c r="W73" s="13">
        <f>+W71/V71-1</f>
        <v>8.7285961458147154E-2</v>
      </c>
      <c r="X73" s="13">
        <f t="shared" ref="X73" si="1598">+X71/W71-1</f>
        <v>8.5419911345393507E-2</v>
      </c>
      <c r="Y73" s="13">
        <f t="shared" ref="Y73" si="1599">+Y71/X71-1</f>
        <v>-0.11769991015274039</v>
      </c>
      <c r="Z73" s="235" t="s">
        <v>290</v>
      </c>
      <c r="AA73" s="13">
        <f>+AA71/Y71-1</f>
        <v>-9.4409448818897457E-2</v>
      </c>
      <c r="AB73" s="13">
        <f>+AB71/AA71-1</f>
        <v>8.9895955770318281E-3</v>
      </c>
      <c r="AC73" s="13">
        <f t="shared" ref="AC73" si="1600">+AC71/AB71-1</f>
        <v>8.8970484394859106E-3</v>
      </c>
      <c r="AD73" s="13">
        <f t="shared" ref="AD73" si="1601">+AD71/AC71-1</f>
        <v>9.4930364792094935E-2</v>
      </c>
      <c r="AE73" s="235" t="s">
        <v>290</v>
      </c>
      <c r="AF73" s="13">
        <f>+AF71/AD71-1</f>
        <v>-3.1384894153753007E-2</v>
      </c>
      <c r="AG73" s="13">
        <f>+AG71/AF71-1</f>
        <v>-6.6281059249719831E-2</v>
      </c>
      <c r="AH73" s="13">
        <f t="shared" ref="AH73" si="1602">+AH71/AG71-1</f>
        <v>6.4171764372418671E-2</v>
      </c>
      <c r="AI73" s="13">
        <f t="shared" ref="AI73" si="1603">+AI71/AH71-1</f>
        <v>-6.8917091317008961E-3</v>
      </c>
      <c r="AJ73" s="235" t="s">
        <v>290</v>
      </c>
      <c r="AK73" s="13">
        <f>+AK71/AI71-1</f>
        <v>-3.9854528536017009E-2</v>
      </c>
      <c r="AL73" s="13">
        <f>+AL71/AK71-1</f>
        <v>-6.3983775894995487E-2</v>
      </c>
      <c r="AM73" s="13">
        <f t="shared" ref="AM73" si="1604">+AM71/AL71-1</f>
        <v>6.3309415811830583E-2</v>
      </c>
      <c r="AN73" s="13">
        <f t="shared" ref="AN73" si="1605">+AN71/AM71-1</f>
        <v>-8.6691506341709523E-3</v>
      </c>
      <c r="AO73" s="235" t="s">
        <v>290</v>
      </c>
      <c r="AP73" s="13">
        <f>+AP71/AN71-1</f>
        <v>2.0773781148869075E-2</v>
      </c>
      <c r="AQ73" s="13">
        <f>+AQ71/AP71-1</f>
        <v>-9.3777452499210767E-4</v>
      </c>
      <c r="AR73" s="13">
        <f t="shared" ref="AR73" si="1606">+AR71/AQ71-1</f>
        <v>1.1785867919613668E-3</v>
      </c>
      <c r="AS73" s="13">
        <f t="shared" ref="AS73" si="1607">+AS71/AR71-1</f>
        <v>4.1706689430893729E-3</v>
      </c>
      <c r="AT73" s="235" t="s">
        <v>290</v>
      </c>
      <c r="AU73" s="13">
        <f>+AU71/AS71-1</f>
        <v>2.4332219373740527E-2</v>
      </c>
      <c r="AV73" s="13">
        <f>+AV71/AU71-1</f>
        <v>-2.5457155716992474E-3</v>
      </c>
      <c r="AW73" s="13">
        <f t="shared" ref="AW73" si="1608">+AW71/AV71-1</f>
        <v>6.1264074070743746E-4</v>
      </c>
      <c r="AX73" s="13">
        <f t="shared" ref="AX73" si="1609">+AX71/AW71-1</f>
        <v>1.4755846389868932E-3</v>
      </c>
      <c r="AY73" s="235" t="s">
        <v>290</v>
      </c>
      <c r="AZ73" s="13">
        <f>+AZ71/AX71-1</f>
        <v>9.4611825266657901E-2</v>
      </c>
      <c r="BA73" s="13">
        <f>+BA71/AZ71-1</f>
        <v>0.16168519212943688</v>
      </c>
      <c r="BB73" s="13">
        <f t="shared" ref="BB73" si="1610">+BB71/BA71-1</f>
        <v>4.4489486914388809E-2</v>
      </c>
      <c r="BC73" s="13">
        <f t="shared" ref="BC73" si="1611">+BC71/BB71-1</f>
        <v>4.2696343122581082E-2</v>
      </c>
      <c r="BD73" s="235" t="s">
        <v>290</v>
      </c>
      <c r="BE73" s="13">
        <f>+BE71/BC71-1</f>
        <v>5.0003342718756283E-3</v>
      </c>
      <c r="BF73" s="13">
        <f>+BF71/BE71-1</f>
        <v>2.8316167146744009E-2</v>
      </c>
      <c r="BG73" s="13">
        <f t="shared" ref="BG73" si="1612">+BG71/BF71-1</f>
        <v>7.3045008326388938E-4</v>
      </c>
      <c r="BH73" s="13">
        <f t="shared" ref="BH73" si="1613">+BH71/BG71-1</f>
        <v>6.7121627120329874E-2</v>
      </c>
      <c r="BI73" s="235" t="s">
        <v>290</v>
      </c>
      <c r="BJ73" s="328">
        <f>+BJ71/BH71-1</f>
        <v>-0.14740694458029335</v>
      </c>
      <c r="BK73" s="13">
        <f>+BK71/BJ71-1</f>
        <v>-3.3611333951759859E-2</v>
      </c>
      <c r="BL73" s="13">
        <f t="shared" ref="BL73" si="1614">+BL71/BK71-1</f>
        <v>-1.0689900555281628E-2</v>
      </c>
      <c r="BM73" s="13">
        <f t="shared" ref="BM73" si="1615">+BM71/BL71-1</f>
        <v>-5.1801693565319828E-3</v>
      </c>
      <c r="BN73" s="235" t="s">
        <v>290</v>
      </c>
      <c r="BO73" s="13">
        <f>+BO71/BM71-1</f>
        <v>2.410405921890435E-2</v>
      </c>
      <c r="BP73" s="13">
        <f>+BP71/BO71-1</f>
        <v>-1.7561248905673454E-2</v>
      </c>
      <c r="BQ73" s="13">
        <f t="shared" ref="BQ73" si="1616">+BQ71/BP71-1</f>
        <v>-2.1336742965838429E-3</v>
      </c>
      <c r="BR73" s="13">
        <f t="shared" ref="BR73" si="1617">+BR71/BQ71-1</f>
        <v>-8.8666821938462315E-3</v>
      </c>
      <c r="BS73" s="235" t="s">
        <v>290</v>
      </c>
      <c r="BT73" s="13">
        <f>+BT71/BR71-1</f>
        <v>1.881230912907661E-2</v>
      </c>
      <c r="BU73" s="13">
        <f>+BU71/BT71-1</f>
        <v>-1.3799693123047185E-2</v>
      </c>
      <c r="BV73" s="13">
        <f t="shared" ref="BV73" si="1618">+BV71/BU71-1</f>
        <v>-4.8319646110072112E-3</v>
      </c>
      <c r="BW73" s="13">
        <f t="shared" ref="BW73" si="1619">+BW71/BV71-1</f>
        <v>-8.3054642397445422E-3</v>
      </c>
      <c r="BX73" s="235" t="s">
        <v>290</v>
      </c>
      <c r="BY73" s="13">
        <f>+BY71/BW71-1</f>
        <v>1.9149699670431231E-2</v>
      </c>
      <c r="BZ73" s="13">
        <f>+BZ71/BY71-1</f>
        <v>-1.5676481060307834E-2</v>
      </c>
      <c r="CA73" s="13">
        <f t="shared" ref="CA73" si="1620">+CA71/BZ71-1</f>
        <v>-1.8631935013083689E-3</v>
      </c>
      <c r="CB73" s="13">
        <f t="shared" ref="CB73" si="1621">+CB71/CA71-1</f>
        <v>-8.9554232129293032E-3</v>
      </c>
      <c r="CC73" s="235" t="s">
        <v>290</v>
      </c>
      <c r="CD73" s="13">
        <f>+CD71/CB71-1</f>
        <v>1.8908230652779245E-2</v>
      </c>
      <c r="CE73" s="13">
        <f>+CE71/CD71-1</f>
        <v>-1.4882392907783593E-2</v>
      </c>
      <c r="CF73" s="13">
        <f t="shared" ref="CF73" si="1622">+CF71/CE71-1</f>
        <v>-1.8093906427718576E-3</v>
      </c>
      <c r="CG73" s="13">
        <f t="shared" ref="CG73" si="1623">+CG71/CF71-1</f>
        <v>-8.2937020565335695E-3</v>
      </c>
      <c r="CH73" s="235" t="s">
        <v>290</v>
      </c>
      <c r="CI73" s="13">
        <f>+CI71/CG71-1</f>
        <v>1.8554526650608194E-2</v>
      </c>
      <c r="CJ73" s="13">
        <f>+CJ71/CI71-1</f>
        <v>-1.4386761283318283E-2</v>
      </c>
      <c r="CK73" s="13">
        <f t="shared" ref="CK73" si="1624">+CK71/CJ71-1</f>
        <v>-1.5064977692578196E-3</v>
      </c>
      <c r="CL73" s="13">
        <f t="shared" ref="CL73" si="1625">+CL71/CK71-1</f>
        <v>-7.9680854183316052E-3</v>
      </c>
      <c r="CM73" s="235" t="s">
        <v>290</v>
      </c>
      <c r="CN73" s="13">
        <f>+CN71/CL71-1</f>
        <v>1.8172468962452282E-2</v>
      </c>
      <c r="CO73" s="13">
        <f>+CO71/CN71-1</f>
        <v>-1.379141565249864E-2</v>
      </c>
      <c r="CP73" s="13">
        <f t="shared" ref="CP73" si="1626">+CP71/CO71-1</f>
        <v>-1.3786202798825586E-3</v>
      </c>
      <c r="CQ73" s="13">
        <f t="shared" ref="CQ73" si="1627">+CQ71/CP71-1</f>
        <v>-7.5369288017553826E-3</v>
      </c>
      <c r="CR73" s="235" t="s">
        <v>290</v>
      </c>
      <c r="CS73" s="13">
        <f>+CS71/CQ71-1</f>
        <v>1.7756274072134204E-2</v>
      </c>
      <c r="CT73" s="13">
        <f>+CT71/CS71-1</f>
        <v>-1.3290574132533206E-2</v>
      </c>
      <c r="CU73" s="13">
        <f t="shared" ref="CU73" si="1628">+CU71/CT71-1</f>
        <v>-1.2091364896744672E-3</v>
      </c>
      <c r="CV73" s="13">
        <f t="shared" ref="CV73" si="1629">+CV71/CU71-1</f>
        <v>-7.2070299385191827E-3</v>
      </c>
      <c r="CW73" s="235" t="s">
        <v>290</v>
      </c>
      <c r="CX73" s="13">
        <f>+CX71/CV71-1</f>
        <v>1.7330870365585671E-2</v>
      </c>
      <c r="CY73" s="13">
        <f>+CY71/CX71-1</f>
        <v>-1.2788787111547406E-2</v>
      </c>
      <c r="CZ73" s="13">
        <f t="shared" ref="CZ73" si="1630">+CZ71/CY71-1</f>
        <v>-1.0943707052675222E-3</v>
      </c>
      <c r="DA73" s="13">
        <f t="shared" ref="DA73" si="1631">+DA71/CZ71-1</f>
        <v>-6.8725358195543818E-3</v>
      </c>
      <c r="DB73" s="235" t="s">
        <v>290</v>
      </c>
    </row>
    <row r="74" spans="1:106">
      <c r="F74" s="217"/>
      <c r="K74" s="217"/>
      <c r="P74" s="217"/>
      <c r="U74" s="217"/>
      <c r="Z74" s="217"/>
      <c r="AE74" s="217"/>
      <c r="AJ74" s="217"/>
      <c r="AO74" s="217"/>
      <c r="AT74" s="217"/>
      <c r="AY74" s="217"/>
      <c r="BD74" s="217"/>
      <c r="BI74" s="217"/>
      <c r="BJ74" s="356"/>
      <c r="BN74" s="217"/>
      <c r="BS74" s="217"/>
      <c r="BX74" s="217"/>
      <c r="CC74" s="217"/>
      <c r="CH74" s="217"/>
      <c r="CM74" s="217"/>
      <c r="CR74" s="217"/>
      <c r="CW74" s="217"/>
      <c r="DB74" s="217"/>
    </row>
    <row r="75" spans="1:106" s="135" customFormat="1">
      <c r="A75" s="135" t="s">
        <v>297</v>
      </c>
      <c r="B75" s="135">
        <v>20.399999999999999</v>
      </c>
      <c r="C75" s="135">
        <v>26.8</v>
      </c>
      <c r="D75" s="135">
        <v>34.4</v>
      </c>
      <c r="E75" s="135">
        <v>36.4</v>
      </c>
      <c r="F75" s="216">
        <f>+B75+C75+D75+E75</f>
        <v>118</v>
      </c>
      <c r="G75" s="135">
        <v>35</v>
      </c>
      <c r="H75" s="135">
        <v>34.4</v>
      </c>
      <c r="I75" s="135">
        <v>33.799999999999997</v>
      </c>
      <c r="J75" s="135">
        <v>35</v>
      </c>
      <c r="K75" s="216">
        <f>+G75+H75+I75+J75</f>
        <v>138.19999999999999</v>
      </c>
      <c r="L75" s="135">
        <v>38.6</v>
      </c>
      <c r="M75" s="135">
        <v>32.1</v>
      </c>
      <c r="N75" s="135">
        <v>38.200000000000003</v>
      </c>
      <c r="O75" s="135">
        <v>34.4</v>
      </c>
      <c r="P75" s="216">
        <f>+L75+M75+N75+O75</f>
        <v>143.30000000000001</v>
      </c>
      <c r="Q75" s="135">
        <v>31.4</v>
      </c>
      <c r="R75" s="135">
        <v>32.9</v>
      </c>
      <c r="S75" s="135">
        <v>35.700000000000003</v>
      </c>
      <c r="T75" s="135">
        <v>32</v>
      </c>
      <c r="U75" s="216">
        <f>+Q75+R75+S75+T75</f>
        <v>132</v>
      </c>
      <c r="V75" s="135">
        <v>33.299999999999997</v>
      </c>
      <c r="W75" s="135">
        <v>35.700000000000003</v>
      </c>
      <c r="X75" s="135">
        <v>36</v>
      </c>
      <c r="Y75" s="135">
        <v>36</v>
      </c>
      <c r="Z75" s="216">
        <f>+V75+W75+X75+Y75</f>
        <v>141</v>
      </c>
      <c r="AA75" s="135">
        <v>37.200000000000003</v>
      </c>
      <c r="AB75" s="135">
        <v>36.5</v>
      </c>
      <c r="AC75" s="135">
        <v>37.6</v>
      </c>
      <c r="AD75" s="135">
        <f>+AD103+AD132+AD155</f>
        <v>42.581118263100279</v>
      </c>
      <c r="AE75" s="216">
        <f>+AA75+AB75+AC75+AD75</f>
        <v>153.88111826310029</v>
      </c>
      <c r="AF75" s="135">
        <f>+AF103+AF132+AF155</f>
        <v>46.687647139720852</v>
      </c>
      <c r="AG75" s="135">
        <f>+AG103+AG132+AG155</f>
        <v>43.475919157729379</v>
      </c>
      <c r="AH75" s="135">
        <f>+AH103+AH132+AH155</f>
        <v>51.655664233023955</v>
      </c>
      <c r="AI75" s="135">
        <f>+AI103+AI132+AI155</f>
        <v>54.62732583518568</v>
      </c>
      <c r="AJ75" s="216">
        <f>+AF75+AG75+AH75+AI75</f>
        <v>196.44655636565986</v>
      </c>
      <c r="AK75" s="135">
        <f>+AK103+AK132+AK155</f>
        <v>62.858911131493514</v>
      </c>
      <c r="AL75" s="135">
        <f>+AL103+AL132+AL155</f>
        <v>63.015360413286359</v>
      </c>
      <c r="AM75" s="135">
        <f>+AM103+AM132+AM155</f>
        <v>72.577028636284226</v>
      </c>
      <c r="AN75" s="135">
        <f>+AN103+AN132+AN155</f>
        <v>74.413588282668456</v>
      </c>
      <c r="AO75" s="216">
        <f>+AK75+AL75+AM75+AN75</f>
        <v>272.86488846373254</v>
      </c>
      <c r="AP75" s="135">
        <f>+AP103+AP132+AP155</f>
        <v>86.683139315906701</v>
      </c>
      <c r="AQ75" s="135">
        <f>+AQ103+AQ132+AQ155</f>
        <v>85.886603182985212</v>
      </c>
      <c r="AR75" s="135">
        <f>+AR103+AR132+AR155</f>
        <v>87.121207809515752</v>
      </c>
      <c r="AS75" s="135">
        <f>+AS103+AS132+AS155</f>
        <v>91.616863880945189</v>
      </c>
      <c r="AT75" s="216">
        <f>+AP75+AQ75+AR75+AS75</f>
        <v>351.30781418935283</v>
      </c>
      <c r="AU75" s="135">
        <f>+AU103+AU132+AU155</f>
        <v>97.331355998810025</v>
      </c>
      <c r="AV75" s="135">
        <f>+AV103+AV132+AV155</f>
        <v>95.184281889932691</v>
      </c>
      <c r="AW75" s="135">
        <f>+AW103+AW132+AW155</f>
        <v>95.90261664642874</v>
      </c>
      <c r="AX75" s="135">
        <f>+AX103+AX132+AX155</f>
        <v>97.568645182862923</v>
      </c>
      <c r="AY75" s="216">
        <f>+AU75+AV75+AW75+AX75</f>
        <v>385.98689971803435</v>
      </c>
      <c r="AZ75" s="135">
        <f>+AZ103+AZ132+AZ155</f>
        <v>117.60743560920534</v>
      </c>
      <c r="BA75" s="135">
        <f>+BA103+BA132+BA155</f>
        <v>137.69869681391251</v>
      </c>
      <c r="BB75" s="135">
        <f>+BB103+BB132+BB155</f>
        <v>143.87023390503089</v>
      </c>
      <c r="BC75" s="135">
        <f>+BC103+BC132+BC155</f>
        <v>149.7988339715335</v>
      </c>
      <c r="BD75" s="216">
        <f>+AZ75+BA75+BB75+BC75</f>
        <v>548.97520029968223</v>
      </c>
      <c r="BE75" s="135">
        <f>+BE103+BE132+BE155</f>
        <v>164.17553837446769</v>
      </c>
      <c r="BF75" s="135">
        <f>+BF103+BF132+BF155</f>
        <v>165.44789452129035</v>
      </c>
      <c r="BG75" s="135">
        <f>+BG103+BG132+BG155</f>
        <v>165.62263031283072</v>
      </c>
      <c r="BH75" s="135">
        <f>+BH103+BH132+BH155</f>
        <v>175.48275699092818</v>
      </c>
      <c r="BI75" s="216">
        <f>+BE75+BF75+BG75+BH75</f>
        <v>670.72882019951692</v>
      </c>
      <c r="BJ75" s="273">
        <f>+BJ103+BJ132+BJ155</f>
        <v>161.17365455810764</v>
      </c>
      <c r="BK75" s="135">
        <f>+BK103+BK132+BK155</f>
        <v>155.61876595002695</v>
      </c>
      <c r="BL75" s="135">
        <f>+BL103+BL132+BL155</f>
        <v>152.1822295504879</v>
      </c>
      <c r="BM75" s="135">
        <f>+BM103+BM132+BM155</f>
        <v>153.39321105403533</v>
      </c>
      <c r="BN75" s="216">
        <f>+BJ75+BK75+BL75+BM75</f>
        <v>622.36786111265781</v>
      </c>
      <c r="BO75" s="135">
        <f>+BO103+BO132+BO155</f>
        <v>182.08939800847381</v>
      </c>
      <c r="BP75" s="135">
        <f>+BP103+BP132+BP155</f>
        <v>170.76757952002077</v>
      </c>
      <c r="BQ75" s="135">
        <f>+BQ103+BQ132+BQ155</f>
        <v>174.31836548866215</v>
      </c>
      <c r="BR75" s="135">
        <f>+BR103+BR132+BR155</f>
        <v>171.61048734715064</v>
      </c>
      <c r="BS75" s="216">
        <f>+BO75+BP75+BQ75+BR75</f>
        <v>698.78583036430734</v>
      </c>
      <c r="BT75" s="135">
        <f>+BT103+BT132+BT155</f>
        <v>196.43712147932885</v>
      </c>
      <c r="BU75" s="135">
        <f>+BU103+BU132+BU155</f>
        <v>187.9995221864838</v>
      </c>
      <c r="BV75" s="135">
        <f>+BV103+BV132+BV155</f>
        <v>188.60068542711031</v>
      </c>
      <c r="BW75" s="135">
        <f>+BW103+BW132+BW155</f>
        <v>185.86679545833184</v>
      </c>
      <c r="BX75" s="216">
        <f>+BT75+BU75+BV75+BW75</f>
        <v>758.90412455125477</v>
      </c>
      <c r="BY75" s="135">
        <f>+BY103+BY132+BY155</f>
        <v>211.68588640337703</v>
      </c>
      <c r="BZ75" s="135">
        <f>+BZ103+BZ132+BZ155</f>
        <v>200.5325455233554</v>
      </c>
      <c r="CA75" s="135">
        <f>+CA103+CA132+CA155</f>
        <v>203.78376864599826</v>
      </c>
      <c r="CB75" s="135">
        <f>+CB103+CB132+CB155</f>
        <v>199.87319358274328</v>
      </c>
      <c r="CC75" s="216">
        <f>+BY75+BZ75+CA75+CB75</f>
        <v>815.87539415547394</v>
      </c>
      <c r="CD75" s="135">
        <f>+CD103+CD132+CD155</f>
        <v>226.0689522643529</v>
      </c>
      <c r="CE75" s="135">
        <f>+CE103+CE132+CE155</f>
        <v>215.02012103870706</v>
      </c>
      <c r="CF75" s="135">
        <f>+CF103+CF132+CF155</f>
        <v>218.10088115336197</v>
      </c>
      <c r="CG75" s="135">
        <f>+CG103+CG132+CG155</f>
        <v>214.35648140398916</v>
      </c>
      <c r="CH75" s="216">
        <f>+CD75+CE75+CF75+CG75</f>
        <v>873.54643586041107</v>
      </c>
      <c r="CI75" s="135">
        <f>+CI103+CI132+CI155</f>
        <v>240.93612274170209</v>
      </c>
      <c r="CJ75" s="135">
        <f>+CJ103+CJ132+CJ155</f>
        <v>229.68598378932188</v>
      </c>
      <c r="CK75" s="135">
        <f>+CK103+CK132+CK155</f>
        <v>232.90183343928146</v>
      </c>
      <c r="CL75" s="135">
        <f>+CL103+CL132+CL155</f>
        <v>229.01810219318972</v>
      </c>
      <c r="CM75" s="216">
        <f>+CI75+CJ75+CK75+CL75</f>
        <v>932.54204216349524</v>
      </c>
      <c r="CN75" s="135">
        <f>+CN103+CN132+CN155</f>
        <v>255.98588097430019</v>
      </c>
      <c r="CO75" s="135">
        <f>+CO103+CO132+CO155</f>
        <v>244.6879229534284</v>
      </c>
      <c r="CP75" s="135">
        <f>+CP103+CP132+CP155</f>
        <v>247.88511574758382</v>
      </c>
      <c r="CQ75" s="135">
        <f>+CQ103+CQ132+CQ155</f>
        <v>244.01584740058604</v>
      </c>
      <c r="CR75" s="216">
        <f>+CN75+CO75+CP75+CQ75</f>
        <v>992.57476707589842</v>
      </c>
      <c r="CS75" s="135">
        <f>+CS103+CS132+CS155</f>
        <v>271.37762203439218</v>
      </c>
      <c r="CT75" s="135">
        <f>+CT103+CT132+CT155</f>
        <v>259.9533880886957</v>
      </c>
      <c r="CU75" s="135">
        <f>+CU103+CU132+CU155</f>
        <v>263.21013055796266</v>
      </c>
      <c r="CV75" s="135">
        <f>+CV103+CV132+CV155</f>
        <v>259.27716891491633</v>
      </c>
      <c r="CW75" s="216">
        <f>+CS75+CT75+CU75+CV75</f>
        <v>1053.8183095959669</v>
      </c>
      <c r="CX75" s="135">
        <f>+CX103+CX132+CX155</f>
        <v>287.03809831264647</v>
      </c>
      <c r="CY75" s="135">
        <f>+CY103+CY132+CY155</f>
        <v>275.52626847228152</v>
      </c>
      <c r="CZ75" s="135">
        <f>+CZ103+CZ132+CZ155</f>
        <v>278.803637979413</v>
      </c>
      <c r="DA75" s="135">
        <f>+DA103+DA132+DA155</f>
        <v>274.84595840478102</v>
      </c>
      <c r="DB75" s="216">
        <f>+CX75+CY75+CZ75+DA75</f>
        <v>1116.2139631691221</v>
      </c>
    </row>
    <row r="76" spans="1:106">
      <c r="A76" s="117" t="s">
        <v>281</v>
      </c>
      <c r="B76" s="119" t="s">
        <v>290</v>
      </c>
      <c r="C76" s="119" t="s">
        <v>290</v>
      </c>
      <c r="D76" s="119" t="s">
        <v>290</v>
      </c>
      <c r="E76" s="119" t="s">
        <v>290</v>
      </c>
      <c r="F76" s="235" t="s">
        <v>290</v>
      </c>
      <c r="G76" s="13">
        <f>+G75/B75-1</f>
        <v>0.71568627450980404</v>
      </c>
      <c r="H76" s="13">
        <f t="shared" ref="H76" si="1632">+H75/C75-1</f>
        <v>0.28358208955223874</v>
      </c>
      <c r="I76" s="13">
        <f t="shared" ref="I76" si="1633">+I75/D75-1</f>
        <v>-1.744186046511631E-2</v>
      </c>
      <c r="J76" s="13">
        <f t="shared" ref="J76" si="1634">+J75/E75-1</f>
        <v>-3.8461538461538436E-2</v>
      </c>
      <c r="K76" s="239">
        <f t="shared" ref="K76" si="1635">+K75/F75-1</f>
        <v>0.17118644067796596</v>
      </c>
      <c r="L76" s="13">
        <f>+L75/G75-1</f>
        <v>0.10285714285714298</v>
      </c>
      <c r="M76" s="13">
        <f t="shared" ref="M76" si="1636">+M75/H75-1</f>
        <v>-6.6860465116278966E-2</v>
      </c>
      <c r="N76" s="13">
        <f t="shared" ref="N76" si="1637">+N75/I75-1</f>
        <v>0.13017751479289963</v>
      </c>
      <c r="O76" s="13">
        <f t="shared" ref="O76" si="1638">+O75/J75-1</f>
        <v>-1.7142857142857237E-2</v>
      </c>
      <c r="P76" s="239">
        <f t="shared" ref="P76" si="1639">+P75/K75-1</f>
        <v>3.6903039073806321E-2</v>
      </c>
      <c r="Q76" s="13">
        <f>+Q75/L75-1</f>
        <v>-0.18652849740932653</v>
      </c>
      <c r="R76" s="13">
        <f t="shared" ref="R76" si="1640">+R75/M75-1</f>
        <v>2.4922118380062308E-2</v>
      </c>
      <c r="S76" s="13">
        <f t="shared" ref="S76" si="1641">+S75/N75-1</f>
        <v>-6.5445026178010512E-2</v>
      </c>
      <c r="T76" s="13">
        <f t="shared" ref="T76" si="1642">+T75/O75-1</f>
        <v>-6.9767441860465129E-2</v>
      </c>
      <c r="U76" s="239">
        <f t="shared" ref="U76" si="1643">+U75/P75-1</f>
        <v>-7.8855547801814474E-2</v>
      </c>
      <c r="V76" s="13">
        <f>+V75/Q75-1</f>
        <v>6.0509554140127264E-2</v>
      </c>
      <c r="W76" s="13">
        <f t="shared" ref="W76" si="1644">+W75/R75-1</f>
        <v>8.5106382978723527E-2</v>
      </c>
      <c r="X76" s="13">
        <f t="shared" ref="X76" si="1645">+X75/S75-1</f>
        <v>8.4033613445377853E-3</v>
      </c>
      <c r="Y76" s="13">
        <f t="shared" ref="Y76" si="1646">+Y75/T75-1</f>
        <v>0.125</v>
      </c>
      <c r="Z76" s="239">
        <f t="shared" ref="Z76" si="1647">+Z75/U75-1</f>
        <v>6.8181818181818121E-2</v>
      </c>
      <c r="AA76" s="13">
        <f>+AA75/V75-1</f>
        <v>0.11711711711711725</v>
      </c>
      <c r="AB76" s="13">
        <f t="shared" ref="AB76" si="1648">+AB75/W75-1</f>
        <v>2.2408963585434094E-2</v>
      </c>
      <c r="AC76" s="13">
        <f t="shared" ref="AC76" si="1649">+AC75/X75-1</f>
        <v>4.4444444444444509E-2</v>
      </c>
      <c r="AD76" s="13">
        <f t="shared" ref="AD76" si="1650">+AD75/Y75-1</f>
        <v>0.18280884064167435</v>
      </c>
      <c r="AE76" s="239">
        <f t="shared" ref="AE76" si="1651">+AE75/Z75-1</f>
        <v>9.1355448674470097E-2</v>
      </c>
      <c r="AF76" s="13">
        <f t="shared" ref="AF76" si="1652">+AF75/AA75-1</f>
        <v>0.25504427794948525</v>
      </c>
      <c r="AG76" s="13">
        <f t="shared" ref="AG76" si="1653">+AG75/AB75-1</f>
        <v>0.19112107281450363</v>
      </c>
      <c r="AH76" s="13">
        <f t="shared" ref="AH76" si="1654">+AH75/AC75-1</f>
        <v>0.37382085726127534</v>
      </c>
      <c r="AI76" s="13">
        <f t="shared" ref="AI76:AJ76" si="1655">+AI75/AD75-1</f>
        <v>0.28290021642114405</v>
      </c>
      <c r="AJ76" s="239">
        <f t="shared" si="1655"/>
        <v>0.27661248230457192</v>
      </c>
      <c r="AK76" s="13">
        <f t="shared" ref="AK76" si="1656">+AK75/AF75-1</f>
        <v>0.34637136335822105</v>
      </c>
      <c r="AL76" s="13">
        <f t="shared" ref="AL76" si="1657">+AL75/AG75-1</f>
        <v>0.44943135496844699</v>
      </c>
      <c r="AM76" s="13">
        <f t="shared" ref="AM76" si="1658">+AM75/AH75-1</f>
        <v>0.40501588187661031</v>
      </c>
      <c r="AN76" s="13">
        <f t="shared" ref="AN76" si="1659">+AN75/AI75-1</f>
        <v>0.36220448548368012</v>
      </c>
      <c r="AO76" s="239">
        <f t="shared" ref="AO76" si="1660">+AO75/AJ75-1</f>
        <v>0.38900316458502759</v>
      </c>
      <c r="AP76" s="13">
        <f t="shared" ref="AP76" si="1661">+AP75/AK75-1</f>
        <v>0.37901114982051909</v>
      </c>
      <c r="AQ76" s="13">
        <f t="shared" ref="AQ76" si="1662">+AQ75/AL75-1</f>
        <v>0.36294710717669099</v>
      </c>
      <c r="AR76" s="13">
        <f t="shared" ref="AR76" si="1663">+AR75/AM75-1</f>
        <v>0.20039645389891714</v>
      </c>
      <c r="AS76" s="13">
        <f t="shared" ref="AS76" si="1664">+AS75/AN75-1</f>
        <v>0.23118459941654934</v>
      </c>
      <c r="AT76" s="239">
        <f t="shared" ref="AT76" si="1665">+AT75/AO75-1</f>
        <v>0.28747900166732676</v>
      </c>
      <c r="AU76" s="13">
        <f t="shared" ref="AU76" si="1666">+AU75/AP75-1</f>
        <v>0.12284069043804613</v>
      </c>
      <c r="AV76" s="13">
        <f t="shared" ref="AV76" si="1667">+AV75/AQ75-1</f>
        <v>0.10825528501969472</v>
      </c>
      <c r="AW76" s="13">
        <f t="shared" ref="AW76" si="1668">+AW75/AR75-1</f>
        <v>0.10079530642083045</v>
      </c>
      <c r="AX76" s="13">
        <f t="shared" ref="AX76" si="1669">+AX75/AS75-1</f>
        <v>6.4963818338641177E-2</v>
      </c>
      <c r="AY76" s="239">
        <f t="shared" ref="AY76" si="1670">+AY75/AT75-1</f>
        <v>9.8714244682270857E-2</v>
      </c>
      <c r="AZ76" s="13">
        <f>+AZ75/AU75-1</f>
        <v>0.20832011844819265</v>
      </c>
      <c r="BA76" s="13">
        <f t="shared" ref="BA76" si="1671">+BA75/AV75-1</f>
        <v>0.44665373399719277</v>
      </c>
      <c r="BB76" s="13">
        <f t="shared" ref="BB76" si="1672">+BB75/AW75-1</f>
        <v>0.50017005725138763</v>
      </c>
      <c r="BC76" s="13">
        <f t="shared" ref="BC76" si="1673">+BC75/AX75-1</f>
        <v>0.53531735211430753</v>
      </c>
      <c r="BD76" s="239">
        <f t="shared" ref="BD76" si="1674">+BD75/AY75-1</f>
        <v>0.42226381439554506</v>
      </c>
      <c r="BE76" s="13">
        <f t="shared" ref="BE76" si="1675">+BE75/AZ75-1</f>
        <v>0.39596223252416007</v>
      </c>
      <c r="BF76" s="13">
        <f t="shared" ref="BF76" si="1676">+BF75/BA75-1</f>
        <v>0.20152113527173321</v>
      </c>
      <c r="BG76" s="13">
        <f t="shared" ref="BG76" si="1677">+BG75/BB75-1</f>
        <v>0.15119455788303404</v>
      </c>
      <c r="BH76" s="13">
        <f t="shared" ref="BH76" si="1678">+BH75/BC75-1</f>
        <v>0.17145609440641874</v>
      </c>
      <c r="BI76" s="239">
        <f t="shared" ref="BI76" si="1679">+BI75/BD75-1</f>
        <v>0.22178346095300872</v>
      </c>
      <c r="BJ76" s="328">
        <f t="shared" ref="BJ76" si="1680">+BJ75/BE75-1</f>
        <v>-1.8284598583213185E-2</v>
      </c>
      <c r="BK76" s="13">
        <f t="shared" ref="BK76" si="1681">+BK75/BF75-1</f>
        <v>-5.9409209163423626E-2</v>
      </c>
      <c r="BL76" s="13">
        <f t="shared" ref="BL76" si="1682">+BL75/BG75-1</f>
        <v>-8.1150750576514663E-2</v>
      </c>
      <c r="BM76" s="13">
        <f t="shared" ref="BM76" si="1683">+BM75/BH75-1</f>
        <v>-0.12587872629579666</v>
      </c>
      <c r="BN76" s="239">
        <f t="shared" ref="BN76" si="1684">+BN75/BI75-1</f>
        <v>-7.2102103906126369E-2</v>
      </c>
      <c r="BO76" s="13">
        <f t="shared" ref="BO76" si="1685">+BO75/BJ75-1</f>
        <v>0.12977147851931004</v>
      </c>
      <c r="BP76" s="13">
        <f t="shared" ref="BP76" si="1686">+BP75/BK75-1</f>
        <v>9.7345673431560753E-2</v>
      </c>
      <c r="BQ76" s="13">
        <f t="shared" ref="BQ76" si="1687">+BQ75/BL75-1</f>
        <v>0.1454580866869899</v>
      </c>
      <c r="BR76" s="13">
        <f t="shared" ref="BR76" si="1688">+BR75/BM75-1</f>
        <v>0.11876194629433745</v>
      </c>
      <c r="BS76" s="239">
        <f t="shared" ref="BS76" si="1689">+BS75/BN75-1</f>
        <v>0.122785853875923</v>
      </c>
      <c r="BT76" s="13">
        <f t="shared" ref="BT76" si="1690">+BT75/BO75-1</f>
        <v>7.8794941538481877E-2</v>
      </c>
      <c r="BU76" s="13">
        <f t="shared" ref="BU76" si="1691">+BU75/BP75-1</f>
        <v>0.10090874810603467</v>
      </c>
      <c r="BV76" s="13">
        <f t="shared" ref="BV76" si="1692">+BV75/BQ75-1</f>
        <v>8.1932387895049974E-2</v>
      </c>
      <c r="BW76" s="13">
        <f t="shared" ref="BW76" si="1693">+BW75/BR75-1</f>
        <v>8.3073641544657573E-2</v>
      </c>
      <c r="BX76" s="239">
        <f t="shared" ref="BX76" si="1694">+BX75/BS75-1</f>
        <v>8.6032503200022203E-2</v>
      </c>
      <c r="BY76" s="13">
        <f t="shared" ref="BY76" si="1695">+BY75/BT75-1</f>
        <v>7.7626697078499118E-2</v>
      </c>
      <c r="BZ76" s="13">
        <f t="shared" ref="BZ76" si="1696">+BZ75/BU75-1</f>
        <v>6.6665187182973984E-2</v>
      </c>
      <c r="CA76" s="13">
        <f t="shared" ref="CA76" si="1697">+CA75/BV75-1</f>
        <v>8.0503860229902857E-2</v>
      </c>
      <c r="CB76" s="13">
        <f t="shared" ref="CB76" si="1698">+CB75/BW75-1</f>
        <v>7.5357183029237884E-2</v>
      </c>
      <c r="CC76" s="239">
        <f t="shared" ref="CC76" si="1699">+CC75/BX75-1</f>
        <v>7.5070444027309335E-2</v>
      </c>
      <c r="CD76" s="13">
        <f t="shared" ref="CD76" si="1700">+CD75/BY75-1</f>
        <v>6.7945322691793875E-2</v>
      </c>
      <c r="CE76" s="13">
        <f t="shared" ref="CE76" si="1701">+CE75/BZ75-1</f>
        <v>7.224550746883307E-2</v>
      </c>
      <c r="CF76" s="13">
        <f t="shared" ref="CF76" si="1702">+CF75/CA75-1</f>
        <v>7.0256392854499472E-2</v>
      </c>
      <c r="CG76" s="13">
        <f t="shared" ref="CG76" si="1703">+CG75/CB75-1</f>
        <v>7.2462382581834905E-2</v>
      </c>
      <c r="CH76" s="239">
        <f t="shared" ref="CH76" si="1704">+CH75/CC75-1</f>
        <v>7.0686090202086937E-2</v>
      </c>
      <c r="CI76" s="13">
        <f t="shared" ref="CI76" si="1705">+CI75/CD75-1</f>
        <v>6.5763875704454522E-2</v>
      </c>
      <c r="CJ76" s="13">
        <f t="shared" ref="CJ76" si="1706">+CJ75/CE75-1</f>
        <v>6.8206931889758904E-2</v>
      </c>
      <c r="CK76" s="13">
        <f t="shared" ref="CK76" si="1707">+CK75/CF75-1</f>
        <v>6.7862872481986525E-2</v>
      </c>
      <c r="CL76" s="13">
        <f t="shared" ref="CL76" si="1708">+CL75/CG75-1</f>
        <v>6.8398308710658329E-2</v>
      </c>
      <c r="CM76" s="239">
        <f t="shared" ref="CM76" si="1709">+CM75/CH75-1</f>
        <v>6.753574152583619E-2</v>
      </c>
      <c r="CN76" s="13">
        <f t="shared" ref="CN76" si="1710">+CN75/CI75-1</f>
        <v>6.2463685649712053E-2</v>
      </c>
      <c r="CO76" s="13">
        <f t="shared" ref="CO76" si="1711">+CO75/CJ75-1</f>
        <v>6.5314996224876021E-2</v>
      </c>
      <c r="CP76" s="13">
        <f t="shared" ref="CP76" si="1712">+CP75/CK75-1</f>
        <v>6.4333037172970897E-2</v>
      </c>
      <c r="CQ76" s="13">
        <f t="shared" ref="CQ76" si="1713">+CQ75/CL75-1</f>
        <v>6.5487160463607585E-2</v>
      </c>
      <c r="CR76" s="239">
        <f t="shared" ref="CR76" si="1714">+CR75/CM75-1</f>
        <v>6.4375354888158709E-2</v>
      </c>
      <c r="CS76" s="13">
        <f t="shared" ref="CS76" si="1715">+CS75/CN75-1</f>
        <v>6.0127304683797123E-2</v>
      </c>
      <c r="CT76" s="13">
        <f t="shared" ref="CT76" si="1716">+CT75/CO75-1</f>
        <v>6.2387489137225582E-2</v>
      </c>
      <c r="CU76" s="13">
        <f t="shared" ref="CU76" si="1717">+CU75/CP75-1</f>
        <v>6.1823053651934412E-2</v>
      </c>
      <c r="CV76" s="13">
        <f t="shared" ref="CV76" si="1718">+CV75/CQ75-1</f>
        <v>6.2542337626444011E-2</v>
      </c>
      <c r="CW76" s="239">
        <f t="shared" ref="CW76" si="1719">+CW75/CR75-1</f>
        <v>6.1701691954642923E-2</v>
      </c>
      <c r="CX76" s="13">
        <f t="shared" ref="CX76" si="1720">+CX75/CS75-1</f>
        <v>5.7707323694765167E-2</v>
      </c>
      <c r="CY76" s="13">
        <f t="shared" ref="CY76" si="1721">+CY75/CT75-1</f>
        <v>5.990643360367498E-2</v>
      </c>
      <c r="CZ76" s="13">
        <f t="shared" ref="CZ76" si="1722">+CZ75/CU75-1</f>
        <v>5.9243568582997286E-2</v>
      </c>
      <c r="DA76" s="13">
        <f t="shared" ref="DA76" si="1723">+DA75/CV75-1</f>
        <v>6.0046897129510501E-2</v>
      </c>
      <c r="DB76" s="239">
        <f t="shared" ref="DB76" si="1724">+DB75/CW75-1</f>
        <v>5.9209118882246115E-2</v>
      </c>
    </row>
    <row r="77" spans="1:106">
      <c r="A77" s="117" t="s">
        <v>288</v>
      </c>
      <c r="B77" s="119" t="s">
        <v>290</v>
      </c>
      <c r="C77" s="13">
        <f>+C75/B75-1</f>
        <v>0.31372549019607865</v>
      </c>
      <c r="D77" s="13">
        <f t="shared" ref="D77" si="1725">+D75/C75-1</f>
        <v>0.28358208955223874</v>
      </c>
      <c r="E77" s="13">
        <f t="shared" ref="E77" si="1726">+E75/D75-1</f>
        <v>5.8139534883721034E-2</v>
      </c>
      <c r="F77" s="235" t="s">
        <v>290</v>
      </c>
      <c r="G77" s="13">
        <f>+G75/E75-1</f>
        <v>-3.8461538461538436E-2</v>
      </c>
      <c r="H77" s="13">
        <f>+H75/G75-1</f>
        <v>-1.7142857142857237E-2</v>
      </c>
      <c r="I77" s="13">
        <f>+I75/H75-1</f>
        <v>-1.744186046511631E-2</v>
      </c>
      <c r="J77" s="13">
        <f>+J75/I75-1</f>
        <v>3.5502958579881838E-2</v>
      </c>
      <c r="K77" s="235" t="s">
        <v>290</v>
      </c>
      <c r="L77" s="13">
        <f>+L75/J75-1</f>
        <v>0.10285714285714298</v>
      </c>
      <c r="M77" s="13">
        <f>+M75/L75-1</f>
        <v>-0.16839378238341973</v>
      </c>
      <c r="N77" s="13">
        <f t="shared" ref="N77" si="1727">+N75/M75-1</f>
        <v>0.19003115264797521</v>
      </c>
      <c r="O77" s="13">
        <f t="shared" ref="O77" si="1728">+O75/N75-1</f>
        <v>-9.9476439790575966E-2</v>
      </c>
      <c r="P77" s="235" t="s">
        <v>290</v>
      </c>
      <c r="Q77" s="13">
        <f>+Q75/O75-1</f>
        <v>-8.7209302325581439E-2</v>
      </c>
      <c r="R77" s="13">
        <f>+R75/Q75-1</f>
        <v>4.7770700636942776E-2</v>
      </c>
      <c r="S77" s="13">
        <f t="shared" ref="S77" si="1729">+S75/R75-1</f>
        <v>8.5106382978723527E-2</v>
      </c>
      <c r="T77" s="13">
        <f t="shared" ref="T77" si="1730">+T75/S75-1</f>
        <v>-0.10364145658263313</v>
      </c>
      <c r="U77" s="235" t="s">
        <v>290</v>
      </c>
      <c r="V77" s="13">
        <f>+V75/T75-1</f>
        <v>4.0624999999999911E-2</v>
      </c>
      <c r="W77" s="13">
        <f>+W75/V75-1</f>
        <v>7.2072072072072224E-2</v>
      </c>
      <c r="X77" s="13">
        <f t="shared" ref="X77" si="1731">+X75/W75-1</f>
        <v>8.4033613445377853E-3</v>
      </c>
      <c r="Y77" s="13">
        <f t="shared" ref="Y77" si="1732">+Y75/X75-1</f>
        <v>0</v>
      </c>
      <c r="Z77" s="235" t="s">
        <v>290</v>
      </c>
      <c r="AA77" s="13">
        <f>+AA75/Y75-1</f>
        <v>3.3333333333333437E-2</v>
      </c>
      <c r="AB77" s="13">
        <f>+AB75/AA75-1</f>
        <v>-1.8817204301075363E-2</v>
      </c>
      <c r="AC77" s="13">
        <f t="shared" ref="AC77" si="1733">+AC75/AB75-1</f>
        <v>3.013698630136985E-2</v>
      </c>
      <c r="AD77" s="13">
        <f t="shared" ref="AD77" si="1734">+AD75/AC75-1</f>
        <v>0.13247654955053934</v>
      </c>
      <c r="AE77" s="235" t="s">
        <v>290</v>
      </c>
      <c r="AF77" s="13">
        <f>+AF75/AD75-1</f>
        <v>9.6440136946313704E-2</v>
      </c>
      <c r="AG77" s="13">
        <f>+AG75/AF75-1</f>
        <v>-6.8791814939395457E-2</v>
      </c>
      <c r="AH77" s="13">
        <f t="shared" ref="AH77" si="1735">+AH75/AG75-1</f>
        <v>0.18814427006404855</v>
      </c>
      <c r="AI77" s="13">
        <f t="shared" ref="AI77" si="1736">+AI75/AH75-1</f>
        <v>5.7528281676066717E-2</v>
      </c>
      <c r="AJ77" s="235" t="s">
        <v>290</v>
      </c>
      <c r="AK77" s="13">
        <f>+AK75/AI75-1</f>
        <v>0.15068622105250173</v>
      </c>
      <c r="AL77" s="13">
        <f>+AL75/AK75-1</f>
        <v>2.488895829989346E-3</v>
      </c>
      <c r="AM77" s="13">
        <f t="shared" ref="AM77" si="1737">+AM75/AL75-1</f>
        <v>0.15173551591687562</v>
      </c>
      <c r="AN77" s="13">
        <f t="shared" ref="AN77" si="1738">+AN75/AM75-1</f>
        <v>2.5304971571487922E-2</v>
      </c>
      <c r="AO77" s="235" t="s">
        <v>290</v>
      </c>
      <c r="AP77" s="13">
        <f>+AP75/AN75-1</f>
        <v>0.1648832063658987</v>
      </c>
      <c r="AQ77" s="13">
        <f>+AQ75/AP75-1</f>
        <v>-9.1890549789458431E-3</v>
      </c>
      <c r="AR77" s="13">
        <f t="shared" ref="AR77" si="1739">+AR75/AQ75-1</f>
        <v>1.4374821925372538E-2</v>
      </c>
      <c r="AS77" s="13">
        <f t="shared" ref="AS77" si="1740">+AS75/AR75-1</f>
        <v>5.1602315721550385E-2</v>
      </c>
      <c r="AT77" s="235" t="s">
        <v>290</v>
      </c>
      <c r="AU77" s="13">
        <f>+AU75/AS75-1</f>
        <v>6.2373801894056724E-2</v>
      </c>
      <c r="AV77" s="13">
        <f>+AV75/AU75-1</f>
        <v>-2.2059428709732432E-2</v>
      </c>
      <c r="AW77" s="13">
        <f t="shared" ref="AW77" si="1741">+AW75/AV75-1</f>
        <v>7.5467791764893821E-3</v>
      </c>
      <c r="AX77" s="13">
        <f t="shared" ref="AX77" si="1742">+AX75/AW75-1</f>
        <v>1.7372086338128367E-2</v>
      </c>
      <c r="AY77" s="235" t="s">
        <v>290</v>
      </c>
      <c r="AZ77" s="13">
        <f>+AZ75/AX75-1</f>
        <v>0.20538145619205594</v>
      </c>
      <c r="BA77" s="13">
        <f>+BA75/AZ75-1</f>
        <v>0.17083325642324088</v>
      </c>
      <c r="BB77" s="13">
        <f t="shared" ref="BB77" si="1743">+BB75/BA75-1</f>
        <v>4.4819139424817189E-2</v>
      </c>
      <c r="BC77" s="13">
        <f t="shared" ref="BC77" si="1744">+BC75/BB75-1</f>
        <v>4.1207968497612102E-2</v>
      </c>
      <c r="BD77" s="235" t="s">
        <v>290</v>
      </c>
      <c r="BE77" s="13">
        <f>+BE75/BC75-1</f>
        <v>9.5973406613206524E-2</v>
      </c>
      <c r="BF77" s="13">
        <f>+BF75/BE75-1</f>
        <v>7.7499739572683968E-3</v>
      </c>
      <c r="BG77" s="13">
        <f t="shared" ref="BG77" si="1745">+BG75/BF75-1</f>
        <v>1.0561378979523361E-3</v>
      </c>
      <c r="BH77" s="13">
        <f t="shared" ref="BH77" si="1746">+BH75/BG75-1</f>
        <v>5.953369210157744E-2</v>
      </c>
      <c r="BI77" s="235" t="s">
        <v>290</v>
      </c>
      <c r="BJ77" s="328">
        <f>+BJ75/BH75-1</f>
        <v>-8.154135869634338E-2</v>
      </c>
      <c r="BK77" s="13">
        <f>+BK75/BJ75-1</f>
        <v>-3.4465239516412338E-2</v>
      </c>
      <c r="BL77" s="13">
        <f t="shared" ref="BL77" si="1747">+BL75/BK75-1</f>
        <v>-2.2083046209495083E-2</v>
      </c>
      <c r="BM77" s="13">
        <f t="shared" ref="BM77" si="1748">+BM75/BL75-1</f>
        <v>7.9574435669946819E-3</v>
      </c>
      <c r="BN77" s="235" t="s">
        <v>290</v>
      </c>
      <c r="BO77" s="13">
        <f>+BO75/BM75-1</f>
        <v>0.18707599089460203</v>
      </c>
      <c r="BP77" s="13">
        <f>+BP75/BO75-1</f>
        <v>-6.2177252559900031E-2</v>
      </c>
      <c r="BQ77" s="13">
        <f t="shared" ref="BQ77" si="1749">+BQ75/BP75-1</f>
        <v>2.079309186569045E-2</v>
      </c>
      <c r="BR77" s="13">
        <f t="shared" ref="BR77" si="1750">+BR75/BQ75-1</f>
        <v>-1.553409552642715E-2</v>
      </c>
      <c r="BS77" s="235" t="s">
        <v>290</v>
      </c>
      <c r="BT77" s="13">
        <f>+BT75/BR75-1</f>
        <v>0.14466851365532474</v>
      </c>
      <c r="BU77" s="13">
        <f>+BU75/BT75-1</f>
        <v>-4.2953181299456911E-2</v>
      </c>
      <c r="BV77" s="13">
        <f t="shared" ref="BV77" si="1751">+BV75/BU75-1</f>
        <v>3.1976849389552253E-3</v>
      </c>
      <c r="BW77" s="13">
        <f t="shared" ref="BW77" si="1752">+BW75/BV75-1</f>
        <v>-1.4495652349233112E-2</v>
      </c>
      <c r="BX77" s="235" t="s">
        <v>290</v>
      </c>
      <c r="BY77" s="13">
        <f>+BY75/BW75-1</f>
        <v>0.13891179907297313</v>
      </c>
      <c r="BZ77" s="13">
        <f>+BZ75/BY75-1</f>
        <v>-5.2688164853694763E-2</v>
      </c>
      <c r="CA77" s="13">
        <f t="shared" ref="CA77" si="1753">+CA75/BZ75-1</f>
        <v>1.6212944956928155E-2</v>
      </c>
      <c r="CB77" s="13">
        <f t="shared" ref="CB77" si="1754">+CB75/CA75-1</f>
        <v>-1.9189826006448141E-2</v>
      </c>
      <c r="CC77" s="235" t="s">
        <v>290</v>
      </c>
      <c r="CD77" s="13">
        <f>+CD75/CB75-1</f>
        <v>0.13106189085213726</v>
      </c>
      <c r="CE77" s="13">
        <f>+CE75/CD75-1</f>
        <v>-4.8873722441664325E-2</v>
      </c>
      <c r="CF77" s="13">
        <f t="shared" ref="CF77" si="1755">+CF75/CE75-1</f>
        <v>1.4327775929864339E-2</v>
      </c>
      <c r="CG77" s="13">
        <f t="shared" ref="CG77" si="1756">+CG75/CF75-1</f>
        <v>-1.7168200924139621E-2</v>
      </c>
      <c r="CH77" s="235" t="s">
        <v>290</v>
      </c>
      <c r="CI77" s="13">
        <f>+CI75/CG75-1</f>
        <v>0.12399737653660825</v>
      </c>
      <c r="CJ77" s="13">
        <f>+CJ75/CI75-1</f>
        <v>-4.6693450630651334E-2</v>
      </c>
      <c r="CK77" s="13">
        <f t="shared" ref="CK77" si="1757">+CK75/CJ75-1</f>
        <v>1.4001070491568512E-2</v>
      </c>
      <c r="CL77" s="13">
        <f t="shared" ref="CL77" si="1758">+CL75/CK75-1</f>
        <v>-1.6675400054779965E-2</v>
      </c>
      <c r="CM77" s="235" t="s">
        <v>290</v>
      </c>
      <c r="CN77" s="13">
        <f>+CN75/CL75-1</f>
        <v>0.11775391780323829</v>
      </c>
      <c r="CO77" s="13">
        <f>+CO75/CN75-1</f>
        <v>-4.41350826767124E-2</v>
      </c>
      <c r="CP77" s="13">
        <f t="shared" ref="CP77" si="1759">+CP75/CO75-1</f>
        <v>1.3066410289338082E-2</v>
      </c>
      <c r="CQ77" s="13">
        <f t="shared" ref="CQ77" si="1760">+CQ75/CP75-1</f>
        <v>-1.5609119310486474E-2</v>
      </c>
      <c r="CR77" s="235" t="s">
        <v>290</v>
      </c>
      <c r="CS77" s="13">
        <f>+CS75/CQ75-1</f>
        <v>0.11213113789649887</v>
      </c>
      <c r="CT77" s="13">
        <f>+CT75/CS75-1</f>
        <v>-4.2097184948612476E-2</v>
      </c>
      <c r="CU77" s="13">
        <f t="shared" ref="CU77" si="1761">+CU75/CT75-1</f>
        <v>1.2528178583137928E-2</v>
      </c>
      <c r="CV77" s="13">
        <f t="shared" ref="CV77" si="1762">+CV75/CU75-1</f>
        <v>-1.4942288257329128E-2</v>
      </c>
      <c r="CW77" s="235" t="s">
        <v>290</v>
      </c>
      <c r="CX77" s="13">
        <f>+CX75/CV75-1</f>
        <v>0.10707047409500259</v>
      </c>
      <c r="CY77" s="13">
        <f>+CY75/CX75-1</f>
        <v>-4.0105581482169916E-2</v>
      </c>
      <c r="CZ77" s="13">
        <f t="shared" ref="CZ77" si="1763">+CZ75/CY75-1</f>
        <v>1.1894943902458488E-2</v>
      </c>
      <c r="DA77" s="13">
        <f t="shared" ref="DA77" si="1764">+DA75/CZ75-1</f>
        <v>-1.4195222140265695E-2</v>
      </c>
      <c r="DB77" s="235" t="s">
        <v>290</v>
      </c>
    </row>
    <row r="78" spans="1:106">
      <c r="F78" s="217"/>
      <c r="K78" s="217"/>
      <c r="P78" s="217"/>
      <c r="U78" s="217"/>
      <c r="Z78" s="217"/>
      <c r="AE78" s="217"/>
      <c r="AJ78" s="217"/>
      <c r="AO78" s="217"/>
      <c r="AT78" s="217"/>
      <c r="AY78" s="217"/>
      <c r="BD78" s="217"/>
      <c r="BI78" s="217"/>
      <c r="BJ78" s="356"/>
      <c r="BN78" s="217"/>
      <c r="BS78" s="217"/>
      <c r="BX78" s="217"/>
      <c r="CC78" s="217"/>
      <c r="CH78" s="217"/>
      <c r="CM78" s="217"/>
      <c r="CR78" s="217"/>
      <c r="CW78" s="217"/>
      <c r="DB78" s="217"/>
    </row>
    <row r="79" spans="1:106" s="123" customFormat="1">
      <c r="A79" s="124" t="s">
        <v>268</v>
      </c>
      <c r="F79" s="238"/>
      <c r="K79" s="238"/>
      <c r="P79" s="238"/>
      <c r="U79" s="238"/>
      <c r="Z79" s="238"/>
      <c r="AE79" s="238"/>
      <c r="AJ79" s="238"/>
      <c r="AO79" s="238"/>
      <c r="AT79" s="238"/>
      <c r="AY79" s="238"/>
      <c r="BD79" s="238"/>
      <c r="BI79" s="238"/>
      <c r="BN79" s="238"/>
      <c r="BS79" s="238"/>
      <c r="BX79" s="238"/>
      <c r="CC79" s="238"/>
      <c r="CH79" s="238"/>
      <c r="CM79" s="238"/>
      <c r="CR79" s="238"/>
      <c r="CW79" s="238"/>
      <c r="DB79" s="238"/>
    </row>
    <row r="80" spans="1:106" s="51" customFormat="1">
      <c r="A80" s="51" t="s">
        <v>276</v>
      </c>
      <c r="B80" s="213">
        <f>+F80/4</f>
        <v>225535</v>
      </c>
      <c r="C80" s="213">
        <f>+F80/4</f>
        <v>225535</v>
      </c>
      <c r="D80" s="213">
        <f>+F80/4</f>
        <v>225535</v>
      </c>
      <c r="E80" s="213">
        <f>+F80/4</f>
        <v>225535</v>
      </c>
      <c r="F80" s="234">
        <v>902140</v>
      </c>
      <c r="G80" s="213">
        <f>+B80*(1+G81)</f>
        <v>227790.35</v>
      </c>
      <c r="H80" s="213">
        <f t="shared" ref="H80:J80" si="1765">+C80*(1+H81)</f>
        <v>227790.35</v>
      </c>
      <c r="I80" s="213">
        <f t="shared" si="1765"/>
        <v>227790.35</v>
      </c>
      <c r="J80" s="213">
        <f t="shared" si="1765"/>
        <v>227790.35</v>
      </c>
      <c r="K80" s="234">
        <f>+G80+H80+I80+J80</f>
        <v>911161.4</v>
      </c>
      <c r="L80" s="213">
        <f>+G80*(1+L81)</f>
        <v>230068.25350000002</v>
      </c>
      <c r="M80" s="213">
        <f t="shared" ref="M80" si="1766">+H80*(1+M81)</f>
        <v>230068.25350000002</v>
      </c>
      <c r="N80" s="213">
        <f t="shared" ref="N80" si="1767">+I80*(1+N81)</f>
        <v>230068.25350000002</v>
      </c>
      <c r="O80" s="213">
        <f t="shared" ref="O80" si="1768">+J80*(1+O81)</f>
        <v>230068.25350000002</v>
      </c>
      <c r="P80" s="234">
        <f>+L80+M80+N80+O80</f>
        <v>920273.01400000008</v>
      </c>
      <c r="Q80" s="213">
        <f>+L80*(1+Q81)</f>
        <v>232368.93603500002</v>
      </c>
      <c r="R80" s="213">
        <f>+M80*(1+R81)</f>
        <v>232368.93603500002</v>
      </c>
      <c r="S80" s="213">
        <f>+N80*(1+S81)</f>
        <v>232368.93603500002</v>
      </c>
      <c r="T80" s="213">
        <f>+O80*(1+T81)</f>
        <v>232368.93603500002</v>
      </c>
      <c r="U80" s="234">
        <f>+Q80+R80+S80+T80</f>
        <v>929475.74414000008</v>
      </c>
      <c r="V80" s="213">
        <f>+Q80*(1+V81)</f>
        <v>234692.62539535001</v>
      </c>
      <c r="W80" s="213">
        <f t="shared" ref="W80" si="1769">+R80*(1+W81)</f>
        <v>234692.62539535001</v>
      </c>
      <c r="X80" s="213">
        <f t="shared" ref="X80" si="1770">+S80*(1+X81)</f>
        <v>234692.62539535001</v>
      </c>
      <c r="Y80" s="213">
        <f t="shared" ref="Y80" si="1771">+T80*(1+Y81)</f>
        <v>234692.62539535001</v>
      </c>
      <c r="Z80" s="234">
        <f>+V80+W80+X80+Y80</f>
        <v>938770.50158140005</v>
      </c>
      <c r="AA80" s="213">
        <f>+V80*(1+AA81)</f>
        <v>237039.55164930352</v>
      </c>
      <c r="AB80" s="213">
        <f t="shared" ref="AB80" si="1772">+W80*(1+AB81)</f>
        <v>237039.55164930352</v>
      </c>
      <c r="AC80" s="213">
        <f t="shared" ref="AC80" si="1773">+X80*(1+AC81)</f>
        <v>237039.55164930352</v>
      </c>
      <c r="AD80" s="213">
        <f t="shared" ref="AD80" si="1774">+Y80*(1+AD81)</f>
        <v>237039.55164930352</v>
      </c>
      <c r="AE80" s="234">
        <f>+AA80+AB80+AC80+AD80</f>
        <v>948158.2065972141</v>
      </c>
      <c r="AF80" s="213">
        <f>+AA80*(1+AF81)</f>
        <v>239409.94716579656</v>
      </c>
      <c r="AG80" s="213">
        <f t="shared" ref="AG80" si="1775">+AB80*(1+AG81)</f>
        <v>239409.94716579656</v>
      </c>
      <c r="AH80" s="213">
        <f t="shared" ref="AH80" si="1776">+AC80*(1+AH81)</f>
        <v>239409.94716579656</v>
      </c>
      <c r="AI80" s="213">
        <f t="shared" ref="AI80" si="1777">+AD80*(1+AI81)</f>
        <v>239409.94716579656</v>
      </c>
      <c r="AJ80" s="234">
        <f>+AF80+AG80+AH80+AI80</f>
        <v>957639.78866318625</v>
      </c>
      <c r="AK80" s="213">
        <f>+AF80*(1+AK81)</f>
        <v>241804.04663745454</v>
      </c>
      <c r="AL80" s="213">
        <f t="shared" ref="AL80" si="1778">+AG80*(1+AL81)</f>
        <v>241804.04663745454</v>
      </c>
      <c r="AM80" s="213">
        <f t="shared" ref="AM80" si="1779">+AH80*(1+AM81)</f>
        <v>241804.04663745454</v>
      </c>
      <c r="AN80" s="213">
        <f t="shared" ref="AN80" si="1780">+AI80*(1+AN81)</f>
        <v>241804.04663745454</v>
      </c>
      <c r="AO80" s="234">
        <f>+AK80+AL80+AM80+AN80</f>
        <v>967216.18654981814</v>
      </c>
      <c r="AP80" s="213">
        <f>+AK80*(1+AP81)</f>
        <v>244222.08710382908</v>
      </c>
      <c r="AQ80" s="213">
        <f t="shared" ref="AQ80" si="1781">+AL80*(1+AQ81)</f>
        <v>244222.08710382908</v>
      </c>
      <c r="AR80" s="213">
        <f t="shared" ref="AR80" si="1782">+AM80*(1+AR81)</f>
        <v>244222.08710382908</v>
      </c>
      <c r="AS80" s="213">
        <f t="shared" ref="AS80" si="1783">+AN80*(1+AS81)</f>
        <v>244222.08710382908</v>
      </c>
      <c r="AT80" s="234">
        <f>+AP80+AQ80+AR80+AS80</f>
        <v>976888.34841531632</v>
      </c>
      <c r="AU80" s="213">
        <f>+AP80*(1+AU81)</f>
        <v>246664.30797486738</v>
      </c>
      <c r="AV80" s="213">
        <f t="shared" ref="AV80" si="1784">+AQ80*(1+AV81)</f>
        <v>246664.30797486738</v>
      </c>
      <c r="AW80" s="213">
        <f t="shared" ref="AW80" si="1785">+AR80*(1+AW81)</f>
        <v>246664.30797486738</v>
      </c>
      <c r="AX80" s="213">
        <f t="shared" ref="AX80" si="1786">+AS80*(1+AX81)</f>
        <v>246664.30797486738</v>
      </c>
      <c r="AY80" s="234">
        <f>+AU80+AV80+AW80+AX80</f>
        <v>986657.23189946951</v>
      </c>
      <c r="AZ80" s="213">
        <f>+AU80*(1+AZ81)</f>
        <v>249130.95105461605</v>
      </c>
      <c r="BA80" s="213">
        <f>+AV80*(1+BA81)</f>
        <v>249130.95105461605</v>
      </c>
      <c r="BB80" s="213">
        <f>+AW80*(1+BB81)</f>
        <v>249130.95105461605</v>
      </c>
      <c r="BC80" s="213">
        <f t="shared" ref="BC80" si="1787">+AX80*(1+BC81)</f>
        <v>249130.95105461605</v>
      </c>
      <c r="BD80" s="234">
        <f>+AZ80+BA80+BB80+BC80</f>
        <v>996523.80421846418</v>
      </c>
      <c r="BE80" s="213">
        <f>+AZ80*(1+BE81)</f>
        <v>251622.2605651622</v>
      </c>
      <c r="BF80" s="213">
        <f>+BA80*(1+BF81)</f>
        <v>251622.2605651622</v>
      </c>
      <c r="BG80" s="213">
        <f>+BB80*(1+BG81)</f>
        <v>251622.2605651622</v>
      </c>
      <c r="BH80" s="213">
        <f t="shared" ref="BH80" si="1788">+BC80*(1+BH81)</f>
        <v>251622.2605651622</v>
      </c>
      <c r="BI80" s="234">
        <f>+BE80+BF80+BG80+BH80</f>
        <v>1006489.0422606488</v>
      </c>
      <c r="BJ80" s="213">
        <f>+BE80*(1+BJ81)</f>
        <v>254138.48317081382</v>
      </c>
      <c r="BK80" s="213">
        <f>+BF80*(1+BK81)</f>
        <v>254138.48317081382</v>
      </c>
      <c r="BL80" s="213">
        <f>+BG80*(1+BL81)</f>
        <v>254138.48317081382</v>
      </c>
      <c r="BM80" s="213">
        <f t="shared" ref="BM80" si="1789">+BH80*(1+BM81)</f>
        <v>254138.48317081382</v>
      </c>
      <c r="BN80" s="234">
        <f>+BI80*(1+BN81)</f>
        <v>1016553.9326832553</v>
      </c>
      <c r="BO80" s="213">
        <f>+BJ80*(1+BO81)</f>
        <v>256679.86800252195</v>
      </c>
      <c r="BP80" s="213">
        <f>+BK80*(1+BP81)</f>
        <v>256679.86800252195</v>
      </c>
      <c r="BQ80" s="213">
        <f t="shared" ref="BQ80" si="1790">+BL80*(1+BQ81)</f>
        <v>256679.86800252195</v>
      </c>
      <c r="BR80" s="213">
        <f t="shared" ref="BR80" si="1791">+BM80*(1+BR81)</f>
        <v>256679.86800252195</v>
      </c>
      <c r="BS80" s="234">
        <f>+BN80*(1+BS81)</f>
        <v>1026719.4720100878</v>
      </c>
      <c r="BT80" s="213">
        <f>+BO80*(1+BT81)</f>
        <v>259246.66668254716</v>
      </c>
      <c r="BU80" s="213">
        <f>+BP80*(1+BU81)</f>
        <v>259246.66668254716</v>
      </c>
      <c r="BV80" s="213">
        <f t="shared" ref="BV80" si="1792">+BQ80*(1+BV81)</f>
        <v>259246.66668254716</v>
      </c>
      <c r="BW80" s="213">
        <f t="shared" ref="BW80" si="1793">+BR80*(1+BW81)</f>
        <v>259246.66668254716</v>
      </c>
      <c r="BX80" s="234">
        <f>+BT80+BU80+BV80+BW80</f>
        <v>1036986.6667301886</v>
      </c>
      <c r="BY80" s="213">
        <f>+BT80*(1+BY81)</f>
        <v>261839.13334937263</v>
      </c>
      <c r="BZ80" s="213">
        <f>+BU80*(1+BZ81)</f>
        <v>261839.13334937263</v>
      </c>
      <c r="CA80" s="213">
        <f>+BV80*(1+CA81)</f>
        <v>261839.13334937263</v>
      </c>
      <c r="CB80" s="213">
        <f t="shared" ref="CB80" si="1794">+BW80*(1+CB81)</f>
        <v>261839.13334937263</v>
      </c>
      <c r="CC80" s="234">
        <f>+BY80+BZ80+CA80+CB80</f>
        <v>1047356.5333974905</v>
      </c>
      <c r="CD80" s="213">
        <f>+BY80*(1+CD81)</f>
        <v>264457.52468286635</v>
      </c>
      <c r="CE80" s="213">
        <f>+BZ80*(1+CE81)</f>
        <v>264457.52468286635</v>
      </c>
      <c r="CF80" s="213">
        <f>+CA80*(1+CF81)</f>
        <v>264457.52468286635</v>
      </c>
      <c r="CG80" s="213">
        <f t="shared" ref="CG80" si="1795">+CB80*(1+CG81)</f>
        <v>264457.52468286635</v>
      </c>
      <c r="CH80" s="234">
        <f>+CD80+CE80+CF80+CG80</f>
        <v>1057830.0987314654</v>
      </c>
      <c r="CI80" s="213">
        <f>+CD80*(1+CI81)</f>
        <v>267102.09992969502</v>
      </c>
      <c r="CJ80" s="213">
        <f>+CE80*(1+CJ81)</f>
        <v>267102.09992969502</v>
      </c>
      <c r="CK80" s="213">
        <f>+CF80*(1+CK81)</f>
        <v>267102.09992969502</v>
      </c>
      <c r="CL80" s="213">
        <f t="shared" ref="CL80" si="1796">+CG80*(1+CL81)</f>
        <v>267102.09992969502</v>
      </c>
      <c r="CM80" s="234">
        <f>+CI80+CJ80+CK80+CL80</f>
        <v>1068408.3997187801</v>
      </c>
      <c r="CN80" s="213">
        <f>+CI80*(1+CN81)</f>
        <v>269773.12092899199</v>
      </c>
      <c r="CO80" s="213">
        <f>+CJ80*(1+CO81)</f>
        <v>269773.12092899199</v>
      </c>
      <c r="CP80" s="213">
        <f>+CK80*(1+CP81)</f>
        <v>269773.12092899199</v>
      </c>
      <c r="CQ80" s="213">
        <f t="shared" ref="CQ80" si="1797">+CL80*(1+CQ81)</f>
        <v>269773.12092899199</v>
      </c>
      <c r="CR80" s="234">
        <f>+CN80+CO80+CP80+CQ80</f>
        <v>1079092.483715968</v>
      </c>
      <c r="CS80" s="213">
        <f>+CN80*(1+CS81)</f>
        <v>272470.85213828192</v>
      </c>
      <c r="CT80" s="213">
        <f>+CO80*(1+CT81)</f>
        <v>272470.85213828192</v>
      </c>
      <c r="CU80" s="213">
        <f>+CP80*(1+CU81)</f>
        <v>272470.85213828192</v>
      </c>
      <c r="CV80" s="213">
        <f t="shared" ref="CV80" si="1798">+CQ80*(1+CV81)</f>
        <v>272470.85213828192</v>
      </c>
      <c r="CW80" s="234">
        <f>+CS80+CT80+CU80+CV80</f>
        <v>1089883.4085531277</v>
      </c>
      <c r="CX80" s="213">
        <f>+CS80*(1+CX81)</f>
        <v>275195.56065966474</v>
      </c>
      <c r="CY80" s="213">
        <f>+CT80*(1+CY81)</f>
        <v>275195.56065966474</v>
      </c>
      <c r="CZ80" s="213">
        <f>+CU80*(1+CZ81)</f>
        <v>275195.56065966474</v>
      </c>
      <c r="DA80" s="213">
        <f t="shared" ref="DA80" si="1799">+CV80*(1+DA81)</f>
        <v>275195.56065966474</v>
      </c>
      <c r="DB80" s="234">
        <f>+CX80+CY80+CZ80+DA80</f>
        <v>1100782.242638659</v>
      </c>
    </row>
    <row r="81" spans="1:106">
      <c r="A81" s="117" t="s">
        <v>281</v>
      </c>
      <c r="B81" s="119" t="s">
        <v>290</v>
      </c>
      <c r="C81" s="119" t="s">
        <v>290</v>
      </c>
      <c r="D81" s="119" t="s">
        <v>290</v>
      </c>
      <c r="E81" s="119" t="s">
        <v>290</v>
      </c>
      <c r="F81" s="235" t="s">
        <v>290</v>
      </c>
      <c r="G81" s="118">
        <v>1.0000000000000009E-2</v>
      </c>
      <c r="H81" s="118">
        <v>1.0000000000000009E-2</v>
      </c>
      <c r="I81" s="118">
        <v>1.0000000000000009E-2</v>
      </c>
      <c r="J81" s="118">
        <v>1.0000000000000009E-2</v>
      </c>
      <c r="K81" s="239">
        <f>+K80/F80-1</f>
        <v>1.0000000000000009E-2</v>
      </c>
      <c r="L81" s="118">
        <v>1.0000000000000009E-2</v>
      </c>
      <c r="M81" s="118">
        <v>1.0000000000000009E-2</v>
      </c>
      <c r="N81" s="118">
        <v>1.0000000000000009E-2</v>
      </c>
      <c r="O81" s="118">
        <v>1.0000000000000009E-2</v>
      </c>
      <c r="P81" s="239">
        <f>+P80/K80-1</f>
        <v>1.0000000000000009E-2</v>
      </c>
      <c r="Q81" s="118">
        <v>1.0000000000000009E-2</v>
      </c>
      <c r="R81" s="118">
        <v>1.0000000000000009E-2</v>
      </c>
      <c r="S81" s="118">
        <v>1.0000000000000009E-2</v>
      </c>
      <c r="T81" s="118">
        <v>1.0000000000000009E-2</v>
      </c>
      <c r="U81" s="239">
        <f>+U80/P80-1</f>
        <v>1.0000000000000009E-2</v>
      </c>
      <c r="V81" s="118">
        <v>1.0000000000000009E-2</v>
      </c>
      <c r="W81" s="118">
        <v>1.0000000000000009E-2</v>
      </c>
      <c r="X81" s="118">
        <v>1.0000000000000009E-2</v>
      </c>
      <c r="Y81" s="118">
        <v>1.0000000000000009E-2</v>
      </c>
      <c r="Z81" s="239">
        <f>+Z80/U80-1</f>
        <v>1.0000000000000009E-2</v>
      </c>
      <c r="AA81" s="118">
        <v>1.0000000000000009E-2</v>
      </c>
      <c r="AB81" s="118">
        <v>1.0000000000000009E-2</v>
      </c>
      <c r="AC81" s="118">
        <v>1.0000000000000009E-2</v>
      </c>
      <c r="AD81" s="118">
        <v>1.0000000000000009E-2</v>
      </c>
      <c r="AE81" s="239">
        <f>+AE80/Z80-1</f>
        <v>1.0000000000000009E-2</v>
      </c>
      <c r="AF81" s="118">
        <v>1.0000000000000009E-2</v>
      </c>
      <c r="AG81" s="118">
        <v>1.0000000000000009E-2</v>
      </c>
      <c r="AH81" s="118">
        <v>1.0000000000000009E-2</v>
      </c>
      <c r="AI81" s="118">
        <v>1.0000000000000009E-2</v>
      </c>
      <c r="AJ81" s="239">
        <f>+AJ80/AE80-1</f>
        <v>1.0000000000000009E-2</v>
      </c>
      <c r="AK81" s="118">
        <v>1.0000000000000009E-2</v>
      </c>
      <c r="AL81" s="118">
        <v>1.0000000000000009E-2</v>
      </c>
      <c r="AM81" s="118">
        <v>1.0000000000000009E-2</v>
      </c>
      <c r="AN81" s="118">
        <v>1.0000000000000009E-2</v>
      </c>
      <c r="AO81" s="239">
        <f>+AO80/AJ80-1</f>
        <v>1.0000000000000009E-2</v>
      </c>
      <c r="AP81" s="118">
        <v>1.0000000000000009E-2</v>
      </c>
      <c r="AQ81" s="118">
        <v>1.0000000000000009E-2</v>
      </c>
      <c r="AR81" s="118">
        <v>1.0000000000000009E-2</v>
      </c>
      <c r="AS81" s="118">
        <v>1.0000000000000009E-2</v>
      </c>
      <c r="AT81" s="239">
        <f>+AT80/AO80-1</f>
        <v>1.0000000000000009E-2</v>
      </c>
      <c r="AU81" s="118">
        <v>1.0000000000000009E-2</v>
      </c>
      <c r="AV81" s="118">
        <v>1.0000000000000009E-2</v>
      </c>
      <c r="AW81" s="118">
        <v>1.0000000000000009E-2</v>
      </c>
      <c r="AX81" s="118">
        <v>1.0000000000000009E-2</v>
      </c>
      <c r="AY81" s="239">
        <f>+AY80/AT80-1</f>
        <v>1.0000000000000009E-2</v>
      </c>
      <c r="AZ81" s="118">
        <v>1.0000000000000009E-2</v>
      </c>
      <c r="BA81" s="118">
        <v>1.0000000000000009E-2</v>
      </c>
      <c r="BB81" s="118">
        <v>1.0000000000000009E-2</v>
      </c>
      <c r="BC81" s="118">
        <v>1.0000000000000009E-2</v>
      </c>
      <c r="BD81" s="239">
        <f>+BD80/AY80-1</f>
        <v>1.0000000000000009E-2</v>
      </c>
      <c r="BE81" s="118">
        <v>1.0000000000000009E-2</v>
      </c>
      <c r="BF81" s="118">
        <v>1.0000000000000009E-2</v>
      </c>
      <c r="BG81" s="118">
        <v>1.0000000000000009E-2</v>
      </c>
      <c r="BH81" s="118">
        <v>1.0000000000000009E-2</v>
      </c>
      <c r="BI81" s="239">
        <f>+BI80/BD80-1</f>
        <v>1.0000000000000009E-2</v>
      </c>
      <c r="BJ81" s="118">
        <v>1.0000000000000009E-2</v>
      </c>
      <c r="BK81" s="118">
        <v>1.0000000000000009E-2</v>
      </c>
      <c r="BL81" s="118">
        <v>1.0000000000000009E-2</v>
      </c>
      <c r="BM81" s="118">
        <v>1.0000000000000009E-2</v>
      </c>
      <c r="BN81" s="256">
        <v>1.0000000000000009E-2</v>
      </c>
      <c r="BO81" s="118">
        <v>1.0000000000000009E-2</v>
      </c>
      <c r="BP81" s="118">
        <v>1.0000000000000009E-2</v>
      </c>
      <c r="BQ81" s="118">
        <v>1.0000000000000009E-2</v>
      </c>
      <c r="BR81" s="118">
        <v>1.0000000000000009E-2</v>
      </c>
      <c r="BS81" s="256">
        <v>1.0000000000000009E-2</v>
      </c>
      <c r="BT81" s="118">
        <v>1.0000000000000009E-2</v>
      </c>
      <c r="BU81" s="118">
        <v>1.0000000000000009E-2</v>
      </c>
      <c r="BV81" s="118">
        <v>1.0000000000000009E-2</v>
      </c>
      <c r="BW81" s="118">
        <v>1.0000000000000009E-2</v>
      </c>
      <c r="BX81" s="239">
        <f>+BX80/BS80-1</f>
        <v>1.0000000000000009E-2</v>
      </c>
      <c r="BY81" s="118">
        <v>1.0000000000000009E-2</v>
      </c>
      <c r="BZ81" s="118">
        <v>1.0000000000000009E-2</v>
      </c>
      <c r="CA81" s="118">
        <v>1.0000000000000009E-2</v>
      </c>
      <c r="CB81" s="118">
        <v>1.0000000000000009E-2</v>
      </c>
      <c r="CC81" s="239">
        <f>+CC80/BX80-1</f>
        <v>1.0000000000000009E-2</v>
      </c>
      <c r="CD81" s="118">
        <v>1.0000000000000009E-2</v>
      </c>
      <c r="CE81" s="118">
        <v>1.0000000000000009E-2</v>
      </c>
      <c r="CF81" s="118">
        <v>1.0000000000000009E-2</v>
      </c>
      <c r="CG81" s="118">
        <v>1.0000000000000009E-2</v>
      </c>
      <c r="CH81" s="239">
        <f>+CH80/CC80-1</f>
        <v>1.0000000000000009E-2</v>
      </c>
      <c r="CI81" s="118">
        <v>1.0000000000000009E-2</v>
      </c>
      <c r="CJ81" s="118">
        <v>1.0000000000000009E-2</v>
      </c>
      <c r="CK81" s="118">
        <v>1.0000000000000009E-2</v>
      </c>
      <c r="CL81" s="118">
        <v>1.0000000000000009E-2</v>
      </c>
      <c r="CM81" s="239">
        <f>+CM80/CH80-1</f>
        <v>1.0000000000000009E-2</v>
      </c>
      <c r="CN81" s="118">
        <v>1.0000000000000009E-2</v>
      </c>
      <c r="CO81" s="118">
        <v>1.0000000000000009E-2</v>
      </c>
      <c r="CP81" s="118">
        <v>1.0000000000000009E-2</v>
      </c>
      <c r="CQ81" s="118">
        <v>1.0000000000000009E-2</v>
      </c>
      <c r="CR81" s="239">
        <f>+CR80/CM80-1</f>
        <v>1.0000000000000009E-2</v>
      </c>
      <c r="CS81" s="118">
        <v>1.0000000000000009E-2</v>
      </c>
      <c r="CT81" s="118">
        <v>1.0000000000000009E-2</v>
      </c>
      <c r="CU81" s="118">
        <v>1.0000000000000009E-2</v>
      </c>
      <c r="CV81" s="118">
        <v>1.0000000000000009E-2</v>
      </c>
      <c r="CW81" s="239">
        <f>+CW80/CR80-1</f>
        <v>1.0000000000000009E-2</v>
      </c>
      <c r="CX81" s="118">
        <v>1.0000000000000009E-2</v>
      </c>
      <c r="CY81" s="118">
        <v>1.0000000000000009E-2</v>
      </c>
      <c r="CZ81" s="118">
        <v>1.0000000000000009E-2</v>
      </c>
      <c r="DA81" s="118">
        <v>1.0000000000000009E-2</v>
      </c>
      <c r="DB81" s="239">
        <f>+DB80/CW80-1</f>
        <v>1.0000000000000009E-2</v>
      </c>
    </row>
    <row r="82" spans="1:106">
      <c r="A82" s="117" t="s">
        <v>282</v>
      </c>
      <c r="B82" s="13">
        <f>+B80/B86</f>
        <v>0.17910623183033847</v>
      </c>
      <c r="C82" s="13">
        <f t="shared" ref="C82:F82" si="1800">+C80/C86</f>
        <v>0.17910623183033847</v>
      </c>
      <c r="D82" s="13">
        <f t="shared" si="1800"/>
        <v>0.17910623183033847</v>
      </c>
      <c r="E82" s="13">
        <f t="shared" si="1800"/>
        <v>0.17910623183033847</v>
      </c>
      <c r="F82" s="239">
        <f t="shared" si="1800"/>
        <v>0.17910623183033847</v>
      </c>
      <c r="G82" s="13">
        <f>+G80/G86</f>
        <v>0.17910623183033847</v>
      </c>
      <c r="H82" s="13">
        <f t="shared" ref="H82:K82" si="1801">+H80/H86</f>
        <v>0.17910623183033847</v>
      </c>
      <c r="I82" s="13">
        <f t="shared" si="1801"/>
        <v>0.17910623183033847</v>
      </c>
      <c r="J82" s="13">
        <f t="shared" si="1801"/>
        <v>0.17910623183033847</v>
      </c>
      <c r="K82" s="239">
        <f t="shared" si="1801"/>
        <v>0.17910623183033847</v>
      </c>
      <c r="L82" s="13">
        <f>+L80/L86</f>
        <v>0.17910623183033847</v>
      </c>
      <c r="M82" s="13">
        <f t="shared" ref="M82:P82" si="1802">+M80/M86</f>
        <v>0.17910623183033847</v>
      </c>
      <c r="N82" s="13">
        <f t="shared" si="1802"/>
        <v>0.17910623183033847</v>
      </c>
      <c r="O82" s="13">
        <f t="shared" si="1802"/>
        <v>0.17910623183033847</v>
      </c>
      <c r="P82" s="239">
        <f t="shared" si="1802"/>
        <v>0.17910623183033847</v>
      </c>
      <c r="Q82" s="13">
        <f>+Q80/Q86</f>
        <v>0.1791062318303385</v>
      </c>
      <c r="R82" s="13">
        <f t="shared" ref="R82:U82" si="1803">+R80/R86</f>
        <v>0.1791062318303385</v>
      </c>
      <c r="S82" s="13">
        <f t="shared" si="1803"/>
        <v>0.1791062318303385</v>
      </c>
      <c r="T82" s="13">
        <f t="shared" si="1803"/>
        <v>0.1791062318303385</v>
      </c>
      <c r="U82" s="239">
        <f t="shared" si="1803"/>
        <v>0.1791062318303385</v>
      </c>
      <c r="V82" s="13">
        <f>+V80/V86</f>
        <v>0.1791062318303385</v>
      </c>
      <c r="W82" s="13">
        <f t="shared" ref="W82:Z82" si="1804">+W80/W86</f>
        <v>0.1791062318303385</v>
      </c>
      <c r="X82" s="13">
        <f t="shared" si="1804"/>
        <v>0.1791062318303385</v>
      </c>
      <c r="Y82" s="13">
        <f t="shared" si="1804"/>
        <v>0.1791062318303385</v>
      </c>
      <c r="Z82" s="239">
        <f t="shared" si="1804"/>
        <v>0.1791062318303385</v>
      </c>
      <c r="AA82" s="13">
        <f>+AA80/AA86</f>
        <v>0.17910623183033852</v>
      </c>
      <c r="AB82" s="13">
        <f t="shared" ref="AB82:AE82" si="1805">+AB80/AB86</f>
        <v>0.17910623183033852</v>
      </c>
      <c r="AC82" s="13">
        <f t="shared" si="1805"/>
        <v>0.17910623183033852</v>
      </c>
      <c r="AD82" s="13">
        <f t="shared" si="1805"/>
        <v>0.17910623183033852</v>
      </c>
      <c r="AE82" s="239">
        <f t="shared" si="1805"/>
        <v>0.17910623183033852</v>
      </c>
      <c r="AF82" s="13">
        <f>+AF80/AF86</f>
        <v>0.1791062318303385</v>
      </c>
      <c r="AG82" s="13">
        <f t="shared" ref="AG82:AJ82" si="1806">+AG80/AG86</f>
        <v>0.1791062318303385</v>
      </c>
      <c r="AH82" s="13">
        <f t="shared" si="1806"/>
        <v>0.1791062318303385</v>
      </c>
      <c r="AI82" s="13">
        <f t="shared" si="1806"/>
        <v>0.1791062318303385</v>
      </c>
      <c r="AJ82" s="239">
        <f t="shared" si="1806"/>
        <v>0.1791062318303385</v>
      </c>
      <c r="AK82" s="13">
        <f>+AK80/AK86</f>
        <v>0.1791062318303385</v>
      </c>
      <c r="AL82" s="13">
        <f t="shared" ref="AL82:AO82" si="1807">+AL80/AL86</f>
        <v>0.1791062318303385</v>
      </c>
      <c r="AM82" s="13">
        <f t="shared" si="1807"/>
        <v>0.1791062318303385</v>
      </c>
      <c r="AN82" s="13">
        <f t="shared" si="1807"/>
        <v>0.1791062318303385</v>
      </c>
      <c r="AO82" s="239">
        <f t="shared" si="1807"/>
        <v>0.1791062318303385</v>
      </c>
      <c r="AP82" s="13">
        <f>+AP80/AP86</f>
        <v>0.1791062318303385</v>
      </c>
      <c r="AQ82" s="13">
        <f t="shared" ref="AQ82:AT82" si="1808">+AQ80/AQ86</f>
        <v>0.1791062318303385</v>
      </c>
      <c r="AR82" s="13">
        <f t="shared" si="1808"/>
        <v>0.1791062318303385</v>
      </c>
      <c r="AS82" s="13">
        <f t="shared" si="1808"/>
        <v>0.1791062318303385</v>
      </c>
      <c r="AT82" s="239">
        <f t="shared" si="1808"/>
        <v>0.1791062318303385</v>
      </c>
      <c r="AU82" s="13">
        <f>+AU80/AU86</f>
        <v>0.17910623183033852</v>
      </c>
      <c r="AV82" s="13">
        <f t="shared" ref="AV82:AY82" si="1809">+AV80/AV86</f>
        <v>0.17910623183033852</v>
      </c>
      <c r="AW82" s="13">
        <f t="shared" si="1809"/>
        <v>0.17910623183033852</v>
      </c>
      <c r="AX82" s="13">
        <f t="shared" si="1809"/>
        <v>0.17910623183033852</v>
      </c>
      <c r="AY82" s="239">
        <f t="shared" si="1809"/>
        <v>0.17910623183033852</v>
      </c>
      <c r="AZ82" s="13">
        <f>+AZ80/AZ86</f>
        <v>0.1791062318303385</v>
      </c>
      <c r="BA82" s="13">
        <f t="shared" ref="BA82:BD82" si="1810">+BA80/BA86</f>
        <v>0.1791062318303385</v>
      </c>
      <c r="BB82" s="13">
        <f t="shared" si="1810"/>
        <v>0.1791062318303385</v>
      </c>
      <c r="BC82" s="13">
        <f t="shared" si="1810"/>
        <v>0.1791062318303385</v>
      </c>
      <c r="BD82" s="239">
        <f t="shared" si="1810"/>
        <v>0.1791062318303385</v>
      </c>
      <c r="BE82" s="13">
        <f>+BE80/BE86</f>
        <v>0.1791062318303385</v>
      </c>
      <c r="BF82" s="13">
        <f t="shared" ref="BF82:BI82" si="1811">+BF80/BF86</f>
        <v>0.1791062318303385</v>
      </c>
      <c r="BG82" s="13">
        <f t="shared" si="1811"/>
        <v>0.1791062318303385</v>
      </c>
      <c r="BH82" s="13">
        <f t="shared" si="1811"/>
        <v>0.1791062318303385</v>
      </c>
      <c r="BI82" s="239">
        <f t="shared" si="1811"/>
        <v>0.1791062318303385</v>
      </c>
      <c r="BJ82" s="13">
        <f>+BJ80/BJ86</f>
        <v>0.1791062318303385</v>
      </c>
      <c r="BK82" s="13">
        <f t="shared" ref="BK82:BM82" si="1812">+BK80/BK86</f>
        <v>0.1791062318303385</v>
      </c>
      <c r="BL82" s="13">
        <f t="shared" si="1812"/>
        <v>0.1791062318303385</v>
      </c>
      <c r="BM82" s="13">
        <f t="shared" si="1812"/>
        <v>0.1791062318303385</v>
      </c>
      <c r="BN82" s="239">
        <f>+BN80/BN86</f>
        <v>0.1791062318303385</v>
      </c>
      <c r="BO82" s="13">
        <f t="shared" ref="BO82:BQ82" si="1813">+BO80/BO86</f>
        <v>0.17910623183033847</v>
      </c>
      <c r="BP82" s="13">
        <f t="shared" si="1813"/>
        <v>0.17910623183033847</v>
      </c>
      <c r="BQ82" s="13">
        <f t="shared" si="1813"/>
        <v>0.17910623183033847</v>
      </c>
      <c r="BR82" s="13">
        <f t="shared" ref="BR82" si="1814">+BR80/BR86</f>
        <v>0.17910623183033847</v>
      </c>
      <c r="BS82" s="239">
        <f>+BS80/BS86</f>
        <v>0.17910623183033847</v>
      </c>
      <c r="BT82" s="13">
        <f t="shared" ref="BT82:BV82" si="1815">+BT80/BT86</f>
        <v>0.17910623183033847</v>
      </c>
      <c r="BU82" s="13">
        <f t="shared" si="1815"/>
        <v>0.17910623183033847</v>
      </c>
      <c r="BV82" s="13">
        <f t="shared" si="1815"/>
        <v>0.17910623183033847</v>
      </c>
      <c r="BW82" s="13">
        <f t="shared" ref="BW82:BX82" si="1816">+BW80/BW86</f>
        <v>0.17910623183033847</v>
      </c>
      <c r="BX82" s="239">
        <f t="shared" si="1816"/>
        <v>0.17910623183033847</v>
      </c>
      <c r="BY82" s="13">
        <f>+BY80/BY86</f>
        <v>0.1791062318303385</v>
      </c>
      <c r="BZ82" s="13">
        <f t="shared" ref="BZ82:CB82" si="1817">+BZ80/BZ86</f>
        <v>0.1791062318303385</v>
      </c>
      <c r="CA82" s="13">
        <f t="shared" si="1817"/>
        <v>0.1791062318303385</v>
      </c>
      <c r="CB82" s="13">
        <f t="shared" si="1817"/>
        <v>0.1791062318303385</v>
      </c>
      <c r="CC82" s="239">
        <f t="shared" ref="CC82" si="1818">+CC80/CC86</f>
        <v>0.1791062318303385</v>
      </c>
      <c r="CD82" s="13">
        <f>+CD80/CD86</f>
        <v>0.17910623183033847</v>
      </c>
      <c r="CE82" s="13">
        <f t="shared" ref="CE82:CG82" si="1819">+CE80/CE86</f>
        <v>0.17910623183033847</v>
      </c>
      <c r="CF82" s="13">
        <f t="shared" si="1819"/>
        <v>0.17910623183033847</v>
      </c>
      <c r="CG82" s="13">
        <f t="shared" si="1819"/>
        <v>0.17910623183033847</v>
      </c>
      <c r="CH82" s="239">
        <f t="shared" ref="CH82" si="1820">+CH80/CH86</f>
        <v>0.17910623183033847</v>
      </c>
      <c r="CI82" s="13">
        <f>+CI80/CI86</f>
        <v>0.17910623183033847</v>
      </c>
      <c r="CJ82" s="13">
        <f t="shared" ref="CJ82:CL82" si="1821">+CJ80/CJ86</f>
        <v>0.17910623183033847</v>
      </c>
      <c r="CK82" s="13">
        <f t="shared" si="1821"/>
        <v>0.17910623183033847</v>
      </c>
      <c r="CL82" s="13">
        <f t="shared" si="1821"/>
        <v>0.17910623183033847</v>
      </c>
      <c r="CM82" s="239">
        <f t="shared" ref="CM82" si="1822">+CM80/CM86</f>
        <v>0.17910623183033847</v>
      </c>
      <c r="CN82" s="13">
        <f>+CN80/CN86</f>
        <v>0.17910623183033847</v>
      </c>
      <c r="CO82" s="13">
        <f t="shared" ref="CO82:CQ82" si="1823">+CO80/CO86</f>
        <v>0.17910623183033847</v>
      </c>
      <c r="CP82" s="13">
        <f t="shared" si="1823"/>
        <v>0.17910623183033847</v>
      </c>
      <c r="CQ82" s="13">
        <f t="shared" si="1823"/>
        <v>0.17910623183033847</v>
      </c>
      <c r="CR82" s="239">
        <f t="shared" ref="CR82" si="1824">+CR80/CR86</f>
        <v>0.17910623183033847</v>
      </c>
      <c r="CS82" s="13">
        <f>+CS80/CS86</f>
        <v>0.1791062318303385</v>
      </c>
      <c r="CT82" s="13">
        <f t="shared" ref="CT82:CV82" si="1825">+CT80/CT86</f>
        <v>0.1791062318303385</v>
      </c>
      <c r="CU82" s="13">
        <f t="shared" si="1825"/>
        <v>0.1791062318303385</v>
      </c>
      <c r="CV82" s="13">
        <f t="shared" si="1825"/>
        <v>0.1791062318303385</v>
      </c>
      <c r="CW82" s="239">
        <f t="shared" ref="CW82" si="1826">+CW80/CW86</f>
        <v>0.1791062318303385</v>
      </c>
      <c r="CX82" s="13">
        <f>+CX80/CX86</f>
        <v>0.1791062318303385</v>
      </c>
      <c r="CY82" s="13">
        <f t="shared" ref="CY82:DA82" si="1827">+CY80/CY86</f>
        <v>0.1791062318303385</v>
      </c>
      <c r="CZ82" s="13">
        <f t="shared" si="1827"/>
        <v>0.1791062318303385</v>
      </c>
      <c r="DA82" s="13">
        <f t="shared" si="1827"/>
        <v>0.1791062318303385</v>
      </c>
      <c r="DB82" s="239">
        <f t="shared" ref="DB82" si="1828">+DB80/DB86</f>
        <v>0.1791062318303385</v>
      </c>
    </row>
    <row r="83" spans="1:106" s="51" customFormat="1">
      <c r="A83" s="51" t="s">
        <v>283</v>
      </c>
      <c r="B83" s="213">
        <f>+F83/4</f>
        <v>1033689.75</v>
      </c>
      <c r="C83" s="213">
        <f>+F83/4</f>
        <v>1033689.75</v>
      </c>
      <c r="D83" s="213">
        <f>+F83/4</f>
        <v>1033689.75</v>
      </c>
      <c r="E83" s="213">
        <f>+F83/4</f>
        <v>1033689.75</v>
      </c>
      <c r="F83" s="234">
        <v>4134759</v>
      </c>
      <c r="G83" s="213">
        <f>+B83*(1+G84)</f>
        <v>1044026.6475</v>
      </c>
      <c r="H83" s="213">
        <f t="shared" ref="H83" si="1829">+C83*(1+H84)</f>
        <v>1044026.6475</v>
      </c>
      <c r="I83" s="213">
        <f t="shared" ref="I83" si="1830">+D83*(1+I84)</f>
        <v>1044026.6475</v>
      </c>
      <c r="J83" s="213">
        <f t="shared" ref="J83" si="1831">+E83*(1+J84)</f>
        <v>1044026.6475</v>
      </c>
      <c r="K83" s="234">
        <f>+G83+H83+I83+J83</f>
        <v>4176106.59</v>
      </c>
      <c r="L83" s="213">
        <f>+G83*(1+L84)</f>
        <v>1054466.9139749999</v>
      </c>
      <c r="M83" s="213">
        <f t="shared" ref="M83" si="1832">+H83*(1+M84)</f>
        <v>1054466.9139749999</v>
      </c>
      <c r="N83" s="213">
        <f t="shared" ref="N83" si="1833">+I83*(1+N84)</f>
        <v>1054466.9139749999</v>
      </c>
      <c r="O83" s="213">
        <f t="shared" ref="O83" si="1834">+J83*(1+O84)</f>
        <v>1054466.9139749999</v>
      </c>
      <c r="P83" s="234">
        <f>+L83+M83+N83+O83</f>
        <v>4217867.6558999997</v>
      </c>
      <c r="Q83" s="213">
        <f>+L83*(1+Q84)</f>
        <v>1065011.58311475</v>
      </c>
      <c r="R83" s="213">
        <f t="shared" ref="R83" si="1835">+M83*(1+R84)</f>
        <v>1065011.58311475</v>
      </c>
      <c r="S83" s="213">
        <f t="shared" ref="S83" si="1836">+N83*(1+S84)</f>
        <v>1065011.58311475</v>
      </c>
      <c r="T83" s="213">
        <f t="shared" ref="T83" si="1837">+O83*(1+T84)</f>
        <v>1065011.58311475</v>
      </c>
      <c r="U83" s="234">
        <f>+Q83+R83+S83+T83</f>
        <v>4260046.3324589999</v>
      </c>
      <c r="V83" s="213">
        <f>+Q83*(1+V84)</f>
        <v>1075661.6989458974</v>
      </c>
      <c r="W83" s="213">
        <f t="shared" ref="W83" si="1838">+R83*(1+W84)</f>
        <v>1075661.6989458974</v>
      </c>
      <c r="X83" s="213">
        <f t="shared" ref="X83" si="1839">+S83*(1+X84)</f>
        <v>1075661.6989458974</v>
      </c>
      <c r="Y83" s="213">
        <f t="shared" ref="Y83" si="1840">+T83*(1+Y84)</f>
        <v>1075661.6989458974</v>
      </c>
      <c r="Z83" s="234">
        <f>+V83+W83+X83+Y83</f>
        <v>4302646.7957835896</v>
      </c>
      <c r="AA83" s="213">
        <f>+V83*(1+AA84)</f>
        <v>1086418.3159353563</v>
      </c>
      <c r="AB83" s="213">
        <f t="shared" ref="AB83" si="1841">+W83*(1+AB84)</f>
        <v>1086418.3159353563</v>
      </c>
      <c r="AC83" s="213">
        <f t="shared" ref="AC83" si="1842">+X83*(1+AC84)</f>
        <v>1086418.3159353563</v>
      </c>
      <c r="AD83" s="213">
        <f t="shared" ref="AD83" si="1843">+Y83*(1+AD84)</f>
        <v>1086418.3159353563</v>
      </c>
      <c r="AE83" s="234">
        <f>+AA83+AB83+AC83+AD83</f>
        <v>4345673.2637414252</v>
      </c>
      <c r="AF83" s="213">
        <f>+AA83*(1+AF84)</f>
        <v>1097282.49909471</v>
      </c>
      <c r="AG83" s="213">
        <f t="shared" ref="AG83" si="1844">+AB83*(1+AG84)</f>
        <v>1097282.49909471</v>
      </c>
      <c r="AH83" s="213">
        <f t="shared" ref="AH83" si="1845">+AC83*(1+AH84)</f>
        <v>1097282.49909471</v>
      </c>
      <c r="AI83" s="213">
        <f t="shared" ref="AI83" si="1846">+AD83*(1+AI84)</f>
        <v>1097282.49909471</v>
      </c>
      <c r="AJ83" s="234">
        <f>+AF83+AG83+AH83+AI83</f>
        <v>4389129.9963788399</v>
      </c>
      <c r="AK83" s="213">
        <f>+AF83*(1+AK84)</f>
        <v>1108255.324085657</v>
      </c>
      <c r="AL83" s="213">
        <f t="shared" ref="AL83" si="1847">+AG83*(1+AL84)</f>
        <v>1108255.324085657</v>
      </c>
      <c r="AM83" s="213">
        <f t="shared" ref="AM83" si="1848">+AH83*(1+AM84)</f>
        <v>1108255.324085657</v>
      </c>
      <c r="AN83" s="213">
        <f t="shared" ref="AN83" si="1849">+AI83*(1+AN84)</f>
        <v>1108255.324085657</v>
      </c>
      <c r="AO83" s="234">
        <f>+AK83+AL83+AM83+AN83</f>
        <v>4433021.2963426281</v>
      </c>
      <c r="AP83" s="213">
        <f>+AK83*(1+AP84)</f>
        <v>1119337.8773265136</v>
      </c>
      <c r="AQ83" s="213">
        <f t="shared" ref="AQ83" si="1850">+AL83*(1+AQ84)</f>
        <v>1119337.8773265136</v>
      </c>
      <c r="AR83" s="213">
        <f t="shared" ref="AR83" si="1851">+AM83*(1+AR84)</f>
        <v>1119337.8773265136</v>
      </c>
      <c r="AS83" s="213">
        <f t="shared" ref="AS83" si="1852">+AN83*(1+AS84)</f>
        <v>1119337.8773265136</v>
      </c>
      <c r="AT83" s="234">
        <f>+AP83+AQ83+AR83+AS83</f>
        <v>4477351.5093060546</v>
      </c>
      <c r="AU83" s="213">
        <f>+AP83*(1+AU84)</f>
        <v>1130531.2560997787</v>
      </c>
      <c r="AV83" s="213">
        <f t="shared" ref="AV83" si="1853">+AQ83*(1+AV84)</f>
        <v>1130531.2560997787</v>
      </c>
      <c r="AW83" s="213">
        <f t="shared" ref="AW83" si="1854">+AR83*(1+AW84)</f>
        <v>1130531.2560997787</v>
      </c>
      <c r="AX83" s="213">
        <f t="shared" ref="AX83" si="1855">+AS83*(1+AX84)</f>
        <v>1130531.2560997787</v>
      </c>
      <c r="AY83" s="234">
        <f>+AU83+AV83+AW83+AX83</f>
        <v>4522125.0243991148</v>
      </c>
      <c r="AZ83" s="213">
        <f>+AU83*(1+AZ84)</f>
        <v>1141836.5686607766</v>
      </c>
      <c r="BA83" s="213">
        <f t="shared" ref="BA83" si="1856">+AV83*(1+BA84)</f>
        <v>1141836.5686607766</v>
      </c>
      <c r="BB83" s="213">
        <f t="shared" ref="BB83" si="1857">+AW83*(1+BB84)</f>
        <v>1141836.5686607766</v>
      </c>
      <c r="BC83" s="213">
        <f t="shared" ref="BC83" si="1858">+AX83*(1+BC84)</f>
        <v>1141836.5686607766</v>
      </c>
      <c r="BD83" s="234">
        <f>+AZ83+BA83+BB83+BC83</f>
        <v>4567346.2746431064</v>
      </c>
      <c r="BE83" s="213">
        <f>+AZ83*(1+BE84)</f>
        <v>1153254.9343473844</v>
      </c>
      <c r="BF83" s="213">
        <f t="shared" ref="BF83" si="1859">+BA83*(1+BF84)</f>
        <v>1153254.9343473844</v>
      </c>
      <c r="BG83" s="213">
        <f t="shared" ref="BG83" si="1860">+BB83*(1+BG84)</f>
        <v>1153254.9343473844</v>
      </c>
      <c r="BH83" s="213">
        <f t="shared" ref="BH83" si="1861">+BC83*(1+BH84)</f>
        <v>1153254.9343473844</v>
      </c>
      <c r="BI83" s="234">
        <f>+BE83+BF83+BG83+BH83</f>
        <v>4613019.7373895375</v>
      </c>
      <c r="BJ83" s="213">
        <f>+BE83*(1+BJ84)</f>
        <v>1164787.4836908581</v>
      </c>
      <c r="BK83" s="213">
        <f t="shared" ref="BK83" si="1862">+BF83*(1+BK84)</f>
        <v>1164787.4836908581</v>
      </c>
      <c r="BL83" s="213">
        <f t="shared" ref="BL83" si="1863">+BG83*(1+BL84)</f>
        <v>1164787.4836908581</v>
      </c>
      <c r="BM83" s="213">
        <f t="shared" ref="BM83" si="1864">+BH83*(1+BM84)</f>
        <v>1164787.4836908581</v>
      </c>
      <c r="BN83" s="234">
        <f>+BI83*(1+BN84)</f>
        <v>4659149.9347634325</v>
      </c>
      <c r="BO83" s="213">
        <f t="shared" ref="BO83" si="1865">+BJ83*(1+BO84)</f>
        <v>1176435.3585277668</v>
      </c>
      <c r="BP83" s="213">
        <f t="shared" ref="BP83" si="1866">+BK83*(1+BP84)</f>
        <v>1176435.3585277668</v>
      </c>
      <c r="BQ83" s="213">
        <f t="shared" ref="BQ83" si="1867">+BL83*(1+BQ84)</f>
        <v>1176435.3585277668</v>
      </c>
      <c r="BR83" s="213">
        <f t="shared" ref="BR83" si="1868">+BM83*(1+BR84)</f>
        <v>1176435.3585277668</v>
      </c>
      <c r="BS83" s="234">
        <f>+BN83*(1+BS84)</f>
        <v>4705741.4341110671</v>
      </c>
      <c r="BT83" s="213">
        <f t="shared" ref="BT83" si="1869">+BO83*(1+BT84)</f>
        <v>1188199.7121130445</v>
      </c>
      <c r="BU83" s="213">
        <f t="shared" ref="BU83" si="1870">+BP83*(1+BU84)</f>
        <v>1188199.7121130445</v>
      </c>
      <c r="BV83" s="213">
        <f t="shared" ref="BV83" si="1871">+BQ83*(1+BV84)</f>
        <v>1188199.7121130445</v>
      </c>
      <c r="BW83" s="213">
        <f t="shared" ref="BW83" si="1872">+BR83*(1+BW84)</f>
        <v>1188199.7121130445</v>
      </c>
      <c r="BX83" s="234">
        <f>+BT83+BU83+BV83+BW83</f>
        <v>4752798.8484521778</v>
      </c>
      <c r="BY83" s="213">
        <f>+BT83*(1+BY84)</f>
        <v>1200081.7092341748</v>
      </c>
      <c r="BZ83" s="213">
        <f t="shared" ref="BZ83" si="1873">+BU83*(1+BZ84)</f>
        <v>1200081.7092341748</v>
      </c>
      <c r="CA83" s="213">
        <f t="shared" ref="CA83" si="1874">+BV83*(1+CA84)</f>
        <v>1200081.7092341748</v>
      </c>
      <c r="CB83" s="213">
        <f t="shared" ref="CB83" si="1875">+BW83*(1+CB84)</f>
        <v>1200081.7092341748</v>
      </c>
      <c r="CC83" s="234">
        <f>+BY83+BZ83+CA83+CB83</f>
        <v>4800326.8369366992</v>
      </c>
      <c r="CD83" s="213">
        <f>+BY83*(1+CD84)</f>
        <v>1212082.5263265166</v>
      </c>
      <c r="CE83" s="213">
        <f t="shared" ref="CE83" si="1876">+BZ83*(1+CE84)</f>
        <v>1212082.5263265166</v>
      </c>
      <c r="CF83" s="213">
        <f t="shared" ref="CF83" si="1877">+CA83*(1+CF84)</f>
        <v>1212082.5263265166</v>
      </c>
      <c r="CG83" s="213">
        <f t="shared" ref="CG83" si="1878">+CB83*(1+CG84)</f>
        <v>1212082.5263265166</v>
      </c>
      <c r="CH83" s="234">
        <f>+CD83+CE83+CF83+CG83</f>
        <v>4848330.1053060666</v>
      </c>
      <c r="CI83" s="213">
        <f>+CD83*(1+CI84)</f>
        <v>1224203.3515897819</v>
      </c>
      <c r="CJ83" s="213">
        <f t="shared" ref="CJ83" si="1879">+CE83*(1+CJ84)</f>
        <v>1224203.3515897819</v>
      </c>
      <c r="CK83" s="213">
        <f t="shared" ref="CK83" si="1880">+CF83*(1+CK84)</f>
        <v>1224203.3515897819</v>
      </c>
      <c r="CL83" s="213">
        <f t="shared" ref="CL83" si="1881">+CG83*(1+CL84)</f>
        <v>1224203.3515897819</v>
      </c>
      <c r="CM83" s="234">
        <f>+CI83+CJ83+CK83+CL83</f>
        <v>4896813.4063591277</v>
      </c>
      <c r="CN83" s="213">
        <f>+CI83*(1+CN84)</f>
        <v>1236445.3851056797</v>
      </c>
      <c r="CO83" s="213">
        <f t="shared" ref="CO83" si="1882">+CJ83*(1+CO84)</f>
        <v>1236445.3851056797</v>
      </c>
      <c r="CP83" s="213">
        <f t="shared" ref="CP83" si="1883">+CK83*(1+CP84)</f>
        <v>1236445.3851056797</v>
      </c>
      <c r="CQ83" s="213">
        <f t="shared" ref="CQ83" si="1884">+CL83*(1+CQ84)</f>
        <v>1236445.3851056797</v>
      </c>
      <c r="CR83" s="234">
        <f>+CN83+CO83+CP83+CQ83</f>
        <v>4945781.540422719</v>
      </c>
      <c r="CS83" s="213">
        <f>+CN83*(1+CS84)</f>
        <v>1248809.8389567365</v>
      </c>
      <c r="CT83" s="213">
        <f t="shared" ref="CT83" si="1885">+CO83*(1+CT84)</f>
        <v>1248809.8389567365</v>
      </c>
      <c r="CU83" s="213">
        <f t="shared" ref="CU83" si="1886">+CP83*(1+CU84)</f>
        <v>1248809.8389567365</v>
      </c>
      <c r="CV83" s="213">
        <f t="shared" ref="CV83" si="1887">+CQ83*(1+CV84)</f>
        <v>1248809.8389567365</v>
      </c>
      <c r="CW83" s="234">
        <f>+CS83+CT83+CU83+CV83</f>
        <v>4995239.355826946</v>
      </c>
      <c r="CX83" s="213">
        <f>+CS83*(1+CX84)</f>
        <v>1261297.9373463038</v>
      </c>
      <c r="CY83" s="213">
        <f t="shared" ref="CY83" si="1888">+CT83*(1+CY84)</f>
        <v>1261297.9373463038</v>
      </c>
      <c r="CZ83" s="213">
        <f t="shared" ref="CZ83" si="1889">+CU83*(1+CZ84)</f>
        <v>1261297.9373463038</v>
      </c>
      <c r="DA83" s="213">
        <f t="shared" ref="DA83" si="1890">+CV83*(1+DA84)</f>
        <v>1261297.9373463038</v>
      </c>
      <c r="DB83" s="234">
        <f>+CX83+CY83+CZ83+DA83</f>
        <v>5045191.7493852153</v>
      </c>
    </row>
    <row r="84" spans="1:106">
      <c r="A84" s="117" t="s">
        <v>281</v>
      </c>
      <c r="B84" s="119" t="s">
        <v>290</v>
      </c>
      <c r="C84" s="119" t="s">
        <v>290</v>
      </c>
      <c r="D84" s="119" t="s">
        <v>290</v>
      </c>
      <c r="E84" s="119" t="s">
        <v>290</v>
      </c>
      <c r="F84" s="235" t="s">
        <v>290</v>
      </c>
      <c r="G84" s="118">
        <v>1.0000000000000009E-2</v>
      </c>
      <c r="H84" s="118">
        <v>1.0000000000000009E-2</v>
      </c>
      <c r="I84" s="118">
        <v>1.0000000000000009E-2</v>
      </c>
      <c r="J84" s="118">
        <v>1.0000000000000009E-2</v>
      </c>
      <c r="K84" s="239">
        <f>+K83/F83-1</f>
        <v>1.0000000000000009E-2</v>
      </c>
      <c r="L84" s="118">
        <v>1.0000000000000009E-2</v>
      </c>
      <c r="M84" s="118">
        <v>1.0000000000000009E-2</v>
      </c>
      <c r="N84" s="118">
        <v>1.0000000000000009E-2</v>
      </c>
      <c r="O84" s="118">
        <v>1.0000000000000009E-2</v>
      </c>
      <c r="P84" s="239">
        <f>+P83/K83-1</f>
        <v>1.0000000000000009E-2</v>
      </c>
      <c r="Q84" s="118">
        <v>1.0000000000000009E-2</v>
      </c>
      <c r="R84" s="118">
        <v>1.0000000000000009E-2</v>
      </c>
      <c r="S84" s="118">
        <v>1.0000000000000009E-2</v>
      </c>
      <c r="T84" s="118">
        <v>1.0000000000000009E-2</v>
      </c>
      <c r="U84" s="239">
        <f>+U83/P83-1</f>
        <v>1.0000000000000009E-2</v>
      </c>
      <c r="V84" s="118">
        <v>1.0000000000000009E-2</v>
      </c>
      <c r="W84" s="118">
        <v>1.0000000000000009E-2</v>
      </c>
      <c r="X84" s="118">
        <v>1.0000000000000009E-2</v>
      </c>
      <c r="Y84" s="118">
        <v>1.0000000000000009E-2</v>
      </c>
      <c r="Z84" s="239">
        <f>+Z83/U83-1</f>
        <v>1.0000000000000009E-2</v>
      </c>
      <c r="AA84" s="118">
        <v>1.0000000000000009E-2</v>
      </c>
      <c r="AB84" s="118">
        <v>1.0000000000000009E-2</v>
      </c>
      <c r="AC84" s="118">
        <v>1.0000000000000009E-2</v>
      </c>
      <c r="AD84" s="118">
        <v>1.0000000000000009E-2</v>
      </c>
      <c r="AE84" s="239">
        <f>+AE83/Z83-1</f>
        <v>1.0000000000000009E-2</v>
      </c>
      <c r="AF84" s="118">
        <v>1.0000000000000009E-2</v>
      </c>
      <c r="AG84" s="118">
        <v>1.0000000000000009E-2</v>
      </c>
      <c r="AH84" s="118">
        <v>1.0000000000000009E-2</v>
      </c>
      <c r="AI84" s="118">
        <v>1.0000000000000009E-2</v>
      </c>
      <c r="AJ84" s="239">
        <f>+AJ83/AE83-1</f>
        <v>1.0000000000000009E-2</v>
      </c>
      <c r="AK84" s="118">
        <v>1.0000000000000009E-2</v>
      </c>
      <c r="AL84" s="118">
        <v>1.0000000000000009E-2</v>
      </c>
      <c r="AM84" s="118">
        <v>1.0000000000000009E-2</v>
      </c>
      <c r="AN84" s="118">
        <v>1.0000000000000009E-2</v>
      </c>
      <c r="AO84" s="239">
        <f>+AO83/AJ83-1</f>
        <v>1.0000000000000009E-2</v>
      </c>
      <c r="AP84" s="118">
        <v>1.0000000000000009E-2</v>
      </c>
      <c r="AQ84" s="118">
        <v>1.0000000000000009E-2</v>
      </c>
      <c r="AR84" s="118">
        <v>1.0000000000000009E-2</v>
      </c>
      <c r="AS84" s="118">
        <v>1.0000000000000009E-2</v>
      </c>
      <c r="AT84" s="239">
        <f>+AT83/AO83-1</f>
        <v>1.0000000000000009E-2</v>
      </c>
      <c r="AU84" s="118">
        <v>1.0000000000000009E-2</v>
      </c>
      <c r="AV84" s="118">
        <v>1.0000000000000009E-2</v>
      </c>
      <c r="AW84" s="118">
        <v>1.0000000000000009E-2</v>
      </c>
      <c r="AX84" s="118">
        <v>1.0000000000000009E-2</v>
      </c>
      <c r="AY84" s="239">
        <f>+AY83/AT83-1</f>
        <v>1.0000000000000009E-2</v>
      </c>
      <c r="AZ84" s="118">
        <v>1.0000000000000009E-2</v>
      </c>
      <c r="BA84" s="118">
        <v>1.0000000000000009E-2</v>
      </c>
      <c r="BB84" s="118">
        <v>1.0000000000000009E-2</v>
      </c>
      <c r="BC84" s="118">
        <v>1.0000000000000009E-2</v>
      </c>
      <c r="BD84" s="239">
        <f>+BD83/AY83-1</f>
        <v>1.0000000000000009E-2</v>
      </c>
      <c r="BE84" s="118">
        <v>1.0000000000000009E-2</v>
      </c>
      <c r="BF84" s="118">
        <v>1.0000000000000009E-2</v>
      </c>
      <c r="BG84" s="118">
        <v>1.0000000000000009E-2</v>
      </c>
      <c r="BH84" s="118">
        <v>1.0000000000000009E-2</v>
      </c>
      <c r="BI84" s="239">
        <f>+BI83/BD83-1</f>
        <v>1.0000000000000009E-2</v>
      </c>
      <c r="BJ84" s="118">
        <v>1.0000000000000009E-2</v>
      </c>
      <c r="BK84" s="118">
        <v>1.0000000000000009E-2</v>
      </c>
      <c r="BL84" s="118">
        <v>1.0000000000000009E-2</v>
      </c>
      <c r="BM84" s="118">
        <v>1.0000000000000009E-2</v>
      </c>
      <c r="BN84" s="256">
        <v>1.0000000000000009E-2</v>
      </c>
      <c r="BO84" s="118">
        <v>1.0000000000000009E-2</v>
      </c>
      <c r="BP84" s="118">
        <v>1.0000000000000009E-2</v>
      </c>
      <c r="BQ84" s="118">
        <v>1.0000000000000009E-2</v>
      </c>
      <c r="BR84" s="118">
        <v>1.0000000000000009E-2</v>
      </c>
      <c r="BS84" s="256">
        <v>1.0000000000000009E-2</v>
      </c>
      <c r="BT84" s="118">
        <v>1.0000000000000009E-2</v>
      </c>
      <c r="BU84" s="118">
        <v>1.0000000000000009E-2</v>
      </c>
      <c r="BV84" s="118">
        <v>1.0000000000000009E-2</v>
      </c>
      <c r="BW84" s="118">
        <v>1.0000000000000009E-2</v>
      </c>
      <c r="BX84" s="239">
        <f>+BX83/BS83-1</f>
        <v>1.0000000000000009E-2</v>
      </c>
      <c r="BY84" s="118">
        <v>1.0000000000000009E-2</v>
      </c>
      <c r="BZ84" s="118">
        <v>1.0000000000000009E-2</v>
      </c>
      <c r="CA84" s="118">
        <v>1.0000000000000009E-2</v>
      </c>
      <c r="CB84" s="118">
        <v>1.0000000000000009E-2</v>
      </c>
      <c r="CC84" s="239">
        <f>+CC83/BX83-1</f>
        <v>1.0000000000000009E-2</v>
      </c>
      <c r="CD84" s="118">
        <v>1.0000000000000009E-2</v>
      </c>
      <c r="CE84" s="118">
        <v>1.0000000000000009E-2</v>
      </c>
      <c r="CF84" s="118">
        <v>1.0000000000000009E-2</v>
      </c>
      <c r="CG84" s="118">
        <v>1.0000000000000009E-2</v>
      </c>
      <c r="CH84" s="239">
        <f>+CH83/CC83-1</f>
        <v>1.0000000000000009E-2</v>
      </c>
      <c r="CI84" s="118">
        <v>1.0000000000000009E-2</v>
      </c>
      <c r="CJ84" s="118">
        <v>1.0000000000000009E-2</v>
      </c>
      <c r="CK84" s="118">
        <v>1.0000000000000009E-2</v>
      </c>
      <c r="CL84" s="118">
        <v>1.0000000000000009E-2</v>
      </c>
      <c r="CM84" s="239">
        <f>+CM83/CH83-1</f>
        <v>1.0000000000000009E-2</v>
      </c>
      <c r="CN84" s="118">
        <v>1.0000000000000009E-2</v>
      </c>
      <c r="CO84" s="118">
        <v>1.0000000000000009E-2</v>
      </c>
      <c r="CP84" s="118">
        <v>1.0000000000000009E-2</v>
      </c>
      <c r="CQ84" s="118">
        <v>1.0000000000000009E-2</v>
      </c>
      <c r="CR84" s="239">
        <f>+CR83/CM83-1</f>
        <v>1.0000000000000009E-2</v>
      </c>
      <c r="CS84" s="118">
        <v>1.0000000000000009E-2</v>
      </c>
      <c r="CT84" s="118">
        <v>1.0000000000000009E-2</v>
      </c>
      <c r="CU84" s="118">
        <v>1.0000000000000009E-2</v>
      </c>
      <c r="CV84" s="118">
        <v>1.0000000000000009E-2</v>
      </c>
      <c r="CW84" s="239">
        <f>+CW83/CR83-1</f>
        <v>1.0000000000000009E-2</v>
      </c>
      <c r="CX84" s="118">
        <v>1.0000000000000009E-2</v>
      </c>
      <c r="CY84" s="118">
        <v>1.0000000000000009E-2</v>
      </c>
      <c r="CZ84" s="118">
        <v>1.0000000000000009E-2</v>
      </c>
      <c r="DA84" s="118">
        <v>1.0000000000000009E-2</v>
      </c>
      <c r="DB84" s="239">
        <f>+DB83/CW83-1</f>
        <v>1.0000000000000009E-2</v>
      </c>
    </row>
    <row r="85" spans="1:106">
      <c r="A85" s="117" t="s">
        <v>282</v>
      </c>
      <c r="B85" s="13">
        <f>+B83/B86</f>
        <v>0.82089376816966153</v>
      </c>
      <c r="C85" s="13">
        <f t="shared" ref="C85:F85" si="1891">+C83/C86</f>
        <v>0.82089376816966153</v>
      </c>
      <c r="D85" s="13">
        <f t="shared" si="1891"/>
        <v>0.82089376816966153</v>
      </c>
      <c r="E85" s="13">
        <f t="shared" si="1891"/>
        <v>0.82089376816966153</v>
      </c>
      <c r="F85" s="239">
        <f t="shared" si="1891"/>
        <v>0.82089376816966153</v>
      </c>
      <c r="G85" s="13">
        <f>+G83/G86</f>
        <v>0.82089376816966142</v>
      </c>
      <c r="H85" s="13">
        <f t="shared" ref="H85" si="1892">+H83/H86</f>
        <v>0.82089376816966142</v>
      </c>
      <c r="I85" s="13">
        <f t="shared" ref="I85" si="1893">+I83/I86</f>
        <v>0.82089376816966142</v>
      </c>
      <c r="J85" s="13">
        <f t="shared" ref="J85" si="1894">+J83/J86</f>
        <v>0.82089376816966142</v>
      </c>
      <c r="K85" s="239">
        <f t="shared" ref="K85" si="1895">+K83/K86</f>
        <v>0.82089376816966142</v>
      </c>
      <c r="L85" s="13">
        <f>+L83/L86</f>
        <v>0.82089376816966142</v>
      </c>
      <c r="M85" s="13">
        <f t="shared" ref="M85" si="1896">+M83/M86</f>
        <v>0.82089376816966142</v>
      </c>
      <c r="N85" s="13">
        <f t="shared" ref="N85" si="1897">+N83/N86</f>
        <v>0.82089376816966142</v>
      </c>
      <c r="O85" s="13">
        <f t="shared" ref="O85" si="1898">+O83/O86</f>
        <v>0.82089376816966142</v>
      </c>
      <c r="P85" s="239">
        <f t="shared" ref="P85" si="1899">+P83/P86</f>
        <v>0.82089376816966142</v>
      </c>
      <c r="Q85" s="13">
        <f>+Q83/Q86</f>
        <v>0.82089376816966153</v>
      </c>
      <c r="R85" s="13">
        <f t="shared" ref="R85" si="1900">+R83/R86</f>
        <v>0.82089376816966153</v>
      </c>
      <c r="S85" s="13">
        <f t="shared" ref="S85" si="1901">+S83/S86</f>
        <v>0.82089376816966153</v>
      </c>
      <c r="T85" s="13">
        <f t="shared" ref="T85" si="1902">+T83/T86</f>
        <v>0.82089376816966153</v>
      </c>
      <c r="U85" s="239">
        <f t="shared" ref="U85" si="1903">+U83/U86</f>
        <v>0.82089376816966153</v>
      </c>
      <c r="V85" s="13">
        <f>+V83/V86</f>
        <v>0.82089376816966153</v>
      </c>
      <c r="W85" s="13">
        <f t="shared" ref="W85" si="1904">+W83/W86</f>
        <v>0.82089376816966153</v>
      </c>
      <c r="X85" s="13">
        <f t="shared" ref="X85" si="1905">+X83/X86</f>
        <v>0.82089376816966153</v>
      </c>
      <c r="Y85" s="13">
        <f t="shared" ref="Y85" si="1906">+Y83/Y86</f>
        <v>0.82089376816966153</v>
      </c>
      <c r="Z85" s="239">
        <f t="shared" ref="Z85" si="1907">+Z83/Z86</f>
        <v>0.82089376816966153</v>
      </c>
      <c r="AA85" s="13">
        <f>+AA83/AA86</f>
        <v>0.82089376816966153</v>
      </c>
      <c r="AB85" s="13">
        <f t="shared" ref="AB85" si="1908">+AB83/AB86</f>
        <v>0.82089376816966153</v>
      </c>
      <c r="AC85" s="13">
        <f t="shared" ref="AC85" si="1909">+AC83/AC86</f>
        <v>0.82089376816966153</v>
      </c>
      <c r="AD85" s="13">
        <f t="shared" ref="AD85" si="1910">+AD83/AD86</f>
        <v>0.82089376816966153</v>
      </c>
      <c r="AE85" s="239">
        <f t="shared" ref="AE85" si="1911">+AE83/AE86</f>
        <v>0.82089376816966153</v>
      </c>
      <c r="AF85" s="13">
        <f>+AF83/AF86</f>
        <v>0.82089376816966153</v>
      </c>
      <c r="AG85" s="13">
        <f t="shared" ref="AG85" si="1912">+AG83/AG86</f>
        <v>0.82089376816966153</v>
      </c>
      <c r="AH85" s="13">
        <f t="shared" ref="AH85" si="1913">+AH83/AH86</f>
        <v>0.82089376816966153</v>
      </c>
      <c r="AI85" s="13">
        <f t="shared" ref="AI85" si="1914">+AI83/AI86</f>
        <v>0.82089376816966153</v>
      </c>
      <c r="AJ85" s="239">
        <f t="shared" ref="AJ85" si="1915">+AJ83/AJ86</f>
        <v>0.82089376816966153</v>
      </c>
      <c r="AK85" s="13">
        <f>+AK83/AK86</f>
        <v>0.82089376816966153</v>
      </c>
      <c r="AL85" s="13">
        <f t="shared" ref="AL85" si="1916">+AL83/AL86</f>
        <v>0.82089376816966153</v>
      </c>
      <c r="AM85" s="13">
        <f t="shared" ref="AM85" si="1917">+AM83/AM86</f>
        <v>0.82089376816966153</v>
      </c>
      <c r="AN85" s="13">
        <f t="shared" ref="AN85" si="1918">+AN83/AN86</f>
        <v>0.82089376816966153</v>
      </c>
      <c r="AO85" s="239">
        <f t="shared" ref="AO85" si="1919">+AO83/AO86</f>
        <v>0.82089376816966153</v>
      </c>
      <c r="AP85" s="13">
        <f>+AP83/AP86</f>
        <v>0.82089376816966153</v>
      </c>
      <c r="AQ85" s="13">
        <f t="shared" ref="AQ85" si="1920">+AQ83/AQ86</f>
        <v>0.82089376816966153</v>
      </c>
      <c r="AR85" s="13">
        <f t="shared" ref="AR85" si="1921">+AR83/AR86</f>
        <v>0.82089376816966153</v>
      </c>
      <c r="AS85" s="13">
        <f t="shared" ref="AS85" si="1922">+AS83/AS86</f>
        <v>0.82089376816966153</v>
      </c>
      <c r="AT85" s="239">
        <f t="shared" ref="AT85" si="1923">+AT83/AT86</f>
        <v>0.82089376816966153</v>
      </c>
      <c r="AU85" s="13">
        <f>+AU83/AU86</f>
        <v>0.82089376816966153</v>
      </c>
      <c r="AV85" s="13">
        <f t="shared" ref="AV85" si="1924">+AV83/AV86</f>
        <v>0.82089376816966153</v>
      </c>
      <c r="AW85" s="13">
        <f t="shared" ref="AW85" si="1925">+AW83/AW86</f>
        <v>0.82089376816966153</v>
      </c>
      <c r="AX85" s="13">
        <f t="shared" ref="AX85" si="1926">+AX83/AX86</f>
        <v>0.82089376816966153</v>
      </c>
      <c r="AY85" s="239">
        <f t="shared" ref="AY85" si="1927">+AY83/AY86</f>
        <v>0.82089376816966153</v>
      </c>
      <c r="AZ85" s="13">
        <f>+AZ83/AZ86</f>
        <v>0.82089376816966142</v>
      </c>
      <c r="BA85" s="13">
        <f t="shared" ref="BA85" si="1928">+BA83/BA86</f>
        <v>0.82089376816966142</v>
      </c>
      <c r="BB85" s="13">
        <f t="shared" ref="BB85" si="1929">+BB83/BB86</f>
        <v>0.82089376816966142</v>
      </c>
      <c r="BC85" s="13">
        <f t="shared" ref="BC85" si="1930">+BC83/BC86</f>
        <v>0.82089376816966142</v>
      </c>
      <c r="BD85" s="239">
        <f t="shared" ref="BD85" si="1931">+BD83/BD86</f>
        <v>0.82089376816966142</v>
      </c>
      <c r="BE85" s="13">
        <f>+BE83/BE86</f>
        <v>0.82089376816966153</v>
      </c>
      <c r="BF85" s="13">
        <f t="shared" ref="BF85:BI85" si="1932">+BF83/BF86</f>
        <v>0.82089376816966153</v>
      </c>
      <c r="BG85" s="13">
        <f t="shared" si="1932"/>
        <v>0.82089376816966153</v>
      </c>
      <c r="BH85" s="13">
        <f t="shared" si="1932"/>
        <v>0.82089376816966153</v>
      </c>
      <c r="BI85" s="239">
        <f t="shared" si="1932"/>
        <v>0.82089376816966153</v>
      </c>
      <c r="BJ85" s="13">
        <f>+BJ83/BJ86</f>
        <v>0.82089376816966142</v>
      </c>
      <c r="BK85" s="13">
        <f t="shared" ref="BK85:BM85" si="1933">+BK83/BK86</f>
        <v>0.82089376816966142</v>
      </c>
      <c r="BL85" s="13">
        <f t="shared" si="1933"/>
        <v>0.82089376816966142</v>
      </c>
      <c r="BM85" s="13">
        <f t="shared" si="1933"/>
        <v>0.82089376816966142</v>
      </c>
      <c r="BN85" s="239">
        <f>+BN83/BN86</f>
        <v>0.82089376816966142</v>
      </c>
      <c r="BO85" s="13">
        <f t="shared" ref="BO85:BQ85" si="1934">+BO83/BO86</f>
        <v>0.82089376816966142</v>
      </c>
      <c r="BP85" s="13">
        <f t="shared" si="1934"/>
        <v>0.82089376816966142</v>
      </c>
      <c r="BQ85" s="13">
        <f t="shared" si="1934"/>
        <v>0.82089376816966142</v>
      </c>
      <c r="BR85" s="13">
        <f t="shared" ref="BR85" si="1935">+BR83/BR86</f>
        <v>0.82089376816966142</v>
      </c>
      <c r="BS85" s="239">
        <f>+BS83/BS86</f>
        <v>0.82089376816966142</v>
      </c>
      <c r="BT85" s="13">
        <f t="shared" ref="BT85:BV85" si="1936">+BT83/BT86</f>
        <v>0.82089376816966153</v>
      </c>
      <c r="BU85" s="13">
        <f t="shared" si="1936"/>
        <v>0.82089376816966153</v>
      </c>
      <c r="BV85" s="13">
        <f t="shared" si="1936"/>
        <v>0.82089376816966153</v>
      </c>
      <c r="BW85" s="13">
        <f t="shared" ref="BW85:BX85" si="1937">+BW83/BW86</f>
        <v>0.82089376816966153</v>
      </c>
      <c r="BX85" s="239">
        <f t="shared" si="1937"/>
        <v>0.82089376816966153</v>
      </c>
      <c r="BY85" s="13">
        <f>+BY83/BY86</f>
        <v>0.82089376816966153</v>
      </c>
      <c r="BZ85" s="13">
        <f t="shared" ref="BZ85:CB85" si="1938">+BZ83/BZ86</f>
        <v>0.82089376816966153</v>
      </c>
      <c r="CA85" s="13">
        <f t="shared" si="1938"/>
        <v>0.82089376816966153</v>
      </c>
      <c r="CB85" s="13">
        <f t="shared" si="1938"/>
        <v>0.82089376816966153</v>
      </c>
      <c r="CC85" s="239">
        <f t="shared" ref="CC85" si="1939">+CC83/CC86</f>
        <v>0.82089376816966153</v>
      </c>
      <c r="CD85" s="13">
        <f>+CD83/CD86</f>
        <v>0.82089376816966153</v>
      </c>
      <c r="CE85" s="13">
        <f t="shared" ref="CE85:CG85" si="1940">+CE83/CE86</f>
        <v>0.82089376816966153</v>
      </c>
      <c r="CF85" s="13">
        <f t="shared" si="1940"/>
        <v>0.82089376816966153</v>
      </c>
      <c r="CG85" s="13">
        <f t="shared" si="1940"/>
        <v>0.82089376816966153</v>
      </c>
      <c r="CH85" s="239">
        <f t="shared" ref="CH85" si="1941">+CH83/CH86</f>
        <v>0.82089376816966153</v>
      </c>
      <c r="CI85" s="13">
        <f>+CI83/CI86</f>
        <v>0.82089376816966153</v>
      </c>
      <c r="CJ85" s="13">
        <f t="shared" ref="CJ85:CL85" si="1942">+CJ83/CJ86</f>
        <v>0.82089376816966153</v>
      </c>
      <c r="CK85" s="13">
        <f t="shared" si="1942"/>
        <v>0.82089376816966153</v>
      </c>
      <c r="CL85" s="13">
        <f t="shared" si="1942"/>
        <v>0.82089376816966153</v>
      </c>
      <c r="CM85" s="239">
        <f t="shared" ref="CM85" si="1943">+CM83/CM86</f>
        <v>0.82089376816966153</v>
      </c>
      <c r="CN85" s="13">
        <f>+CN83/CN86</f>
        <v>0.82089376816966153</v>
      </c>
      <c r="CO85" s="13">
        <f t="shared" ref="CO85:CQ85" si="1944">+CO83/CO86</f>
        <v>0.82089376816966153</v>
      </c>
      <c r="CP85" s="13">
        <f t="shared" si="1944"/>
        <v>0.82089376816966153</v>
      </c>
      <c r="CQ85" s="13">
        <f t="shared" si="1944"/>
        <v>0.82089376816966153</v>
      </c>
      <c r="CR85" s="239">
        <f t="shared" ref="CR85" si="1945">+CR83/CR86</f>
        <v>0.82089376816966153</v>
      </c>
      <c r="CS85" s="13">
        <f>+CS83/CS86</f>
        <v>0.82089376816966153</v>
      </c>
      <c r="CT85" s="13">
        <f t="shared" ref="CT85:CV85" si="1946">+CT83/CT86</f>
        <v>0.82089376816966153</v>
      </c>
      <c r="CU85" s="13">
        <f t="shared" si="1946"/>
        <v>0.82089376816966153</v>
      </c>
      <c r="CV85" s="13">
        <f t="shared" si="1946"/>
        <v>0.82089376816966153</v>
      </c>
      <c r="CW85" s="239">
        <f t="shared" ref="CW85" si="1947">+CW83/CW86</f>
        <v>0.82089376816966153</v>
      </c>
      <c r="CX85" s="13">
        <f>+CX83/CX86</f>
        <v>0.82089376816966153</v>
      </c>
      <c r="CY85" s="13">
        <f t="shared" ref="CY85:DA85" si="1948">+CY83/CY86</f>
        <v>0.82089376816966153</v>
      </c>
      <c r="CZ85" s="13">
        <f t="shared" si="1948"/>
        <v>0.82089376816966153</v>
      </c>
      <c r="DA85" s="13">
        <f t="shared" si="1948"/>
        <v>0.82089376816966153</v>
      </c>
      <c r="DB85" s="239">
        <f t="shared" ref="DB85" si="1949">+DB83/DB86</f>
        <v>0.82089376816966153</v>
      </c>
    </row>
    <row r="86" spans="1:106" s="51" customFormat="1">
      <c r="A86" s="51" t="s">
        <v>284</v>
      </c>
      <c r="B86" s="213">
        <f t="shared" ref="B86:AG86" si="1950">+B80+B83</f>
        <v>1259224.75</v>
      </c>
      <c r="C86" s="213">
        <f t="shared" si="1950"/>
        <v>1259224.75</v>
      </c>
      <c r="D86" s="213">
        <f t="shared" si="1950"/>
        <v>1259224.75</v>
      </c>
      <c r="E86" s="213">
        <f t="shared" si="1950"/>
        <v>1259224.75</v>
      </c>
      <c r="F86" s="234">
        <f t="shared" si="1950"/>
        <v>5036899</v>
      </c>
      <c r="G86" s="213">
        <f t="shared" si="1950"/>
        <v>1271816.9975000001</v>
      </c>
      <c r="H86" s="213">
        <f t="shared" si="1950"/>
        <v>1271816.9975000001</v>
      </c>
      <c r="I86" s="213">
        <f t="shared" si="1950"/>
        <v>1271816.9975000001</v>
      </c>
      <c r="J86" s="213">
        <f t="shared" si="1950"/>
        <v>1271816.9975000001</v>
      </c>
      <c r="K86" s="234">
        <f t="shared" si="1950"/>
        <v>5087267.99</v>
      </c>
      <c r="L86" s="213">
        <f t="shared" si="1950"/>
        <v>1284535.167475</v>
      </c>
      <c r="M86" s="213">
        <f t="shared" si="1950"/>
        <v>1284535.167475</v>
      </c>
      <c r="N86" s="213">
        <f t="shared" si="1950"/>
        <v>1284535.167475</v>
      </c>
      <c r="O86" s="213">
        <f t="shared" si="1950"/>
        <v>1284535.167475</v>
      </c>
      <c r="P86" s="234">
        <f t="shared" si="1950"/>
        <v>5138140.6699000001</v>
      </c>
      <c r="Q86" s="213">
        <f t="shared" si="1950"/>
        <v>1297380.51914975</v>
      </c>
      <c r="R86" s="213">
        <f t="shared" si="1950"/>
        <v>1297380.51914975</v>
      </c>
      <c r="S86" s="213">
        <f t="shared" si="1950"/>
        <v>1297380.51914975</v>
      </c>
      <c r="T86" s="213">
        <f t="shared" si="1950"/>
        <v>1297380.51914975</v>
      </c>
      <c r="U86" s="234">
        <f t="shared" si="1950"/>
        <v>5189522.076599</v>
      </c>
      <c r="V86" s="213">
        <f t="shared" si="1950"/>
        <v>1310354.3243412473</v>
      </c>
      <c r="W86" s="213">
        <f t="shared" si="1950"/>
        <v>1310354.3243412473</v>
      </c>
      <c r="X86" s="213">
        <f t="shared" si="1950"/>
        <v>1310354.3243412473</v>
      </c>
      <c r="Y86" s="213">
        <f t="shared" si="1950"/>
        <v>1310354.3243412473</v>
      </c>
      <c r="Z86" s="234">
        <f t="shared" si="1950"/>
        <v>5241417.2973649893</v>
      </c>
      <c r="AA86" s="213">
        <f t="shared" si="1950"/>
        <v>1323457.8675846597</v>
      </c>
      <c r="AB86" s="213">
        <f t="shared" si="1950"/>
        <v>1323457.8675846597</v>
      </c>
      <c r="AC86" s="213">
        <f t="shared" si="1950"/>
        <v>1323457.8675846597</v>
      </c>
      <c r="AD86" s="213">
        <f t="shared" si="1950"/>
        <v>1323457.8675846597</v>
      </c>
      <c r="AE86" s="234">
        <f t="shared" si="1950"/>
        <v>5293831.4703386389</v>
      </c>
      <c r="AF86" s="213">
        <f t="shared" si="1950"/>
        <v>1336692.4462605065</v>
      </c>
      <c r="AG86" s="213">
        <f t="shared" si="1950"/>
        <v>1336692.4462605065</v>
      </c>
      <c r="AH86" s="213">
        <f t="shared" ref="AH86:BD86" si="1951">+AH80+AH83</f>
        <v>1336692.4462605065</v>
      </c>
      <c r="AI86" s="213">
        <f t="shared" si="1951"/>
        <v>1336692.4462605065</v>
      </c>
      <c r="AJ86" s="234">
        <f t="shared" si="1951"/>
        <v>5346769.7850420261</v>
      </c>
      <c r="AK86" s="213">
        <f t="shared" si="1951"/>
        <v>1350059.3707231116</v>
      </c>
      <c r="AL86" s="213">
        <f t="shared" si="1951"/>
        <v>1350059.3707231116</v>
      </c>
      <c r="AM86" s="213">
        <f t="shared" si="1951"/>
        <v>1350059.3707231116</v>
      </c>
      <c r="AN86" s="213">
        <f t="shared" si="1951"/>
        <v>1350059.3707231116</v>
      </c>
      <c r="AO86" s="234">
        <f t="shared" si="1951"/>
        <v>5400237.4828924462</v>
      </c>
      <c r="AP86" s="213">
        <f t="shared" si="1951"/>
        <v>1363559.9644303427</v>
      </c>
      <c r="AQ86" s="213">
        <f t="shared" si="1951"/>
        <v>1363559.9644303427</v>
      </c>
      <c r="AR86" s="213">
        <f t="shared" si="1951"/>
        <v>1363559.9644303427</v>
      </c>
      <c r="AS86" s="213">
        <f t="shared" si="1951"/>
        <v>1363559.9644303427</v>
      </c>
      <c r="AT86" s="234">
        <f t="shared" si="1951"/>
        <v>5454239.8577213706</v>
      </c>
      <c r="AU86" s="213">
        <f t="shared" si="1951"/>
        <v>1377195.564074646</v>
      </c>
      <c r="AV86" s="213">
        <f t="shared" si="1951"/>
        <v>1377195.564074646</v>
      </c>
      <c r="AW86" s="213">
        <f t="shared" si="1951"/>
        <v>1377195.564074646</v>
      </c>
      <c r="AX86" s="213">
        <f t="shared" si="1951"/>
        <v>1377195.564074646</v>
      </c>
      <c r="AY86" s="234">
        <f t="shared" si="1951"/>
        <v>5508782.2562985839</v>
      </c>
      <c r="AZ86" s="213">
        <f t="shared" si="1951"/>
        <v>1390967.5197153927</v>
      </c>
      <c r="BA86" s="213">
        <f t="shared" si="1951"/>
        <v>1390967.5197153927</v>
      </c>
      <c r="BB86" s="213">
        <f t="shared" si="1951"/>
        <v>1390967.5197153927</v>
      </c>
      <c r="BC86" s="213">
        <f t="shared" si="1951"/>
        <v>1390967.5197153927</v>
      </c>
      <c r="BD86" s="234">
        <f t="shared" si="1951"/>
        <v>5563870.0788615709</v>
      </c>
      <c r="BE86" s="213">
        <f t="shared" ref="BE86:BI86" si="1952">+BE80+BE83</f>
        <v>1404877.1949125465</v>
      </c>
      <c r="BF86" s="213">
        <f t="shared" si="1952"/>
        <v>1404877.1949125465</v>
      </c>
      <c r="BG86" s="213">
        <f t="shared" si="1952"/>
        <v>1404877.1949125465</v>
      </c>
      <c r="BH86" s="213">
        <f t="shared" si="1952"/>
        <v>1404877.1949125465</v>
      </c>
      <c r="BI86" s="234">
        <f t="shared" si="1952"/>
        <v>5619508.7796501862</v>
      </c>
      <c r="BJ86" s="213">
        <f t="shared" ref="BJ86:DB86" si="1953">+BJ80+BJ83</f>
        <v>1418925.966861672</v>
      </c>
      <c r="BK86" s="213">
        <f t="shared" si="1953"/>
        <v>1418925.966861672</v>
      </c>
      <c r="BL86" s="213">
        <f t="shared" si="1953"/>
        <v>1418925.966861672</v>
      </c>
      <c r="BM86" s="213">
        <f t="shared" si="1953"/>
        <v>1418925.966861672</v>
      </c>
      <c r="BN86" s="234">
        <f t="shared" ref="BN86:BQ86" si="1954">+BN80+BN83</f>
        <v>5675703.867446688</v>
      </c>
      <c r="BO86" s="213">
        <f t="shared" si="1954"/>
        <v>1433115.2265302888</v>
      </c>
      <c r="BP86" s="213">
        <f t="shared" si="1954"/>
        <v>1433115.2265302888</v>
      </c>
      <c r="BQ86" s="213">
        <f t="shared" si="1954"/>
        <v>1433115.2265302888</v>
      </c>
      <c r="BR86" s="213">
        <f t="shared" si="1953"/>
        <v>1433115.2265302888</v>
      </c>
      <c r="BS86" s="234">
        <f t="shared" ref="BS86:BV86" si="1955">+BS80+BS83</f>
        <v>5732460.9061211552</v>
      </c>
      <c r="BT86" s="213">
        <f t="shared" si="1955"/>
        <v>1447446.3787955916</v>
      </c>
      <c r="BU86" s="213">
        <f t="shared" si="1955"/>
        <v>1447446.3787955916</v>
      </c>
      <c r="BV86" s="213">
        <f t="shared" si="1955"/>
        <v>1447446.3787955916</v>
      </c>
      <c r="BW86" s="213">
        <f t="shared" si="1953"/>
        <v>1447446.3787955916</v>
      </c>
      <c r="BX86" s="234">
        <f t="shared" si="1953"/>
        <v>5789785.5151823666</v>
      </c>
      <c r="BY86" s="213">
        <f t="shared" ref="BY86:CB86" si="1956">+BY80+BY83</f>
        <v>1461920.8425835473</v>
      </c>
      <c r="BZ86" s="213">
        <f t="shared" si="1956"/>
        <v>1461920.8425835473</v>
      </c>
      <c r="CA86" s="213">
        <f t="shared" si="1956"/>
        <v>1461920.8425835473</v>
      </c>
      <c r="CB86" s="213">
        <f t="shared" si="1956"/>
        <v>1461920.8425835473</v>
      </c>
      <c r="CC86" s="234">
        <f t="shared" si="1953"/>
        <v>5847683.3703341894</v>
      </c>
      <c r="CD86" s="213">
        <f t="shared" ref="CD86:CG86" si="1957">+CD80+CD83</f>
        <v>1476540.0510093831</v>
      </c>
      <c r="CE86" s="213">
        <f t="shared" si="1957"/>
        <v>1476540.0510093831</v>
      </c>
      <c r="CF86" s="213">
        <f t="shared" si="1957"/>
        <v>1476540.0510093831</v>
      </c>
      <c r="CG86" s="213">
        <f t="shared" si="1957"/>
        <v>1476540.0510093831</v>
      </c>
      <c r="CH86" s="234">
        <f t="shared" si="1953"/>
        <v>5906160.2040375322</v>
      </c>
      <c r="CI86" s="213">
        <f t="shared" ref="CI86:CL86" si="1958">+CI80+CI83</f>
        <v>1491305.4515194769</v>
      </c>
      <c r="CJ86" s="213">
        <f t="shared" si="1958"/>
        <v>1491305.4515194769</v>
      </c>
      <c r="CK86" s="213">
        <f t="shared" si="1958"/>
        <v>1491305.4515194769</v>
      </c>
      <c r="CL86" s="213">
        <f t="shared" si="1958"/>
        <v>1491305.4515194769</v>
      </c>
      <c r="CM86" s="234">
        <f t="shared" si="1953"/>
        <v>5965221.8060779078</v>
      </c>
      <c r="CN86" s="213">
        <f t="shared" ref="CN86:CQ86" si="1959">+CN80+CN83</f>
        <v>1506218.5060346718</v>
      </c>
      <c r="CO86" s="213">
        <f t="shared" si="1959"/>
        <v>1506218.5060346718</v>
      </c>
      <c r="CP86" s="213">
        <f t="shared" si="1959"/>
        <v>1506218.5060346718</v>
      </c>
      <c r="CQ86" s="213">
        <f t="shared" si="1959"/>
        <v>1506218.5060346718</v>
      </c>
      <c r="CR86" s="234">
        <f t="shared" si="1953"/>
        <v>6024874.0241386872</v>
      </c>
      <c r="CS86" s="213">
        <f t="shared" ref="CS86:CV86" si="1960">+CS80+CS83</f>
        <v>1521280.6910950183</v>
      </c>
      <c r="CT86" s="213">
        <f t="shared" si="1960"/>
        <v>1521280.6910950183</v>
      </c>
      <c r="CU86" s="213">
        <f t="shared" si="1960"/>
        <v>1521280.6910950183</v>
      </c>
      <c r="CV86" s="213">
        <f t="shared" si="1960"/>
        <v>1521280.6910950183</v>
      </c>
      <c r="CW86" s="234">
        <f t="shared" si="1953"/>
        <v>6085122.7643800732</v>
      </c>
      <c r="CX86" s="213">
        <f t="shared" ref="CX86:DA86" si="1961">+CX80+CX83</f>
        <v>1536493.4980059685</v>
      </c>
      <c r="CY86" s="213">
        <f t="shared" si="1961"/>
        <v>1536493.4980059685</v>
      </c>
      <c r="CZ86" s="213">
        <f t="shared" si="1961"/>
        <v>1536493.4980059685</v>
      </c>
      <c r="DA86" s="213">
        <f t="shared" si="1961"/>
        <v>1536493.4980059685</v>
      </c>
      <c r="DB86" s="234">
        <f t="shared" si="1953"/>
        <v>6145973.9920238741</v>
      </c>
    </row>
    <row r="87" spans="1:106">
      <c r="A87" s="12" t="s">
        <v>281</v>
      </c>
      <c r="B87" s="119" t="s">
        <v>290</v>
      </c>
      <c r="C87" s="119" t="s">
        <v>290</v>
      </c>
      <c r="D87" s="119" t="s">
        <v>290</v>
      </c>
      <c r="E87" s="119" t="s">
        <v>290</v>
      </c>
      <c r="F87" s="235" t="s">
        <v>290</v>
      </c>
      <c r="G87" s="13">
        <f>+G86/B86-1</f>
        <v>1.0000000000000009E-2</v>
      </c>
      <c r="H87" s="13">
        <f t="shared" ref="H87" si="1962">+H86/C86-1</f>
        <v>1.0000000000000009E-2</v>
      </c>
      <c r="I87" s="13">
        <f t="shared" ref="I87" si="1963">+I86/D86-1</f>
        <v>1.0000000000000009E-2</v>
      </c>
      <c r="J87" s="13">
        <f t="shared" ref="J87" si="1964">+J86/E86-1</f>
        <v>1.0000000000000009E-2</v>
      </c>
      <c r="K87" s="239">
        <f t="shared" ref="K87" si="1965">+K86/F86-1</f>
        <v>1.0000000000000009E-2</v>
      </c>
      <c r="L87" s="13">
        <f>+L86/G86-1</f>
        <v>1.0000000000000009E-2</v>
      </c>
      <c r="M87" s="13">
        <f t="shared" ref="M87" si="1966">+M86/H86-1</f>
        <v>1.0000000000000009E-2</v>
      </c>
      <c r="N87" s="13">
        <f t="shared" ref="N87" si="1967">+N86/I86-1</f>
        <v>1.0000000000000009E-2</v>
      </c>
      <c r="O87" s="13">
        <f t="shared" ref="O87" si="1968">+O86/J86-1</f>
        <v>1.0000000000000009E-2</v>
      </c>
      <c r="P87" s="239">
        <f t="shared" ref="P87" si="1969">+P86/K86-1</f>
        <v>1.0000000000000009E-2</v>
      </c>
      <c r="Q87" s="13">
        <f>+Q86/L86-1</f>
        <v>1.0000000000000009E-2</v>
      </c>
      <c r="R87" s="13">
        <f t="shared" ref="R87" si="1970">+R86/M86-1</f>
        <v>1.0000000000000009E-2</v>
      </c>
      <c r="S87" s="13">
        <f t="shared" ref="S87" si="1971">+S86/N86-1</f>
        <v>1.0000000000000009E-2</v>
      </c>
      <c r="T87" s="13">
        <f t="shared" ref="T87" si="1972">+T86/O86-1</f>
        <v>1.0000000000000009E-2</v>
      </c>
      <c r="U87" s="239">
        <f t="shared" ref="U87" si="1973">+U86/P86-1</f>
        <v>1.0000000000000009E-2</v>
      </c>
      <c r="V87" s="13">
        <f>+V86/Q86-1</f>
        <v>9.9999999999997868E-3</v>
      </c>
      <c r="W87" s="13">
        <f t="shared" ref="W87" si="1974">+W86/R86-1</f>
        <v>9.9999999999997868E-3</v>
      </c>
      <c r="X87" s="13">
        <f t="shared" ref="X87" si="1975">+X86/S86-1</f>
        <v>9.9999999999997868E-3</v>
      </c>
      <c r="Y87" s="13">
        <f t="shared" ref="Y87" si="1976">+Y86/T86-1</f>
        <v>9.9999999999997868E-3</v>
      </c>
      <c r="Z87" s="239">
        <f t="shared" ref="Z87" si="1977">+Z86/U86-1</f>
        <v>9.9999999999997868E-3</v>
      </c>
      <c r="AA87" s="13">
        <f>+AA86/V86-1</f>
        <v>1.0000000000000009E-2</v>
      </c>
      <c r="AB87" s="13">
        <f t="shared" ref="AB87" si="1978">+AB86/W86-1</f>
        <v>1.0000000000000009E-2</v>
      </c>
      <c r="AC87" s="13">
        <f t="shared" ref="AC87" si="1979">+AC86/X86-1</f>
        <v>1.0000000000000009E-2</v>
      </c>
      <c r="AD87" s="13">
        <f t="shared" ref="AD87" si="1980">+AD86/Y86-1</f>
        <v>1.0000000000000009E-2</v>
      </c>
      <c r="AE87" s="239">
        <f t="shared" ref="AE87" si="1981">+AE86/Z86-1</f>
        <v>1.0000000000000009E-2</v>
      </c>
      <c r="AF87" s="13">
        <f>+AF86/AA86-1</f>
        <v>1.0000000000000231E-2</v>
      </c>
      <c r="AG87" s="13">
        <f t="shared" ref="AG87" si="1982">+AG86/AB86-1</f>
        <v>1.0000000000000231E-2</v>
      </c>
      <c r="AH87" s="13">
        <f t="shared" ref="AH87" si="1983">+AH86/AC86-1</f>
        <v>1.0000000000000231E-2</v>
      </c>
      <c r="AI87" s="13">
        <f t="shared" ref="AI87" si="1984">+AI86/AD86-1</f>
        <v>1.0000000000000231E-2</v>
      </c>
      <c r="AJ87" s="239">
        <f t="shared" ref="AJ87" si="1985">+AJ86/AE86-1</f>
        <v>1.0000000000000231E-2</v>
      </c>
      <c r="AK87" s="13">
        <f>+AK86/AF86-1</f>
        <v>1.0000000000000009E-2</v>
      </c>
      <c r="AL87" s="13">
        <f t="shared" ref="AL87" si="1986">+AL86/AG86-1</f>
        <v>1.0000000000000009E-2</v>
      </c>
      <c r="AM87" s="13">
        <f t="shared" ref="AM87" si="1987">+AM86/AH86-1</f>
        <v>1.0000000000000009E-2</v>
      </c>
      <c r="AN87" s="13">
        <f t="shared" ref="AN87" si="1988">+AN86/AI86-1</f>
        <v>1.0000000000000009E-2</v>
      </c>
      <c r="AO87" s="239">
        <f t="shared" ref="AO87" si="1989">+AO86/AJ86-1</f>
        <v>1.0000000000000009E-2</v>
      </c>
      <c r="AP87" s="13">
        <f>+AP86/AK86-1</f>
        <v>1.0000000000000009E-2</v>
      </c>
      <c r="AQ87" s="13">
        <f t="shared" ref="AQ87" si="1990">+AQ86/AL86-1</f>
        <v>1.0000000000000009E-2</v>
      </c>
      <c r="AR87" s="13">
        <f t="shared" ref="AR87" si="1991">+AR86/AM86-1</f>
        <v>1.0000000000000009E-2</v>
      </c>
      <c r="AS87" s="13">
        <f t="shared" ref="AS87" si="1992">+AS86/AN86-1</f>
        <v>1.0000000000000009E-2</v>
      </c>
      <c r="AT87" s="239">
        <f t="shared" ref="AT87" si="1993">+AT86/AO86-1</f>
        <v>1.0000000000000009E-2</v>
      </c>
      <c r="AU87" s="13">
        <f>+AU86/AP86-1</f>
        <v>1.0000000000000009E-2</v>
      </c>
      <c r="AV87" s="13">
        <f t="shared" ref="AV87" si="1994">+AV86/AQ86-1</f>
        <v>1.0000000000000009E-2</v>
      </c>
      <c r="AW87" s="13">
        <f t="shared" ref="AW87" si="1995">+AW86/AR86-1</f>
        <v>1.0000000000000009E-2</v>
      </c>
      <c r="AX87" s="13">
        <f t="shared" ref="AX87" si="1996">+AX86/AS86-1</f>
        <v>1.0000000000000009E-2</v>
      </c>
      <c r="AY87" s="239">
        <f t="shared" ref="AY87" si="1997">+AY86/AT86-1</f>
        <v>1.0000000000000009E-2</v>
      </c>
      <c r="AZ87" s="13">
        <f>+AZ86/AU86-1</f>
        <v>1.0000000000000231E-2</v>
      </c>
      <c r="BA87" s="13">
        <f t="shared" ref="BA87" si="1998">+BA86/AV86-1</f>
        <v>1.0000000000000231E-2</v>
      </c>
      <c r="BB87" s="13">
        <f t="shared" ref="BB87" si="1999">+BB86/AW86-1</f>
        <v>1.0000000000000231E-2</v>
      </c>
      <c r="BC87" s="13">
        <f t="shared" ref="BC87" si="2000">+BC86/AX86-1</f>
        <v>1.0000000000000231E-2</v>
      </c>
      <c r="BD87" s="239">
        <f t="shared" ref="BD87" si="2001">+BD86/AY86-1</f>
        <v>1.0000000000000231E-2</v>
      </c>
      <c r="BE87" s="13">
        <f>+BE86/AZ86-1</f>
        <v>1.0000000000000009E-2</v>
      </c>
      <c r="BF87" s="13">
        <f t="shared" ref="BF87" si="2002">+BF86/BA86-1</f>
        <v>1.0000000000000009E-2</v>
      </c>
      <c r="BG87" s="13">
        <f t="shared" ref="BG87" si="2003">+BG86/BB86-1</f>
        <v>1.0000000000000009E-2</v>
      </c>
      <c r="BH87" s="13">
        <f t="shared" ref="BH87" si="2004">+BH86/BC86-1</f>
        <v>1.0000000000000009E-2</v>
      </c>
      <c r="BI87" s="239">
        <f t="shared" ref="BI87" si="2005">+BI86/BD86-1</f>
        <v>1.0000000000000009E-2</v>
      </c>
      <c r="BJ87" s="13">
        <f>+BJ86/BE86-1</f>
        <v>1.0000000000000009E-2</v>
      </c>
      <c r="BK87" s="13">
        <f t="shared" ref="BK87" si="2006">+BK86/BF86-1</f>
        <v>1.0000000000000009E-2</v>
      </c>
      <c r="BL87" s="13">
        <f t="shared" ref="BL87" si="2007">+BL86/BG86-1</f>
        <v>1.0000000000000009E-2</v>
      </c>
      <c r="BM87" s="13">
        <f t="shared" ref="BM87" si="2008">+BM86/BH86-1</f>
        <v>1.0000000000000009E-2</v>
      </c>
      <c r="BN87" s="239">
        <f>+BN86/BI86-1</f>
        <v>1.0000000000000009E-2</v>
      </c>
      <c r="BO87" s="13">
        <f t="shared" ref="BO87" si="2009">+BO86/BJ86-1</f>
        <v>1.0000000000000009E-2</v>
      </c>
      <c r="BP87" s="13">
        <f t="shared" ref="BP87" si="2010">+BP86/BK86-1</f>
        <v>1.0000000000000009E-2</v>
      </c>
      <c r="BQ87" s="13">
        <f t="shared" ref="BQ87" si="2011">+BQ86/BL86-1</f>
        <v>1.0000000000000009E-2</v>
      </c>
      <c r="BR87" s="13">
        <f t="shared" ref="BR87" si="2012">+BR86/BM86-1</f>
        <v>1.0000000000000009E-2</v>
      </c>
      <c r="BS87" s="239">
        <f>+BS86/BN86-1</f>
        <v>1.0000000000000009E-2</v>
      </c>
      <c r="BT87" s="13">
        <f t="shared" ref="BT87" si="2013">+BT86/BO86-1</f>
        <v>1.0000000000000009E-2</v>
      </c>
      <c r="BU87" s="13">
        <f t="shared" ref="BU87" si="2014">+BU86/BP86-1</f>
        <v>1.0000000000000009E-2</v>
      </c>
      <c r="BV87" s="13">
        <f t="shared" ref="BV87" si="2015">+BV86/BQ86-1</f>
        <v>1.0000000000000009E-2</v>
      </c>
      <c r="BW87" s="13">
        <f t="shared" ref="BW87" si="2016">+BW86/BR86-1</f>
        <v>1.0000000000000009E-2</v>
      </c>
      <c r="BX87" s="239">
        <f t="shared" ref="BX87" si="2017">+BX86/BS86-1</f>
        <v>1.0000000000000009E-2</v>
      </c>
      <c r="BY87" s="13">
        <f>+BY86/BT86-1</f>
        <v>9.9999999999997868E-3</v>
      </c>
      <c r="BZ87" s="13">
        <f t="shared" ref="BZ87" si="2018">+BZ86/BU86-1</f>
        <v>9.9999999999997868E-3</v>
      </c>
      <c r="CA87" s="13">
        <f t="shared" ref="CA87" si="2019">+CA86/BV86-1</f>
        <v>9.9999999999997868E-3</v>
      </c>
      <c r="CB87" s="13">
        <f t="shared" ref="CB87" si="2020">+CB86/BW86-1</f>
        <v>9.9999999999997868E-3</v>
      </c>
      <c r="CC87" s="239">
        <f t="shared" ref="CC87" si="2021">+CC86/BX86-1</f>
        <v>9.9999999999997868E-3</v>
      </c>
      <c r="CD87" s="13">
        <f>+CD86/BY86-1</f>
        <v>1.0000000000000231E-2</v>
      </c>
      <c r="CE87" s="13">
        <f t="shared" ref="CE87" si="2022">+CE86/BZ86-1</f>
        <v>1.0000000000000231E-2</v>
      </c>
      <c r="CF87" s="13">
        <f t="shared" ref="CF87" si="2023">+CF86/CA86-1</f>
        <v>1.0000000000000231E-2</v>
      </c>
      <c r="CG87" s="13">
        <f t="shared" ref="CG87" si="2024">+CG86/CB86-1</f>
        <v>1.0000000000000231E-2</v>
      </c>
      <c r="CH87" s="239">
        <f t="shared" ref="CH87" si="2025">+CH86/CC86-1</f>
        <v>1.0000000000000231E-2</v>
      </c>
      <c r="CI87" s="13">
        <f>+CI86/CD86-1</f>
        <v>1.0000000000000009E-2</v>
      </c>
      <c r="CJ87" s="13">
        <f t="shared" ref="CJ87" si="2026">+CJ86/CE86-1</f>
        <v>1.0000000000000009E-2</v>
      </c>
      <c r="CK87" s="13">
        <f t="shared" ref="CK87" si="2027">+CK86/CF86-1</f>
        <v>1.0000000000000009E-2</v>
      </c>
      <c r="CL87" s="13">
        <f t="shared" ref="CL87" si="2028">+CL86/CG86-1</f>
        <v>1.0000000000000009E-2</v>
      </c>
      <c r="CM87" s="239">
        <f t="shared" ref="CM87" si="2029">+CM86/CH86-1</f>
        <v>1.0000000000000009E-2</v>
      </c>
      <c r="CN87" s="13">
        <f>+CN86/CI86-1</f>
        <v>1.0000000000000009E-2</v>
      </c>
      <c r="CO87" s="13">
        <f t="shared" ref="CO87" si="2030">+CO86/CJ86-1</f>
        <v>1.0000000000000009E-2</v>
      </c>
      <c r="CP87" s="13">
        <f t="shared" ref="CP87" si="2031">+CP86/CK86-1</f>
        <v>1.0000000000000009E-2</v>
      </c>
      <c r="CQ87" s="13">
        <f t="shared" ref="CQ87" si="2032">+CQ86/CL86-1</f>
        <v>1.0000000000000009E-2</v>
      </c>
      <c r="CR87" s="239">
        <f t="shared" ref="CR87" si="2033">+CR86/CM86-1</f>
        <v>1.0000000000000009E-2</v>
      </c>
      <c r="CS87" s="13">
        <f>+CS86/CN86-1</f>
        <v>9.9999999999997868E-3</v>
      </c>
      <c r="CT87" s="13">
        <f t="shared" ref="CT87" si="2034">+CT86/CO86-1</f>
        <v>9.9999999999997868E-3</v>
      </c>
      <c r="CU87" s="13">
        <f t="shared" ref="CU87" si="2035">+CU86/CP86-1</f>
        <v>9.9999999999997868E-3</v>
      </c>
      <c r="CV87" s="13">
        <f t="shared" ref="CV87" si="2036">+CV86/CQ86-1</f>
        <v>9.9999999999997868E-3</v>
      </c>
      <c r="CW87" s="239">
        <f t="shared" ref="CW87" si="2037">+CW86/CR86-1</f>
        <v>9.9999999999997868E-3</v>
      </c>
      <c r="CX87" s="13">
        <f>+CX86/CS86-1</f>
        <v>1.0000000000000009E-2</v>
      </c>
      <c r="CY87" s="13">
        <f t="shared" ref="CY87" si="2038">+CY86/CT86-1</f>
        <v>1.0000000000000009E-2</v>
      </c>
      <c r="CZ87" s="13">
        <f t="shared" ref="CZ87" si="2039">+CZ86/CU86-1</f>
        <v>1.0000000000000009E-2</v>
      </c>
      <c r="DA87" s="13">
        <f t="shared" ref="DA87" si="2040">+DA86/CV86-1</f>
        <v>1.0000000000000009E-2</v>
      </c>
      <c r="DB87" s="239">
        <f t="shared" ref="DB87" si="2041">+DB86/CW86-1</f>
        <v>1.0000000000000009E-2</v>
      </c>
    </row>
    <row r="88" spans="1:106">
      <c r="A88" s="117"/>
      <c r="F88" s="217"/>
      <c r="K88" s="217"/>
      <c r="P88" s="217"/>
      <c r="U88" s="217"/>
      <c r="Z88" s="217"/>
      <c r="AE88" s="217"/>
      <c r="AJ88" s="217"/>
      <c r="AO88" s="217"/>
      <c r="AT88" s="217"/>
      <c r="AY88" s="217"/>
      <c r="BD88" s="217"/>
      <c r="BI88" s="217"/>
      <c r="BN88" s="217"/>
      <c r="BS88" s="217"/>
      <c r="BX88" s="217"/>
      <c r="CC88" s="217"/>
      <c r="CH88" s="217"/>
      <c r="CM88" s="217"/>
      <c r="CR88" s="217"/>
      <c r="CW88" s="217"/>
      <c r="DB88" s="217"/>
    </row>
    <row r="89" spans="1:106" s="51" customFormat="1">
      <c r="A89" s="51" t="s">
        <v>285</v>
      </c>
      <c r="B89" s="213">
        <f>+B91*B80</f>
        <v>21876.895</v>
      </c>
      <c r="C89" s="213">
        <f t="shared" ref="C89" si="2042">+C91*C80</f>
        <v>25485.455000000002</v>
      </c>
      <c r="D89" s="213">
        <f>+D91*D80</f>
        <v>22102.43</v>
      </c>
      <c r="E89" s="213">
        <f>+E91*E80</f>
        <v>18719.405000000002</v>
      </c>
      <c r="F89" s="234">
        <f>+B89+C89+D89+E89</f>
        <v>88184.184999999998</v>
      </c>
      <c r="G89" s="213">
        <f>+G91*G80</f>
        <v>17084.276249999999</v>
      </c>
      <c r="H89" s="213">
        <f t="shared" ref="H89:J89" si="2043">+H91*H80</f>
        <v>17084.276249999999</v>
      </c>
      <c r="I89" s="213">
        <f t="shared" si="2043"/>
        <v>15945.324500000002</v>
      </c>
      <c r="J89" s="213">
        <f t="shared" si="2043"/>
        <v>15945.324500000002</v>
      </c>
      <c r="K89" s="234">
        <f>+G89+H89+I89+J89</f>
        <v>66059.201499999996</v>
      </c>
      <c r="L89" s="213">
        <f>+L91*L80</f>
        <v>20015.938054500002</v>
      </c>
      <c r="M89" s="213">
        <f t="shared" ref="M89:O89" si="2044">+M91*M80</f>
        <v>17255.119012499999</v>
      </c>
      <c r="N89" s="213">
        <f t="shared" si="2044"/>
        <v>20476.074561500001</v>
      </c>
      <c r="O89" s="213">
        <f t="shared" si="2044"/>
        <v>20476.074561500001</v>
      </c>
      <c r="P89" s="234">
        <f>+L89+M89+N89+O89</f>
        <v>78223.206190000012</v>
      </c>
      <c r="Q89" s="213">
        <f>+Q91*Q80</f>
        <v>20216.097435045001</v>
      </c>
      <c r="R89" s="213">
        <f t="shared" ref="R89:T89" si="2045">+R91*R80</f>
        <v>18821.883818835002</v>
      </c>
      <c r="S89" s="213">
        <f t="shared" si="2045"/>
        <v>18845.120712438504</v>
      </c>
      <c r="T89" s="213">
        <f t="shared" si="2045"/>
        <v>20239.334328648503</v>
      </c>
      <c r="U89" s="234">
        <f>+Q89+R89+S89+T89</f>
        <v>78122.436294967018</v>
      </c>
      <c r="V89" s="213">
        <f>+V91*V80</f>
        <v>21591.721536372203</v>
      </c>
      <c r="W89" s="213">
        <f t="shared" ref="W89:Y89" si="2046">+W91*W80</f>
        <v>21063.663129232664</v>
      </c>
      <c r="X89" s="213">
        <f t="shared" si="2046"/>
        <v>21122.336285581499</v>
      </c>
      <c r="Y89" s="213">
        <f t="shared" si="2046"/>
        <v>21873.352686846618</v>
      </c>
      <c r="Z89" s="234">
        <f>+V89+W89+X89+Y89</f>
        <v>85651.073638032991</v>
      </c>
      <c r="AA89" s="213">
        <f>+AA91*AA80</f>
        <v>22828.568100689474</v>
      </c>
      <c r="AB89" s="213">
        <f t="shared" ref="AB89:AD89" si="2047">+AB91*AB80</f>
        <v>18442.862316074061</v>
      </c>
      <c r="AC89" s="213">
        <f t="shared" si="2047"/>
        <v>18370.565252821023</v>
      </c>
      <c r="AD89" s="213">
        <f t="shared" si="2047"/>
        <v>18489.085028645673</v>
      </c>
      <c r="AE89" s="234">
        <f>+AA89+AB89+AC89+AD89</f>
        <v>78131.080698230231</v>
      </c>
      <c r="AF89" s="213">
        <f>+AF91*AF80</f>
        <v>22504.535033584878</v>
      </c>
      <c r="AG89" s="213">
        <f t="shared" ref="AG89:AI89" si="2048">+AG91*AG80</f>
        <v>23510.056811681221</v>
      </c>
      <c r="AH89" s="213">
        <f t="shared" si="2048"/>
        <v>23462.174822248064</v>
      </c>
      <c r="AI89" s="213">
        <f t="shared" si="2048"/>
        <v>23940.994716579658</v>
      </c>
      <c r="AJ89" s="234">
        <f>+AF89+AG89+AH89+AI89</f>
        <v>93417.761384093828</v>
      </c>
      <c r="AK89" s="213">
        <f>+AK91*AK80</f>
        <v>30950.917969594182</v>
      </c>
      <c r="AL89" s="213">
        <f t="shared" ref="AL89:AN89" si="2049">+AL91*AL80</f>
        <v>32633.148722050952</v>
      </c>
      <c r="AM89" s="213">
        <f t="shared" si="2049"/>
        <v>35113.57463245796</v>
      </c>
      <c r="AN89" s="213">
        <f t="shared" si="2049"/>
        <v>36270.606995618182</v>
      </c>
      <c r="AO89" s="234">
        <f>+AK89+AL89+AM89+AN89</f>
        <v>134968.24831972126</v>
      </c>
      <c r="AP89" s="213">
        <f>+AP91*AP80</f>
        <v>37121.757239782019</v>
      </c>
      <c r="AQ89" s="213">
        <f t="shared" ref="AQ89:AS89" si="2050">+AQ91*AQ80</f>
        <v>38867.945162574404</v>
      </c>
      <c r="AR89" s="213">
        <f t="shared" si="2050"/>
        <v>40025.557855446546</v>
      </c>
      <c r="AS89" s="213">
        <f t="shared" si="2050"/>
        <v>47623.306985246672</v>
      </c>
      <c r="AT89" s="234">
        <f>+AP89+AQ89+AR89+AS89</f>
        <v>163638.56724304965</v>
      </c>
      <c r="AU89" s="213">
        <f>+AU91*AU80</f>
        <v>49332.861594973481</v>
      </c>
      <c r="AV89" s="213">
        <f t="shared" ref="AV89:AX89" si="2051">+AV91*AV80</f>
        <v>47359.547131174535</v>
      </c>
      <c r="AW89" s="213">
        <f>+AW91*AW80</f>
        <v>46866.218515224806</v>
      </c>
      <c r="AX89" s="213">
        <f t="shared" si="2051"/>
        <v>46126.225591300201</v>
      </c>
      <c r="AY89" s="234">
        <f>+AU89+AV89+AW89+AX89</f>
        <v>189684.85283267303</v>
      </c>
      <c r="AZ89" s="213">
        <f>+AZ91*AZ80</f>
        <v>46714.544632251054</v>
      </c>
      <c r="BA89" s="213">
        <f>+BA91*BA80</f>
        <v>54808.809232015534</v>
      </c>
      <c r="BB89" s="213">
        <f t="shared" ref="BB89:BC89" si="2052">+BB91*BB80</f>
        <v>52815.761623578597</v>
      </c>
      <c r="BC89" s="213">
        <f t="shared" si="2052"/>
        <v>52317.499721469365</v>
      </c>
      <c r="BD89" s="234">
        <f>+AZ89+BA89+BB89+BC89</f>
        <v>206656.61520931456</v>
      </c>
      <c r="BE89" s="213">
        <f>+BE91*BE80</f>
        <v>53406.824804955679</v>
      </c>
      <c r="BF89" s="213">
        <f>+BF91*BF80</f>
        <v>52214.135289876809</v>
      </c>
      <c r="BG89" s="213">
        <f t="shared" ref="BG89:BH89" si="2053">+BG91*BG80</f>
        <v>59131.231232813116</v>
      </c>
      <c r="BH89" s="213">
        <f t="shared" si="2053"/>
        <v>57369.875408856984</v>
      </c>
      <c r="BI89" s="234">
        <f>+BE89+BF89+BG89+BH89</f>
        <v>222122.0667365026</v>
      </c>
      <c r="BJ89" s="213">
        <f>+BJ91*BJ80</f>
        <v>54639.77388172497</v>
      </c>
      <c r="BK89" s="213">
        <f>+BK91*BK80</f>
        <v>54893.912364895783</v>
      </c>
      <c r="BL89" s="213">
        <f t="shared" ref="BL89:BM89" si="2054">+BL91*BL80</f>
        <v>57181.158713433113</v>
      </c>
      <c r="BM89" s="213">
        <f t="shared" si="2054"/>
        <v>62263.928376849384</v>
      </c>
      <c r="BN89" s="234">
        <f>SUM(BJ89:BM89)</f>
        <v>228978.77333690325</v>
      </c>
      <c r="BO89" s="213">
        <f>+BO91*BO80</f>
        <v>66223.405944650658</v>
      </c>
      <c r="BP89" s="213">
        <f t="shared" ref="BP89:BQ89" si="2055">+BP91*BP80</f>
        <v>63464.09736362355</v>
      </c>
      <c r="BQ89" s="213">
        <f t="shared" si="2055"/>
        <v>68790.204624675884</v>
      </c>
      <c r="BR89" s="213">
        <f t="shared" ref="BR89" si="2056">+BR91*BR80</f>
        <v>69175.224426679677</v>
      </c>
      <c r="BS89" s="234">
        <f>+BS91*BS80</f>
        <v>290561.61057885486</v>
      </c>
      <c r="BT89" s="213">
        <f>+BT91*BT80</f>
        <v>72459.44333777194</v>
      </c>
      <c r="BU89" s="213">
        <f t="shared" ref="BU89:BV89" si="2057">+BU91*BU80</f>
        <v>75959.273337986335</v>
      </c>
      <c r="BV89" s="213">
        <f t="shared" si="2057"/>
        <v>75051.910004597419</v>
      </c>
      <c r="BW89" s="213">
        <f t="shared" ref="BW89" si="2058">+BW91*BW80</f>
        <v>75440.780004621236</v>
      </c>
      <c r="BX89" s="234">
        <f>+BT89+BU89+BV89+BW89</f>
        <v>298911.40668497694</v>
      </c>
      <c r="BY89" s="213">
        <f>+BY91*BY80</f>
        <v>80122.77480490804</v>
      </c>
      <c r="BZ89" s="213">
        <f>+BZ91*BZ80</f>
        <v>78093.521521450399</v>
      </c>
      <c r="CA89" s="213">
        <f t="shared" ref="CA89:CB89" si="2059">+CA91*CA80</f>
        <v>82741.166138401764</v>
      </c>
      <c r="CB89" s="213">
        <f t="shared" si="2059"/>
        <v>80711.912854944138</v>
      </c>
      <c r="CC89" s="234">
        <f>+BY89+BZ89+CA89+CB89</f>
        <v>321669.37531970436</v>
      </c>
      <c r="CD89" s="213">
        <f>+CD91*CD80</f>
        <v>85485.89485373658</v>
      </c>
      <c r="CE89" s="213">
        <f>+CE91*CE80</f>
        <v>83866.092515054013</v>
      </c>
      <c r="CF89" s="213">
        <f t="shared" ref="CF89:CG89" si="2060">+CF91*CF80</f>
        <v>88130.470100565231</v>
      </c>
      <c r="CG89" s="213">
        <f t="shared" si="2060"/>
        <v>86510.66776188268</v>
      </c>
      <c r="CH89" s="234">
        <f>+CD89+CE89+CF89+CG89</f>
        <v>343993.12523123855</v>
      </c>
      <c r="CI89" s="213">
        <f>+CI91*CI80</f>
        <v>91382.305938446938</v>
      </c>
      <c r="CJ89" s="213">
        <f>+CJ91*CJ80</f>
        <v>89529.285120184679</v>
      </c>
      <c r="CK89" s="213">
        <f t="shared" ref="CK89:CL89" si="2061">+CK91*CK80</f>
        <v>94053.326937743899</v>
      </c>
      <c r="CL89" s="213">
        <f t="shared" si="2061"/>
        <v>92200.30611948164</v>
      </c>
      <c r="CM89" s="234">
        <f>+CI89+CJ89+CK89+CL89</f>
        <v>367165.2241158571</v>
      </c>
      <c r="CN89" s="213">
        <f>+CN91*CN80</f>
        <v>97168.905994611341</v>
      </c>
      <c r="CO89" s="213">
        <f>+CO91*CO80</f>
        <v>95406.950298543845</v>
      </c>
      <c r="CP89" s="213">
        <f t="shared" ref="CP89:CQ89" si="2062">+CP91*CP80</f>
        <v>99866.637203901264</v>
      </c>
      <c r="CQ89" s="213">
        <f t="shared" si="2062"/>
        <v>98104.681507833768</v>
      </c>
      <c r="CR89" s="234">
        <f>+CN89+CO89+CP89+CQ89</f>
        <v>390547.17500489019</v>
      </c>
      <c r="CS89" s="213">
        <f>+CS91*CS80</f>
        <v>103172.79110498633</v>
      </c>
      <c r="CT89" s="213">
        <f>+CT91*CT80</f>
        <v>101337.87021011759</v>
      </c>
      <c r="CU89" s="213">
        <f t="shared" ref="CU89:CV89" si="2063">+CU91*CU80</f>
        <v>105897.49962636916</v>
      </c>
      <c r="CV89" s="213">
        <f t="shared" si="2063"/>
        <v>104062.57873150041</v>
      </c>
      <c r="CW89" s="234">
        <f>+CS89+CT89+CU89+CV89</f>
        <v>414470.73967297352</v>
      </c>
      <c r="CX89" s="213">
        <f>+CX91*CX80</f>
        <v>109231.13792871039</v>
      </c>
      <c r="CY89" s="213">
        <f>+CY91*CY80</f>
        <v>107405.81737402246</v>
      </c>
      <c r="CZ89" s="213">
        <f t="shared" ref="CZ89:DA89" si="2064">+CZ91*CZ80</f>
        <v>111983.09353530704</v>
      </c>
      <c r="DA89" s="213">
        <f t="shared" si="2064"/>
        <v>110157.77298061912</v>
      </c>
      <c r="DB89" s="234">
        <f>+CX89+CY89+CZ89+DA89</f>
        <v>438777.82181865897</v>
      </c>
    </row>
    <row r="90" spans="1:106">
      <c r="A90" s="117" t="s">
        <v>281</v>
      </c>
      <c r="B90" s="119" t="s">
        <v>290</v>
      </c>
      <c r="C90" s="119" t="s">
        <v>290</v>
      </c>
      <c r="D90" s="119" t="s">
        <v>290</v>
      </c>
      <c r="E90" s="119" t="s">
        <v>290</v>
      </c>
      <c r="F90" s="235" t="s">
        <v>290</v>
      </c>
      <c r="G90" s="13">
        <f>+G89/B89-1</f>
        <v>-0.21907216494845372</v>
      </c>
      <c r="H90" s="13">
        <f t="shared" ref="H90" si="2065">+H89/C89-1</f>
        <v>-0.32964601769911517</v>
      </c>
      <c r="I90" s="13">
        <f t="shared" ref="I90" si="2066">+I89/D89-1</f>
        <v>-0.27857142857142847</v>
      </c>
      <c r="J90" s="13">
        <f t="shared" ref="J90" si="2067">+J89/E89-1</f>
        <v>-0.14819277108433737</v>
      </c>
      <c r="K90" s="239">
        <f t="shared" ref="K90" si="2068">+K89/F89-1</f>
        <v>-0.25089514066496166</v>
      </c>
      <c r="L90" s="13">
        <f>+L89/G89-1</f>
        <v>0.1716000000000002</v>
      </c>
      <c r="M90" s="13">
        <f t="shared" ref="M90" si="2069">+M89/H89-1</f>
        <v>1.0000000000000009E-2</v>
      </c>
      <c r="N90" s="13">
        <f t="shared" ref="N90" si="2070">+N89/I89-1</f>
        <v>0.28414285714285703</v>
      </c>
      <c r="O90" s="13">
        <f t="shared" ref="O90" si="2071">+O89/J89-1</f>
        <v>0.28414285714285703</v>
      </c>
      <c r="P90" s="239">
        <f t="shared" ref="P90" si="2072">+P89/K89-1</f>
        <v>0.18413793103448306</v>
      </c>
      <c r="Q90" s="13">
        <f>+Q89/L89-1</f>
        <v>1.0000000000000009E-2</v>
      </c>
      <c r="R90" s="13">
        <f t="shared" ref="R90" si="2073">+R89/M89-1</f>
        <v>9.0800000000000214E-2</v>
      </c>
      <c r="S90" s="13">
        <f t="shared" ref="S90" si="2074">+S89/N89-1</f>
        <v>-7.9651685393258287E-2</v>
      </c>
      <c r="T90" s="13">
        <f t="shared" ref="T90" si="2075">+T89/O89-1</f>
        <v>-1.1561797752808856E-2</v>
      </c>
      <c r="U90" s="239">
        <f t="shared" ref="U90" si="2076">+U89/P89-1</f>
        <v>-1.2882352941175901E-3</v>
      </c>
      <c r="V90" s="13">
        <f>+V89/Q89-1</f>
        <v>6.8045977011494285E-2</v>
      </c>
      <c r="W90" s="13">
        <f t="shared" ref="W90" si="2077">+W89/R89-1</f>
        <v>0.11910493827160495</v>
      </c>
      <c r="X90" s="13">
        <f t="shared" ref="X90" si="2078">+X89/S89-1</f>
        <v>0.1208384710234276</v>
      </c>
      <c r="Y90" s="13">
        <f t="shared" ref="Y90" si="2079">+Y89/T89-1</f>
        <v>8.0734787600458935E-2</v>
      </c>
      <c r="Z90" s="239">
        <f t="shared" ref="Z90" si="2080">+Z89/U89-1</f>
        <v>9.6369720404521075E-2</v>
      </c>
      <c r="AA90" s="13">
        <f>+AA89/V89-1</f>
        <v>5.728336956521729E-2</v>
      </c>
      <c r="AB90" s="13">
        <f t="shared" ref="AB90" si="2081">+AB89/W89-1</f>
        <v>-0.12442284122562675</v>
      </c>
      <c r="AC90" s="13">
        <f t="shared" ref="AC90" si="2082">+AC89/X89-1</f>
        <v>-0.13027777777777771</v>
      </c>
      <c r="AD90" s="13">
        <f t="shared" ref="AD90" si="2083">+AD89/Y89-1</f>
        <v>-0.15472103004291837</v>
      </c>
      <c r="AE90" s="239">
        <f t="shared" ref="AE90" si="2084">+AE89/Z89-1</f>
        <v>-8.7797999725989895E-2</v>
      </c>
      <c r="AF90" s="13">
        <f>+AF89/AA89-1</f>
        <v>-1.4194191491791797E-2</v>
      </c>
      <c r="AG90" s="13">
        <f t="shared" ref="AG90" si="2085">+AG89/AB89-1</f>
        <v>0.27475098001413789</v>
      </c>
      <c r="AH90" s="13">
        <f t="shared" ref="AH90" si="2086">+AH89/AC89-1</f>
        <v>0.27716129032258063</v>
      </c>
      <c r="AI90" s="13">
        <f t="shared" ref="AI90" si="2087">+AI89/AD89-1</f>
        <v>0.29487179487179516</v>
      </c>
      <c r="AJ90" s="239">
        <f t="shared" ref="AJ90" si="2088">+AJ89/AE89-1</f>
        <v>0.19565428443139221</v>
      </c>
      <c r="AK90" s="13">
        <f>+AK89/AF89-1</f>
        <v>0.37531914893617024</v>
      </c>
      <c r="AL90" s="13">
        <f t="shared" ref="AL90" si="2089">+AL89/AG89-1</f>
        <v>0.38805061099796356</v>
      </c>
      <c r="AM90" s="13">
        <f t="shared" ref="AM90" si="2090">+AM89/AH89-1</f>
        <v>0.49660357142857148</v>
      </c>
      <c r="AN90" s="13">
        <f t="shared" ref="AN90" si="2091">+AN89/AI89-1</f>
        <v>0.5149999999999999</v>
      </c>
      <c r="AO90" s="239">
        <f t="shared" ref="AO90" si="2092">+AO89/AJ89-1</f>
        <v>0.44478144541260867</v>
      </c>
      <c r="AP90" s="13">
        <f>+AP89/AK89-1</f>
        <v>0.19937499999999986</v>
      </c>
      <c r="AQ90" s="13">
        <f t="shared" ref="AQ90" si="2093">+AQ89/AL89-1</f>
        <v>0.19105715153715641</v>
      </c>
      <c r="AR90" s="13">
        <f t="shared" ref="AR90" si="2094">+AR89/AM89-1</f>
        <v>0.13988844127672762</v>
      </c>
      <c r="AS90" s="13">
        <f t="shared" ref="AS90" si="2095">+AS89/AN89-1</f>
        <v>0.31299999999999994</v>
      </c>
      <c r="AT90" s="239">
        <f t="shared" ref="AT90" si="2096">+AT89/AO89-1</f>
        <v>0.21242269407996117</v>
      </c>
      <c r="AU90" s="13">
        <f>+AU89/AP89-1</f>
        <v>0.32894736842105288</v>
      </c>
      <c r="AV90" s="13">
        <f t="shared" ref="AV90" si="2097">+AV89/AQ89-1</f>
        <v>0.218473138548539</v>
      </c>
      <c r="AW90" s="13">
        <f t="shared" ref="AW90" si="2098">+AW89/AR89-1</f>
        <v>0.17090731588260444</v>
      </c>
      <c r="AX90" s="13">
        <f t="shared" ref="AX90" si="2099">+AX89/AS89-1</f>
        <v>-3.1435897435897364E-2</v>
      </c>
      <c r="AY90" s="239">
        <f t="shared" ref="AY90" si="2100">+AY89/AT89-1</f>
        <v>0.15916960181481699</v>
      </c>
      <c r="AZ90" s="13">
        <f>+AZ89/AU89-1</f>
        <v>-5.3074500000000135E-2</v>
      </c>
      <c r="BA90" s="13">
        <f t="shared" ref="BA90" si="2101">+BA89/AV89-1</f>
        <v>0.15729166666666683</v>
      </c>
      <c r="BB90" s="13">
        <f t="shared" ref="BB90" si="2102">+BB89/AW89-1</f>
        <v>0.12694736842105248</v>
      </c>
      <c r="BC90" s="13">
        <f t="shared" ref="BC90" si="2103">+BC89/AX89-1</f>
        <v>0.13422459893048111</v>
      </c>
      <c r="BD90" s="239">
        <f t="shared" ref="BD90" si="2104">+BD89/AY89-1</f>
        <v>8.9473472041612379E-2</v>
      </c>
      <c r="BE90" s="13">
        <f>+BE89/AZ89-1</f>
        <v>0.1432590261852702</v>
      </c>
      <c r="BF90" s="13">
        <f t="shared" ref="BF90" si="2105">+BF89/BA89-1</f>
        <v>-4.7340454545454658E-2</v>
      </c>
      <c r="BG90" s="13">
        <f t="shared" ref="BG90" si="2106">+BG89/BB89-1</f>
        <v>0.11957547169811322</v>
      </c>
      <c r="BH90" s="13">
        <f t="shared" ref="BH90" si="2107">+BH89/BC89-1</f>
        <v>9.6571428571428752E-2</v>
      </c>
      <c r="BI90" s="239">
        <f t="shared" ref="BI90" si="2108">+BI89/BD89-1</f>
        <v>7.483646972308966E-2</v>
      </c>
      <c r="BJ90" s="13">
        <f>+BJ89/BE89-1</f>
        <v>2.3085983510011676E-2</v>
      </c>
      <c r="BK90" s="13">
        <f t="shared" ref="BK90" si="2109">+BK89/BF89-1</f>
        <v>5.1322827815526884E-2</v>
      </c>
      <c r="BL90" s="13">
        <f t="shared" ref="BL90" si="2110">+BL89/BG89-1</f>
        <v>-3.2978723404255228E-2</v>
      </c>
      <c r="BM90" s="13">
        <f t="shared" ref="BM90" si="2111">+BM89/BH89-1</f>
        <v>8.5307017543859498E-2</v>
      </c>
      <c r="BN90" s="239">
        <f>+BN89/BI89-1</f>
        <v>3.0869092392042941E-2</v>
      </c>
      <c r="BO90" s="13">
        <f t="shared" ref="BO90" si="2112">+BO89/BJ89-1</f>
        <v>0.21199999999999997</v>
      </c>
      <c r="BP90" s="13">
        <f t="shared" ref="BP90" si="2113">+BP89/BK89-1</f>
        <v>0.15612268518518513</v>
      </c>
      <c r="BQ90" s="13">
        <f t="shared" ref="BQ90" si="2114">+BQ89/BL89-1</f>
        <v>0.20302222222222222</v>
      </c>
      <c r="BR90" s="13">
        <f t="shared" ref="BR90" si="2115">+BR89/BM89-1</f>
        <v>0.11100000000000021</v>
      </c>
      <c r="BS90" s="239">
        <f>+BS89/BN89-1</f>
        <v>0.26894561598224187</v>
      </c>
      <c r="BT90" s="13">
        <f t="shared" ref="BT90" si="2116">+BT89/BO89-1</f>
        <v>9.4166666666666732E-2</v>
      </c>
      <c r="BU90" s="13">
        <f t="shared" ref="BU90" si="2117">+BU89/BP89-1</f>
        <v>0.19688574317492447</v>
      </c>
      <c r="BV90" s="13">
        <f t="shared" ref="BV90" si="2118">+BV89/BQ89-1</f>
        <v>9.1026119402985328E-2</v>
      </c>
      <c r="BW90" s="13">
        <f t="shared" ref="BW90" si="2119">+BW89/BR89-1</f>
        <v>9.0575139146567674E-2</v>
      </c>
      <c r="BX90" s="239">
        <f t="shared" ref="BX90" si="2120">+BX89/BS89-1</f>
        <v>2.8736749116607951E-2</v>
      </c>
      <c r="BY90" s="13">
        <f>+BY89/BT89-1</f>
        <v>0.10576028622540257</v>
      </c>
      <c r="BZ90" s="13">
        <f t="shared" ref="BZ90" si="2121">+BZ89/BU89-1</f>
        <v>2.8097269624573373E-2</v>
      </c>
      <c r="CA90" s="13">
        <f t="shared" ref="CA90" si="2122">+CA89/BV89-1</f>
        <v>0.10245250431778929</v>
      </c>
      <c r="CB90" s="13">
        <f t="shared" ref="CB90" si="2123">+CB89/BW89-1</f>
        <v>6.9871134020618619E-2</v>
      </c>
      <c r="CC90" s="239">
        <f t="shared" ref="CC90" si="2124">+CC89/BX89-1</f>
        <v>7.61361665221163E-2</v>
      </c>
      <c r="CD90" s="13">
        <f>+CD89/BY89-1</f>
        <v>6.6936274509804106E-2</v>
      </c>
      <c r="CE90" s="13">
        <f t="shared" ref="CE90" si="2125">+CE89/BZ89-1</f>
        <v>7.391869237217108E-2</v>
      </c>
      <c r="CF90" s="13">
        <f t="shared" ref="CF90" si="2126">+CF89/CA89-1</f>
        <v>6.5134493670886195E-2</v>
      </c>
      <c r="CG90" s="13">
        <f t="shared" ref="CG90" si="2127">+CG89/CB89-1</f>
        <v>7.1845093268450899E-2</v>
      </c>
      <c r="CH90" s="239">
        <f t="shared" ref="CH90" si="2128">+CH89/CC89-1</f>
        <v>6.9399674399674538E-2</v>
      </c>
      <c r="CI90" s="13">
        <f>+CI89/CD89-1</f>
        <v>6.8975251353441625E-2</v>
      </c>
      <c r="CJ90" s="13">
        <f t="shared" ref="CJ90" si="2129">+CJ89/CE89-1</f>
        <v>6.7526606227828134E-2</v>
      </c>
      <c r="CK90" s="13">
        <f t="shared" ref="CK90" si="2130">+CK89/CF89-1</f>
        <v>6.7205551387847118E-2</v>
      </c>
      <c r="CL90" s="13">
        <f t="shared" ref="CL90" si="2131">+CL89/CG89-1</f>
        <v>6.5768055024837846E-2</v>
      </c>
      <c r="CM90" s="239">
        <f t="shared" ref="CM90" si="2132">+CM89/CH89-1</f>
        <v>6.7362098789159885E-2</v>
      </c>
      <c r="CN90" s="13">
        <f>+CN89/CI89-1</f>
        <v>6.3322981366459752E-2</v>
      </c>
      <c r="CO90" s="13">
        <f t="shared" ref="CO90" si="2133">+CO89/CJ89-1</f>
        <v>6.5650755174342601E-2</v>
      </c>
      <c r="CP90" s="13">
        <f t="shared" ref="CP90" si="2134">+CP89/CK89-1</f>
        <v>6.1808661696840739E-2</v>
      </c>
      <c r="CQ90" s="13">
        <f t="shared" ref="CQ90" si="2135">+CQ89/CL89-1</f>
        <v>6.4038565996740848E-2</v>
      </c>
      <c r="CR90" s="239">
        <f t="shared" ref="CR90" si="2136">+CR89/CM89-1</f>
        <v>6.3682367918523441E-2</v>
      </c>
      <c r="CS90" s="13">
        <f>+CS89/CN89-1</f>
        <v>6.178813118167592E-2</v>
      </c>
      <c r="CT90" s="13">
        <f t="shared" ref="CT90" si="2137">+CT89/CO89-1</f>
        <v>6.216444287355305E-2</v>
      </c>
      <c r="CU90" s="13">
        <f t="shared" ref="CU90" si="2138">+CU89/CP89-1</f>
        <v>6.0389160898193239E-2</v>
      </c>
      <c r="CV90" s="13">
        <f t="shared" ref="CV90" si="2139">+CV89/CQ89-1</f>
        <v>6.0729999140672009E-2</v>
      </c>
      <c r="CW90" s="239">
        <f t="shared" ref="CW90" si="2140">+CW89/CR89-1</f>
        <v>6.1256529810473692E-2</v>
      </c>
      <c r="CX90" s="13">
        <f>+CX89/CS89-1</f>
        <v>5.872039283651076E-2</v>
      </c>
      <c r="CY90" s="13">
        <f t="shared" ref="CY90" si="2141">+CY89/CT89-1</f>
        <v>5.9878376675209122E-2</v>
      </c>
      <c r="CZ90" s="13">
        <f t="shared" ref="CZ90" si="2142">+CZ89/CU89-1</f>
        <v>5.7466832837500981E-2</v>
      </c>
      <c r="DA90" s="13">
        <f t="shared" ref="DA90" si="2143">+DA89/CV89-1</f>
        <v>5.8572392914126858E-2</v>
      </c>
      <c r="DB90" s="239">
        <f t="shared" ref="DB90" si="2144">+DB89/CW89-1</f>
        <v>5.8646075148427235E-2</v>
      </c>
    </row>
    <row r="91" spans="1:106">
      <c r="A91" s="117" t="s">
        <v>291</v>
      </c>
      <c r="B91" s="118">
        <v>9.7000000000000003E-2</v>
      </c>
      <c r="C91" s="118">
        <v>0.113</v>
      </c>
      <c r="D91" s="118">
        <v>9.8000000000000004E-2</v>
      </c>
      <c r="E91" s="118">
        <v>8.3000000000000004E-2</v>
      </c>
      <c r="F91" s="239">
        <f>+F89/F80</f>
        <v>9.7750000000000004E-2</v>
      </c>
      <c r="G91" s="118">
        <v>7.4999999999999997E-2</v>
      </c>
      <c r="H91" s="118">
        <v>7.4999999999999997E-2</v>
      </c>
      <c r="I91" s="118">
        <v>7.0000000000000007E-2</v>
      </c>
      <c r="J91" s="118">
        <v>7.0000000000000007E-2</v>
      </c>
      <c r="K91" s="239">
        <f>+K89/K80</f>
        <v>7.2499999999999995E-2</v>
      </c>
      <c r="L91" s="118">
        <v>8.6999999999999994E-2</v>
      </c>
      <c r="M91" s="118">
        <v>7.4999999999999997E-2</v>
      </c>
      <c r="N91" s="118">
        <v>8.8999999999999996E-2</v>
      </c>
      <c r="O91" s="118">
        <v>8.8999999999999996E-2</v>
      </c>
      <c r="P91" s="239">
        <f>+P89/P80</f>
        <v>8.5000000000000006E-2</v>
      </c>
      <c r="Q91" s="118">
        <v>8.6999999999999994E-2</v>
      </c>
      <c r="R91" s="118">
        <v>8.1000000000000003E-2</v>
      </c>
      <c r="S91" s="118">
        <f>+R91+0.0001</f>
        <v>8.1100000000000005E-2</v>
      </c>
      <c r="T91" s="118">
        <f>+S91+0.006</f>
        <v>8.7100000000000011E-2</v>
      </c>
      <c r="U91" s="239">
        <f>+U89/U80</f>
        <v>8.4050000000000014E-2</v>
      </c>
      <c r="V91" s="118">
        <v>9.1999999999999998E-2</v>
      </c>
      <c r="W91" s="118">
        <v>8.9749999999999996E-2</v>
      </c>
      <c r="X91" s="118">
        <v>0.09</v>
      </c>
      <c r="Y91" s="118">
        <f>X91+0.0015+0.0017</f>
        <v>9.3199999999999991E-2</v>
      </c>
      <c r="Z91" s="239">
        <f>+Z89/Z80</f>
        <v>9.1237499999999999E-2</v>
      </c>
      <c r="AA91" s="118">
        <v>9.6307000000000004E-2</v>
      </c>
      <c r="AB91" s="118">
        <v>7.7804999999999999E-2</v>
      </c>
      <c r="AC91" s="118">
        <v>7.7499999999999999E-2</v>
      </c>
      <c r="AD91" s="118">
        <v>7.8E-2</v>
      </c>
      <c r="AE91" s="239">
        <f>+AE89/AE80</f>
        <v>8.2403000000000004E-2</v>
      </c>
      <c r="AF91" s="118">
        <v>9.4E-2</v>
      </c>
      <c r="AG91" s="118">
        <v>9.8199999999999996E-2</v>
      </c>
      <c r="AH91" s="118">
        <v>9.8000000000000004E-2</v>
      </c>
      <c r="AI91" s="118">
        <v>0.1</v>
      </c>
      <c r="AJ91" s="239">
        <f>+AJ89/AJ80</f>
        <v>9.7550000000000012E-2</v>
      </c>
      <c r="AK91" s="118">
        <v>0.128</v>
      </c>
      <c r="AL91" s="118">
        <v>0.13495699999999999</v>
      </c>
      <c r="AM91" s="118">
        <v>0.14521500000000001</v>
      </c>
      <c r="AN91" s="118">
        <v>0.15</v>
      </c>
      <c r="AO91" s="239">
        <f>+AO89/AO80</f>
        <v>0.13954299999999997</v>
      </c>
      <c r="AP91" s="118">
        <v>0.152</v>
      </c>
      <c r="AQ91" s="118">
        <v>0.15915000000000001</v>
      </c>
      <c r="AR91" s="118">
        <v>0.16389000000000001</v>
      </c>
      <c r="AS91" s="118">
        <v>0.19500000000000001</v>
      </c>
      <c r="AT91" s="239">
        <f>+AT89/AT80</f>
        <v>0.16751000000000002</v>
      </c>
      <c r="AU91" s="118">
        <v>0.2</v>
      </c>
      <c r="AV91" s="118">
        <v>0.192</v>
      </c>
      <c r="AW91" s="118">
        <v>0.19</v>
      </c>
      <c r="AX91" s="118">
        <v>0.187</v>
      </c>
      <c r="AY91" s="239">
        <f>+AY89/AY80</f>
        <v>0.19225</v>
      </c>
      <c r="AZ91" s="118">
        <f>+AT91+0.02</f>
        <v>0.18751000000000001</v>
      </c>
      <c r="BA91" s="118">
        <f t="shared" ref="BA91:BC91" si="2145">+AU91+0.02</f>
        <v>0.22</v>
      </c>
      <c r="BB91" s="118">
        <f t="shared" si="2145"/>
        <v>0.21199999999999999</v>
      </c>
      <c r="BC91" s="118">
        <f t="shared" si="2145"/>
        <v>0.21</v>
      </c>
      <c r="BD91" s="239">
        <f>+BD89/BD80</f>
        <v>0.20737750000000002</v>
      </c>
      <c r="BE91" s="118">
        <f>+AY91+0.02</f>
        <v>0.21224999999999999</v>
      </c>
      <c r="BF91" s="118">
        <f t="shared" ref="BF91" si="2146">+AZ91+0.02</f>
        <v>0.20751</v>
      </c>
      <c r="BG91" s="118">
        <f>+BA91+0.015</f>
        <v>0.23499999999999999</v>
      </c>
      <c r="BH91" s="118">
        <v>0.22800000000000001</v>
      </c>
      <c r="BI91" s="239">
        <f>+BI89/BI80</f>
        <v>0.22069000000000003</v>
      </c>
      <c r="BJ91" s="118">
        <v>0.215</v>
      </c>
      <c r="BK91" s="118">
        <v>0.216</v>
      </c>
      <c r="BL91" s="118">
        <v>0.22500000000000001</v>
      </c>
      <c r="BM91" s="118">
        <v>0.245</v>
      </c>
      <c r="BN91" s="239">
        <f>+BN89/BN80</f>
        <v>0.22525000000000001</v>
      </c>
      <c r="BO91" s="118">
        <f>+BM91+0.013</f>
        <v>0.25800000000000001</v>
      </c>
      <c r="BP91" s="118">
        <f>+BN91+0.022</f>
        <v>0.24725</v>
      </c>
      <c r="BQ91" s="118">
        <f>+BO91+0.01</f>
        <v>0.26800000000000002</v>
      </c>
      <c r="BR91" s="118">
        <f t="shared" ref="BR91" si="2147">+BQ91+0.0015</f>
        <v>0.26950000000000002</v>
      </c>
      <c r="BS91" s="256">
        <f>+BQ91+0.015</f>
        <v>0.28300000000000003</v>
      </c>
      <c r="BT91" s="118">
        <f>+BR91+0.01</f>
        <v>0.27950000000000003</v>
      </c>
      <c r="BU91" s="118">
        <f>+BS91+0.01</f>
        <v>0.29300000000000004</v>
      </c>
      <c r="BV91" s="118">
        <f>+BT91+0.01</f>
        <v>0.28950000000000004</v>
      </c>
      <c r="BW91" s="118">
        <f t="shared" ref="BW91" si="2148">+BV91+0.0015</f>
        <v>0.29100000000000004</v>
      </c>
      <c r="BX91" s="239">
        <f>+BX89/BX80</f>
        <v>0.28825000000000006</v>
      </c>
      <c r="BY91" s="118">
        <f>+BW91+0.015</f>
        <v>0.30600000000000005</v>
      </c>
      <c r="BZ91" s="118">
        <f>+BX91+0.01</f>
        <v>0.29825000000000007</v>
      </c>
      <c r="CA91" s="118">
        <f>+BY91+0.01</f>
        <v>0.31600000000000006</v>
      </c>
      <c r="CB91" s="118">
        <f>+BZ91+0.01</f>
        <v>0.30825000000000008</v>
      </c>
      <c r="CC91" s="239">
        <f>+CC89/CC80</f>
        <v>0.30712500000000009</v>
      </c>
      <c r="CD91" s="118">
        <f>+CB91+0.015</f>
        <v>0.32325000000000009</v>
      </c>
      <c r="CE91" s="118">
        <f>+CC91+0.01</f>
        <v>0.3171250000000001</v>
      </c>
      <c r="CF91" s="118">
        <f>+CD91+0.01</f>
        <v>0.3332500000000001</v>
      </c>
      <c r="CG91" s="118">
        <f>+CE91+0.01</f>
        <v>0.32712500000000011</v>
      </c>
      <c r="CH91" s="239">
        <f>+CH89/CH80</f>
        <v>0.32518750000000013</v>
      </c>
      <c r="CI91" s="118">
        <f>+CG91+0.015</f>
        <v>0.34212500000000012</v>
      </c>
      <c r="CJ91" s="118">
        <f>+CH91+0.01</f>
        <v>0.33518750000000014</v>
      </c>
      <c r="CK91" s="118">
        <f>+CI91+0.01</f>
        <v>0.35212500000000013</v>
      </c>
      <c r="CL91" s="118">
        <f>+CJ91+0.01</f>
        <v>0.34518750000000015</v>
      </c>
      <c r="CM91" s="239">
        <f>+CM89/CM80</f>
        <v>0.34365625000000005</v>
      </c>
      <c r="CN91" s="118">
        <f>+CL91+0.015</f>
        <v>0.36018750000000016</v>
      </c>
      <c r="CO91" s="118">
        <f>+CM91+0.01</f>
        <v>0.35365625000000006</v>
      </c>
      <c r="CP91" s="118">
        <f>+CN91+0.01</f>
        <v>0.37018750000000017</v>
      </c>
      <c r="CQ91" s="118">
        <f>+CO91+0.01</f>
        <v>0.36365625000000007</v>
      </c>
      <c r="CR91" s="239">
        <f>+CR89/CR80</f>
        <v>0.36192187500000006</v>
      </c>
      <c r="CS91" s="118">
        <f>+CQ91+0.015</f>
        <v>0.37865625000000008</v>
      </c>
      <c r="CT91" s="118">
        <f>+CR91+0.01</f>
        <v>0.37192187500000007</v>
      </c>
      <c r="CU91" s="118">
        <f>+CS91+0.01</f>
        <v>0.38865625000000009</v>
      </c>
      <c r="CV91" s="118">
        <f>+CT91+0.01</f>
        <v>0.38192187500000008</v>
      </c>
      <c r="CW91" s="239">
        <f>+CW89/CW80</f>
        <v>0.38028906250000011</v>
      </c>
      <c r="CX91" s="118">
        <f>+CV91+0.015</f>
        <v>0.39692187500000009</v>
      </c>
      <c r="CY91" s="118">
        <f>+CW91+0.01</f>
        <v>0.39028906250000012</v>
      </c>
      <c r="CZ91" s="118">
        <f>+CX91+0.01</f>
        <v>0.4069218750000001</v>
      </c>
      <c r="DA91" s="118">
        <f>+CY91+0.01</f>
        <v>0.40028906250000013</v>
      </c>
      <c r="DB91" s="239">
        <f>+DB89/DB80</f>
        <v>0.39860546875000008</v>
      </c>
    </row>
    <row r="92" spans="1:106" s="51" customFormat="1">
      <c r="A92" s="51" t="s">
        <v>286</v>
      </c>
      <c r="B92" s="213">
        <f>+B94*B83</f>
        <v>10336.897500000001</v>
      </c>
      <c r="C92" s="213">
        <f t="shared" ref="C92:E92" si="2149">+C94*C83</f>
        <v>13437.96675</v>
      </c>
      <c r="D92" s="213">
        <f t="shared" si="2149"/>
        <v>17572.725750000001</v>
      </c>
      <c r="E92" s="213">
        <f t="shared" si="2149"/>
        <v>20673.795000000002</v>
      </c>
      <c r="F92" s="234">
        <f>+B92+C92+D92+E92</f>
        <v>62021.384999999995</v>
      </c>
      <c r="G92" s="213">
        <f>+G94*G83</f>
        <v>26100.666187499999</v>
      </c>
      <c r="H92" s="213">
        <f t="shared" ref="H92:J92" si="2150">+H94*H83</f>
        <v>29232.74613</v>
      </c>
      <c r="I92" s="213">
        <f>+I94*I83</f>
        <v>31320.799424999997</v>
      </c>
      <c r="J92" s="213">
        <f t="shared" si="2150"/>
        <v>40717.039252499999</v>
      </c>
      <c r="K92" s="234">
        <f>+G92+H92+I92+J92</f>
        <v>127371.25099499998</v>
      </c>
      <c r="L92" s="213">
        <f>+L94*L83</f>
        <v>45342.07730092499</v>
      </c>
      <c r="M92" s="213">
        <f t="shared" ref="M92:O92" si="2151">+M94*M83</f>
        <v>44287.61038695</v>
      </c>
      <c r="N92" s="213">
        <f t="shared" si="2151"/>
        <v>46396.544214899994</v>
      </c>
      <c r="O92" s="213">
        <f t="shared" si="2151"/>
        <v>46396.544214899994</v>
      </c>
      <c r="P92" s="234">
        <f>+L92+M92+N92+O92</f>
        <v>182422.77611767498</v>
      </c>
      <c r="Q92" s="213">
        <f>+Q94*Q83</f>
        <v>44730.486490819501</v>
      </c>
      <c r="R92" s="213">
        <f t="shared" ref="R92:T92" si="2152">+R94*R83</f>
        <v>42600.463324589997</v>
      </c>
      <c r="S92" s="213">
        <f t="shared" si="2152"/>
        <v>42600.463324589997</v>
      </c>
      <c r="T92" s="213">
        <f t="shared" si="2152"/>
        <v>45795.49807393425</v>
      </c>
      <c r="U92" s="234">
        <f>+Q92+R92+S92+T92</f>
        <v>175726.91121393375</v>
      </c>
      <c r="V92" s="213">
        <f>+V94*V83</f>
        <v>57547.900893605511</v>
      </c>
      <c r="W92" s="213">
        <f t="shared" ref="W92:Y92" si="2153">+W94*W83</f>
        <v>59376.525781813536</v>
      </c>
      <c r="X92" s="213">
        <f t="shared" si="2153"/>
        <v>59161.39344202436</v>
      </c>
      <c r="Y92" s="213">
        <f t="shared" si="2153"/>
        <v>59645.441206550007</v>
      </c>
      <c r="Z92" s="234">
        <f>+V92+W92+X92+Y92</f>
        <v>235731.26132399339</v>
      </c>
      <c r="AA92" s="213">
        <f>+AA94*AA83</f>
        <v>69096.20489348867</v>
      </c>
      <c r="AB92" s="213">
        <f t="shared" ref="AB92:AC92" si="2154">+AB94*AB83</f>
        <v>65619.666282495527</v>
      </c>
      <c r="AC92" s="213">
        <f t="shared" si="2154"/>
        <v>64247.51994946917</v>
      </c>
      <c r="AD92" s="213">
        <f>+AD94*AD83</f>
        <v>64098.680640186016</v>
      </c>
      <c r="AE92" s="234">
        <f>+AA92+AB92+AC92+AD92</f>
        <v>263062.07176563941</v>
      </c>
      <c r="AF92" s="213">
        <f>+AF94*AF83</f>
        <v>72420.644940250859</v>
      </c>
      <c r="AG92" s="213">
        <f t="shared" ref="AG92:AI92" si="2155">+AG94*AG83</f>
        <v>75712.492437534995</v>
      </c>
      <c r="AH92" s="213">
        <f t="shared" si="2155"/>
        <v>89977.164925766221</v>
      </c>
      <c r="AI92" s="213">
        <f t="shared" si="2155"/>
        <v>98755.424918523902</v>
      </c>
      <c r="AJ92" s="234">
        <f>+AF92+AG92+AH92+AI92</f>
        <v>336865.72722207604</v>
      </c>
      <c r="AK92" s="213">
        <f>+AK94*AK83</f>
        <v>124124.59629759358</v>
      </c>
      <c r="AL92" s="213">
        <f t="shared" ref="AL92:AN92" si="2156">+AL94*AL83</f>
        <v>134098.8942143645</v>
      </c>
      <c r="AM92" s="213">
        <f t="shared" si="2156"/>
        <v>144073.19213113541</v>
      </c>
      <c r="AN92" s="213">
        <f t="shared" si="2156"/>
        <v>141856.68148296411</v>
      </c>
      <c r="AO92" s="234">
        <f>+AK92+AL92+AM92+AN92</f>
        <v>544153.3641260576</v>
      </c>
      <c r="AP92" s="213">
        <f>+AP94*AP83</f>
        <v>170139.35735363007</v>
      </c>
      <c r="AQ92" s="213">
        <f t="shared" ref="AQ92:AS92" si="2157">+AQ94*AQ83</f>
        <v>165662.00584432401</v>
      </c>
      <c r="AR92" s="213">
        <f t="shared" si="2157"/>
        <v>167900.68159897704</v>
      </c>
      <c r="AS92" s="213">
        <f t="shared" si="2157"/>
        <v>173497.37098560962</v>
      </c>
      <c r="AT92" s="234">
        <f>+AP92+AQ92+AR92+AS92</f>
        <v>677199.41578254069</v>
      </c>
      <c r="AU92" s="213">
        <f>+AU94*AU83</f>
        <v>173536.54781131604</v>
      </c>
      <c r="AV92" s="213">
        <f t="shared" ref="AV92:AX92" si="2158">+AV94*AV83</f>
        <v>169014.4227869169</v>
      </c>
      <c r="AW92" s="213">
        <f>+AW94*AW83</f>
        <v>171275.48529911647</v>
      </c>
      <c r="AX92" s="213">
        <f t="shared" si="2158"/>
        <v>176928.14157961536</v>
      </c>
      <c r="AY92" s="234">
        <f>+AU92+AV92+AW92+AX92</f>
        <v>690754.59747696482</v>
      </c>
      <c r="AZ92" s="213">
        <f>+AZ94*AZ83</f>
        <v>198108.64466264471</v>
      </c>
      <c r="BA92" s="213">
        <f t="shared" ref="BA92" si="2159">+BA94*BA83</f>
        <v>194112.21667233203</v>
      </c>
      <c r="BB92" s="213">
        <f>+BB94*BB83</f>
        <v>194112.21667233203</v>
      </c>
      <c r="BC92" s="213">
        <f>+BC94*BC83</f>
        <v>194112.21667233203</v>
      </c>
      <c r="BD92" s="234">
        <f>+AZ92+BA92+BB92+BC92</f>
        <v>780445.29467964079</v>
      </c>
      <c r="BE92" s="213">
        <f>+BE94*BE83</f>
        <v>219118.43752600302</v>
      </c>
      <c r="BF92" s="213">
        <f t="shared" ref="BF92" si="2160">+BF94*BF83</f>
        <v>207585.88818252919</v>
      </c>
      <c r="BG92" s="213">
        <f>+BG94*BG83</f>
        <v>196053.33883905536</v>
      </c>
      <c r="BH92" s="213">
        <f>+BH94*BH83</f>
        <v>191440.31910166581</v>
      </c>
      <c r="BI92" s="234">
        <f>+BE92+BF92+BG92+BH92</f>
        <v>814197.98364925338</v>
      </c>
      <c r="BJ92" s="213">
        <f>+BJ94*BJ83</f>
        <v>215485.68448280875</v>
      </c>
      <c r="BK92" s="213">
        <f t="shared" ref="BK92" si="2161">+BK94*BK83</f>
        <v>209661.74706435445</v>
      </c>
      <c r="BL92" s="213">
        <f>+BL94*BL83</f>
        <v>198013.87222744589</v>
      </c>
      <c r="BM92" s="213">
        <f>+BM94*BM83</f>
        <v>193354.72229268245</v>
      </c>
      <c r="BN92" s="234">
        <f>SUM(BJ92:BM92)</f>
        <v>816516.02606729139</v>
      </c>
      <c r="BO92" s="213">
        <f t="shared" ref="BO92" si="2162">+BO94*BO83</f>
        <v>247051.42529083102</v>
      </c>
      <c r="BP92" s="213">
        <f>+BP94*BP83</f>
        <v>223522.71812027568</v>
      </c>
      <c r="BQ92" s="213">
        <f>+BQ94*BQ83</f>
        <v>223522.71812027568</v>
      </c>
      <c r="BR92" s="213">
        <f>+BR94*BR83</f>
        <v>215287.67061058132</v>
      </c>
      <c r="BS92" s="234">
        <f>+BS94*BS83</f>
        <v>918796.01501018566</v>
      </c>
      <c r="BT92" s="213">
        <f t="shared" ref="BT92" si="2163">+BT94*BT83</f>
        <v>261403.93666486978</v>
      </c>
      <c r="BU92" s="213">
        <f>+BU94*BU83</f>
        <v>237639.9424226089</v>
      </c>
      <c r="BV92" s="213">
        <f>+BV94*BV83</f>
        <v>237639.9424226089</v>
      </c>
      <c r="BW92" s="213">
        <f>+BW94*BW83</f>
        <v>229322.54443781759</v>
      </c>
      <c r="BX92" s="234">
        <f>+BT92+BU92+BV92+BW92</f>
        <v>966006.36594790523</v>
      </c>
      <c r="BY92" s="213">
        <f>+BY94*BY83</f>
        <v>276018.7931238602</v>
      </c>
      <c r="BZ92" s="213">
        <f t="shared" ref="BZ92" si="2164">+BZ94*BZ83</f>
        <v>252017.15893917673</v>
      </c>
      <c r="CA92" s="213">
        <f>+CA94*CA83</f>
        <v>252017.15893917673</v>
      </c>
      <c r="CB92" s="213">
        <f>+CB94*CB83</f>
        <v>243616.58697453749</v>
      </c>
      <c r="CC92" s="234">
        <f>+BY92+BZ92+CA92+CB92</f>
        <v>1023669.6979767511</v>
      </c>
      <c r="CD92" s="213">
        <f>+CD94*CD83</f>
        <v>290899.80631836399</v>
      </c>
      <c r="CE92" s="213">
        <f t="shared" ref="CE92" si="2165">+CE94*CE83</f>
        <v>266658.15579183371</v>
      </c>
      <c r="CF92" s="213">
        <f>+CF94*CF83</f>
        <v>266658.15579183371</v>
      </c>
      <c r="CG92" s="213">
        <f>+CG94*CG83</f>
        <v>258173.57810754806</v>
      </c>
      <c r="CH92" s="234">
        <f>+CD92+CE92+CF92+CG92</f>
        <v>1082389.6960095796</v>
      </c>
      <c r="CI92" s="213">
        <f>+CI94*CI83</f>
        <v>306050.83789744548</v>
      </c>
      <c r="CJ92" s="213">
        <f t="shared" ref="CJ92" si="2166">+CJ94*CJ83</f>
        <v>281566.77086564992</v>
      </c>
      <c r="CK92" s="213">
        <f>+CK94*CK83</f>
        <v>281566.77086564992</v>
      </c>
      <c r="CL92" s="213">
        <f>+CL94*CL83</f>
        <v>272997.34740452142</v>
      </c>
      <c r="CM92" s="234">
        <f>+CI92+CJ92+CK92+CL92</f>
        <v>1142181.7270332668</v>
      </c>
      <c r="CN92" s="213">
        <f>+CN94*CN83</f>
        <v>321475.80012747674</v>
      </c>
      <c r="CO92" s="213">
        <f t="shared" ref="CO92" si="2167">+CO94*CO83</f>
        <v>296746.89242536318</v>
      </c>
      <c r="CP92" s="213">
        <f>+CP94*CP83</f>
        <v>296746.89242536318</v>
      </c>
      <c r="CQ92" s="213">
        <f>+CQ94*CQ83</f>
        <v>288091.7747296234</v>
      </c>
      <c r="CR92" s="234">
        <f>+CN92+CO92+CP92+CQ92</f>
        <v>1203061.3597078265</v>
      </c>
      <c r="CS92" s="213">
        <f>+CS94*CS83</f>
        <v>337178.65651831886</v>
      </c>
      <c r="CT92" s="213">
        <f t="shared" ref="CT92" si="2168">+CT94*CT83</f>
        <v>312202.45973918418</v>
      </c>
      <c r="CU92" s="213">
        <f>+CU94*CU83</f>
        <v>312202.45973918418</v>
      </c>
      <c r="CV92" s="213">
        <f>+CV94*CV83</f>
        <v>303460.79086648702</v>
      </c>
      <c r="CW92" s="234">
        <f>+CS92+CT92+CU92+CV92</f>
        <v>1265044.3668631741</v>
      </c>
      <c r="CX92" s="213">
        <f>+CX94*CX83</f>
        <v>353163.42245696508</v>
      </c>
      <c r="CY92" s="213">
        <f t="shared" ref="CY92" si="2169">+CY94*CY83</f>
        <v>327937.4637100391</v>
      </c>
      <c r="CZ92" s="213">
        <f>+CZ94*CZ83</f>
        <v>327937.4637100391</v>
      </c>
      <c r="DA92" s="213">
        <f>+DA94*DA83</f>
        <v>319108.37814861495</v>
      </c>
      <c r="DB92" s="234">
        <f>+CX92+CY92+CZ92+DA92</f>
        <v>1328146.7280256583</v>
      </c>
    </row>
    <row r="93" spans="1:106">
      <c r="A93" s="117" t="s">
        <v>281</v>
      </c>
      <c r="B93" s="119" t="s">
        <v>290</v>
      </c>
      <c r="C93" s="119" t="s">
        <v>290</v>
      </c>
      <c r="D93" s="119" t="s">
        <v>290</v>
      </c>
      <c r="E93" s="119" t="s">
        <v>290</v>
      </c>
      <c r="F93" s="235" t="s">
        <v>290</v>
      </c>
      <c r="G93" s="13">
        <f>+G92/B92-1</f>
        <v>1.5249999999999995</v>
      </c>
      <c r="H93" s="13">
        <f t="shared" ref="H93" si="2170">+H92/C92-1</f>
        <v>1.1753846153846155</v>
      </c>
      <c r="I93" s="13">
        <f t="shared" ref="I93" si="2171">+I92/D92-1</f>
        <v>0.78235294117647025</v>
      </c>
      <c r="J93" s="13">
        <f t="shared" ref="J93" si="2172">+J92/E92-1</f>
        <v>0.96949999999999981</v>
      </c>
      <c r="K93" s="239">
        <f t="shared" ref="K93" si="2173">+K92/F92-1</f>
        <v>1.0536666666666665</v>
      </c>
      <c r="L93" s="13">
        <f>+L92/G92-1</f>
        <v>0.73719999999999963</v>
      </c>
      <c r="M93" s="13">
        <f t="shared" ref="M93" si="2174">+M92/H92-1</f>
        <v>0.51500000000000012</v>
      </c>
      <c r="N93" s="13">
        <f t="shared" ref="N93" si="2175">+N92/I92-1</f>
        <v>0.48133333333333317</v>
      </c>
      <c r="O93" s="13">
        <f t="shared" ref="O93" si="2176">+O92/J92-1</f>
        <v>0.13948717948717926</v>
      </c>
      <c r="P93" s="239">
        <f t="shared" ref="P93" si="2177">+P92/K92-1</f>
        <v>0.4322131147540984</v>
      </c>
      <c r="Q93" s="13">
        <f>+Q92/L92-1</f>
        <v>-1.3488372093023004E-2</v>
      </c>
      <c r="R93" s="13">
        <f t="shared" ref="R93" si="2178">+R92/M92-1</f>
        <v>-3.8095238095238182E-2</v>
      </c>
      <c r="S93" s="13">
        <f t="shared" ref="S93" si="2179">+S92/N92-1</f>
        <v>-8.181818181818179E-2</v>
      </c>
      <c r="T93" s="13">
        <f t="shared" ref="T93" si="2180">+T92/O92-1</f>
        <v>-1.295454545454533E-2</v>
      </c>
      <c r="U93" s="239">
        <f t="shared" ref="U93" si="2181">+U92/P92-1</f>
        <v>-3.6705202312138585E-2</v>
      </c>
      <c r="V93" s="13">
        <f>+V92/Q92-1</f>
        <v>0.28654761904761883</v>
      </c>
      <c r="W93" s="13">
        <f t="shared" ref="W93" si="2182">+W92/R92-1</f>
        <v>0.39379999999999993</v>
      </c>
      <c r="X93" s="13">
        <f t="shared" ref="X93" si="2183">+X92/S92-1</f>
        <v>0.38875000000000015</v>
      </c>
      <c r="Y93" s="13">
        <f t="shared" ref="Y93" si="2184">+Y92/T92-1</f>
        <v>0.30243023255813939</v>
      </c>
      <c r="Z93" s="239">
        <f t="shared" ref="Z93" si="2185">+Z92/U92-1</f>
        <v>0.34146363636363608</v>
      </c>
      <c r="AA93" s="13">
        <f>+AA92/V92-1</f>
        <v>0.20067289719626169</v>
      </c>
      <c r="AB93" s="13">
        <f t="shared" ref="AB93" si="2186">+AB92/W92-1</f>
        <v>0.10514492753623195</v>
      </c>
      <c r="AC93" s="13">
        <f t="shared" ref="AC93" si="2187">+AC92/X92-1</f>
        <v>8.5970363636363567E-2</v>
      </c>
      <c r="AD93" s="13">
        <f t="shared" ref="AD93" si="2188">+AD92/Y92-1</f>
        <v>7.4661857529305653E-2</v>
      </c>
      <c r="AE93" s="239">
        <f t="shared" ref="AE93" si="2189">+AE92/Z92-1</f>
        <v>0.11594054300707302</v>
      </c>
      <c r="AF93" s="13">
        <f>+AF92/AA92-1</f>
        <v>4.8113207547169745E-2</v>
      </c>
      <c r="AG93" s="13">
        <f t="shared" ref="AG93" si="2190">+AG92/AB92-1</f>
        <v>0.15380794701986766</v>
      </c>
      <c r="AH93" s="13">
        <f t="shared" ref="AH93" si="2191">+AH92/AC92-1</f>
        <v>0.40047685881935169</v>
      </c>
      <c r="AI93" s="13">
        <f t="shared" ref="AI93" si="2192">+AI92/AD92-1</f>
        <v>0.54067796610169538</v>
      </c>
      <c r="AJ93" s="239">
        <f t="shared" ref="AJ93" si="2193">+AJ92/AE92-1</f>
        <v>0.28055604884837937</v>
      </c>
      <c r="AK93" s="13">
        <f>+AK92/AF92-1</f>
        <v>0.71393939393939387</v>
      </c>
      <c r="AL93" s="13">
        <f t="shared" ref="AL93" si="2194">+AL92/AG92-1</f>
        <v>0.77115942028985485</v>
      </c>
      <c r="AM93" s="13">
        <f t="shared" ref="AM93" si="2195">+AM92/AH92-1</f>
        <v>0.60121951219512182</v>
      </c>
      <c r="AN93" s="13">
        <f t="shared" ref="AN93" si="2196">+AN92/AI92-1</f>
        <v>0.43644444444444441</v>
      </c>
      <c r="AO93" s="239">
        <f t="shared" ref="AO93" si="2197">+AO92/AJ92-1</f>
        <v>0.61534201954397361</v>
      </c>
      <c r="AP93" s="13">
        <f>+AP92/AK92-1</f>
        <v>0.37071428571428577</v>
      </c>
      <c r="AQ93" s="13">
        <f t="shared" ref="AQ93" si="2198">+AQ92/AL92-1</f>
        <v>0.23537190082644632</v>
      </c>
      <c r="AR93" s="13">
        <f t="shared" ref="AR93" si="2199">+AR92/AM92-1</f>
        <v>0.16538461538461546</v>
      </c>
      <c r="AS93" s="13">
        <f t="shared" ref="AS93" si="2200">+AS92/AN92-1</f>
        <v>0.22304687500000009</v>
      </c>
      <c r="AT93" s="239">
        <f t="shared" ref="AT93" si="2201">+AT92/AO92-1</f>
        <v>0.24450101832993876</v>
      </c>
      <c r="AU93" s="13">
        <f>+AU92/AP92-1</f>
        <v>1.9967105263157814E-2</v>
      </c>
      <c r="AV93" s="13">
        <f t="shared" ref="AV93" si="2202">+AV92/AQ92-1</f>
        <v>2.0236486486486349E-2</v>
      </c>
      <c r="AW93" s="13">
        <f t="shared" ref="AW93" si="2203">+AW92/AR92-1</f>
        <v>2.0100000000000007E-2</v>
      </c>
      <c r="AX93" s="13">
        <f t="shared" ref="AX93" si="2204">+AX92/AS92-1</f>
        <v>1.9774193548386831E-2</v>
      </c>
      <c r="AY93" s="239">
        <f t="shared" ref="AY93" si="2205">+AY92/AT92-1</f>
        <v>2.0016528925620003E-2</v>
      </c>
      <c r="AZ93" s="13">
        <f>+AZ92/AU92-1</f>
        <v>0.14159609120521166</v>
      </c>
      <c r="BA93" s="13">
        <f t="shared" ref="BA93" si="2206">+BA92/AV92-1</f>
        <v>0.14849498327759214</v>
      </c>
      <c r="BB93" s="13">
        <f t="shared" ref="BB93" si="2207">+BB92/AW92-1</f>
        <v>0.13333333333333353</v>
      </c>
      <c r="BC93" s="13">
        <f t="shared" ref="BC93" si="2208">+BC92/AX92-1</f>
        <v>9.7124600638977876E-2</v>
      </c>
      <c r="BD93" s="239">
        <f t="shared" ref="BD93" si="2209">+BD92/AY92-1</f>
        <v>0.12984451718494272</v>
      </c>
      <c r="BE93" s="13">
        <f>+BE92/AZ92-1</f>
        <v>0.10605187319884735</v>
      </c>
      <c r="BF93" s="13">
        <f t="shared" ref="BF93" si="2210">+BF92/BA92-1</f>
        <v>6.9411764705882284E-2</v>
      </c>
      <c r="BG93" s="13">
        <f t="shared" ref="BG93" si="2211">+BG92/BB92-1</f>
        <v>1.0000000000000009E-2</v>
      </c>
      <c r="BH93" s="13">
        <f t="shared" ref="BH93" si="2212">+BH92/BC92-1</f>
        <v>-1.3764705882352901E-2</v>
      </c>
      <c r="BI93" s="239">
        <f t="shared" ref="BI93" si="2213">+BI92/BD92-1</f>
        <v>4.3247988295537665E-2</v>
      </c>
      <c r="BJ93" s="13">
        <f>+BJ92/BE92-1</f>
        <v>-1.6578947368421137E-2</v>
      </c>
      <c r="BK93" s="13">
        <f t="shared" ref="BK93" si="2214">+BK92/BF92-1</f>
        <v>9.9999999999997868E-3</v>
      </c>
      <c r="BL93" s="13">
        <f t="shared" ref="BL93" si="2215">+BL92/BG92-1</f>
        <v>9.9999999999997868E-3</v>
      </c>
      <c r="BM93" s="13">
        <f t="shared" ref="BM93" si="2216">+BM92/BH92-1</f>
        <v>9.9999999999997868E-3</v>
      </c>
      <c r="BN93" s="239">
        <f>+BN92/BI92-1</f>
        <v>2.8470254957504437E-3</v>
      </c>
      <c r="BO93" s="13">
        <f t="shared" ref="BO93" si="2217">+BO92/BJ92-1</f>
        <v>0.14648648648648654</v>
      </c>
      <c r="BP93" s="13">
        <f t="shared" ref="BP93" si="2218">+BP92/BK92-1</f>
        <v>6.6111111111111232E-2</v>
      </c>
      <c r="BQ93" s="13">
        <f t="shared" ref="BQ93" si="2219">+BQ92/BL92-1</f>
        <v>0.12882352941176478</v>
      </c>
      <c r="BR93" s="13">
        <f t="shared" ref="BR93" si="2220">+BR92/BM92-1</f>
        <v>0.11343373493975917</v>
      </c>
      <c r="BS93" s="239">
        <f>+BS92/BN92-1</f>
        <v>0.12526390870185455</v>
      </c>
      <c r="BT93" s="13">
        <f t="shared" ref="BT93" si="2221">+BT92/BO92-1</f>
        <v>5.80952380952382E-2</v>
      </c>
      <c r="BU93" s="13">
        <f t="shared" ref="BU93" si="2222">+BU92/BP92-1</f>
        <v>6.3157894736842302E-2</v>
      </c>
      <c r="BV93" s="13">
        <f t="shared" ref="BV93" si="2223">+BV92/BQ92-1</f>
        <v>6.3157894736842302E-2</v>
      </c>
      <c r="BW93" s="13">
        <f t="shared" ref="BW93" si="2224">+BW92/BR92-1</f>
        <v>6.519125683060123E-2</v>
      </c>
      <c r="BX93" s="239">
        <f t="shared" ref="BX93" si="2225">+BX92/BS92-1</f>
        <v>5.1382842509603455E-2</v>
      </c>
      <c r="BY93" s="13">
        <f>+BY92/BT92-1</f>
        <v>5.5909090909090908E-2</v>
      </c>
      <c r="BZ93" s="13">
        <f t="shared" ref="BZ93" si="2226">+BZ92/BU92-1</f>
        <v>6.0499999999999998E-2</v>
      </c>
      <c r="CA93" s="13">
        <f t="shared" ref="CA93" si="2227">+CA92/BV92-1</f>
        <v>6.0499999999999998E-2</v>
      </c>
      <c r="CB93" s="13">
        <f t="shared" ref="CB93" si="2228">+CB92/BW92-1</f>
        <v>6.2331606217616464E-2</v>
      </c>
      <c r="CC93" s="239">
        <f t="shared" ref="CC93" si="2229">+CC92/BX92-1</f>
        <v>5.969249692496903E-2</v>
      </c>
      <c r="CD93" s="13">
        <f>+CD92/BY92-1</f>
        <v>5.3913043478260869E-2</v>
      </c>
      <c r="CE93" s="13">
        <f t="shared" ref="CE93" si="2230">+CE92/BZ92-1</f>
        <v>5.80952380952382E-2</v>
      </c>
      <c r="CF93" s="13">
        <f t="shared" ref="CF93" si="2231">+CF92/CA92-1</f>
        <v>5.80952380952382E-2</v>
      </c>
      <c r="CG93" s="13">
        <f t="shared" ref="CG93" si="2232">+CG92/CB92-1</f>
        <v>5.9753694581280881E-2</v>
      </c>
      <c r="CH93" s="239">
        <f t="shared" ref="CH93" si="2233">+CH92/CC92-1</f>
        <v>5.7362250879249954E-2</v>
      </c>
      <c r="CI93" s="13">
        <f>+CI92/CD92-1</f>
        <v>5.2083333333333481E-2</v>
      </c>
      <c r="CJ93" s="13">
        <f t="shared" ref="CJ93" si="2234">+CJ92/CE92-1</f>
        <v>5.590909090909113E-2</v>
      </c>
      <c r="CK93" s="13">
        <f t="shared" ref="CK93" si="2235">+CK92/CF92-1</f>
        <v>5.590909090909113E-2</v>
      </c>
      <c r="CL93" s="13">
        <f t="shared" ref="CL93" si="2236">+CL92/CG92-1</f>
        <v>5.741784037558717E-2</v>
      </c>
      <c r="CM93" s="239">
        <f t="shared" ref="CM93" si="2237">+CM92/CH92-1</f>
        <v>5.5240761478163591E-2</v>
      </c>
      <c r="CN93" s="13">
        <f>+CN92/CI92-1</f>
        <v>5.04E-2</v>
      </c>
      <c r="CO93" s="13">
        <f t="shared" ref="CO93" si="2238">+CO92/CJ92-1</f>
        <v>5.3913043478260869E-2</v>
      </c>
      <c r="CP93" s="13">
        <f t="shared" ref="CP93" si="2239">+CP92/CK92-1</f>
        <v>5.3913043478260869E-2</v>
      </c>
      <c r="CQ93" s="13">
        <f t="shared" ref="CQ93" si="2240">+CQ92/CL92-1</f>
        <v>5.5291479820627654E-2</v>
      </c>
      <c r="CR93" s="239">
        <f t="shared" ref="CR93" si="2241">+CR92/CM92-1</f>
        <v>5.3301178992497089E-2</v>
      </c>
      <c r="CS93" s="13">
        <f>+CS92/CN92-1</f>
        <v>4.8846153846153761E-2</v>
      </c>
      <c r="CT93" s="13">
        <f t="shared" ref="CT93" si="2242">+CT92/CO92-1</f>
        <v>5.2083333333333259E-2</v>
      </c>
      <c r="CU93" s="13">
        <f t="shared" ref="CU93" si="2243">+CU92/CP92-1</f>
        <v>5.2083333333333259E-2</v>
      </c>
      <c r="CV93" s="13">
        <f t="shared" ref="CV93" si="2244">+CV92/CQ92-1</f>
        <v>5.334763948497856E-2</v>
      </c>
      <c r="CW93" s="239">
        <f t="shared" ref="CW93" si="2245">+CW92/CR92-1</f>
        <v>5.1521068859198271E-2</v>
      </c>
      <c r="CX93" s="13">
        <f>+CX92/CS92-1</f>
        <v>4.7407407407407343E-2</v>
      </c>
      <c r="CY93" s="13">
        <f t="shared" ref="CY93" si="2246">+CY92/CT92-1</f>
        <v>5.04E-2</v>
      </c>
      <c r="CZ93" s="13">
        <f t="shared" ref="CZ93" si="2247">+CZ92/CU92-1</f>
        <v>5.04E-2</v>
      </c>
      <c r="DA93" s="13">
        <f t="shared" ref="DA93" si="2248">+DA92/CV92-1</f>
        <v>5.1563786008230528E-2</v>
      </c>
      <c r="DB93" s="239">
        <f t="shared" ref="DB93" si="2249">+DB92/CW92-1</f>
        <v>4.9881539980256795E-2</v>
      </c>
    </row>
    <row r="94" spans="1:106">
      <c r="A94" s="117" t="s">
        <v>292</v>
      </c>
      <c r="B94" s="118">
        <v>0.01</v>
      </c>
      <c r="C94" s="118">
        <v>1.2999999999999999E-2</v>
      </c>
      <c r="D94" s="118">
        <v>1.7000000000000001E-2</v>
      </c>
      <c r="E94" s="118">
        <v>0.02</v>
      </c>
      <c r="F94" s="240">
        <f>+F92/F83</f>
        <v>1.4999999999999999E-2</v>
      </c>
      <c r="G94" s="118">
        <v>2.5000000000000001E-2</v>
      </c>
      <c r="H94" s="118">
        <v>2.8000000000000001E-2</v>
      </c>
      <c r="I94" s="118">
        <v>0.03</v>
      </c>
      <c r="J94" s="118">
        <v>3.9E-2</v>
      </c>
      <c r="K94" s="239">
        <f>+K92/K83</f>
        <v>3.0499999999999996E-2</v>
      </c>
      <c r="L94" s="118">
        <v>4.2999999999999997E-2</v>
      </c>
      <c r="M94" s="118">
        <v>4.2000000000000003E-2</v>
      </c>
      <c r="N94" s="118">
        <v>4.3999999999999997E-2</v>
      </c>
      <c r="O94" s="118">
        <v>4.3999999999999997E-2</v>
      </c>
      <c r="P94" s="239">
        <f>+P92/P83</f>
        <v>4.3249999999999997E-2</v>
      </c>
      <c r="Q94" s="118">
        <v>4.2000000000000003E-2</v>
      </c>
      <c r="R94" s="118">
        <v>0.04</v>
      </c>
      <c r="S94" s="118">
        <f>+R94</f>
        <v>0.04</v>
      </c>
      <c r="T94" s="118">
        <f>+S94+0.003</f>
        <v>4.3000000000000003E-2</v>
      </c>
      <c r="U94" s="239">
        <f>+U92/U83</f>
        <v>4.1250000000000002E-2</v>
      </c>
      <c r="V94" s="118">
        <v>5.3499999999999999E-2</v>
      </c>
      <c r="W94" s="118">
        <v>5.5199999999999999E-2</v>
      </c>
      <c r="X94" s="118">
        <v>5.5E-2</v>
      </c>
      <c r="Y94" s="118">
        <v>5.5449999999999999E-2</v>
      </c>
      <c r="Z94" s="239">
        <f>+Z92/Z83</f>
        <v>5.4787499999999996E-2</v>
      </c>
      <c r="AA94" s="118">
        <v>6.3600000000000004E-2</v>
      </c>
      <c r="AB94" s="118">
        <v>6.0400000000000002E-2</v>
      </c>
      <c r="AC94" s="118">
        <v>5.9137000000000002E-2</v>
      </c>
      <c r="AD94" s="118">
        <v>5.8999999999999997E-2</v>
      </c>
      <c r="AE94" s="239">
        <f>+AE92/AE83</f>
        <v>6.0534250000000012E-2</v>
      </c>
      <c r="AF94" s="118">
        <v>6.6000000000000003E-2</v>
      </c>
      <c r="AG94" s="118">
        <v>6.9000000000000006E-2</v>
      </c>
      <c r="AH94" s="118">
        <v>8.2000000000000003E-2</v>
      </c>
      <c r="AI94" s="118">
        <v>0.09</v>
      </c>
      <c r="AJ94" s="239">
        <f>+AJ92/AJ83</f>
        <v>7.6750000000000013E-2</v>
      </c>
      <c r="AK94" s="118">
        <v>0.112</v>
      </c>
      <c r="AL94" s="118">
        <v>0.121</v>
      </c>
      <c r="AM94" s="118">
        <v>0.13</v>
      </c>
      <c r="AN94" s="118">
        <v>0.128</v>
      </c>
      <c r="AO94" s="239">
        <f>+AO92/AO83</f>
        <v>0.12275</v>
      </c>
      <c r="AP94" s="118">
        <v>0.152</v>
      </c>
      <c r="AQ94" s="118">
        <v>0.14799999999999999</v>
      </c>
      <c r="AR94" s="118">
        <v>0.15</v>
      </c>
      <c r="AS94" s="118">
        <v>0.155</v>
      </c>
      <c r="AT94" s="239">
        <f>+AT92/AT83</f>
        <v>0.15125</v>
      </c>
      <c r="AU94" s="118">
        <f>+AP94+0.0015</f>
        <v>0.1535</v>
      </c>
      <c r="AV94" s="118">
        <f t="shared" ref="AV94:AX94" si="2250">+AQ94+0.0015</f>
        <v>0.14949999999999999</v>
      </c>
      <c r="AW94" s="118">
        <f t="shared" si="2250"/>
        <v>0.1515</v>
      </c>
      <c r="AX94" s="118">
        <f t="shared" si="2250"/>
        <v>0.1565</v>
      </c>
      <c r="AY94" s="239">
        <f>+AY92/AY83</f>
        <v>0.15275</v>
      </c>
      <c r="AZ94" s="118">
        <f>+AU94+0.02</f>
        <v>0.17349999999999999</v>
      </c>
      <c r="BA94" s="118">
        <v>0.17</v>
      </c>
      <c r="BB94" s="118">
        <v>0.17</v>
      </c>
      <c r="BC94" s="118">
        <v>0.17</v>
      </c>
      <c r="BD94" s="239">
        <f>+BD92/BD83</f>
        <v>0.170875</v>
      </c>
      <c r="BE94" s="118">
        <v>0.19</v>
      </c>
      <c r="BF94" s="118">
        <v>0.18</v>
      </c>
      <c r="BG94" s="118">
        <v>0.17</v>
      </c>
      <c r="BH94" s="118">
        <v>0.16600000000000001</v>
      </c>
      <c r="BI94" s="239">
        <f>+BI92/BI83</f>
        <v>0.17649999999999999</v>
      </c>
      <c r="BJ94" s="118">
        <v>0.185</v>
      </c>
      <c r="BK94" s="118">
        <v>0.18</v>
      </c>
      <c r="BL94" s="118">
        <v>0.17</v>
      </c>
      <c r="BM94" s="118">
        <v>0.16600000000000001</v>
      </c>
      <c r="BN94" s="239">
        <f>+BN92/BN83</f>
        <v>0.17524999999999996</v>
      </c>
      <c r="BO94" s="118">
        <v>0.21</v>
      </c>
      <c r="BP94" s="118">
        <f t="shared" ref="BP94" si="2251">+BK94+0.01</f>
        <v>0.19</v>
      </c>
      <c r="BQ94" s="118">
        <v>0.19</v>
      </c>
      <c r="BR94" s="118">
        <v>0.183</v>
      </c>
      <c r="BS94" s="256">
        <f>+BN94+0.02</f>
        <v>0.19524999999999995</v>
      </c>
      <c r="BT94" s="118">
        <f>+BO94+0.01</f>
        <v>0.22</v>
      </c>
      <c r="BU94" s="118">
        <f t="shared" ref="BU94" si="2252">+BP94+0.01</f>
        <v>0.2</v>
      </c>
      <c r="BV94" s="118">
        <f t="shared" ref="BV94" si="2253">+BQ94+0.01</f>
        <v>0.2</v>
      </c>
      <c r="BW94" s="118">
        <f t="shared" ref="BW94" si="2254">+BR94+0.01</f>
        <v>0.193</v>
      </c>
      <c r="BX94" s="239">
        <f>+BX92/BX83</f>
        <v>0.20325000000000001</v>
      </c>
      <c r="BY94" s="118">
        <f>+BT94+0.01</f>
        <v>0.23</v>
      </c>
      <c r="BZ94" s="118">
        <f t="shared" ref="BZ94" si="2255">+BU94+0.01</f>
        <v>0.21000000000000002</v>
      </c>
      <c r="CA94" s="118">
        <f t="shared" ref="CA94" si="2256">+BV94+0.01</f>
        <v>0.21000000000000002</v>
      </c>
      <c r="CB94" s="118">
        <f t="shared" ref="CB94" si="2257">+BW94+0.01</f>
        <v>0.20300000000000001</v>
      </c>
      <c r="CC94" s="239">
        <f>+CC92/CC83</f>
        <v>0.21325</v>
      </c>
      <c r="CD94" s="118">
        <f>+BY94+0.01</f>
        <v>0.24000000000000002</v>
      </c>
      <c r="CE94" s="118">
        <f t="shared" ref="CE94" si="2258">+BZ94+0.01</f>
        <v>0.22000000000000003</v>
      </c>
      <c r="CF94" s="118">
        <f t="shared" ref="CF94" si="2259">+CA94+0.01</f>
        <v>0.22000000000000003</v>
      </c>
      <c r="CG94" s="118">
        <f t="shared" ref="CG94" si="2260">+CB94+0.01</f>
        <v>0.21300000000000002</v>
      </c>
      <c r="CH94" s="239">
        <f>+CH92/CH83</f>
        <v>0.22325000000000003</v>
      </c>
      <c r="CI94" s="118">
        <f>+CD94+0.01</f>
        <v>0.25</v>
      </c>
      <c r="CJ94" s="118">
        <f t="shared" ref="CJ94" si="2261">+CE94+0.01</f>
        <v>0.23000000000000004</v>
      </c>
      <c r="CK94" s="118">
        <f t="shared" ref="CK94" si="2262">+CF94+0.01</f>
        <v>0.23000000000000004</v>
      </c>
      <c r="CL94" s="118">
        <f t="shared" ref="CL94" si="2263">+CG94+0.01</f>
        <v>0.22300000000000003</v>
      </c>
      <c r="CM94" s="239">
        <f>+CM92/CM83</f>
        <v>0.23325000000000004</v>
      </c>
      <c r="CN94" s="118">
        <f>+CI94+0.01</f>
        <v>0.26</v>
      </c>
      <c r="CO94" s="118">
        <f t="shared" ref="CO94" si="2264">+CJ94+0.01</f>
        <v>0.24000000000000005</v>
      </c>
      <c r="CP94" s="118">
        <f t="shared" ref="CP94" si="2265">+CK94+0.01</f>
        <v>0.24000000000000005</v>
      </c>
      <c r="CQ94" s="118">
        <f t="shared" ref="CQ94" si="2266">+CL94+0.01</f>
        <v>0.23300000000000004</v>
      </c>
      <c r="CR94" s="239">
        <f>+CR92/CR83</f>
        <v>0.24325000000000002</v>
      </c>
      <c r="CS94" s="118">
        <f>+CN94+0.01</f>
        <v>0.27</v>
      </c>
      <c r="CT94" s="118">
        <f t="shared" ref="CT94" si="2267">+CO94+0.01</f>
        <v>0.25000000000000006</v>
      </c>
      <c r="CU94" s="118">
        <f t="shared" ref="CU94" si="2268">+CP94+0.01</f>
        <v>0.25000000000000006</v>
      </c>
      <c r="CV94" s="118">
        <f t="shared" ref="CV94" si="2269">+CQ94+0.01</f>
        <v>0.24300000000000005</v>
      </c>
      <c r="CW94" s="239">
        <f>+CW92/CW83</f>
        <v>0.25325000000000003</v>
      </c>
      <c r="CX94" s="118">
        <f>+CS94+0.01</f>
        <v>0.28000000000000003</v>
      </c>
      <c r="CY94" s="118">
        <f t="shared" ref="CY94" si="2270">+CT94+0.01</f>
        <v>0.26000000000000006</v>
      </c>
      <c r="CZ94" s="118">
        <f t="shared" ref="CZ94" si="2271">+CU94+0.01</f>
        <v>0.26000000000000006</v>
      </c>
      <c r="DA94" s="118">
        <f t="shared" ref="DA94" si="2272">+CV94+0.01</f>
        <v>0.25300000000000006</v>
      </c>
      <c r="DB94" s="239">
        <f>+DB92/DB83</f>
        <v>0.2632500000000001</v>
      </c>
    </row>
    <row r="95" spans="1:106" s="51" customFormat="1">
      <c r="A95" s="51" t="s">
        <v>287</v>
      </c>
      <c r="B95" s="213">
        <f>+B89+B92</f>
        <v>32213.792500000003</v>
      </c>
      <c r="C95" s="213">
        <f t="shared" ref="C95:K95" si="2273">+C89+C92</f>
        <v>38923.421750000001</v>
      </c>
      <c r="D95" s="213">
        <f t="shared" si="2273"/>
        <v>39675.155750000005</v>
      </c>
      <c r="E95" s="213">
        <f t="shared" si="2273"/>
        <v>39393.200000000004</v>
      </c>
      <c r="F95" s="234">
        <f t="shared" si="2273"/>
        <v>150205.57</v>
      </c>
      <c r="G95" s="213">
        <f>+G89+G92</f>
        <v>43184.942437499994</v>
      </c>
      <c r="H95" s="213">
        <f t="shared" si="2273"/>
        <v>46317.022379999995</v>
      </c>
      <c r="I95" s="213">
        <f t="shared" si="2273"/>
        <v>47266.123925</v>
      </c>
      <c r="J95" s="213">
        <f t="shared" si="2273"/>
        <v>56662.363752500001</v>
      </c>
      <c r="K95" s="234">
        <f t="shared" si="2273"/>
        <v>193430.45249499998</v>
      </c>
      <c r="L95" s="213">
        <f>+L89+L92</f>
        <v>65358.015355424992</v>
      </c>
      <c r="M95" s="213">
        <f t="shared" ref="M95:P95" si="2274">+M89+M92</f>
        <v>61542.72939945</v>
      </c>
      <c r="N95" s="213">
        <f t="shared" si="2274"/>
        <v>66872.618776399991</v>
      </c>
      <c r="O95" s="213">
        <f t="shared" si="2274"/>
        <v>66872.618776399991</v>
      </c>
      <c r="P95" s="234">
        <f t="shared" si="2274"/>
        <v>260645.982307675</v>
      </c>
      <c r="Q95" s="213">
        <f>+Q89+Q92</f>
        <v>64946.583925864499</v>
      </c>
      <c r="R95" s="213">
        <f t="shared" ref="R95:U95" si="2275">+R89+R92</f>
        <v>61422.347143424995</v>
      </c>
      <c r="S95" s="213">
        <f t="shared" si="2275"/>
        <v>61445.5840370285</v>
      </c>
      <c r="T95" s="213">
        <f t="shared" si="2275"/>
        <v>66034.832402582746</v>
      </c>
      <c r="U95" s="234">
        <f t="shared" si="2275"/>
        <v>253849.34750890077</v>
      </c>
      <c r="V95" s="213">
        <f>+V89+V92</f>
        <v>79139.62242997771</v>
      </c>
      <c r="W95" s="213">
        <f t="shared" ref="W95:Z95" si="2276">+W89+W92</f>
        <v>80440.188911046193</v>
      </c>
      <c r="X95" s="213">
        <f t="shared" si="2276"/>
        <v>80283.729727605853</v>
      </c>
      <c r="Y95" s="213">
        <f t="shared" si="2276"/>
        <v>81518.793893396622</v>
      </c>
      <c r="Z95" s="234">
        <f t="shared" si="2276"/>
        <v>321382.33496202639</v>
      </c>
      <c r="AA95" s="213">
        <f>+AA89+AA92</f>
        <v>91924.772994178144</v>
      </c>
      <c r="AB95" s="213">
        <f t="shared" ref="AB95:AE95" si="2277">+AB89+AB92</f>
        <v>84062.528598569595</v>
      </c>
      <c r="AC95" s="213">
        <f t="shared" si="2277"/>
        <v>82618.085202290196</v>
      </c>
      <c r="AD95" s="213">
        <f t="shared" si="2277"/>
        <v>82587.765668831693</v>
      </c>
      <c r="AE95" s="234">
        <f t="shared" si="2277"/>
        <v>341193.15246386966</v>
      </c>
      <c r="AF95" s="213">
        <f>+AF89+AF92</f>
        <v>94925.179973835737</v>
      </c>
      <c r="AG95" s="213">
        <f t="shared" ref="AG95:AJ95" si="2278">+AG89+AG92</f>
        <v>99222.549249216216</v>
      </c>
      <c r="AH95" s="213">
        <f t="shared" si="2278"/>
        <v>113439.33974801429</v>
      </c>
      <c r="AI95" s="213">
        <f t="shared" si="2278"/>
        <v>122696.41963510356</v>
      </c>
      <c r="AJ95" s="234">
        <f t="shared" si="2278"/>
        <v>430283.48860616988</v>
      </c>
      <c r="AK95" s="213">
        <f>+AK89+AK92</f>
        <v>155075.51426718777</v>
      </c>
      <c r="AL95" s="213">
        <f t="shared" ref="AL95:AO95" si="2279">+AL89+AL92</f>
        <v>166732.04293641544</v>
      </c>
      <c r="AM95" s="213">
        <f t="shared" si="2279"/>
        <v>179186.76676359336</v>
      </c>
      <c r="AN95" s="213">
        <f t="shared" si="2279"/>
        <v>178127.28847858228</v>
      </c>
      <c r="AO95" s="234">
        <f t="shared" si="2279"/>
        <v>679121.61244577891</v>
      </c>
      <c r="AP95" s="213">
        <f>+AP89+AP92</f>
        <v>207261.11459341209</v>
      </c>
      <c r="AQ95" s="213">
        <f t="shared" ref="AQ95:AT95" si="2280">+AQ89+AQ92</f>
        <v>204529.95100689842</v>
      </c>
      <c r="AR95" s="213">
        <f t="shared" si="2280"/>
        <v>207926.2394544236</v>
      </c>
      <c r="AS95" s="213">
        <f t="shared" si="2280"/>
        <v>221120.67797085631</v>
      </c>
      <c r="AT95" s="234">
        <f t="shared" si="2280"/>
        <v>840837.98302559031</v>
      </c>
      <c r="AU95" s="213">
        <f>+AU89+AU92</f>
        <v>222869.40940628952</v>
      </c>
      <c r="AV95" s="213">
        <f t="shared" ref="AV95:AY95" si="2281">+AV89+AV92</f>
        <v>216373.96991809143</v>
      </c>
      <c r="AW95" s="213">
        <f t="shared" si="2281"/>
        <v>218141.70381434128</v>
      </c>
      <c r="AX95" s="213">
        <f t="shared" si="2281"/>
        <v>223054.36717091556</v>
      </c>
      <c r="AY95" s="234">
        <f t="shared" si="2281"/>
        <v>880439.45030963782</v>
      </c>
      <c r="AZ95" s="213">
        <f>+AZ89+AZ92</f>
        <v>244823.18929489577</v>
      </c>
      <c r="BA95" s="213">
        <f t="shared" ref="BA95:BC95" si="2282">+BA89+BA92</f>
        <v>248921.02590434757</v>
      </c>
      <c r="BB95" s="213">
        <f t="shared" si="2282"/>
        <v>246927.97829591064</v>
      </c>
      <c r="BC95" s="213">
        <f t="shared" si="2282"/>
        <v>246429.71639380138</v>
      </c>
      <c r="BD95" s="234">
        <f>+BD89+BD92</f>
        <v>987101.9098889553</v>
      </c>
      <c r="BE95" s="213">
        <f>+BE89+BE92</f>
        <v>272525.26233095868</v>
      </c>
      <c r="BF95" s="213">
        <f>+BF89+BF92</f>
        <v>259800.023472406</v>
      </c>
      <c r="BG95" s="213">
        <f t="shared" ref="BG95:BH95" si="2283">+BG89+BG92</f>
        <v>255184.57007186848</v>
      </c>
      <c r="BH95" s="213">
        <f t="shared" si="2283"/>
        <v>248810.19451052279</v>
      </c>
      <c r="BI95" s="234">
        <f>+BI89+BI92</f>
        <v>1036320.050385756</v>
      </c>
      <c r="BJ95" s="213">
        <f>+BJ89+BJ92</f>
        <v>270125.45836453373</v>
      </c>
      <c r="BK95" s="213">
        <f t="shared" ref="BK95:BM95" si="2284">+BK89+BK92</f>
        <v>264555.65942925023</v>
      </c>
      <c r="BL95" s="213">
        <f t="shared" si="2284"/>
        <v>255195.03094087899</v>
      </c>
      <c r="BM95" s="213">
        <f t="shared" si="2284"/>
        <v>255618.65066953184</v>
      </c>
      <c r="BN95" s="234">
        <f>SUM(BJ95:BM95)</f>
        <v>1045494.7994041948</v>
      </c>
      <c r="BO95" s="213">
        <f t="shared" ref="BO95:BQ95" si="2285">+BO89+BO92</f>
        <v>313274.83123548166</v>
      </c>
      <c r="BP95" s="213">
        <f t="shared" si="2285"/>
        <v>286986.8154838992</v>
      </c>
      <c r="BQ95" s="213">
        <f t="shared" si="2285"/>
        <v>292312.92274495156</v>
      </c>
      <c r="BR95" s="213">
        <f t="shared" ref="BR95" si="2286">+BR89+BR92</f>
        <v>284462.89503726101</v>
      </c>
      <c r="BS95" s="234">
        <f>SUM(BO95:BR95)</f>
        <v>1177037.4645015935</v>
      </c>
      <c r="BT95" s="213">
        <f t="shared" ref="BT95:BV95" si="2287">+BT89+BT92</f>
        <v>333863.3800026417</v>
      </c>
      <c r="BU95" s="213">
        <f t="shared" si="2287"/>
        <v>313599.21576059522</v>
      </c>
      <c r="BV95" s="213">
        <f t="shared" si="2287"/>
        <v>312691.85242720635</v>
      </c>
      <c r="BW95" s="213">
        <f t="shared" ref="BW95" si="2288">+BW89+BW92</f>
        <v>304763.32444243884</v>
      </c>
      <c r="BX95" s="234">
        <f>SUM(BT95:BW95)</f>
        <v>1264917.7726328822</v>
      </c>
      <c r="BY95" s="213">
        <f>+BY89+BY92</f>
        <v>356141.56792876823</v>
      </c>
      <c r="BZ95" s="213">
        <f t="shared" ref="BZ95:CB95" si="2289">+BZ89+BZ92</f>
        <v>330110.68046062713</v>
      </c>
      <c r="CA95" s="213">
        <f t="shared" si="2289"/>
        <v>334758.32507757848</v>
      </c>
      <c r="CB95" s="213">
        <f t="shared" si="2289"/>
        <v>324328.49982948165</v>
      </c>
      <c r="CC95" s="234">
        <f>SUM(BY95:CB95)</f>
        <v>1345339.0732964554</v>
      </c>
      <c r="CD95" s="213">
        <f>+CD89+CD92</f>
        <v>376385.70117210055</v>
      </c>
      <c r="CE95" s="213">
        <f t="shared" ref="CE95:CG95" si="2290">+CE89+CE92</f>
        <v>350524.24830688769</v>
      </c>
      <c r="CF95" s="213">
        <f t="shared" si="2290"/>
        <v>354788.62589239894</v>
      </c>
      <c r="CG95" s="213">
        <f t="shared" si="2290"/>
        <v>344684.24586943071</v>
      </c>
      <c r="CH95" s="234">
        <f>SUM(CD95:CG95)</f>
        <v>1426382.8212408179</v>
      </c>
      <c r="CI95" s="213">
        <f>+CI89+CI92</f>
        <v>397433.14383589244</v>
      </c>
      <c r="CJ95" s="213">
        <f t="shared" ref="CJ95:CL95" si="2291">+CJ89+CJ92</f>
        <v>371096.05598583457</v>
      </c>
      <c r="CK95" s="213">
        <f t="shared" si="2291"/>
        <v>375620.09780339384</v>
      </c>
      <c r="CL95" s="213">
        <f t="shared" si="2291"/>
        <v>365197.65352400305</v>
      </c>
      <c r="CM95" s="234">
        <f>SUM(CI95:CL95)</f>
        <v>1509346.9511491237</v>
      </c>
      <c r="CN95" s="213">
        <f>+CN89+CN92</f>
        <v>418644.70612208807</v>
      </c>
      <c r="CO95" s="213">
        <f t="shared" ref="CO95:CQ95" si="2292">+CO89+CO92</f>
        <v>392153.84272390703</v>
      </c>
      <c r="CP95" s="213">
        <f t="shared" si="2292"/>
        <v>396613.52962926443</v>
      </c>
      <c r="CQ95" s="213">
        <f t="shared" si="2292"/>
        <v>386196.45623745717</v>
      </c>
      <c r="CR95" s="234">
        <f>SUM(CN95:CQ95)</f>
        <v>1593608.5347127167</v>
      </c>
      <c r="CS95" s="213">
        <f>+CS89+CS92</f>
        <v>440351.4476233052</v>
      </c>
      <c r="CT95" s="213">
        <f t="shared" ref="CT95:CV95" si="2293">+CT89+CT92</f>
        <v>413540.32994930178</v>
      </c>
      <c r="CU95" s="213">
        <f t="shared" si="2293"/>
        <v>418099.95936555334</v>
      </c>
      <c r="CV95" s="213">
        <f t="shared" si="2293"/>
        <v>407523.36959798745</v>
      </c>
      <c r="CW95" s="234">
        <f>SUM(CS95:CV95)</f>
        <v>1679515.1065361479</v>
      </c>
      <c r="CX95" s="213">
        <f>+CX89+CX92</f>
        <v>462394.56038567546</v>
      </c>
      <c r="CY95" s="213">
        <f t="shared" ref="CY95:DA95" si="2294">+CY89+CY92</f>
        <v>435343.28108406154</v>
      </c>
      <c r="CZ95" s="213">
        <f t="shared" si="2294"/>
        <v>439920.55724534614</v>
      </c>
      <c r="DA95" s="213">
        <f t="shared" si="2294"/>
        <v>429266.15112923406</v>
      </c>
      <c r="DB95" s="234">
        <f>SUM(CX95:DA95)</f>
        <v>1766924.5498443171</v>
      </c>
    </row>
    <row r="96" spans="1:106">
      <c r="A96" s="117" t="s">
        <v>281</v>
      </c>
      <c r="B96" s="119" t="s">
        <v>290</v>
      </c>
      <c r="C96" s="119" t="s">
        <v>290</v>
      </c>
      <c r="D96" s="119" t="s">
        <v>290</v>
      </c>
      <c r="E96" s="119" t="s">
        <v>290</v>
      </c>
      <c r="F96" s="235" t="s">
        <v>290</v>
      </c>
      <c r="G96" s="13">
        <f>+G95/B95-1</f>
        <v>0.34057306160086531</v>
      </c>
      <c r="H96" s="13">
        <f t="shared" ref="H96" si="2295">+H95/C95-1</f>
        <v>0.18995248355830885</v>
      </c>
      <c r="I96" s="13">
        <f t="shared" ref="I96" si="2296">+I95/D95-1</f>
        <v>0.1913279993866186</v>
      </c>
      <c r="J96" s="13">
        <f t="shared" ref="J96" si="2297">+J95/E95-1</f>
        <v>0.43837930791354851</v>
      </c>
      <c r="K96" s="239">
        <f t="shared" ref="K96" si="2298">+K95/F95-1</f>
        <v>0.28777150204882518</v>
      </c>
      <c r="L96" s="13">
        <f>+L95/G95-1</f>
        <v>0.51344454030511399</v>
      </c>
      <c r="M96" s="13">
        <f t="shared" ref="M96" si="2299">+M95/H95-1</f>
        <v>0.32872810550154385</v>
      </c>
      <c r="N96" s="13">
        <f t="shared" ref="N96" si="2300">+N95/I95-1</f>
        <v>0.41481071903655131</v>
      </c>
      <c r="O96" s="13">
        <f t="shared" ref="O96" si="2301">+O95/J95-1</f>
        <v>0.18019465387109812</v>
      </c>
      <c r="P96" s="239">
        <f t="shared" ref="P96" si="2302">+P95/K95-1</f>
        <v>0.34749197422475397</v>
      </c>
      <c r="Q96" s="13">
        <f>+Q95/L95-1</f>
        <v>-6.2950416612725935E-3</v>
      </c>
      <c r="R96" s="13">
        <f t="shared" ref="R96" si="2303">+R95/M95-1</f>
        <v>-1.9560760011738676E-3</v>
      </c>
      <c r="S96" s="13">
        <f t="shared" ref="S96" si="2304">+S95/N95-1</f>
        <v>-8.11548110223963E-2</v>
      </c>
      <c r="T96" s="13">
        <f t="shared" ref="T96" si="2305">+T95/O95-1</f>
        <v>-1.2528092800111912E-2</v>
      </c>
      <c r="U96" s="239">
        <f t="shared" ref="U96" si="2306">+U95/P95-1</f>
        <v>-2.6076115728311033E-2</v>
      </c>
      <c r="V96" s="13">
        <f>+V95/Q95-1</f>
        <v>0.21853402667512634</v>
      </c>
      <c r="W96" s="13">
        <f t="shared" ref="W96" si="2307">+W95/R95-1</f>
        <v>0.30962414580500086</v>
      </c>
      <c r="X96" s="13">
        <f t="shared" ref="X96" si="2308">+X95/S95-1</f>
        <v>0.30658258011226747</v>
      </c>
      <c r="Y96" s="13">
        <f t="shared" ref="Y96" si="2309">+Y95/T95-1</f>
        <v>0.23448172619588981</v>
      </c>
      <c r="Z96" s="239">
        <f t="shared" ref="Z96" si="2310">+Z95/U95-1</f>
        <v>0.26603569446148634</v>
      </c>
      <c r="AA96" s="13">
        <f>+AA95/V95-1</f>
        <v>0.1615518266531113</v>
      </c>
      <c r="AB96" s="13">
        <f t="shared" ref="AB96" si="2311">+AB95/W95-1</f>
        <v>4.5031466690476307E-2</v>
      </c>
      <c r="AC96" s="13">
        <f t="shared" ref="AC96" si="2312">+AC95/X95-1</f>
        <v>2.9076320726560301E-2</v>
      </c>
      <c r="AD96" s="13">
        <f t="shared" ref="AD96" si="2313">+AD95/Y95-1</f>
        <v>1.3113194201977318E-2</v>
      </c>
      <c r="AE96" s="239">
        <f t="shared" ref="AE96" si="2314">+AE95/Z95-1</f>
        <v>6.1642521528708416E-2</v>
      </c>
      <c r="AF96" s="13">
        <f>+AF95/AA95-1</f>
        <v>3.2639808420822813E-2</v>
      </c>
      <c r="AG96" s="13">
        <f t="shared" ref="AG96" si="2315">+AG95/AB95-1</f>
        <v>0.18034219173969257</v>
      </c>
      <c r="AH96" s="13">
        <f t="shared" ref="AH96" si="2316">+AH95/AC95-1</f>
        <v>0.37305699436459117</v>
      </c>
      <c r="AI96" s="13">
        <f t="shared" ref="AI96" si="2317">+AI95/AD95-1</f>
        <v>0.48564885660066626</v>
      </c>
      <c r="AJ96" s="239">
        <f t="shared" ref="AJ96" si="2318">+AJ95/AE95-1</f>
        <v>0.26111408010081427</v>
      </c>
      <c r="AK96" s="13">
        <f>+AK95/AF95-1</f>
        <v>0.63366047143583293</v>
      </c>
      <c r="AL96" s="13">
        <f t="shared" ref="AL96" si="2319">+AL95/AG95-1</f>
        <v>0.68038459199064061</v>
      </c>
      <c r="AM96" s="13">
        <f t="shared" ref="AM96" si="2320">+AM95/AH95-1</f>
        <v>0.57958224335248709</v>
      </c>
      <c r="AN96" s="13">
        <f t="shared" ref="AN96" si="2321">+AN95/AI95-1</f>
        <v>0.45177250492173204</v>
      </c>
      <c r="AO96" s="239">
        <f t="shared" ref="AO96" si="2322">+AO95/AJ95-1</f>
        <v>0.57831204410301162</v>
      </c>
      <c r="AP96" s="13">
        <f>+AP95/AK95-1</f>
        <v>0.33651734493887275</v>
      </c>
      <c r="AQ96" s="13">
        <f t="shared" ref="AQ96" si="2323">+AQ95/AL95-1</f>
        <v>0.22669852419967951</v>
      </c>
      <c r="AR96" s="13">
        <f t="shared" ref="AR96" si="2324">+AR95/AM95-1</f>
        <v>0.16038836578120264</v>
      </c>
      <c r="AS96" s="13">
        <f t="shared" ref="AS96" si="2325">+AS95/AN95-1</f>
        <v>0.24136329621075148</v>
      </c>
      <c r="AT96" s="239">
        <f t="shared" ref="AT96" si="2326">+AT95/AO95-1</f>
        <v>0.23812579016210123</v>
      </c>
      <c r="AU96" s="13">
        <f>+AU95/AP95-1</f>
        <v>7.5307395907314723E-2</v>
      </c>
      <c r="AV96" s="13">
        <f t="shared" ref="AV96" si="2327">+AV95/AQ95-1</f>
        <v>5.7908481632567899E-2</v>
      </c>
      <c r="AW96" s="13">
        <f t="shared" ref="AW96" si="2328">+AW95/AR95-1</f>
        <v>4.9130231887624998E-2</v>
      </c>
      <c r="AX96" s="13">
        <f t="shared" ref="AX96" si="2329">+AX95/AS95-1</f>
        <v>8.7449496709399721E-3</v>
      </c>
      <c r="AY96" s="239">
        <f t="shared" ref="AY96" si="2330">+AY95/AT95-1</f>
        <v>4.7097619379121491E-2</v>
      </c>
      <c r="AZ96" s="13">
        <f>+AZ95/AU95-1</f>
        <v>9.8505128842445444E-2</v>
      </c>
      <c r="BA96" s="13">
        <f t="shared" ref="BA96" si="2331">+BA95/AV95-1</f>
        <v>0.15042038558786364</v>
      </c>
      <c r="BB96" s="13">
        <f t="shared" ref="BB96" si="2332">+BB95/AW95-1</f>
        <v>0.13196135346072624</v>
      </c>
      <c r="BC96" s="13">
        <f t="shared" ref="BC96" si="2333">+BC95/AX95-1</f>
        <v>0.10479664451032455</v>
      </c>
      <c r="BD96" s="239">
        <f t="shared" ref="BD96" si="2334">+BD95/AY95-1</f>
        <v>0.12114684268385045</v>
      </c>
      <c r="BE96" s="13">
        <f>+BE95/AZ95-1</f>
        <v>0.11315134451048703</v>
      </c>
      <c r="BF96" s="13">
        <f t="shared" ref="BF96" si="2335">+BF95/BA95-1</f>
        <v>4.3704614861417523E-2</v>
      </c>
      <c r="BG96" s="13">
        <f t="shared" ref="BG96" si="2336">+BG95/BB95-1</f>
        <v>3.3437246896596662E-2</v>
      </c>
      <c r="BH96" s="13">
        <f t="shared" ref="BH96" si="2337">+BH95/BC95-1</f>
        <v>9.6598663162739129E-3</v>
      </c>
      <c r="BI96" s="239">
        <f t="shared" ref="BI96" si="2338">+BI95/BD95-1</f>
        <v>4.9861255462809728E-2</v>
      </c>
      <c r="BJ96" s="13">
        <f>+BJ95/BE95-1</f>
        <v>-8.8058037111825582E-3</v>
      </c>
      <c r="BK96" s="13">
        <f t="shared" ref="BK96" si="2339">+BK95/BF95-1</f>
        <v>1.8304986632725839E-2</v>
      </c>
      <c r="BL96" s="13">
        <f t="shared" ref="BL96" si="2340">+BL95/BG95-1</f>
        <v>4.0993344572415324E-5</v>
      </c>
      <c r="BM96" s="13">
        <f t="shared" ref="BM96" si="2341">+BM95/BH95-1</f>
        <v>2.7364056253414981E-2</v>
      </c>
      <c r="BN96" s="239">
        <f>+BN95/BI95-1</f>
        <v>8.8532003361545542E-3</v>
      </c>
      <c r="BO96" s="13">
        <f t="shared" ref="BO96" si="2342">+BO95/BJ95-1</f>
        <v>0.15973826803365543</v>
      </c>
      <c r="BP96" s="13">
        <f t="shared" ref="BP96" si="2343">+BP95/BK95-1</f>
        <v>8.4788040834362643E-2</v>
      </c>
      <c r="BQ96" s="13">
        <f t="shared" ref="BQ96" si="2344">+BQ95/BL95-1</f>
        <v>0.14544911657261728</v>
      </c>
      <c r="BR96" s="13">
        <f t="shared" ref="BR96" si="2345">+BR95/BM95-1</f>
        <v>0.11284092257031553</v>
      </c>
      <c r="BS96" s="239">
        <f>+BS95/BN95-1</f>
        <v>0.1258185742983724</v>
      </c>
      <c r="BT96" s="13">
        <f t="shared" ref="BT96" si="2346">+BT95/BO95-1</f>
        <v>6.5720404942726018E-2</v>
      </c>
      <c r="BU96" s="13">
        <f t="shared" ref="BU96" si="2347">+BU95/BP95-1</f>
        <v>9.273039331728139E-2</v>
      </c>
      <c r="BV96" s="13">
        <f t="shared" ref="BV96" si="2348">+BV95/BQ95-1</f>
        <v>6.9716143545373699E-2</v>
      </c>
      <c r="BW96" s="13">
        <f t="shared" ref="BW96" si="2349">+BW95/BR95-1</f>
        <v>7.1364068071228415E-2</v>
      </c>
      <c r="BX96" s="239">
        <f t="shared" ref="BX96" si="2350">+BX95/BS95-1</f>
        <v>7.4662286275229972E-2</v>
      </c>
      <c r="BY96" s="13">
        <f>+BY95/BT95-1</f>
        <v>6.6728456190523922E-2</v>
      </c>
      <c r="BZ96" s="13">
        <f t="shared" ref="BZ96" si="2351">+BZ95/BU95-1</f>
        <v>5.2651485941970444E-2</v>
      </c>
      <c r="CA96" s="13">
        <f t="shared" ref="CA96" si="2352">+CA95/BV95-1</f>
        <v>7.0569387974408926E-2</v>
      </c>
      <c r="CB96" s="13">
        <f t="shared" ref="CB96" si="2353">+CB95/BW95-1</f>
        <v>6.4197932683786929E-2</v>
      </c>
      <c r="CC96" s="239">
        <f t="shared" ref="CC96" si="2354">+CC95/BX95-1</f>
        <v>6.3578283429585269E-2</v>
      </c>
      <c r="CD96" s="13">
        <f>+CD95/BY95-1</f>
        <v>5.6842938500740736E-2</v>
      </c>
      <c r="CE96" s="13">
        <f t="shared" ref="CE96" si="2355">+CE95/BZ95-1</f>
        <v>6.1838556140552781E-2</v>
      </c>
      <c r="CF96" s="13">
        <f t="shared" ref="CF96" si="2356">+CF95/CA95-1</f>
        <v>5.9835108836138851E-2</v>
      </c>
      <c r="CG96" s="13">
        <f t="shared" ref="CG96" si="2357">+CG95/CB95-1</f>
        <v>6.2762742252534975E-2</v>
      </c>
      <c r="CH96" s="239">
        <f t="shared" ref="CH96" si="2358">+CH95/CC95-1</f>
        <v>6.0240388131880263E-2</v>
      </c>
      <c r="CI96" s="13">
        <f>+CI95/CD95-1</f>
        <v>5.591987846044133E-2</v>
      </c>
      <c r="CJ96" s="13">
        <f t="shared" ref="CJ96" si="2359">+CJ95/CE95-1</f>
        <v>5.8688686384218425E-2</v>
      </c>
      <c r="CK96" s="13">
        <f t="shared" ref="CK96" si="2360">+CK95/CF95-1</f>
        <v>5.8715162749644501E-2</v>
      </c>
      <c r="CL96" s="13">
        <f t="shared" ref="CL96" si="2361">+CL95/CG95-1</f>
        <v>5.9513621235659731E-2</v>
      </c>
      <c r="CM96" s="239">
        <f t="shared" ref="CM96" si="2362">+CM95/CH95-1</f>
        <v>5.8163999645014508E-2</v>
      </c>
      <c r="CN96" s="13">
        <f>+CN95/CI95-1</f>
        <v>5.337139746692654E-2</v>
      </c>
      <c r="CO96" s="13">
        <f t="shared" ref="CO96" si="2363">+CO95/CJ95-1</f>
        <v>5.6744841122418954E-2</v>
      </c>
      <c r="CP96" s="13">
        <f t="shared" ref="CP96" si="2364">+CP95/CK95-1</f>
        <v>5.5890065384251342E-2</v>
      </c>
      <c r="CQ96" s="13">
        <f t="shared" ref="CQ96" si="2365">+CQ95/CL95-1</f>
        <v>5.7499829231717481E-2</v>
      </c>
      <c r="CR96" s="239">
        <f t="shared" ref="CR96" si="2366">+CR95/CM95-1</f>
        <v>5.582651722285692E-2</v>
      </c>
      <c r="CS96" s="13">
        <f>+CS95/CN95-1</f>
        <v>5.1850032220130071E-2</v>
      </c>
      <c r="CT96" s="13">
        <f t="shared" ref="CT96" si="2367">+CT95/CO95-1</f>
        <v>5.4535962409150152E-2</v>
      </c>
      <c r="CU96" s="13">
        <f t="shared" ref="CU96" si="2368">+CU95/CP95-1</f>
        <v>5.41747271112345E-2</v>
      </c>
      <c r="CV96" s="13">
        <f t="shared" ref="CV96" si="2369">+CV95/CQ95-1</f>
        <v>5.5222964934243723E-2</v>
      </c>
      <c r="CW96" s="239">
        <f t="shared" ref="CW96" si="2370">+CW95/CR95-1</f>
        <v>5.3906947629969615E-2</v>
      </c>
      <c r="CX96" s="13">
        <f>+CX95/CS95-1</f>
        <v>5.0057999993738722E-2</v>
      </c>
      <c r="CY96" s="13">
        <f t="shared" ref="CY96" si="2371">+CY95/CT95-1</f>
        <v>5.2722671903445706E-2</v>
      </c>
      <c r="CZ96" s="13">
        <f t="shared" ref="CZ96" si="2372">+CZ95/CU95-1</f>
        <v>5.2189906722077906E-2</v>
      </c>
      <c r="DA96" s="13">
        <f t="shared" ref="DA96" si="2373">+DA95/CV95-1</f>
        <v>5.3353459343191467E-2</v>
      </c>
      <c r="DB96" s="239">
        <f t="shared" ref="DB96" si="2374">+DB95/CW95-1</f>
        <v>5.2044451977835138E-2</v>
      </c>
    </row>
    <row r="97" spans="1:106">
      <c r="A97" s="117" t="s">
        <v>288</v>
      </c>
      <c r="B97" s="119" t="s">
        <v>290</v>
      </c>
      <c r="C97" s="13">
        <f>+C95/B95-1</f>
        <v>0.20828436297899411</v>
      </c>
      <c r="D97" s="13">
        <f t="shared" ref="D97:E97" si="2375">+D95/C95-1</f>
        <v>1.9313153011785378E-2</v>
      </c>
      <c r="E97" s="13">
        <f t="shared" si="2375"/>
        <v>-7.1066072626571053E-3</v>
      </c>
      <c r="F97" s="235" t="s">
        <v>290</v>
      </c>
      <c r="G97" s="13">
        <f>+G95/E95-1</f>
        <v>9.6253730021932382E-2</v>
      </c>
      <c r="H97" s="13">
        <f>+H95/G95-1</f>
        <v>7.2527130192032718E-2</v>
      </c>
      <c r="I97" s="13">
        <f t="shared" ref="I97:J97" si="2376">+I95/H95-1</f>
        <v>2.0491419703392522E-2</v>
      </c>
      <c r="J97" s="13">
        <f t="shared" si="2376"/>
        <v>0.19879438056756205</v>
      </c>
      <c r="K97" s="235" t="s">
        <v>290</v>
      </c>
      <c r="L97" s="13">
        <f>+L95/J95-1</f>
        <v>0.15346432847220082</v>
      </c>
      <c r="M97" s="13">
        <f>+M95/L95-1</f>
        <v>-5.837518069095271E-2</v>
      </c>
      <c r="N97" s="13">
        <f t="shared" ref="N97:O97" si="2377">+N95/M95-1</f>
        <v>8.6604696102373868E-2</v>
      </c>
      <c r="O97" s="13">
        <f t="shared" si="2377"/>
        <v>0</v>
      </c>
      <c r="P97" s="235" t="s">
        <v>290</v>
      </c>
      <c r="Q97" s="13">
        <f>+Q95/O95-1</f>
        <v>-2.8801546668532851E-2</v>
      </c>
      <c r="R97" s="13">
        <f>+R95/Q95-1</f>
        <v>-5.4263620492532194E-2</v>
      </c>
      <c r="S97" s="13">
        <f t="shared" ref="S97:T97" si="2378">+S95/R95-1</f>
        <v>3.7831334496618574E-4</v>
      </c>
      <c r="T97" s="13">
        <f t="shared" si="2378"/>
        <v>7.4688009520564647E-2</v>
      </c>
      <c r="U97" s="235" t="s">
        <v>290</v>
      </c>
      <c r="V97" s="13">
        <f>+V95/T95-1</f>
        <v>0.1984526885371849</v>
      </c>
      <c r="W97" s="13">
        <f>+W95/V95-1</f>
        <v>1.6433822163091749E-2</v>
      </c>
      <c r="X97" s="13">
        <f t="shared" ref="X97:Y97" si="2379">+X95/W95-1</f>
        <v>-1.9450374938000392E-3</v>
      </c>
      <c r="Y97" s="13">
        <f t="shared" si="2379"/>
        <v>1.5383741761639813E-2</v>
      </c>
      <c r="Z97" s="235" t="s">
        <v>290</v>
      </c>
      <c r="AA97" s="13">
        <f>+AA95/Y95-1</f>
        <v>0.12765128878611209</v>
      </c>
      <c r="AB97" s="13">
        <f>+AB95/AA95-1</f>
        <v>-8.5529114073596757E-2</v>
      </c>
      <c r="AC97" s="13">
        <f t="shared" ref="AC97:AD97" si="2380">+AC95/AB95-1</f>
        <v>-1.7182963924118444E-2</v>
      </c>
      <c r="AD97" s="13">
        <f t="shared" si="2380"/>
        <v>-3.6698421882164212E-4</v>
      </c>
      <c r="AE97" s="235" t="s">
        <v>290</v>
      </c>
      <c r="AF97" s="13">
        <f>+AF95/AD95-1</f>
        <v>0.14938549560083492</v>
      </c>
      <c r="AG97" s="13">
        <f>+AG95/AF95-1</f>
        <v>4.5271120650653085E-2</v>
      </c>
      <c r="AH97" s="13">
        <f t="shared" ref="AH97:AI97" si="2381">+AH95/AG95-1</f>
        <v>0.14328185081286215</v>
      </c>
      <c r="AI97" s="13">
        <f t="shared" si="2381"/>
        <v>8.1603788488651796E-2</v>
      </c>
      <c r="AJ97" s="235" t="s">
        <v>290</v>
      </c>
      <c r="AK97" s="13">
        <f>+AK95/AI95-1</f>
        <v>0.26389600224993459</v>
      </c>
      <c r="AL97" s="13">
        <f>+AL95/AK95-1</f>
        <v>7.5166790349274759E-2</v>
      </c>
      <c r="AM97" s="13">
        <f t="shared" ref="AM97:AN97" si="2382">+AM95/AL95-1</f>
        <v>7.4699041694868518E-2</v>
      </c>
      <c r="AN97" s="13">
        <f t="shared" si="2382"/>
        <v>-5.9127038460874415E-3</v>
      </c>
      <c r="AO97" s="235" t="s">
        <v>290</v>
      </c>
      <c r="AP97" s="13">
        <f>+AP95/AN95-1</f>
        <v>0.1635562207434198</v>
      </c>
      <c r="AQ97" s="13">
        <f>+AQ95/AP95-1</f>
        <v>-1.3177404704550755E-2</v>
      </c>
      <c r="AR97" s="13">
        <f t="shared" ref="AR97:AS97" si="2383">+AR95/AQ95-1</f>
        <v>1.6605335457253512E-2</v>
      </c>
      <c r="AS97" s="13">
        <f t="shared" si="2383"/>
        <v>6.3457303662363795E-2</v>
      </c>
      <c r="AT97" s="235" t="s">
        <v>290</v>
      </c>
      <c r="AU97" s="13">
        <f>+AU95/AS95-1</f>
        <v>7.9084934592308365E-3</v>
      </c>
      <c r="AV97" s="13">
        <f>+AV95/AU95-1</f>
        <v>-2.9144598648605635E-2</v>
      </c>
      <c r="AW97" s="13">
        <f t="shared" ref="AW97:AX97" si="2384">+AW95/AV95-1</f>
        <v>8.1698084890664546E-3</v>
      </c>
      <c r="AX97" s="13">
        <f t="shared" si="2384"/>
        <v>2.252051428348345E-2</v>
      </c>
      <c r="AY97" s="235" t="s">
        <v>290</v>
      </c>
      <c r="AZ97" s="13">
        <f>+AZ95/AX95-1</f>
        <v>9.7594243054204943E-2</v>
      </c>
      <c r="BA97" s="13">
        <f>+BA95/AZ95-1</f>
        <v>1.6737943089679463E-2</v>
      </c>
      <c r="BB97" s="13">
        <f t="shared" ref="BB97:BC97" si="2385">+BB95/BA95-1</f>
        <v>-8.0067467229658629E-3</v>
      </c>
      <c r="BC97" s="13">
        <f t="shared" si="2385"/>
        <v>-2.0178430388805291E-3</v>
      </c>
      <c r="BD97" s="235" t="s">
        <v>290</v>
      </c>
      <c r="BE97" s="13">
        <f>+BE95/BC95-1</f>
        <v>0.10589447700964727</v>
      </c>
      <c r="BF97" s="13">
        <f>+BF95/BE95-1</f>
        <v>-4.6693795465827193E-2</v>
      </c>
      <c r="BG97" s="13">
        <f t="shared" ref="BG97" si="2386">+BG95/BF95-1</f>
        <v>-1.7765407942804678E-2</v>
      </c>
      <c r="BH97" s="13">
        <f t="shared" ref="BH97" si="2387">+BH95/BG95-1</f>
        <v>-2.4979470974872964E-2</v>
      </c>
      <c r="BI97" s="235" t="s">
        <v>290</v>
      </c>
      <c r="BJ97" s="13">
        <f>+BJ95/BH95-1</f>
        <v>8.5668772117412084E-2</v>
      </c>
      <c r="BK97" s="13">
        <f>+BK95/BJ95-1</f>
        <v>-2.0619303967147951E-2</v>
      </c>
      <c r="BL97" s="13">
        <f t="shared" ref="BL97" si="2388">+BL95/BK95-1</f>
        <v>-3.5382454144302855E-2</v>
      </c>
      <c r="BM97" s="13">
        <f t="shared" ref="BM97" si="2389">+BM95/BL95-1</f>
        <v>1.6599842367266415E-3</v>
      </c>
      <c r="BN97" s="235" t="s">
        <v>290</v>
      </c>
      <c r="BO97" s="13">
        <f>+BO95/BN95-1</f>
        <v>-0.70035735097485863</v>
      </c>
      <c r="BP97" s="13">
        <f t="shared" ref="BP97" si="2390">+BP95/BO95-1</f>
        <v>-8.3913590019053741E-2</v>
      </c>
      <c r="BQ97" s="13">
        <f t="shared" ref="BQ97" si="2391">+BQ95/BP95-1</f>
        <v>1.8558717591509621E-2</v>
      </c>
      <c r="BR97" s="13">
        <f t="shared" ref="BR97" si="2392">+BR95/BQ95-1</f>
        <v>-2.6854877416896961E-2</v>
      </c>
      <c r="BS97" s="235" t="s">
        <v>290</v>
      </c>
      <c r="BT97" s="13">
        <f>+BT95/BS95-1</f>
        <v>-0.7163528009331348</v>
      </c>
      <c r="BU97" s="13">
        <f t="shared" ref="BU97" si="2393">+BU95/BT95-1</f>
        <v>-6.0695977623799746E-2</v>
      </c>
      <c r="BV97" s="13">
        <f t="shared" ref="BV97" si="2394">+BV95/BU95-1</f>
        <v>-2.8933852120394121E-3</v>
      </c>
      <c r="BW97" s="13">
        <f t="shared" ref="BW97" si="2395">+BW95/BV95-1</f>
        <v>-2.5355722968871564E-2</v>
      </c>
      <c r="BX97" s="235" t="s">
        <v>290</v>
      </c>
      <c r="BY97" s="13">
        <f>+BY95/BW95-1</f>
        <v>0.16858407611980653</v>
      </c>
      <c r="BZ97" s="13">
        <f>+BZ95/BY95-1</f>
        <v>-7.3091404689237249E-2</v>
      </c>
      <c r="CA97" s="13">
        <f t="shared" ref="CA97" si="2396">+CA95/BZ95-1</f>
        <v>1.4079049518985975E-2</v>
      </c>
      <c r="CB97" s="13">
        <f t="shared" ref="CB97" si="2397">+CB95/CA95-1</f>
        <v>-3.1156283404392693E-2</v>
      </c>
      <c r="CC97" s="235" t="s">
        <v>290</v>
      </c>
      <c r="CD97" s="13">
        <f>+CD95/CB95-1</f>
        <v>0.16050763768829568</v>
      </c>
      <c r="CE97" s="13">
        <f>+CE95/CD95-1</f>
        <v>-6.8709976985517396E-2</v>
      </c>
      <c r="CF97" s="13">
        <f t="shared" ref="CF97" si="2398">+CF95/CE95-1</f>
        <v>1.2165713516566035E-2</v>
      </c>
      <c r="CG97" s="13">
        <f t="shared" ref="CG97" si="2399">+CG95/CF95-1</f>
        <v>-2.8479999880358875E-2</v>
      </c>
      <c r="CH97" s="235" t="s">
        <v>290</v>
      </c>
      <c r="CI97" s="13">
        <f>+CI95/CG95-1</f>
        <v>0.15303541893366202</v>
      </c>
      <c r="CJ97" s="13">
        <f>+CJ95/CI95-1</f>
        <v>-6.6267970496524442E-2</v>
      </c>
      <c r="CK97" s="13">
        <f t="shared" ref="CK97" si="2400">+CK95/CJ95-1</f>
        <v>1.2191026405659056E-2</v>
      </c>
      <c r="CL97" s="13">
        <f t="shared" ref="CL97" si="2401">+CL95/CK95-1</f>
        <v>-2.7747301969039184E-2</v>
      </c>
      <c r="CM97" s="235" t="s">
        <v>290</v>
      </c>
      <c r="CN97" s="13">
        <f>+CN95/CL95-1</f>
        <v>0.14635102959272484</v>
      </c>
      <c r="CO97" s="13">
        <f>+CO95/CN95-1</f>
        <v>-6.3277674387827054E-2</v>
      </c>
      <c r="CP97" s="13">
        <f t="shared" ref="CP97" si="2402">+CP95/CO95-1</f>
        <v>1.1372289187274953E-2</v>
      </c>
      <c r="CQ97" s="13">
        <f t="shared" ref="CQ97" si="2403">+CQ95/CP95-1</f>
        <v>-2.6265047996584134E-2</v>
      </c>
      <c r="CR97" s="235" t="s">
        <v>290</v>
      </c>
      <c r="CS97" s="13">
        <f>+CS95/CQ95-1</f>
        <v>0.14022653629050974</v>
      </c>
      <c r="CT97" s="13">
        <f>+CT95/CS95-1</f>
        <v>-6.0885726205080481E-2</v>
      </c>
      <c r="CU97" s="13">
        <f t="shared" ref="CU97" si="2404">+CU95/CT95-1</f>
        <v>1.1025839769510659E-2</v>
      </c>
      <c r="CV97" s="13">
        <f t="shared" ref="CV97" si="2405">+CV95/CU95-1</f>
        <v>-2.5296796927738008E-2</v>
      </c>
      <c r="CW97" s="235" t="s">
        <v>290</v>
      </c>
      <c r="CX97" s="13">
        <f>+CX95/CV95-1</f>
        <v>0.13464550718113966</v>
      </c>
      <c r="CY97" s="13">
        <f>+CY95/CX95-1</f>
        <v>-5.8502589820803474E-2</v>
      </c>
      <c r="CZ97" s="13">
        <f t="shared" ref="CZ97" si="2406">+CZ95/CY95-1</f>
        <v>1.0514176651323481E-2</v>
      </c>
      <c r="DA97" s="13">
        <f t="shared" ref="DA97" si="2407">+DA95/CZ95-1</f>
        <v>-2.4218932124533743E-2</v>
      </c>
      <c r="DB97" s="235" t="s">
        <v>290</v>
      </c>
    </row>
    <row r="98" spans="1:106">
      <c r="F98" s="217"/>
      <c r="K98" s="217"/>
      <c r="P98" s="217"/>
      <c r="U98" s="217"/>
      <c r="Z98" s="217"/>
      <c r="AE98" s="217"/>
      <c r="AJ98" s="217"/>
      <c r="AO98" s="217"/>
      <c r="AT98" s="217"/>
      <c r="AY98" s="217"/>
      <c r="BD98" s="217"/>
      <c r="BI98" s="217"/>
      <c r="BN98" s="217"/>
      <c r="BS98" s="217"/>
      <c r="BX98" s="217"/>
      <c r="CC98" s="217"/>
      <c r="CH98" s="217"/>
      <c r="CM98" s="217"/>
      <c r="CR98" s="217"/>
      <c r="CW98" s="217"/>
      <c r="DB98" s="217"/>
    </row>
    <row r="99" spans="1:106" s="51" customFormat="1">
      <c r="A99" s="51" t="s">
        <v>289</v>
      </c>
      <c r="B99" s="226">
        <v>502</v>
      </c>
      <c r="C99" s="226">
        <v>582</v>
      </c>
      <c r="D99" s="226">
        <v>699</v>
      </c>
      <c r="E99" s="226">
        <v>721</v>
      </c>
      <c r="F99" s="236">
        <f>+F103/F95*1000000</f>
        <v>632.20149800536694</v>
      </c>
      <c r="G99" s="226">
        <v>657</v>
      </c>
      <c r="H99" s="226">
        <v>630</v>
      </c>
      <c r="I99" s="226">
        <v>513</v>
      </c>
      <c r="J99" s="226">
        <v>504</v>
      </c>
      <c r="K99" s="236">
        <f>+K103/K95*1000000</f>
        <v>570.52849105274743</v>
      </c>
      <c r="L99" s="226">
        <v>500</v>
      </c>
      <c r="M99" s="226">
        <v>411</v>
      </c>
      <c r="N99" s="226">
        <v>485</v>
      </c>
      <c r="O99" s="226">
        <v>425</v>
      </c>
      <c r="P99" s="236">
        <f>+P103/P95*1000000</f>
        <v>455.89481754275801</v>
      </c>
      <c r="Q99" s="226">
        <v>395</v>
      </c>
      <c r="R99" s="226">
        <v>435</v>
      </c>
      <c r="S99" s="226">
        <v>485</v>
      </c>
      <c r="T99" s="226">
        <v>360</v>
      </c>
      <c r="U99" s="236">
        <f>+U103/U95*1000000</f>
        <v>417.35884145725504</v>
      </c>
      <c r="V99" s="226">
        <v>317</v>
      </c>
      <c r="W99" s="226">
        <v>370</v>
      </c>
      <c r="X99" s="226">
        <v>370</v>
      </c>
      <c r="Y99" s="226">
        <v>370</v>
      </c>
      <c r="Z99" s="236">
        <f>+Z103/Z95*1000000</f>
        <v>356.94887822852985</v>
      </c>
      <c r="AA99" s="226">
        <v>325</v>
      </c>
      <c r="AB99" s="226">
        <v>325</v>
      </c>
      <c r="AC99" s="226">
        <v>320</v>
      </c>
      <c r="AD99" s="226">
        <v>350</v>
      </c>
      <c r="AE99" s="236">
        <f>+AE103/AE95*1000000</f>
        <v>329.84067075726034</v>
      </c>
      <c r="AF99" s="226">
        <v>325</v>
      </c>
      <c r="AG99" s="226">
        <v>300</v>
      </c>
      <c r="AH99" s="226">
        <v>330</v>
      </c>
      <c r="AI99" s="226">
        <v>325</v>
      </c>
      <c r="AJ99" s="236">
        <f>+AJ103/AJ95*1000000</f>
        <v>320.55324086757685</v>
      </c>
      <c r="AK99" s="226">
        <v>325</v>
      </c>
      <c r="AL99" s="226">
        <v>300</v>
      </c>
      <c r="AM99" s="226">
        <v>325</v>
      </c>
      <c r="AN99" s="226">
        <v>325</v>
      </c>
      <c r="AO99" s="236">
        <f>+AO103/AO95*1000000</f>
        <v>318.8622170211919</v>
      </c>
      <c r="AP99" s="226">
        <v>335</v>
      </c>
      <c r="AQ99" s="226">
        <v>335</v>
      </c>
      <c r="AR99" s="226">
        <v>335</v>
      </c>
      <c r="AS99" s="226">
        <v>335</v>
      </c>
      <c r="AT99" s="236">
        <f>+AT103/AT95*1000000</f>
        <v>334.99999999999994</v>
      </c>
      <c r="AU99" s="226">
        <v>350</v>
      </c>
      <c r="AV99" s="226">
        <v>350</v>
      </c>
      <c r="AW99" s="226">
        <v>350</v>
      </c>
      <c r="AX99" s="226">
        <v>350</v>
      </c>
      <c r="AY99" s="236">
        <f>+AY103/AY95*1000000</f>
        <v>349.99999999999994</v>
      </c>
      <c r="AZ99" s="226">
        <v>380</v>
      </c>
      <c r="BA99" s="226">
        <v>450</v>
      </c>
      <c r="BB99" s="226">
        <v>475</v>
      </c>
      <c r="BC99" s="226">
        <v>500</v>
      </c>
      <c r="BD99" s="236">
        <f>+BD103/BD95*1000000</f>
        <v>451.37479424652099</v>
      </c>
      <c r="BE99" s="226">
        <v>500</v>
      </c>
      <c r="BF99" s="226">
        <v>525</v>
      </c>
      <c r="BG99" s="226">
        <v>530</v>
      </c>
      <c r="BH99" s="226">
        <v>580</v>
      </c>
      <c r="BI99" s="236">
        <f>+BI103/BI95*1000000</f>
        <v>532.86181063189053</v>
      </c>
      <c r="BJ99" s="226">
        <v>490</v>
      </c>
      <c r="BK99" s="226">
        <v>475</v>
      </c>
      <c r="BL99" s="226">
        <v>475</v>
      </c>
      <c r="BM99" s="226">
        <v>475</v>
      </c>
      <c r="BN99" s="236">
        <f>+BN103/BN95*1000000</f>
        <v>478.87556387442299</v>
      </c>
      <c r="BO99" s="226">
        <v>475</v>
      </c>
      <c r="BP99" s="226">
        <v>475</v>
      </c>
      <c r="BQ99" s="226">
        <v>475</v>
      </c>
      <c r="BR99" s="226">
        <v>475</v>
      </c>
      <c r="BS99" s="236">
        <f>+BS103/BS95*1000000</f>
        <v>475</v>
      </c>
      <c r="BT99" s="226">
        <v>475</v>
      </c>
      <c r="BU99" s="226">
        <v>475</v>
      </c>
      <c r="BV99" s="226">
        <v>475</v>
      </c>
      <c r="BW99" s="226">
        <v>475</v>
      </c>
      <c r="BX99" s="236">
        <f>+BX103/BX95*1000000</f>
        <v>474.99999999999994</v>
      </c>
      <c r="BY99" s="226">
        <v>475</v>
      </c>
      <c r="BZ99" s="226">
        <v>475</v>
      </c>
      <c r="CA99" s="226">
        <v>475</v>
      </c>
      <c r="CB99" s="226">
        <v>475</v>
      </c>
      <c r="CC99" s="236">
        <f>+CC103/CC95*1000000</f>
        <v>475</v>
      </c>
      <c r="CD99" s="226">
        <v>475</v>
      </c>
      <c r="CE99" s="226">
        <v>475</v>
      </c>
      <c r="CF99" s="226">
        <v>475</v>
      </c>
      <c r="CG99" s="226">
        <v>475</v>
      </c>
      <c r="CH99" s="236">
        <f>+CH103/CH95*1000000</f>
        <v>475.00000000000006</v>
      </c>
      <c r="CI99" s="226">
        <v>475</v>
      </c>
      <c r="CJ99" s="226">
        <v>475</v>
      </c>
      <c r="CK99" s="226">
        <v>475</v>
      </c>
      <c r="CL99" s="226">
        <v>475</v>
      </c>
      <c r="CM99" s="236">
        <f>+CM103/CM95*1000000</f>
        <v>475</v>
      </c>
      <c r="CN99" s="226">
        <v>475</v>
      </c>
      <c r="CO99" s="226">
        <v>475</v>
      </c>
      <c r="CP99" s="226">
        <v>475</v>
      </c>
      <c r="CQ99" s="226">
        <v>475</v>
      </c>
      <c r="CR99" s="236">
        <f>+CR103/CR95*1000000</f>
        <v>475</v>
      </c>
      <c r="CS99" s="226">
        <v>475</v>
      </c>
      <c r="CT99" s="226">
        <v>475</v>
      </c>
      <c r="CU99" s="226">
        <v>475</v>
      </c>
      <c r="CV99" s="226">
        <v>475</v>
      </c>
      <c r="CW99" s="236">
        <f>+CW103/CW95*1000000</f>
        <v>474.99999999999994</v>
      </c>
      <c r="CX99" s="226">
        <v>475</v>
      </c>
      <c r="CY99" s="226">
        <v>475</v>
      </c>
      <c r="CZ99" s="226">
        <v>475</v>
      </c>
      <c r="DA99" s="226">
        <v>475</v>
      </c>
      <c r="DB99" s="236">
        <f>+DB103/DB95*1000000</f>
        <v>475.00000000000006</v>
      </c>
    </row>
    <row r="100" spans="1:106">
      <c r="A100" s="117" t="s">
        <v>281</v>
      </c>
      <c r="B100" s="119" t="s">
        <v>290</v>
      </c>
      <c r="C100" s="119" t="s">
        <v>290</v>
      </c>
      <c r="D100" s="119" t="s">
        <v>290</v>
      </c>
      <c r="E100" s="119" t="s">
        <v>290</v>
      </c>
      <c r="F100" s="235" t="s">
        <v>290</v>
      </c>
      <c r="G100" s="13">
        <f>+G99/B99-1</f>
        <v>0.30876494023904377</v>
      </c>
      <c r="H100" s="13">
        <f t="shared" ref="H100" si="2408">+H99/C99-1</f>
        <v>8.247422680412364E-2</v>
      </c>
      <c r="I100" s="13">
        <f t="shared" ref="I100" si="2409">+I99/D99-1</f>
        <v>-0.26609442060085842</v>
      </c>
      <c r="J100" s="13">
        <f t="shared" ref="J100" si="2410">+J99/E99-1</f>
        <v>-0.30097087378640774</v>
      </c>
      <c r="K100" s="239">
        <f t="shared" ref="K100" si="2411">+K99/F99-1</f>
        <v>-9.7552769405326423E-2</v>
      </c>
      <c r="L100" s="13">
        <f>+L99/G99-1</f>
        <v>-0.23896499238964997</v>
      </c>
      <c r="M100" s="13">
        <f t="shared" ref="M100" si="2412">+M99/H99-1</f>
        <v>-0.34761904761904761</v>
      </c>
      <c r="N100" s="13">
        <f t="shared" ref="N100" si="2413">+N99/I99-1</f>
        <v>-5.4580896686159841E-2</v>
      </c>
      <c r="O100" s="13">
        <f t="shared" ref="O100" si="2414">+O99/J99-1</f>
        <v>-0.15674603174603174</v>
      </c>
      <c r="P100" s="239">
        <f t="shared" ref="P100" si="2415">+P99/K99-1</f>
        <v>-0.2009254144319168</v>
      </c>
      <c r="Q100" s="13">
        <f>+Q99/L99-1</f>
        <v>-0.20999999999999996</v>
      </c>
      <c r="R100" s="13">
        <f t="shared" ref="R100" si="2416">+R99/M99-1</f>
        <v>5.8394160583941535E-2</v>
      </c>
      <c r="S100" s="13">
        <f t="shared" ref="S100" si="2417">+S99/N99-1</f>
        <v>0</v>
      </c>
      <c r="T100" s="13">
        <f t="shared" ref="T100" si="2418">+T99/O99-1</f>
        <v>-0.15294117647058825</v>
      </c>
      <c r="U100" s="239">
        <f t="shared" ref="U100" si="2419">+U99/P99-1</f>
        <v>-8.4528217041837106E-2</v>
      </c>
      <c r="V100" s="13">
        <f>+V99/Q99-1</f>
        <v>-0.1974683544303798</v>
      </c>
      <c r="W100" s="13">
        <f t="shared" ref="W100" si="2420">+W99/R99-1</f>
        <v>-0.14942528735632188</v>
      </c>
      <c r="X100" s="13">
        <f t="shared" ref="X100" si="2421">+X99/S99-1</f>
        <v>-0.23711340206185572</v>
      </c>
      <c r="Y100" s="13">
        <f t="shared" ref="Y100" si="2422">+Y99/T99-1</f>
        <v>2.7777777777777679E-2</v>
      </c>
      <c r="Z100" s="239">
        <f t="shared" ref="Z100" si="2423">+Z99/U99-1</f>
        <v>-0.14474346108925606</v>
      </c>
      <c r="AA100" s="13">
        <f>+AA99/V99-1</f>
        <v>2.5236593059936974E-2</v>
      </c>
      <c r="AB100" s="13">
        <f t="shared" ref="AB100" si="2424">+AB99/W99-1</f>
        <v>-0.1216216216216216</v>
      </c>
      <c r="AC100" s="13">
        <f t="shared" ref="AC100" si="2425">+AC99/X99-1</f>
        <v>-0.13513513513513509</v>
      </c>
      <c r="AD100" s="13">
        <f t="shared" ref="AD100" si="2426">+AD99/Y99-1</f>
        <v>-5.4054054054054057E-2</v>
      </c>
      <c r="AE100" s="239">
        <f t="shared" ref="AE100" si="2427">+AE99/Z99-1</f>
        <v>-7.5944229341194269E-2</v>
      </c>
      <c r="AF100" s="13">
        <f>+AF99/AA99-1</f>
        <v>0</v>
      </c>
      <c r="AG100" s="13">
        <f t="shared" ref="AG100" si="2428">+AG99/AB99-1</f>
        <v>-7.6923076923076872E-2</v>
      </c>
      <c r="AH100" s="13">
        <f t="shared" ref="AH100" si="2429">+AH99/AC99-1</f>
        <v>3.125E-2</v>
      </c>
      <c r="AI100" s="13">
        <f t="shared" ref="AI100" si="2430">+AI99/AD99-1</f>
        <v>-7.1428571428571397E-2</v>
      </c>
      <c r="AJ100" s="239">
        <f t="shared" ref="AJ100" si="2431">+AJ99/AE99-1</f>
        <v>-2.8157321740709174E-2</v>
      </c>
      <c r="AK100" s="13">
        <f>+AK99/AF99-1</f>
        <v>0</v>
      </c>
      <c r="AL100" s="13">
        <f t="shared" ref="AL100" si="2432">+AL99/AG99-1</f>
        <v>0</v>
      </c>
      <c r="AM100" s="13">
        <f t="shared" ref="AM100" si="2433">+AM99/AH99-1</f>
        <v>-1.5151515151515138E-2</v>
      </c>
      <c r="AN100" s="13">
        <f t="shared" ref="AN100" si="2434">+AN99/AI99-1</f>
        <v>0</v>
      </c>
      <c r="AO100" s="239">
        <f t="shared" ref="AO100" si="2435">+AO99/AJ99-1</f>
        <v>-5.2753291210164699E-3</v>
      </c>
      <c r="AP100" s="13">
        <f>+AP99/AK99-1</f>
        <v>3.076923076923066E-2</v>
      </c>
      <c r="AQ100" s="13">
        <f t="shared" ref="AQ100" si="2436">+AQ99/AL99-1</f>
        <v>0.1166666666666667</v>
      </c>
      <c r="AR100" s="13">
        <f t="shared" ref="AR100" si="2437">+AR99/AM99-1</f>
        <v>3.076923076923066E-2</v>
      </c>
      <c r="AS100" s="13">
        <f t="shared" ref="AS100" si="2438">+AS99/AN99-1</f>
        <v>3.076923076923066E-2</v>
      </c>
      <c r="AT100" s="239">
        <f t="shared" ref="AT100" si="2439">+AT99/AO99-1</f>
        <v>5.061052115100706E-2</v>
      </c>
      <c r="AU100" s="13">
        <f>+AU99/AP99-1</f>
        <v>4.4776119402984982E-2</v>
      </c>
      <c r="AV100" s="13">
        <f t="shared" ref="AV100" si="2440">+AV99/AQ99-1</f>
        <v>4.4776119402984982E-2</v>
      </c>
      <c r="AW100" s="13">
        <f t="shared" ref="AW100" si="2441">+AW99/AR99-1</f>
        <v>4.4776119402984982E-2</v>
      </c>
      <c r="AX100" s="13">
        <f t="shared" ref="AX100" si="2442">+AX99/AS99-1</f>
        <v>4.4776119402984982E-2</v>
      </c>
      <c r="AY100" s="239">
        <f t="shared" ref="AY100" si="2443">+AY99/AT99-1</f>
        <v>4.4776119402984982E-2</v>
      </c>
      <c r="AZ100" s="13">
        <f>+AZ99/AU99-1</f>
        <v>8.5714285714285632E-2</v>
      </c>
      <c r="BA100" s="13">
        <f t="shared" ref="BA100" si="2444">+BA99/AV99-1</f>
        <v>0.28571428571428581</v>
      </c>
      <c r="BB100" s="13">
        <f t="shared" ref="BB100" si="2445">+BB99/AW99-1</f>
        <v>0.35714285714285721</v>
      </c>
      <c r="BC100" s="13">
        <f t="shared" ref="BC100" si="2446">+BC99/AX99-1</f>
        <v>0.4285714285714286</v>
      </c>
      <c r="BD100" s="239">
        <f t="shared" ref="BD100" si="2447">+BD99/AY99-1</f>
        <v>0.28964226927577452</v>
      </c>
      <c r="BE100" s="13">
        <f>+BE99/AZ99-1</f>
        <v>0.31578947368421062</v>
      </c>
      <c r="BF100" s="13">
        <f t="shared" ref="BF100" si="2448">+BF99/BA99-1</f>
        <v>0.16666666666666674</v>
      </c>
      <c r="BG100" s="13">
        <f t="shared" ref="BG100" si="2449">+BG99/BB99-1</f>
        <v>0.11578947368421044</v>
      </c>
      <c r="BH100" s="13">
        <f t="shared" ref="BH100" si="2450">+BH99/BC99-1</f>
        <v>0.15999999999999992</v>
      </c>
      <c r="BI100" s="239">
        <f t="shared" ref="BI100" si="2451">+BI99/BD99-1</f>
        <v>0.18053071953518285</v>
      </c>
      <c r="BJ100" s="13">
        <f>+BJ99/BE99-1</f>
        <v>-2.0000000000000018E-2</v>
      </c>
      <c r="BK100" s="13">
        <f t="shared" ref="BK100" si="2452">+BK99/BF99-1</f>
        <v>-9.5238095238095233E-2</v>
      </c>
      <c r="BL100" s="13">
        <f t="shared" ref="BL100" si="2453">+BL99/BG99-1</f>
        <v>-0.10377358490566035</v>
      </c>
      <c r="BM100" s="13">
        <f t="shared" ref="BM100" si="2454">+BM99/BH99-1</f>
        <v>-0.18103448275862066</v>
      </c>
      <c r="BN100" s="239">
        <f>+BN99/BI99-1</f>
        <v>-0.10131378470048047</v>
      </c>
      <c r="BO100" s="13">
        <f t="shared" ref="BO100" si="2455">+BO99/BJ99-1</f>
        <v>-3.0612244897959218E-2</v>
      </c>
      <c r="BP100" s="13">
        <f t="shared" ref="BP100" si="2456">+BP99/BK99-1</f>
        <v>0</v>
      </c>
      <c r="BQ100" s="13">
        <f t="shared" ref="BQ100" si="2457">+BQ99/BL99-1</f>
        <v>0</v>
      </c>
      <c r="BR100" s="13">
        <f t="shared" ref="BR100" si="2458">+BR99/BM99-1</f>
        <v>0</v>
      </c>
      <c r="BS100" s="239">
        <f>+BS99/BN99-1</f>
        <v>-8.0930499837308378E-3</v>
      </c>
      <c r="BT100" s="13">
        <f t="shared" ref="BT100" si="2459">+BT99/BO99-1</f>
        <v>0</v>
      </c>
      <c r="BU100" s="13">
        <f t="shared" ref="BU100" si="2460">+BU99/BP99-1</f>
        <v>0</v>
      </c>
      <c r="BV100" s="13">
        <f t="shared" ref="BV100" si="2461">+BV99/BQ99-1</f>
        <v>0</v>
      </c>
      <c r="BW100" s="13">
        <f t="shared" ref="BW100" si="2462">+BW99/BR99-1</f>
        <v>0</v>
      </c>
      <c r="BX100" s="239">
        <f t="shared" ref="BX100" si="2463">+BX99/BS99-1</f>
        <v>0</v>
      </c>
      <c r="BY100" s="13">
        <f>+BY99/BT99-1</f>
        <v>0</v>
      </c>
      <c r="BZ100" s="13">
        <f t="shared" ref="BZ100" si="2464">+BZ99/BU99-1</f>
        <v>0</v>
      </c>
      <c r="CA100" s="13">
        <f t="shared" ref="CA100" si="2465">+CA99/BV99-1</f>
        <v>0</v>
      </c>
      <c r="CB100" s="13">
        <f t="shared" ref="CB100" si="2466">+CB99/BW99-1</f>
        <v>0</v>
      </c>
      <c r="CC100" s="239">
        <f t="shared" ref="CC100" si="2467">+CC99/BX99-1</f>
        <v>0</v>
      </c>
      <c r="CD100" s="13">
        <f>+CD99/BY99-1</f>
        <v>0</v>
      </c>
      <c r="CE100" s="13">
        <f t="shared" ref="CE100" si="2468">+CE99/BZ99-1</f>
        <v>0</v>
      </c>
      <c r="CF100" s="13">
        <f t="shared" ref="CF100" si="2469">+CF99/CA99-1</f>
        <v>0</v>
      </c>
      <c r="CG100" s="13">
        <f t="shared" ref="CG100" si="2470">+CG99/CB99-1</f>
        <v>0</v>
      </c>
      <c r="CH100" s="239">
        <f t="shared" ref="CH100" si="2471">+CH99/CC99-1</f>
        <v>0</v>
      </c>
      <c r="CI100" s="13">
        <f>+CI99/CD99-1</f>
        <v>0</v>
      </c>
      <c r="CJ100" s="13">
        <f t="shared" ref="CJ100" si="2472">+CJ99/CE99-1</f>
        <v>0</v>
      </c>
      <c r="CK100" s="13">
        <f t="shared" ref="CK100" si="2473">+CK99/CF99-1</f>
        <v>0</v>
      </c>
      <c r="CL100" s="13">
        <f t="shared" ref="CL100" si="2474">+CL99/CG99-1</f>
        <v>0</v>
      </c>
      <c r="CM100" s="239">
        <f t="shared" ref="CM100" si="2475">+CM99/CH99-1</f>
        <v>0</v>
      </c>
      <c r="CN100" s="13">
        <f>+CN99/CI99-1</f>
        <v>0</v>
      </c>
      <c r="CO100" s="13">
        <f t="shared" ref="CO100" si="2476">+CO99/CJ99-1</f>
        <v>0</v>
      </c>
      <c r="CP100" s="13">
        <f t="shared" ref="CP100" si="2477">+CP99/CK99-1</f>
        <v>0</v>
      </c>
      <c r="CQ100" s="13">
        <f t="shared" ref="CQ100" si="2478">+CQ99/CL99-1</f>
        <v>0</v>
      </c>
      <c r="CR100" s="239">
        <f t="shared" ref="CR100" si="2479">+CR99/CM99-1</f>
        <v>0</v>
      </c>
      <c r="CS100" s="13">
        <f>+CS99/CN99-1</f>
        <v>0</v>
      </c>
      <c r="CT100" s="13">
        <f t="shared" ref="CT100" si="2480">+CT99/CO99-1</f>
        <v>0</v>
      </c>
      <c r="CU100" s="13">
        <f t="shared" ref="CU100" si="2481">+CU99/CP99-1</f>
        <v>0</v>
      </c>
      <c r="CV100" s="13">
        <f t="shared" ref="CV100" si="2482">+CV99/CQ99-1</f>
        <v>0</v>
      </c>
      <c r="CW100" s="239">
        <f t="shared" ref="CW100" si="2483">+CW99/CR99-1</f>
        <v>0</v>
      </c>
      <c r="CX100" s="13">
        <f>+CX99/CS99-1</f>
        <v>0</v>
      </c>
      <c r="CY100" s="13">
        <f t="shared" ref="CY100" si="2484">+CY99/CT99-1</f>
        <v>0</v>
      </c>
      <c r="CZ100" s="13">
        <f t="shared" ref="CZ100" si="2485">+CZ99/CU99-1</f>
        <v>0</v>
      </c>
      <c r="DA100" s="13">
        <f t="shared" ref="DA100" si="2486">+DA99/CV99-1</f>
        <v>0</v>
      </c>
      <c r="DB100" s="239">
        <f t="shared" ref="DB100" si="2487">+DB99/CW99-1</f>
        <v>0</v>
      </c>
    </row>
    <row r="101" spans="1:106">
      <c r="A101" s="117" t="s">
        <v>288</v>
      </c>
      <c r="B101" s="119" t="s">
        <v>290</v>
      </c>
      <c r="C101" s="13">
        <f>+C99/B99-1</f>
        <v>0.15936254980079689</v>
      </c>
      <c r="D101" s="13">
        <f t="shared" ref="D101:E101" si="2488">+D99/C99-1</f>
        <v>0.2010309278350515</v>
      </c>
      <c r="E101" s="13">
        <f t="shared" si="2488"/>
        <v>3.1473533619456262E-2</v>
      </c>
      <c r="F101" s="235" t="s">
        <v>290</v>
      </c>
      <c r="G101" s="13">
        <f>+G99/E99-1</f>
        <v>-8.8765603328710085E-2</v>
      </c>
      <c r="H101" s="13">
        <f>+H99/G99-1</f>
        <v>-4.1095890410958957E-2</v>
      </c>
      <c r="I101" s="13">
        <f t="shared" ref="I101:J101" si="2489">+I99/H99-1</f>
        <v>-0.18571428571428572</v>
      </c>
      <c r="J101" s="13">
        <f t="shared" si="2489"/>
        <v>-1.7543859649122862E-2</v>
      </c>
      <c r="K101" s="235" t="s">
        <v>290</v>
      </c>
      <c r="L101" s="13">
        <f>+L99/J99-1</f>
        <v>-7.9365079365079083E-3</v>
      </c>
      <c r="M101" s="13">
        <f>+M99/L99-1</f>
        <v>-0.17800000000000005</v>
      </c>
      <c r="N101" s="13">
        <f t="shared" ref="N101:O101" si="2490">+N99/M99-1</f>
        <v>0.18004866180048662</v>
      </c>
      <c r="O101" s="13">
        <f t="shared" si="2490"/>
        <v>-0.12371134020618557</v>
      </c>
      <c r="P101" s="235" t="s">
        <v>290</v>
      </c>
      <c r="Q101" s="13">
        <f>+Q99/O99-1</f>
        <v>-7.0588235294117618E-2</v>
      </c>
      <c r="R101" s="13">
        <f>+R99/Q99-1</f>
        <v>0.10126582278481022</v>
      </c>
      <c r="S101" s="13">
        <f t="shared" ref="S101:T101" si="2491">+S99/R99-1</f>
        <v>0.11494252873563227</v>
      </c>
      <c r="T101" s="13">
        <f t="shared" si="2491"/>
        <v>-0.25773195876288657</v>
      </c>
      <c r="U101" s="235" t="s">
        <v>290</v>
      </c>
      <c r="V101" s="13">
        <f>+V99/T99-1</f>
        <v>-0.11944444444444446</v>
      </c>
      <c r="W101" s="13">
        <f>+W99/V99-1</f>
        <v>0.16719242902208209</v>
      </c>
      <c r="X101" s="13">
        <f t="shared" ref="X101:Y101" si="2492">+X99/W99-1</f>
        <v>0</v>
      </c>
      <c r="Y101" s="13">
        <f t="shared" si="2492"/>
        <v>0</v>
      </c>
      <c r="Z101" s="235" t="s">
        <v>290</v>
      </c>
      <c r="AA101" s="13">
        <f>+AA99/Y99-1</f>
        <v>-0.1216216216216216</v>
      </c>
      <c r="AB101" s="13">
        <f>+AB99/AA99-1</f>
        <v>0</v>
      </c>
      <c r="AC101" s="13">
        <f t="shared" ref="AC101:AD101" si="2493">+AC99/AB99-1</f>
        <v>-1.538461538461533E-2</v>
      </c>
      <c r="AD101" s="13">
        <f t="shared" si="2493"/>
        <v>9.375E-2</v>
      </c>
      <c r="AE101" s="235" t="s">
        <v>290</v>
      </c>
      <c r="AF101" s="13">
        <f>+AF99/AD99-1</f>
        <v>-7.1428571428571397E-2</v>
      </c>
      <c r="AG101" s="13">
        <f>+AG99/AF99-1</f>
        <v>-7.6923076923076872E-2</v>
      </c>
      <c r="AH101" s="13">
        <f t="shared" ref="AH101:AI101" si="2494">+AH99/AG99-1</f>
        <v>0.10000000000000009</v>
      </c>
      <c r="AI101" s="13">
        <f t="shared" si="2494"/>
        <v>-1.5151515151515138E-2</v>
      </c>
      <c r="AJ101" s="235" t="s">
        <v>290</v>
      </c>
      <c r="AK101" s="13">
        <f>+AK99/AI99-1</f>
        <v>0</v>
      </c>
      <c r="AL101" s="13">
        <f>+AL99/AK99-1</f>
        <v>-7.6923076923076872E-2</v>
      </c>
      <c r="AM101" s="13">
        <f t="shared" ref="AM101:AN101" si="2495">+AM99/AL99-1</f>
        <v>8.3333333333333259E-2</v>
      </c>
      <c r="AN101" s="13">
        <f t="shared" si="2495"/>
        <v>0</v>
      </c>
      <c r="AO101" s="235" t="s">
        <v>290</v>
      </c>
      <c r="AP101" s="13">
        <f>+AP99/AN99-1</f>
        <v>3.076923076923066E-2</v>
      </c>
      <c r="AQ101" s="13">
        <f>+AQ99/AP99-1</f>
        <v>0</v>
      </c>
      <c r="AR101" s="13">
        <f t="shared" ref="AR101:AS101" si="2496">+AR99/AQ99-1</f>
        <v>0</v>
      </c>
      <c r="AS101" s="13">
        <f t="shared" si="2496"/>
        <v>0</v>
      </c>
      <c r="AT101" s="235" t="s">
        <v>290</v>
      </c>
      <c r="AU101" s="13">
        <f>+AU99/AS99-1</f>
        <v>4.4776119402984982E-2</v>
      </c>
      <c r="AV101" s="13">
        <f>+AV99/AU99-1</f>
        <v>0</v>
      </c>
      <c r="AW101" s="13">
        <f t="shared" ref="AW101:AX101" si="2497">+AW99/AV99-1</f>
        <v>0</v>
      </c>
      <c r="AX101" s="13">
        <f t="shared" si="2497"/>
        <v>0</v>
      </c>
      <c r="AY101" s="235" t="s">
        <v>290</v>
      </c>
      <c r="AZ101" s="13">
        <f>+AZ99/AX99-1</f>
        <v>8.5714285714285632E-2</v>
      </c>
      <c r="BA101" s="13">
        <f>+BA99/AZ99-1</f>
        <v>0.18421052631578938</v>
      </c>
      <c r="BB101" s="13">
        <f t="shared" ref="BB101:BC101" si="2498">+BB99/BA99-1</f>
        <v>5.555555555555558E-2</v>
      </c>
      <c r="BC101" s="13">
        <f t="shared" si="2498"/>
        <v>5.2631578947368363E-2</v>
      </c>
      <c r="BD101" s="235" t="s">
        <v>290</v>
      </c>
      <c r="BE101" s="13">
        <f>+BE99/BC99-1</f>
        <v>0</v>
      </c>
      <c r="BF101" s="13">
        <f>+BF99/BE99-1</f>
        <v>5.0000000000000044E-2</v>
      </c>
      <c r="BG101" s="13">
        <f t="shared" ref="BG101" si="2499">+BG99/BF99-1</f>
        <v>9.52380952380949E-3</v>
      </c>
      <c r="BH101" s="13">
        <f t="shared" ref="BH101" si="2500">+BH99/BG99-1</f>
        <v>9.4339622641509413E-2</v>
      </c>
      <c r="BI101" s="235" t="s">
        <v>290</v>
      </c>
      <c r="BJ101" s="13">
        <f>+BJ99/BH99-1</f>
        <v>-0.15517241379310343</v>
      </c>
      <c r="BK101" s="13">
        <f>+BK99/BJ99-1</f>
        <v>-3.0612244897959218E-2</v>
      </c>
      <c r="BL101" s="13">
        <f t="shared" ref="BL101" si="2501">+BL99/BK99-1</f>
        <v>0</v>
      </c>
      <c r="BM101" s="13">
        <f t="shared" ref="BM101" si="2502">+BM99/BL99-1</f>
        <v>0</v>
      </c>
      <c r="BN101" s="239">
        <f>+BN99/BL99-1</f>
        <v>8.1590818408905363E-3</v>
      </c>
      <c r="BO101" s="13">
        <f>+BO99/BN99-1</f>
        <v>-8.0930499837308378E-3</v>
      </c>
      <c r="BP101" s="13">
        <f t="shared" ref="BP101" si="2503">+BP99/BO99-1</f>
        <v>0</v>
      </c>
      <c r="BQ101" s="13">
        <f t="shared" ref="BQ101" si="2504">+BQ99/BP99-1</f>
        <v>0</v>
      </c>
      <c r="BR101" s="13">
        <f t="shared" ref="BR101" si="2505">+BR99/BQ99-1</f>
        <v>0</v>
      </c>
      <c r="BS101" s="239">
        <f>+BS99/BQ99-1</f>
        <v>0</v>
      </c>
      <c r="BT101" s="13">
        <f>+BT99/BS99-1</f>
        <v>0</v>
      </c>
      <c r="BU101" s="13">
        <f t="shared" ref="BU101" si="2506">+BU99/BT99-1</f>
        <v>0</v>
      </c>
      <c r="BV101" s="13">
        <f t="shared" ref="BV101" si="2507">+BV99/BU99-1</f>
        <v>0</v>
      </c>
      <c r="BW101" s="13">
        <f t="shared" ref="BW101" si="2508">+BW99/BV99-1</f>
        <v>0</v>
      </c>
      <c r="BX101" s="235" t="s">
        <v>290</v>
      </c>
      <c r="BY101" s="13">
        <f>+BY99/BW99-1</f>
        <v>0</v>
      </c>
      <c r="BZ101" s="13">
        <f>+BZ99/BY99-1</f>
        <v>0</v>
      </c>
      <c r="CA101" s="13">
        <f t="shared" ref="CA101" si="2509">+CA99/BZ99-1</f>
        <v>0</v>
      </c>
      <c r="CB101" s="13">
        <f t="shared" ref="CB101" si="2510">+CB99/CA99-1</f>
        <v>0</v>
      </c>
      <c r="CC101" s="235" t="s">
        <v>290</v>
      </c>
      <c r="CD101" s="13">
        <f>+CD99/CB99-1</f>
        <v>0</v>
      </c>
      <c r="CE101" s="13">
        <f>+CE99/CD99-1</f>
        <v>0</v>
      </c>
      <c r="CF101" s="13">
        <f t="shared" ref="CF101" si="2511">+CF99/CE99-1</f>
        <v>0</v>
      </c>
      <c r="CG101" s="13">
        <f t="shared" ref="CG101" si="2512">+CG99/CF99-1</f>
        <v>0</v>
      </c>
      <c r="CH101" s="235" t="s">
        <v>290</v>
      </c>
      <c r="CI101" s="13">
        <f>+CI99/CG99-1</f>
        <v>0</v>
      </c>
      <c r="CJ101" s="13">
        <f>+CJ99/CI99-1</f>
        <v>0</v>
      </c>
      <c r="CK101" s="13">
        <f t="shared" ref="CK101" si="2513">+CK99/CJ99-1</f>
        <v>0</v>
      </c>
      <c r="CL101" s="13">
        <f t="shared" ref="CL101" si="2514">+CL99/CK99-1</f>
        <v>0</v>
      </c>
      <c r="CM101" s="235" t="s">
        <v>290</v>
      </c>
      <c r="CN101" s="13">
        <f>+CN99/CL99-1</f>
        <v>0</v>
      </c>
      <c r="CO101" s="13">
        <f>+CO99/CN99-1</f>
        <v>0</v>
      </c>
      <c r="CP101" s="13">
        <f t="shared" ref="CP101" si="2515">+CP99/CO99-1</f>
        <v>0</v>
      </c>
      <c r="CQ101" s="13">
        <f t="shared" ref="CQ101" si="2516">+CQ99/CP99-1</f>
        <v>0</v>
      </c>
      <c r="CR101" s="235" t="s">
        <v>290</v>
      </c>
      <c r="CS101" s="13">
        <f>+CS99/CQ99-1</f>
        <v>0</v>
      </c>
      <c r="CT101" s="13">
        <f>+CT99/CS99-1</f>
        <v>0</v>
      </c>
      <c r="CU101" s="13">
        <f t="shared" ref="CU101" si="2517">+CU99/CT99-1</f>
        <v>0</v>
      </c>
      <c r="CV101" s="13">
        <f t="shared" ref="CV101" si="2518">+CV99/CU99-1</f>
        <v>0</v>
      </c>
      <c r="CW101" s="235" t="s">
        <v>290</v>
      </c>
      <c r="CX101" s="13">
        <f>+CX99/CV99-1</f>
        <v>0</v>
      </c>
      <c r="CY101" s="13">
        <f>+CY99/CX99-1</f>
        <v>0</v>
      </c>
      <c r="CZ101" s="13">
        <f t="shared" ref="CZ101" si="2519">+CZ99/CY99-1</f>
        <v>0</v>
      </c>
      <c r="DA101" s="13">
        <f t="shared" ref="DA101" si="2520">+DA99/CZ99-1</f>
        <v>0</v>
      </c>
      <c r="DB101" s="235" t="s">
        <v>290</v>
      </c>
    </row>
    <row r="102" spans="1:106">
      <c r="F102" s="217"/>
      <c r="K102" s="217"/>
      <c r="P102" s="217"/>
      <c r="U102" s="217"/>
      <c r="Z102" s="217"/>
      <c r="AE102" s="217"/>
      <c r="AJ102" s="217"/>
      <c r="AO102" s="217"/>
      <c r="AT102" s="217"/>
      <c r="AY102" s="217"/>
      <c r="BD102" s="217"/>
      <c r="BI102" s="217"/>
      <c r="BN102" s="217"/>
      <c r="BS102" s="217"/>
      <c r="BX102" s="217"/>
      <c r="CC102" s="217"/>
      <c r="CH102" s="217"/>
      <c r="CM102" s="217"/>
      <c r="CR102" s="217"/>
      <c r="CW102" s="217"/>
      <c r="DB102" s="217"/>
    </row>
    <row r="103" spans="1:106" s="51" customFormat="1">
      <c r="A103" s="51" t="s">
        <v>300</v>
      </c>
      <c r="B103" s="135">
        <f>+B95*B99/1000000</f>
        <v>16.171323835000003</v>
      </c>
      <c r="C103" s="135">
        <f t="shared" ref="C103:E103" si="2521">+C95*C99/1000000</f>
        <v>22.653431458500002</v>
      </c>
      <c r="D103" s="135">
        <f>+D95*D99/1000000</f>
        <v>27.732933869250004</v>
      </c>
      <c r="E103" s="135">
        <f t="shared" si="2521"/>
        <v>28.402497200000003</v>
      </c>
      <c r="F103" s="216">
        <f>+B103+C103+D103+E103</f>
        <v>94.960186362750008</v>
      </c>
      <c r="G103" s="135">
        <f>+G95*G99/1000000</f>
        <v>28.372507181437495</v>
      </c>
      <c r="H103" s="135">
        <f t="shared" ref="H103:J103" si="2522">+H95*H99/1000000</f>
        <v>29.179724099399994</v>
      </c>
      <c r="I103" s="135">
        <f t="shared" si="2522"/>
        <v>24.247521573524999</v>
      </c>
      <c r="J103" s="135">
        <f t="shared" si="2522"/>
        <v>28.557831331260001</v>
      </c>
      <c r="K103" s="216">
        <f>+G103+H103+I103+J103</f>
        <v>110.35758418562249</v>
      </c>
      <c r="L103" s="135">
        <f>+L95*L99/1000000</f>
        <v>32.679007677712498</v>
      </c>
      <c r="M103" s="135">
        <f t="shared" ref="M103:O103" si="2523">+M95*M99/1000000</f>
        <v>25.294061783173948</v>
      </c>
      <c r="N103" s="135">
        <f t="shared" si="2523"/>
        <v>32.433220106553996</v>
      </c>
      <c r="O103" s="135">
        <f t="shared" si="2523"/>
        <v>28.420862979969996</v>
      </c>
      <c r="P103" s="216">
        <f>+L103+M103+N103+O103</f>
        <v>118.82715254741044</v>
      </c>
      <c r="Q103" s="135">
        <f>+Q95*Q99/1000000</f>
        <v>25.653900650716476</v>
      </c>
      <c r="R103" s="135">
        <f t="shared" ref="R103:T103" si="2524">+R95*R99/1000000</f>
        <v>26.718721007389874</v>
      </c>
      <c r="S103" s="135">
        <f t="shared" si="2524"/>
        <v>29.801108257958823</v>
      </c>
      <c r="T103" s="135">
        <f t="shared" si="2524"/>
        <v>23.772539664929788</v>
      </c>
      <c r="U103" s="216">
        <f>+Q103+R103+S103+T103</f>
        <v>105.94626958099497</v>
      </c>
      <c r="V103" s="135">
        <f>+V95*V99/1000000</f>
        <v>25.087260310302934</v>
      </c>
      <c r="W103" s="135">
        <f t="shared" ref="W103:Y103" si="2525">+W95*W99/1000000</f>
        <v>29.762869897087089</v>
      </c>
      <c r="X103" s="135">
        <f t="shared" si="2525"/>
        <v>29.704979999214164</v>
      </c>
      <c r="Y103" s="135">
        <f t="shared" si="2525"/>
        <v>30.161953740556751</v>
      </c>
      <c r="Z103" s="216">
        <f>+V103+W103+X103+Y103</f>
        <v>114.71706394716094</v>
      </c>
      <c r="AA103" s="135">
        <f>+AA95*AA99/1000000</f>
        <v>29.875551223107898</v>
      </c>
      <c r="AB103" s="135">
        <f t="shared" ref="AB103:AD103" si="2526">+AB95*AB99/1000000</f>
        <v>27.320321794535118</v>
      </c>
      <c r="AC103" s="135">
        <f t="shared" si="2526"/>
        <v>26.437787264732865</v>
      </c>
      <c r="AD103" s="135">
        <f t="shared" si="2526"/>
        <v>28.90571798409109</v>
      </c>
      <c r="AE103" s="216">
        <f>+AA103+AB103+AC103+AD103</f>
        <v>112.53937826646697</v>
      </c>
      <c r="AF103" s="135">
        <f>+AF95*AF99/1000000</f>
        <v>30.850683491496614</v>
      </c>
      <c r="AG103" s="135">
        <f t="shared" ref="AG103:AI103" si="2527">+AG95*AG99/1000000</f>
        <v>29.766764774764866</v>
      </c>
      <c r="AH103" s="135">
        <f t="shared" si="2527"/>
        <v>37.434982116844715</v>
      </c>
      <c r="AI103" s="135">
        <f t="shared" si="2527"/>
        <v>39.876336381408663</v>
      </c>
      <c r="AJ103" s="216">
        <f>+AF103+AG103+AH103+AI103</f>
        <v>137.92876676451485</v>
      </c>
      <c r="AK103" s="135">
        <f>+AK95*AK99/1000000</f>
        <v>50.399542136836025</v>
      </c>
      <c r="AL103" s="135">
        <f t="shared" ref="AL103:AN103" si="2528">+AL95*AL99/1000000</f>
        <v>50.019612880924633</v>
      </c>
      <c r="AM103" s="135">
        <f t="shared" si="2528"/>
        <v>58.235699198167843</v>
      </c>
      <c r="AN103" s="135">
        <f t="shared" si="2528"/>
        <v>57.89136875553924</v>
      </c>
      <c r="AO103" s="216">
        <f>+AK103+AL103+AM103+AN103</f>
        <v>216.54622297146776</v>
      </c>
      <c r="AP103" s="135">
        <f>+AP95*AP99/1000000</f>
        <v>69.432473388793056</v>
      </c>
      <c r="AQ103" s="135">
        <f t="shared" ref="AQ103:AS103" si="2529">+AQ95*AQ99/1000000</f>
        <v>68.517533587310965</v>
      </c>
      <c r="AR103" s="135">
        <f t="shared" si="2529"/>
        <v>69.655290217231894</v>
      </c>
      <c r="AS103" s="135">
        <f t="shared" si="2529"/>
        <v>74.075427120236853</v>
      </c>
      <c r="AT103" s="216">
        <f>+AP103+AQ103+AR103+AS103</f>
        <v>281.68072431357274</v>
      </c>
      <c r="AU103" s="135">
        <f>+AU95*AU99/1000000</f>
        <v>78.004293292201325</v>
      </c>
      <c r="AV103" s="135">
        <f t="shared" ref="AV103:AX103" si="2530">+AV95*AV99/1000000</f>
        <v>75.730889471332006</v>
      </c>
      <c r="AW103" s="135">
        <f t="shared" si="2530"/>
        <v>76.349596335019456</v>
      </c>
      <c r="AX103" s="135">
        <f t="shared" si="2530"/>
        <v>78.069028509820441</v>
      </c>
      <c r="AY103" s="216">
        <f>+AU103+AV103+AW103+AX103</f>
        <v>308.1538076083732</v>
      </c>
      <c r="AZ103" s="135">
        <f>+AZ95*AZ99/1000000</f>
        <v>93.032811932060397</v>
      </c>
      <c r="BA103" s="135">
        <f>+BA95*BA99/1000000</f>
        <v>112.0144616569564</v>
      </c>
      <c r="BB103" s="135">
        <f>+BB95*BB99/1000000</f>
        <v>117.29078969055756</v>
      </c>
      <c r="BC103" s="135">
        <f>+BC95*BC99/1000000</f>
        <v>123.21485819690069</v>
      </c>
      <c r="BD103" s="216">
        <f>+AZ103+BA103+BB103+BC103</f>
        <v>445.55292147647509</v>
      </c>
      <c r="BE103" s="135">
        <f>+BE95*BE99/1000000</f>
        <v>136.26263116547932</v>
      </c>
      <c r="BF103" s="135">
        <f>+BF95*BF99/1000000</f>
        <v>136.39501232301316</v>
      </c>
      <c r="BG103" s="135">
        <f t="shared" ref="BG103" si="2531">+BG95*BG99/1000000</f>
        <v>135.24782213809027</v>
      </c>
      <c r="BH103" s="135">
        <f>+BH95*BH99/1000000</f>
        <v>144.30991281610321</v>
      </c>
      <c r="BI103" s="216">
        <f>+BE103+BF103+BG103+BH103</f>
        <v>552.21537844268596</v>
      </c>
      <c r="BJ103" s="135">
        <f>+BJ95*BJ99/1000000</f>
        <v>132.36147459862153</v>
      </c>
      <c r="BK103" s="135">
        <f t="shared" ref="BK103:BM103" si="2532">+BK95*BK99/1000000</f>
        <v>125.66393822889385</v>
      </c>
      <c r="BL103" s="135">
        <f t="shared" si="2532"/>
        <v>121.21763969691752</v>
      </c>
      <c r="BM103" s="135">
        <f t="shared" si="2532"/>
        <v>121.41885906802763</v>
      </c>
      <c r="BN103" s="216">
        <f>SUM(BJ103:BM103)</f>
        <v>500.66191159246051</v>
      </c>
      <c r="BO103" s="135">
        <f>+BO95*BO99/1000000</f>
        <v>148.80554483685381</v>
      </c>
      <c r="BP103" s="135">
        <f>+BP95*BP99/1000000</f>
        <v>136.31873735485212</v>
      </c>
      <c r="BQ103" s="135">
        <f>+BQ95*BQ99/1000000</f>
        <v>138.848638303852</v>
      </c>
      <c r="BR103" s="135">
        <f>+BR95*BR99/1000000</f>
        <v>135.11987514269899</v>
      </c>
      <c r="BS103" s="216">
        <f>SUM(BO103:BR103)</f>
        <v>559.09279563825692</v>
      </c>
      <c r="BT103" s="135">
        <f t="shared" ref="BT103:BV103" si="2533">+BT95*BT99/1000000</f>
        <v>158.58510550125479</v>
      </c>
      <c r="BU103" s="135">
        <f t="shared" si="2533"/>
        <v>148.95962748628273</v>
      </c>
      <c r="BV103" s="135">
        <f t="shared" si="2533"/>
        <v>148.52862990292303</v>
      </c>
      <c r="BW103" s="135">
        <f t="shared" ref="BW103" si="2534">+BW95*BW99/1000000</f>
        <v>144.76257911015844</v>
      </c>
      <c r="BX103" s="216">
        <f>SUM(BT103:BW103)</f>
        <v>600.83594200061896</v>
      </c>
      <c r="BY103" s="135">
        <f>+BY95*BY99/1000000</f>
        <v>169.16724476616491</v>
      </c>
      <c r="BZ103" s="135">
        <f t="shared" ref="BZ103:CB103" si="2535">+BZ95*BZ99/1000000</f>
        <v>156.8025732187979</v>
      </c>
      <c r="CA103" s="135">
        <f t="shared" si="2535"/>
        <v>159.01020441184977</v>
      </c>
      <c r="CB103" s="135">
        <f t="shared" si="2535"/>
        <v>154.05603741900379</v>
      </c>
      <c r="CC103" s="216">
        <f>+BY103+BZ103+CA103+CB103</f>
        <v>639.03605981581632</v>
      </c>
      <c r="CD103" s="135">
        <f>+CD95*CD99/1000000</f>
        <v>178.78320805674775</v>
      </c>
      <c r="CE103" s="135">
        <f t="shared" ref="CE103:CG103" si="2536">+CE95*CE99/1000000</f>
        <v>166.49901794577167</v>
      </c>
      <c r="CF103" s="135">
        <f t="shared" si="2536"/>
        <v>168.52459729888949</v>
      </c>
      <c r="CG103" s="135">
        <f t="shared" si="2536"/>
        <v>163.7250167879796</v>
      </c>
      <c r="CH103" s="216">
        <f>+CD103+CE103+CF103+CG103</f>
        <v>677.53184008938854</v>
      </c>
      <c r="CI103" s="135">
        <f>+CI95*CI99/1000000</f>
        <v>188.78074332204889</v>
      </c>
      <c r="CJ103" s="135">
        <f t="shared" ref="CJ103:CL103" si="2537">+CJ95*CJ99/1000000</f>
        <v>176.2706265932714</v>
      </c>
      <c r="CK103" s="135">
        <f t="shared" si="2537"/>
        <v>178.41954645661207</v>
      </c>
      <c r="CL103" s="135">
        <f t="shared" si="2537"/>
        <v>173.46888542390144</v>
      </c>
      <c r="CM103" s="216">
        <f>+CI103+CJ103+CK103+CL103</f>
        <v>716.93980179583377</v>
      </c>
      <c r="CN103" s="135">
        <f>+CN95*CN99/1000000</f>
        <v>198.85623540799182</v>
      </c>
      <c r="CO103" s="135">
        <f t="shared" ref="CO103:CQ103" si="2538">+CO95*CO99/1000000</f>
        <v>186.27307529385584</v>
      </c>
      <c r="CP103" s="135">
        <f t="shared" si="2538"/>
        <v>188.39142657390062</v>
      </c>
      <c r="CQ103" s="135">
        <f t="shared" si="2538"/>
        <v>183.44331671279215</v>
      </c>
      <c r="CR103" s="216">
        <f>+CN103+CO103+CP103+CQ103</f>
        <v>756.9640539885404</v>
      </c>
      <c r="CS103" s="135">
        <f>+CS95*CS99/1000000</f>
        <v>209.16693762106996</v>
      </c>
      <c r="CT103" s="135">
        <f t="shared" ref="CT103:CV103" si="2539">+CT95*CT99/1000000</f>
        <v>196.43165672591834</v>
      </c>
      <c r="CU103" s="135">
        <f t="shared" si="2539"/>
        <v>198.59748069863784</v>
      </c>
      <c r="CV103" s="135">
        <f t="shared" si="2539"/>
        <v>193.57360055904402</v>
      </c>
      <c r="CW103" s="216">
        <f>+CS103+CT103+CU103+CV103</f>
        <v>797.76967560467017</v>
      </c>
      <c r="CX103" s="135">
        <f>+CX95*CX99/1000000</f>
        <v>219.63741618319582</v>
      </c>
      <c r="CY103" s="135">
        <f t="shared" ref="CY103:DA103" si="2540">+CY95*CY99/1000000</f>
        <v>206.78805851492925</v>
      </c>
      <c r="CZ103" s="135">
        <f t="shared" si="2540"/>
        <v>208.96226469153942</v>
      </c>
      <c r="DA103" s="135">
        <f t="shared" si="2540"/>
        <v>203.90142178638618</v>
      </c>
      <c r="DB103" s="216">
        <f>+CX103+CY103+CZ103+DA103</f>
        <v>839.2891611760507</v>
      </c>
    </row>
    <row r="104" spans="1:106">
      <c r="A104" s="117" t="s">
        <v>281</v>
      </c>
      <c r="B104" s="119" t="s">
        <v>290</v>
      </c>
      <c r="C104" s="119" t="s">
        <v>290</v>
      </c>
      <c r="D104" s="119" t="s">
        <v>290</v>
      </c>
      <c r="E104" s="119" t="s">
        <v>290</v>
      </c>
      <c r="F104" s="235" t="s">
        <v>290</v>
      </c>
      <c r="G104" s="13">
        <f>+G103/B103-1</f>
        <v>0.75449502285212811</v>
      </c>
      <c r="H104" s="13">
        <f t="shared" ref="H104" si="2541">+H103/C103-1</f>
        <v>0.28809289457342691</v>
      </c>
      <c r="I104" s="13">
        <f t="shared" ref="I104" si="2542">+I103/D103-1</f>
        <v>-0.12567773435574359</v>
      </c>
      <c r="J104" s="13">
        <f t="shared" ref="J104" si="2543">+J103/E103-1</f>
        <v>5.4690307745193234E-3</v>
      </c>
      <c r="K104" s="239">
        <f t="shared" ref="K104" si="2544">+K103/F103-1</f>
        <v>0.1621458256627053</v>
      </c>
      <c r="L104" s="13">
        <f>+L103/G103-1</f>
        <v>0.1517842772489455</v>
      </c>
      <c r="M104" s="13">
        <f t="shared" ref="M104" si="2545">+M103/H103-1</f>
        <v>-0.13316309307756424</v>
      </c>
      <c r="N104" s="13">
        <f t="shared" ref="N104" si="2546">+N103/I103-1</f>
        <v>0.33758908135034593</v>
      </c>
      <c r="O104" s="13">
        <f t="shared" ref="O104" si="2547">+O103/J103-1</f>
        <v>-4.79617481107808E-3</v>
      </c>
      <c r="P104" s="239">
        <f t="shared" ref="P104" si="2548">+P103/K103-1</f>
        <v>7.6746590859963604E-2</v>
      </c>
      <c r="Q104" s="13">
        <f>+Q103/L103-1</f>
        <v>-0.21497308291240536</v>
      </c>
      <c r="R104" s="13">
        <f t="shared" ref="R104" si="2549">+R103/M103-1</f>
        <v>5.6323861166640787E-2</v>
      </c>
      <c r="S104" s="13">
        <f t="shared" ref="S104" si="2550">+S103/N103-1</f>
        <v>-8.11548110223963E-2</v>
      </c>
      <c r="T104" s="13">
        <f t="shared" ref="T104" si="2551">+T103/O103-1</f>
        <v>-0.16355320801891837</v>
      </c>
      <c r="U104" s="239">
        <f t="shared" ref="U104" si="2552">+U103/P103-1</f>
        <v>-0.1084001652002573</v>
      </c>
      <c r="V104" s="13">
        <f>+V103/Q103-1</f>
        <v>-2.2087882389835167E-2</v>
      </c>
      <c r="W104" s="13">
        <f t="shared" ref="W104" si="2553">+W103/R103-1</f>
        <v>0.11393318148931098</v>
      </c>
      <c r="X104" s="13">
        <f t="shared" ref="X104" si="2554">+X103/S103-1</f>
        <v>-3.2256605329094024E-3</v>
      </c>
      <c r="Y104" s="13">
        <f t="shared" ref="Y104" si="2555">+Y103/T103-1</f>
        <v>0.2687728852568867</v>
      </c>
      <c r="Z104" s="239">
        <f t="shared" ref="Z104" si="2556">+Z103/U103-1</f>
        <v>8.2785306182590723E-2</v>
      </c>
      <c r="AA104" s="13">
        <f>+AA103/V103-1</f>
        <v>0.1908654374203822</v>
      </c>
      <c r="AB104" s="13">
        <f t="shared" ref="AB104" si="2557">+AB103/W103-1</f>
        <v>-8.2066954934040925E-2</v>
      </c>
      <c r="AC104" s="13">
        <f t="shared" ref="AC104" si="2558">+AC103/X103-1</f>
        <v>-0.10998804693919106</v>
      </c>
      <c r="AD104" s="13">
        <f t="shared" ref="AD104" si="2559">+AD103/Y103-1</f>
        <v>-4.1649681160291774E-2</v>
      </c>
      <c r="AE104" s="239">
        <f t="shared" ref="AE104" si="2560">+AE103/Z103-1</f>
        <v>-1.8983101604631569E-2</v>
      </c>
      <c r="AF104" s="13">
        <f>+AF103/AA103-1</f>
        <v>3.2639808420822591E-2</v>
      </c>
      <c r="AG104" s="13">
        <f t="shared" ref="AG104" si="2561">+AG103/AB103-1</f>
        <v>8.9546638528946954E-2</v>
      </c>
      <c r="AH104" s="13">
        <f t="shared" ref="AH104" si="2562">+AH103/AC103-1</f>
        <v>0.41596502543848457</v>
      </c>
      <c r="AI104" s="13">
        <f t="shared" ref="AI104" si="2563">+AI103/AD103-1</f>
        <v>0.37953108112919032</v>
      </c>
      <c r="AJ104" s="239">
        <f t="shared" ref="AJ104" si="2564">+AJ103/AE103-1</f>
        <v>0.22560448519567733</v>
      </c>
      <c r="AK104" s="13">
        <f>+AK103/AF103-1</f>
        <v>0.63366047143583293</v>
      </c>
      <c r="AL104" s="13">
        <f t="shared" ref="AL104" si="2565">+AL103/AG103-1</f>
        <v>0.68038459199064061</v>
      </c>
      <c r="AM104" s="13">
        <f t="shared" ref="AM104" si="2566">+AM103/AH103-1</f>
        <v>0.55564917905926747</v>
      </c>
      <c r="AN104" s="13">
        <f t="shared" ref="AN104" si="2567">+AN103/AI103-1</f>
        <v>0.45177250492173182</v>
      </c>
      <c r="AO104" s="239">
        <f t="shared" ref="AO104" si="2568">+AO103/AJ103-1</f>
        <v>0.56998592861470398</v>
      </c>
      <c r="AP104" s="13">
        <f>+AP103/AK103-1</f>
        <v>0.37764095555237676</v>
      </c>
      <c r="AQ104" s="13">
        <f t="shared" ref="AQ104" si="2569">+AQ103/AL103-1</f>
        <v>0.36981335202297538</v>
      </c>
      <c r="AR104" s="13">
        <f t="shared" ref="AR104" si="2570">+AR103/AM103-1</f>
        <v>0.19609262318985476</v>
      </c>
      <c r="AS104" s="13">
        <f t="shared" ref="AS104" si="2571">+AS103/AN103-1</f>
        <v>0.27955908994031287</v>
      </c>
      <c r="AT104" s="239">
        <f t="shared" ref="AT104" si="2572">+AT103/AO103-1</f>
        <v>0.3007879816527077</v>
      </c>
      <c r="AU104" s="13">
        <f>+AU103/AP103-1</f>
        <v>0.12345548826137343</v>
      </c>
      <c r="AV104" s="13">
        <f t="shared" ref="AV104" si="2573">+AV103/AQ103-1</f>
        <v>0.10527751812357877</v>
      </c>
      <c r="AW104" s="13">
        <f t="shared" ref="AW104" si="2574">+AW103/AR103-1</f>
        <v>9.6106212419907022E-2</v>
      </c>
      <c r="AX104" s="13">
        <f t="shared" ref="AX104" si="2575">+AX103/AS103-1</f>
        <v>5.391263398456414E-2</v>
      </c>
      <c r="AY104" s="239">
        <f t="shared" ref="AY104" si="2576">+AY103/AT103-1</f>
        <v>9.39825874110225E-2</v>
      </c>
      <c r="AZ104" s="13">
        <f>+AZ103/AU103-1</f>
        <v>0.19266271131465507</v>
      </c>
      <c r="BA104" s="13">
        <f t="shared" ref="BA104" si="2577">+BA103/AV103-1</f>
        <v>0.47911192432725325</v>
      </c>
      <c r="BB104" s="13">
        <f t="shared" ref="BB104" si="2578">+BB103/AW103-1</f>
        <v>0.53623326541098559</v>
      </c>
      <c r="BC104" s="13">
        <f t="shared" ref="BC104" si="2579">+BC103/AX103-1</f>
        <v>0.57828092072903514</v>
      </c>
      <c r="BD104" s="239">
        <f t="shared" ref="BD104" si="2580">+BD103/AY103-1</f>
        <v>0.44587835839017065</v>
      </c>
      <c r="BE104" s="13">
        <f>+BE103/AZ103-1</f>
        <v>0.46467282172432456</v>
      </c>
      <c r="BF104" s="13">
        <f t="shared" ref="BF104" si="2581">+BF103/BA103-1</f>
        <v>0.2176553840049873</v>
      </c>
      <c r="BG104" s="13">
        <f t="shared" ref="BG104" si="2582">+BG103/BB103-1</f>
        <v>0.1530984018004129</v>
      </c>
      <c r="BH104" s="13">
        <f t="shared" ref="BH104" si="2583">+BH103/BC103-1</f>
        <v>0.17120544492687761</v>
      </c>
      <c r="BI104" s="239">
        <f t="shared" ref="BI104" si="2584">+BI103/BD103-1</f>
        <v>0.23939346332362121</v>
      </c>
      <c r="BJ104" s="13">
        <f>+BJ103/BE103-1</f>
        <v>-2.8629687636958723E-2</v>
      </c>
      <c r="BK104" s="13">
        <f t="shared" ref="BK104" si="2585">+BK103/BF103-1</f>
        <v>-7.8676440665629177E-2</v>
      </c>
      <c r="BL104" s="13">
        <f t="shared" ref="BL104" si="2586">+BL103/BG103-1</f>
        <v>-0.10373684558741147</v>
      </c>
      <c r="BM104" s="13">
        <f t="shared" ref="BM104" si="2587">+BM103/BH103-1</f>
        <v>-0.15862426427522047</v>
      </c>
      <c r="BN104" s="239">
        <f>+BN103/BI103-1</f>
        <v>-9.3357535597093366E-2</v>
      </c>
      <c r="BO104" s="13">
        <f t="shared" ref="BO104" si="2588">+BO103/BJ103-1</f>
        <v>0.12423607615507426</v>
      </c>
      <c r="BP104" s="13">
        <f t="shared" ref="BP104" si="2589">+BP103/BK103-1</f>
        <v>8.4788040834362643E-2</v>
      </c>
      <c r="BQ104" s="13">
        <f t="shared" ref="BQ104" si="2590">+BQ103/BL103-1</f>
        <v>0.14544911657261728</v>
      </c>
      <c r="BR104" s="13">
        <f t="shared" ref="BR104" si="2591">+BR103/BM103-1</f>
        <v>0.11284092257031553</v>
      </c>
      <c r="BS104" s="239">
        <f>+BS103/BN103-1</f>
        <v>0.11670726830396316</v>
      </c>
      <c r="BT104" s="13">
        <f t="shared" ref="BT104" si="2592">+BT103/BO103-1</f>
        <v>6.5720404942725796E-2</v>
      </c>
      <c r="BU104" s="13">
        <f t="shared" ref="BU104" si="2593">+BU103/BP103-1</f>
        <v>9.273039331728139E-2</v>
      </c>
      <c r="BV104" s="13">
        <f t="shared" ref="BV104" si="2594">+BV103/BQ103-1</f>
        <v>6.9716143545373699E-2</v>
      </c>
      <c r="BW104" s="13">
        <f t="shared" ref="BW104" si="2595">+BW103/BR103-1</f>
        <v>7.1364068071228415E-2</v>
      </c>
      <c r="BX104" s="239">
        <f>+BX103/BS103-1</f>
        <v>7.466228627522975E-2</v>
      </c>
      <c r="BY104" s="13">
        <f>+BY103/BT103-1</f>
        <v>6.6728456190524144E-2</v>
      </c>
      <c r="BZ104" s="13">
        <f t="shared" ref="BZ104" si="2596">+BZ103/BU103-1</f>
        <v>5.2651485941970444E-2</v>
      </c>
      <c r="CA104" s="13">
        <f t="shared" ref="CA104" si="2597">+CA103/BV103-1</f>
        <v>7.0569387974408704E-2</v>
      </c>
      <c r="CB104" s="13">
        <f t="shared" ref="CB104" si="2598">+CB103/BW103-1</f>
        <v>6.4197932683786929E-2</v>
      </c>
      <c r="CC104" s="239">
        <f t="shared" ref="CC104" si="2599">+CC103/BX103-1</f>
        <v>6.3578283429585492E-2</v>
      </c>
      <c r="CD104" s="13">
        <f>+CD103/BY103-1</f>
        <v>5.6842938500740514E-2</v>
      </c>
      <c r="CE104" s="13">
        <f t="shared" ref="CE104" si="2600">+CE103/BZ103-1</f>
        <v>6.1838556140552781E-2</v>
      </c>
      <c r="CF104" s="13">
        <f t="shared" ref="CF104" si="2601">+CF103/CA103-1</f>
        <v>5.9835108836138851E-2</v>
      </c>
      <c r="CG104" s="13">
        <f t="shared" ref="CG104" si="2602">+CG103/CB103-1</f>
        <v>6.2762742252534975E-2</v>
      </c>
      <c r="CH104" s="239">
        <f t="shared" ref="CH104" si="2603">+CH103/CC103-1</f>
        <v>6.0240388131880263E-2</v>
      </c>
      <c r="CI104" s="13">
        <f>+CI103/CD103-1</f>
        <v>5.591987846044133E-2</v>
      </c>
      <c r="CJ104" s="13">
        <f t="shared" ref="CJ104" si="2604">+CJ103/CE103-1</f>
        <v>5.8688686384218425E-2</v>
      </c>
      <c r="CK104" s="13">
        <f t="shared" ref="CK104" si="2605">+CK103/CF103-1</f>
        <v>5.8715162749644501E-2</v>
      </c>
      <c r="CL104" s="13">
        <f t="shared" ref="CL104" si="2606">+CL103/CG103-1</f>
        <v>5.9513621235659731E-2</v>
      </c>
      <c r="CM104" s="239">
        <f t="shared" ref="CM104" si="2607">+CM103/CH103-1</f>
        <v>5.8163999645014508E-2</v>
      </c>
      <c r="CN104" s="13">
        <f>+CN103/CI103-1</f>
        <v>5.337139746692654E-2</v>
      </c>
      <c r="CO104" s="13">
        <f t="shared" ref="CO104" si="2608">+CO103/CJ103-1</f>
        <v>5.6744841122418954E-2</v>
      </c>
      <c r="CP104" s="13">
        <f t="shared" ref="CP104" si="2609">+CP103/CK103-1</f>
        <v>5.5890065384251564E-2</v>
      </c>
      <c r="CQ104" s="13">
        <f t="shared" ref="CQ104" si="2610">+CQ103/CL103-1</f>
        <v>5.7499829231717481E-2</v>
      </c>
      <c r="CR104" s="239">
        <f t="shared" ref="CR104" si="2611">+CR103/CM103-1</f>
        <v>5.5826517222856697E-2</v>
      </c>
      <c r="CS104" s="13">
        <f>+CS103/CN103-1</f>
        <v>5.1850032220130071E-2</v>
      </c>
      <c r="CT104" s="13">
        <f t="shared" ref="CT104" si="2612">+CT103/CO103-1</f>
        <v>5.4535962409150152E-2</v>
      </c>
      <c r="CU104" s="13">
        <f t="shared" ref="CU104" si="2613">+CU103/CP103-1</f>
        <v>5.41747271112345E-2</v>
      </c>
      <c r="CV104" s="13">
        <f t="shared" ref="CV104" si="2614">+CV103/CQ103-1</f>
        <v>5.5222964934243723E-2</v>
      </c>
      <c r="CW104" s="239">
        <f t="shared" ref="CW104" si="2615">+CW103/CR103-1</f>
        <v>5.3906947629969615E-2</v>
      </c>
      <c r="CX104" s="13">
        <f>+CX103/CS103-1</f>
        <v>5.0057999993738722E-2</v>
      </c>
      <c r="CY104" s="13">
        <f t="shared" ref="CY104" si="2616">+CY103/CT103-1</f>
        <v>5.2722671903445928E-2</v>
      </c>
      <c r="CZ104" s="13">
        <f t="shared" ref="CZ104" si="2617">+CZ103/CU103-1</f>
        <v>5.2189906722077906E-2</v>
      </c>
      <c r="DA104" s="13">
        <f t="shared" ref="DA104" si="2618">+DA103/CV103-1</f>
        <v>5.3353459343191467E-2</v>
      </c>
      <c r="DB104" s="239">
        <f t="shared" ref="DB104" si="2619">+DB103/CW103-1</f>
        <v>5.204445197783536E-2</v>
      </c>
    </row>
    <row r="105" spans="1:106">
      <c r="A105" s="117" t="s">
        <v>288</v>
      </c>
      <c r="B105" s="119" t="s">
        <v>290</v>
      </c>
      <c r="C105" s="13">
        <f>+C103/B103-1</f>
        <v>0.40083963994775806</v>
      </c>
      <c r="D105" s="13">
        <f t="shared" ref="D105:E105" si="2620">+D103/C103-1</f>
        <v>0.22422662191621634</v>
      </c>
      <c r="E105" s="13">
        <f t="shared" si="2620"/>
        <v>2.414325631419767E-2</v>
      </c>
      <c r="F105" s="235" t="s">
        <v>290</v>
      </c>
      <c r="G105" s="13">
        <f>+G103/E103-1</f>
        <v>-1.0558937248132949E-3</v>
      </c>
      <c r="H105" s="13">
        <f>+H103/G103-1</f>
        <v>2.8450672786880737E-2</v>
      </c>
      <c r="I105" s="13">
        <f t="shared" ref="I105:J105" si="2621">+I103/H103-1</f>
        <v>-0.16902841538438029</v>
      </c>
      <c r="J105" s="13">
        <f t="shared" si="2621"/>
        <v>0.1777629002067278</v>
      </c>
      <c r="K105" s="235" t="s">
        <v>290</v>
      </c>
      <c r="L105" s="13">
        <f>+L103/J103-1</f>
        <v>0.14430984967480254</v>
      </c>
      <c r="M105" s="13">
        <f>+M103/L103-1</f>
        <v>-0.22598439852796315</v>
      </c>
      <c r="N105" s="13">
        <f t="shared" ref="N105:O105" si="2622">+N103/M103-1</f>
        <v>0.28224641754173074</v>
      </c>
      <c r="O105" s="13">
        <f t="shared" si="2622"/>
        <v>-0.12371134020618557</v>
      </c>
      <c r="P105" s="235" t="s">
        <v>290</v>
      </c>
      <c r="Q105" s="13">
        <f>+Q103/O103-1</f>
        <v>-9.7356731609577696E-2</v>
      </c>
      <c r="R105" s="13">
        <f>+R103/Q103-1</f>
        <v>4.1507152115819013E-2</v>
      </c>
      <c r="S105" s="13">
        <f t="shared" ref="S105:T105" si="2623">+S103/R103-1</f>
        <v>0.11536432637312322</v>
      </c>
      <c r="T105" s="13">
        <f t="shared" si="2623"/>
        <v>-0.20229343623215812</v>
      </c>
      <c r="U105" s="235" t="s">
        <v>290</v>
      </c>
      <c r="V105" s="13">
        <f>+V103/T103-1</f>
        <v>5.5304172961910147E-2</v>
      </c>
      <c r="W105" s="13">
        <f>+W103/V103-1</f>
        <v>0.18637386183073801</v>
      </c>
      <c r="X105" s="13">
        <f t="shared" ref="X105:Y105" si="2624">+X103/W103-1</f>
        <v>-1.9450374938000392E-3</v>
      </c>
      <c r="Y105" s="13">
        <f t="shared" si="2624"/>
        <v>1.5383741761639813E-2</v>
      </c>
      <c r="Z105" s="235" t="s">
        <v>290</v>
      </c>
      <c r="AA105" s="13">
        <f>+AA103/Y103-1</f>
        <v>-9.4954895797664252E-3</v>
      </c>
      <c r="AB105" s="13">
        <f>+AB103/AA103-1</f>
        <v>-8.5529114073596757E-2</v>
      </c>
      <c r="AC105" s="13">
        <f t="shared" ref="AC105:AD105" si="2625">+AC103/AB103-1</f>
        <v>-3.23032260175935E-2</v>
      </c>
      <c r="AD105" s="13">
        <f t="shared" si="2625"/>
        <v>9.3348611010663607E-2</v>
      </c>
      <c r="AE105" s="235" t="s">
        <v>290</v>
      </c>
      <c r="AF105" s="13">
        <f>+AF103/AD103-1</f>
        <v>6.7286531629346724E-2</v>
      </c>
      <c r="AG105" s="13">
        <f>+AG103/AF103-1</f>
        <v>-3.513435016862787E-2</v>
      </c>
      <c r="AH105" s="13">
        <f t="shared" ref="AH105:AI105" si="2626">+AH103/AG103-1</f>
        <v>0.25761003589414844</v>
      </c>
      <c r="AI105" s="13">
        <f t="shared" si="2626"/>
        <v>6.5215852299429944E-2</v>
      </c>
      <c r="AJ105" s="235" t="s">
        <v>290</v>
      </c>
      <c r="AK105" s="13">
        <f>+AK103/AI103-1</f>
        <v>0.26389600224993437</v>
      </c>
      <c r="AL105" s="13">
        <f>+AL103/AK103-1</f>
        <v>-7.5383473699002224E-3</v>
      </c>
      <c r="AM105" s="13">
        <f t="shared" ref="AM105:AN105" si="2627">+AM103/AL103-1</f>
        <v>0.16425729516944099</v>
      </c>
      <c r="AN105" s="13">
        <f t="shared" si="2627"/>
        <v>-5.9127038460875525E-3</v>
      </c>
      <c r="AO105" s="235" t="s">
        <v>290</v>
      </c>
      <c r="AP105" s="13">
        <f>+AP103/AN103-1</f>
        <v>0.1993579506124481</v>
      </c>
      <c r="AQ105" s="13">
        <f>+AQ103/AP103-1</f>
        <v>-1.3177404704550977E-2</v>
      </c>
      <c r="AR105" s="13">
        <f t="shared" ref="AR105:AS105" si="2628">+AR103/AQ103-1</f>
        <v>1.6605335457253512E-2</v>
      </c>
      <c r="AS105" s="13">
        <f t="shared" si="2628"/>
        <v>6.3457303662363795E-2</v>
      </c>
      <c r="AT105" s="235" t="s">
        <v>290</v>
      </c>
      <c r="AU105" s="13">
        <f>+AU103/AS103-1</f>
        <v>5.3038724509644197E-2</v>
      </c>
      <c r="AV105" s="13">
        <f>+AV103/AU103-1</f>
        <v>-2.9144598648605524E-2</v>
      </c>
      <c r="AW105" s="13">
        <f t="shared" ref="AW105:AX105" si="2629">+AW103/AV103-1</f>
        <v>8.1698084890664546E-3</v>
      </c>
      <c r="AX105" s="13">
        <f t="shared" si="2629"/>
        <v>2.2520514283483228E-2</v>
      </c>
      <c r="AY105" s="235" t="s">
        <v>290</v>
      </c>
      <c r="AZ105" s="13">
        <f>+AZ103/AX103-1</f>
        <v>0.19167374960170847</v>
      </c>
      <c r="BA105" s="13">
        <f>+BA103/AZ103-1</f>
        <v>0.20403177471146239</v>
      </c>
      <c r="BB105" s="13">
        <f t="shared" ref="BB105:BC105" si="2630">+BB103/BA103-1</f>
        <v>4.7103989570202787E-2</v>
      </c>
      <c r="BC105" s="13">
        <f t="shared" si="2630"/>
        <v>5.0507533643283642E-2</v>
      </c>
      <c r="BD105" s="235" t="s">
        <v>290</v>
      </c>
      <c r="BE105" s="13">
        <f>+BE103/BC103-1</f>
        <v>0.10589447700964705</v>
      </c>
      <c r="BF105" s="13">
        <f>+BF103/BE103-1</f>
        <v>9.7151476088175315E-4</v>
      </c>
      <c r="BG105" s="13">
        <f t="shared" ref="BG105" si="2631">+BG103/BF103-1</f>
        <v>-8.4107927803555027E-3</v>
      </c>
      <c r="BH105" s="13">
        <f t="shared" ref="BH105" si="2632">+BH103/BG103-1</f>
        <v>6.7003597801082559E-2</v>
      </c>
      <c r="BI105" s="235" t="s">
        <v>290</v>
      </c>
      <c r="BJ105" s="13">
        <f>+BJ103/BH103-1</f>
        <v>-8.2797071831841484E-2</v>
      </c>
      <c r="BK105" s="13">
        <f>+BK103/BJ103-1</f>
        <v>-5.0600345682439429E-2</v>
      </c>
      <c r="BL105" s="13">
        <f t="shared" ref="BL105" si="2633">+BL103/BK103-1</f>
        <v>-3.5382454144302855E-2</v>
      </c>
      <c r="BM105" s="13">
        <f t="shared" ref="BM105" si="2634">+BM103/BL103-1</f>
        <v>1.6599842367268636E-3</v>
      </c>
      <c r="BN105" s="239">
        <f>+BN103/BL103-1</f>
        <v>3.1302727296478778</v>
      </c>
      <c r="BO105" s="13">
        <f>+BO103/BN103-1</f>
        <v>-0.70278237391067666</v>
      </c>
      <c r="BP105" s="13">
        <f t="shared" ref="BP105" si="2635">+BP103/BO103-1</f>
        <v>-8.3913590019053852E-2</v>
      </c>
      <c r="BQ105" s="13">
        <f t="shared" ref="BQ105" si="2636">+BQ103/BP103-1</f>
        <v>1.8558717591509621E-2</v>
      </c>
      <c r="BR105" s="13">
        <f t="shared" ref="BR105" si="2637">+BR103/BQ103-1</f>
        <v>-2.6854877416896961E-2</v>
      </c>
      <c r="BS105" s="239">
        <f>+BS103/BQ103-1</f>
        <v>3.026635064398369</v>
      </c>
      <c r="BT105" s="13">
        <f>+BT103/BS103-1</f>
        <v>-0.71635280093313491</v>
      </c>
      <c r="BU105" s="13">
        <f t="shared" ref="BU105" si="2638">+BU103/BT103-1</f>
        <v>-6.0695977623799635E-2</v>
      </c>
      <c r="BV105" s="13">
        <f t="shared" ref="BV105" si="2639">+BV103/BU103-1</f>
        <v>-2.8933852120393011E-3</v>
      </c>
      <c r="BW105" s="13">
        <f t="shared" ref="BW105" si="2640">+BW103/BV103-1</f>
        <v>-2.5355722968871675E-2</v>
      </c>
      <c r="BX105" s="235" t="s">
        <v>290</v>
      </c>
      <c r="BY105" s="13">
        <f>+BY103/BW103-1</f>
        <v>0.16858407611980653</v>
      </c>
      <c r="BZ105" s="13">
        <f>+BZ103/BY103-1</f>
        <v>-7.3091404689237249E-2</v>
      </c>
      <c r="CA105" s="13">
        <f t="shared" ref="CA105" si="2641">+CA103/BZ103-1</f>
        <v>1.4079049518985975E-2</v>
      </c>
      <c r="CB105" s="13">
        <f t="shared" ref="CB105" si="2642">+CB103/CA103-1</f>
        <v>-3.1156283404392582E-2</v>
      </c>
      <c r="CC105" s="235" t="s">
        <v>290</v>
      </c>
      <c r="CD105" s="13">
        <f>+CD103/CB103-1</f>
        <v>0.16050763768829568</v>
      </c>
      <c r="CE105" s="13">
        <f>+CE103/CD103-1</f>
        <v>-6.8709976985517285E-2</v>
      </c>
      <c r="CF105" s="13">
        <f t="shared" ref="CF105" si="2643">+CF103/CE103-1</f>
        <v>1.2165713516565813E-2</v>
      </c>
      <c r="CG105" s="13">
        <f t="shared" ref="CG105" si="2644">+CG103/CF103-1</f>
        <v>-2.8479999880358875E-2</v>
      </c>
      <c r="CH105" s="235" t="s">
        <v>290</v>
      </c>
      <c r="CI105" s="13">
        <f>+CI103/CG103-1</f>
        <v>0.15303541893366202</v>
      </c>
      <c r="CJ105" s="13">
        <f>+CJ103/CI103-1</f>
        <v>-6.6267970496524442E-2</v>
      </c>
      <c r="CK105" s="13">
        <f t="shared" ref="CK105" si="2645">+CK103/CJ103-1</f>
        <v>1.2191026405659278E-2</v>
      </c>
      <c r="CL105" s="13">
        <f t="shared" ref="CL105" si="2646">+CL103/CK103-1</f>
        <v>-2.7747301969039184E-2</v>
      </c>
      <c r="CM105" s="235" t="s">
        <v>290</v>
      </c>
      <c r="CN105" s="13">
        <f>+CN103/CL103-1</f>
        <v>0.14635102959272484</v>
      </c>
      <c r="CO105" s="13">
        <f>+CO103/CN103-1</f>
        <v>-6.3277674387826943E-2</v>
      </c>
      <c r="CP105" s="13">
        <f t="shared" ref="CP105" si="2647">+CP103/CO103-1</f>
        <v>1.1372289187274953E-2</v>
      </c>
      <c r="CQ105" s="13">
        <f t="shared" ref="CQ105" si="2648">+CQ103/CP103-1</f>
        <v>-2.6265047996584134E-2</v>
      </c>
      <c r="CR105" s="235" t="s">
        <v>290</v>
      </c>
      <c r="CS105" s="13">
        <f>+CS103/CQ103-1</f>
        <v>0.14022653629050974</v>
      </c>
      <c r="CT105" s="13">
        <f>+CT103/CS103-1</f>
        <v>-6.0885726205080481E-2</v>
      </c>
      <c r="CU105" s="13">
        <f t="shared" ref="CU105" si="2649">+CU103/CT103-1</f>
        <v>1.1025839769510659E-2</v>
      </c>
      <c r="CV105" s="13">
        <f t="shared" ref="CV105" si="2650">+CV103/CU103-1</f>
        <v>-2.5296796927738008E-2</v>
      </c>
      <c r="CW105" s="235" t="s">
        <v>290</v>
      </c>
      <c r="CX105" s="13">
        <f>+CX103/CV103-1</f>
        <v>0.13464550718113966</v>
      </c>
      <c r="CY105" s="13">
        <f>+CY103/CX103-1</f>
        <v>-5.8502589820803363E-2</v>
      </c>
      <c r="CZ105" s="13">
        <f t="shared" ref="CZ105" si="2651">+CZ103/CY103-1</f>
        <v>1.0514176651323481E-2</v>
      </c>
      <c r="DA105" s="13">
        <f t="shared" ref="DA105" si="2652">+DA103/CZ103-1</f>
        <v>-2.4218932124533743E-2</v>
      </c>
      <c r="DB105" s="235" t="s">
        <v>290</v>
      </c>
    </row>
    <row r="106" spans="1:106">
      <c r="F106" s="217"/>
      <c r="K106" s="217"/>
      <c r="P106" s="217"/>
      <c r="U106" s="217"/>
      <c r="Z106" s="217"/>
      <c r="AE106" s="217"/>
      <c r="AJ106" s="217"/>
      <c r="AO106" s="217"/>
      <c r="AT106" s="217"/>
      <c r="AY106" s="217"/>
      <c r="BD106" s="217"/>
      <c r="BI106" s="217"/>
      <c r="BN106" s="217"/>
      <c r="BS106" s="217"/>
      <c r="BX106" s="217"/>
      <c r="CC106" s="217"/>
      <c r="CH106" s="217"/>
      <c r="CM106" s="217"/>
      <c r="CR106" s="217"/>
      <c r="CW106" s="217"/>
      <c r="DB106" s="217"/>
    </row>
    <row r="107" spans="1:106" s="122" customFormat="1">
      <c r="A107" s="124" t="s">
        <v>293</v>
      </c>
      <c r="F107" s="241"/>
      <c r="K107" s="241"/>
      <c r="P107" s="241"/>
      <c r="U107" s="241"/>
      <c r="Z107" s="241"/>
      <c r="AE107" s="241"/>
      <c r="AJ107" s="241"/>
      <c r="AO107" s="241"/>
      <c r="AT107" s="241"/>
      <c r="AY107" s="241"/>
      <c r="BD107" s="241"/>
      <c r="BI107" s="241"/>
      <c r="BN107" s="241"/>
      <c r="BS107" s="241"/>
      <c r="BX107" s="241"/>
      <c r="CC107" s="241"/>
      <c r="CH107" s="241"/>
      <c r="CM107" s="241"/>
      <c r="CR107" s="241"/>
      <c r="CW107" s="241"/>
      <c r="DB107" s="241"/>
    </row>
    <row r="108" spans="1:106" s="51" customFormat="1">
      <c r="A108" s="51" t="s">
        <v>276</v>
      </c>
      <c r="B108" s="213">
        <f>+F108/4</f>
        <v>375000</v>
      </c>
      <c r="C108" s="213">
        <f>+F108/4</f>
        <v>375000</v>
      </c>
      <c r="D108" s="213">
        <f>+F108/4</f>
        <v>375000</v>
      </c>
      <c r="E108" s="213">
        <f>+F108/4</f>
        <v>375000</v>
      </c>
      <c r="F108" s="234">
        <v>1500000</v>
      </c>
      <c r="G108" s="213">
        <f>+B108*(1+G109)</f>
        <v>382500</v>
      </c>
      <c r="H108" s="213">
        <f t="shared" ref="H108" si="2653">+C108*(1+H109)</f>
        <v>382500</v>
      </c>
      <c r="I108" s="213">
        <f t="shared" ref="I108" si="2654">+D108*(1+I109)</f>
        <v>382500</v>
      </c>
      <c r="J108" s="213">
        <f t="shared" ref="J108" si="2655">+E108*(1+J109)</f>
        <v>382500</v>
      </c>
      <c r="K108" s="234">
        <f>+G108+H108+I108+J108</f>
        <v>1530000</v>
      </c>
      <c r="L108" s="213">
        <f>+G108*(1+L109)</f>
        <v>390150</v>
      </c>
      <c r="M108" s="213">
        <f t="shared" ref="M108" si="2656">+H108*(1+M109)</f>
        <v>390150</v>
      </c>
      <c r="N108" s="213">
        <f t="shared" ref="N108" si="2657">+I108*(1+N109)</f>
        <v>390150</v>
      </c>
      <c r="O108" s="213">
        <f t="shared" ref="O108" si="2658">+J108*(1+O109)</f>
        <v>390150</v>
      </c>
      <c r="P108" s="234">
        <f>+L108+M108+N108+O108</f>
        <v>1560600</v>
      </c>
      <c r="Q108" s="213">
        <f>+L108*(1+Q109)</f>
        <v>397953</v>
      </c>
      <c r="R108" s="213">
        <f t="shared" ref="R108" si="2659">+M108*(1+R109)</f>
        <v>397953</v>
      </c>
      <c r="S108" s="213">
        <f t="shared" ref="S108" si="2660">+N108*(1+S109)</f>
        <v>397953</v>
      </c>
      <c r="T108" s="213">
        <f t="shared" ref="T108" si="2661">+O108*(1+T109)</f>
        <v>397953</v>
      </c>
      <c r="U108" s="234">
        <f>+Q108+R108+S108+T108</f>
        <v>1591812</v>
      </c>
      <c r="V108" s="213">
        <f>+Q108*(1+V109)</f>
        <v>405912.06</v>
      </c>
      <c r="W108" s="213">
        <f t="shared" ref="W108" si="2662">+R108*(1+W109)</f>
        <v>405912.06</v>
      </c>
      <c r="X108" s="213">
        <f t="shared" ref="X108" si="2663">+S108*(1+X109)</f>
        <v>405912.06</v>
      </c>
      <c r="Y108" s="213">
        <f t="shared" ref="Y108" si="2664">+T108*(1+Y109)</f>
        <v>405912.06</v>
      </c>
      <c r="Z108" s="234">
        <f>+V108+W108+X108+Y108</f>
        <v>1623648.24</v>
      </c>
      <c r="AA108" s="213">
        <f>+V108*(1+AA109)</f>
        <v>414030.30119999999</v>
      </c>
      <c r="AB108" s="213">
        <f t="shared" ref="AB108" si="2665">+W108*(1+AB109)</f>
        <v>414030.30119999999</v>
      </c>
      <c r="AC108" s="213">
        <f t="shared" ref="AC108" si="2666">+X108*(1+AC109)</f>
        <v>414030.30119999999</v>
      </c>
      <c r="AD108" s="213">
        <f t="shared" ref="AD108" si="2667">+Y108*(1+AD109)</f>
        <v>414030.30119999999</v>
      </c>
      <c r="AE108" s="234">
        <f>+AA108+AB108+AC108+AD108</f>
        <v>1656121.2047999999</v>
      </c>
      <c r="AF108" s="213">
        <f>+AA108*(1+AF109)</f>
        <v>422310.90722399997</v>
      </c>
      <c r="AG108" s="213">
        <f t="shared" ref="AG108" si="2668">+AB108*(1+AG109)</f>
        <v>422310.90722399997</v>
      </c>
      <c r="AH108" s="213">
        <f t="shared" ref="AH108" si="2669">+AC108*(1+AH109)</f>
        <v>422310.90722399997</v>
      </c>
      <c r="AI108" s="213">
        <f t="shared" ref="AI108" si="2670">+AD108*(1+AI109)</f>
        <v>422310.90722399997</v>
      </c>
      <c r="AJ108" s="234">
        <f>+AF108+AG108+AH108+AI108</f>
        <v>1689243.6288959999</v>
      </c>
      <c r="AK108" s="213">
        <f>+AF108*(1+AK109)</f>
        <v>430757.12536847999</v>
      </c>
      <c r="AL108" s="213">
        <f t="shared" ref="AL108" si="2671">+AG108*(1+AL109)</f>
        <v>430757.12536847999</v>
      </c>
      <c r="AM108" s="213">
        <f t="shared" ref="AM108" si="2672">+AH108*(1+AM109)</f>
        <v>430757.12536847999</v>
      </c>
      <c r="AN108" s="213">
        <f t="shared" ref="AN108" si="2673">+AI108*(1+AN109)</f>
        <v>430757.12536847999</v>
      </c>
      <c r="AO108" s="234">
        <f>+AK108+AL108+AM108+AN108</f>
        <v>1723028.50147392</v>
      </c>
      <c r="AP108" s="213">
        <f>+AK108*(1+AP109)</f>
        <v>439372.26787584962</v>
      </c>
      <c r="AQ108" s="213">
        <f t="shared" ref="AQ108" si="2674">+AL108*(1+AQ109)</f>
        <v>439372.26787584962</v>
      </c>
      <c r="AR108" s="213">
        <f t="shared" ref="AR108" si="2675">+AM108*(1+AR109)</f>
        <v>439372.26787584962</v>
      </c>
      <c r="AS108" s="213">
        <f t="shared" ref="AS108" si="2676">+AN108*(1+AS109)</f>
        <v>439372.26787584962</v>
      </c>
      <c r="AT108" s="234">
        <f>+AP108+AQ108+AR108+AS108</f>
        <v>1757489.0715033985</v>
      </c>
      <c r="AU108" s="213">
        <f>+AP108*(1+AU109)</f>
        <v>448159.71323336661</v>
      </c>
      <c r="AV108" s="213">
        <f t="shared" ref="AV108" si="2677">+AQ108*(1+AV109)</f>
        <v>448159.71323336661</v>
      </c>
      <c r="AW108" s="213">
        <f t="shared" ref="AW108" si="2678">+AR108*(1+AW109)</f>
        <v>448159.71323336661</v>
      </c>
      <c r="AX108" s="213">
        <f t="shared" ref="AX108" si="2679">+AS108*(1+AX109)</f>
        <v>448159.71323336661</v>
      </c>
      <c r="AY108" s="234">
        <f>+AU108+AV108+AW108+AX108</f>
        <v>1792638.8529334664</v>
      </c>
      <c r="AZ108" s="213">
        <f>+AU108*(1+AZ109)</f>
        <v>457122.90749803395</v>
      </c>
      <c r="BA108" s="213">
        <f t="shared" ref="BA108" si="2680">+AV108*(1+BA109)</f>
        <v>457122.90749803395</v>
      </c>
      <c r="BB108" s="213">
        <f t="shared" ref="BB108" si="2681">+AW108*(1+BB109)</f>
        <v>457122.90749803395</v>
      </c>
      <c r="BC108" s="213">
        <f t="shared" ref="BC108" si="2682">+AX108*(1+BC109)</f>
        <v>457122.90749803395</v>
      </c>
      <c r="BD108" s="234">
        <f>+AZ108+BA108+BB108+BC108</f>
        <v>1828491.6299921358</v>
      </c>
      <c r="BE108" s="213">
        <f>+AZ108*(1+BE109)</f>
        <v>461694.13657301432</v>
      </c>
      <c r="BF108" s="213">
        <f t="shared" ref="BF108" si="2683">+BA108*(1+BF109)</f>
        <v>466265.36564799462</v>
      </c>
      <c r="BG108" s="213">
        <f t="shared" ref="BG108:BH108" si="2684">+BB108*(1+BG109)</f>
        <v>466265.36564799462</v>
      </c>
      <c r="BH108" s="213">
        <f t="shared" si="2684"/>
        <v>466265.36564799462</v>
      </c>
      <c r="BI108" s="234">
        <f>+BE108+BF108+BG108+BH108</f>
        <v>1860490.2335169984</v>
      </c>
      <c r="BJ108" s="213">
        <f>+BE108*(1+BJ109)</f>
        <v>470928.01930447458</v>
      </c>
      <c r="BK108" s="213">
        <f t="shared" ref="BK108" si="2685">+BF108*(1+BK109)</f>
        <v>475590.67296095454</v>
      </c>
      <c r="BL108" s="213">
        <f t="shared" ref="BL108" si="2686">+BG108*(1+BL109)</f>
        <v>475590.67296095454</v>
      </c>
      <c r="BM108" s="213">
        <f t="shared" ref="BM108" si="2687">+BH108*(1+BM109)</f>
        <v>475590.67296095454</v>
      </c>
      <c r="BN108" s="234">
        <f>+BJ108+BK108+BL108+BM108</f>
        <v>1897700.038187338</v>
      </c>
      <c r="BO108" s="213">
        <f>+BJ108*(1+BO109)</f>
        <v>480346.57969056407</v>
      </c>
      <c r="BP108" s="213">
        <f t="shared" ref="BP108" si="2688">+BK108*(1+BP109)</f>
        <v>485102.48642017366</v>
      </c>
      <c r="BQ108" s="213">
        <f t="shared" ref="BQ108" si="2689">+BL108*(1+BQ109)</f>
        <v>485102.48642017366</v>
      </c>
      <c r="BR108" s="213">
        <f t="shared" ref="BR108" si="2690">+BM108*(1+BR109)</f>
        <v>485102.48642017366</v>
      </c>
      <c r="BS108" s="234">
        <f>+BO108+BP108+BQ108+BR108</f>
        <v>1935654.0389510849</v>
      </c>
      <c r="BT108" s="213">
        <f>+BO108*(1+BT109)</f>
        <v>489953.51128437539</v>
      </c>
      <c r="BU108" s="213">
        <f t="shared" ref="BU108" si="2691">+BP108*(1+BU109)</f>
        <v>494804.53614857717</v>
      </c>
      <c r="BV108" s="213">
        <f t="shared" ref="BV108" si="2692">+BQ108*(1+BV109)</f>
        <v>494804.53614857717</v>
      </c>
      <c r="BW108" s="213">
        <f t="shared" ref="BW108" si="2693">+BR108*(1+BW109)</f>
        <v>494804.53614857717</v>
      </c>
      <c r="BX108" s="234">
        <f>+BT108+BU108+BV108+BW108</f>
        <v>1974367.119730107</v>
      </c>
      <c r="BY108" s="213">
        <f>+BT108*(1+BY109)</f>
        <v>499752.58151006291</v>
      </c>
      <c r="BZ108" s="213">
        <f t="shared" ref="BZ108" si="2694">+BU108*(1+BZ109)</f>
        <v>504700.62687154871</v>
      </c>
      <c r="CA108" s="213">
        <f t="shared" ref="CA108" si="2695">+BV108*(1+CA109)</f>
        <v>504700.62687154871</v>
      </c>
      <c r="CB108" s="213">
        <f t="shared" ref="CB108" si="2696">+BW108*(1+CB109)</f>
        <v>504700.62687154871</v>
      </c>
      <c r="CC108" s="234">
        <f>+BY108+BZ108+CA108+CB108</f>
        <v>2013854.462124709</v>
      </c>
      <c r="CD108" s="213">
        <f>+BY108*(1+CD109)</f>
        <v>509747.6331402642</v>
      </c>
      <c r="CE108" s="213">
        <f t="shared" ref="CE108" si="2697">+BZ108*(1+CE109)</f>
        <v>514794.63940897968</v>
      </c>
      <c r="CF108" s="213">
        <f t="shared" ref="CF108" si="2698">+CA108*(1+CF109)</f>
        <v>514794.63940897968</v>
      </c>
      <c r="CG108" s="213">
        <f t="shared" ref="CG108" si="2699">+CB108*(1+CG109)</f>
        <v>514794.63940897968</v>
      </c>
      <c r="CH108" s="234">
        <f>+CD108+CE108+CF108+CG108</f>
        <v>2054131.5513672032</v>
      </c>
      <c r="CI108" s="213">
        <f>+CD108*(1+CI109)</f>
        <v>519942.58580306947</v>
      </c>
      <c r="CJ108" s="213">
        <f t="shared" ref="CJ108" si="2700">+CE108*(1+CJ109)</f>
        <v>525090.53219715925</v>
      </c>
      <c r="CK108" s="213">
        <f t="shared" ref="CK108" si="2701">+CF108*(1+CK109)</f>
        <v>525090.53219715925</v>
      </c>
      <c r="CL108" s="213">
        <f t="shared" ref="CL108" si="2702">+CG108*(1+CL109)</f>
        <v>525090.53219715925</v>
      </c>
      <c r="CM108" s="234">
        <f>+CI108+CJ108+CK108+CL108</f>
        <v>2095214.1823945472</v>
      </c>
      <c r="CN108" s="213">
        <f>+CI108*(1+CN109)</f>
        <v>530341.43751913088</v>
      </c>
      <c r="CO108" s="213">
        <f t="shared" ref="CO108" si="2703">+CJ108*(1+CO109)</f>
        <v>535592.34284110239</v>
      </c>
      <c r="CP108" s="213">
        <f t="shared" ref="CP108" si="2704">+CK108*(1+CP109)</f>
        <v>535592.34284110239</v>
      </c>
      <c r="CQ108" s="213">
        <f t="shared" ref="CQ108" si="2705">+CL108*(1+CQ109)</f>
        <v>535592.34284110239</v>
      </c>
      <c r="CR108" s="234">
        <f>+CN108+CO108+CP108+CQ108</f>
        <v>2137118.4660424381</v>
      </c>
      <c r="CS108" s="213">
        <f>+CN108*(1+CS109)</f>
        <v>540948.26626951352</v>
      </c>
      <c r="CT108" s="213">
        <f t="shared" ref="CT108" si="2706">+CO108*(1+CT109)</f>
        <v>546304.18969792442</v>
      </c>
      <c r="CU108" s="213">
        <f t="shared" ref="CU108" si="2707">+CP108*(1+CU109)</f>
        <v>546304.18969792442</v>
      </c>
      <c r="CV108" s="213">
        <f t="shared" ref="CV108" si="2708">+CQ108*(1+CV109)</f>
        <v>546304.18969792442</v>
      </c>
      <c r="CW108" s="234">
        <f>+CS108+CT108+CU108+CV108</f>
        <v>2179860.835363287</v>
      </c>
      <c r="CX108" s="213">
        <f>+CS108*(1+CX109)</f>
        <v>551767.23159490386</v>
      </c>
      <c r="CY108" s="213">
        <f t="shared" ref="CY108" si="2709">+CT108*(1+CY109)</f>
        <v>557230.27349188295</v>
      </c>
      <c r="CZ108" s="213">
        <f t="shared" ref="CZ108" si="2710">+CU108*(1+CZ109)</f>
        <v>557230.27349188295</v>
      </c>
      <c r="DA108" s="213">
        <f t="shared" ref="DA108" si="2711">+CV108*(1+DA109)</f>
        <v>557230.27349188295</v>
      </c>
      <c r="DB108" s="234">
        <f>+CX108+CY108+CZ108+DA108</f>
        <v>2223458.0520705525</v>
      </c>
    </row>
    <row r="109" spans="1:106">
      <c r="A109" s="117" t="s">
        <v>281</v>
      </c>
      <c r="B109" s="119" t="s">
        <v>290</v>
      </c>
      <c r="C109" s="119" t="s">
        <v>290</v>
      </c>
      <c r="D109" s="119" t="s">
        <v>290</v>
      </c>
      <c r="E109" s="119" t="s">
        <v>290</v>
      </c>
      <c r="F109" s="235" t="s">
        <v>290</v>
      </c>
      <c r="G109" s="118">
        <v>0.02</v>
      </c>
      <c r="H109" s="118">
        <v>0.02</v>
      </c>
      <c r="I109" s="118">
        <v>0.02</v>
      </c>
      <c r="J109" s="118">
        <v>0.02</v>
      </c>
      <c r="K109" s="239">
        <f>+K108/F108-1</f>
        <v>2.0000000000000018E-2</v>
      </c>
      <c r="L109" s="118">
        <v>0.02</v>
      </c>
      <c r="M109" s="118">
        <v>0.02</v>
      </c>
      <c r="N109" s="118">
        <v>0.02</v>
      </c>
      <c r="O109" s="118">
        <v>0.02</v>
      </c>
      <c r="P109" s="239">
        <f>+P108/K108-1</f>
        <v>2.0000000000000018E-2</v>
      </c>
      <c r="Q109" s="118">
        <v>0.02</v>
      </c>
      <c r="R109" s="118">
        <v>0.02</v>
      </c>
      <c r="S109" s="118">
        <v>0.02</v>
      </c>
      <c r="T109" s="118">
        <v>0.02</v>
      </c>
      <c r="U109" s="239">
        <f>+U108/P108-1</f>
        <v>2.0000000000000018E-2</v>
      </c>
      <c r="V109" s="118">
        <v>0.02</v>
      </c>
      <c r="W109" s="118">
        <v>0.02</v>
      </c>
      <c r="X109" s="118">
        <v>0.02</v>
      </c>
      <c r="Y109" s="118">
        <v>0.02</v>
      </c>
      <c r="Z109" s="239">
        <f>+Z108/U108-1</f>
        <v>2.0000000000000018E-2</v>
      </c>
      <c r="AA109" s="118">
        <v>0.02</v>
      </c>
      <c r="AB109" s="118">
        <v>0.02</v>
      </c>
      <c r="AC109" s="118">
        <v>0.02</v>
      </c>
      <c r="AD109" s="118">
        <v>0.02</v>
      </c>
      <c r="AE109" s="239">
        <f>+AE108/Z108-1</f>
        <v>2.0000000000000018E-2</v>
      </c>
      <c r="AF109" s="118">
        <v>0.02</v>
      </c>
      <c r="AG109" s="118">
        <v>0.02</v>
      </c>
      <c r="AH109" s="118">
        <v>0.02</v>
      </c>
      <c r="AI109" s="118">
        <v>0.02</v>
      </c>
      <c r="AJ109" s="239">
        <f>+AJ108/AE108-1</f>
        <v>2.0000000000000018E-2</v>
      </c>
      <c r="AK109" s="118">
        <v>0.02</v>
      </c>
      <c r="AL109" s="118">
        <v>0.02</v>
      </c>
      <c r="AM109" s="118">
        <v>0.02</v>
      </c>
      <c r="AN109" s="118">
        <v>0.02</v>
      </c>
      <c r="AO109" s="239">
        <f>+AO108/AJ108-1</f>
        <v>2.0000000000000018E-2</v>
      </c>
      <c r="AP109" s="118">
        <v>0.02</v>
      </c>
      <c r="AQ109" s="118">
        <v>0.02</v>
      </c>
      <c r="AR109" s="118">
        <v>0.02</v>
      </c>
      <c r="AS109" s="118">
        <v>0.02</v>
      </c>
      <c r="AT109" s="239">
        <f>+AT108/AO108-1</f>
        <v>2.0000000000000018E-2</v>
      </c>
      <c r="AU109" s="118">
        <v>0.02</v>
      </c>
      <c r="AV109" s="118">
        <v>0.02</v>
      </c>
      <c r="AW109" s="118">
        <v>0.02</v>
      </c>
      <c r="AX109" s="118">
        <v>0.02</v>
      </c>
      <c r="AY109" s="239">
        <f>+AY108/AT108-1</f>
        <v>2.0000000000000018E-2</v>
      </c>
      <c r="AZ109" s="118">
        <v>0.02</v>
      </c>
      <c r="BA109" s="118">
        <v>0.02</v>
      </c>
      <c r="BB109" s="118">
        <v>0.02</v>
      </c>
      <c r="BC109" s="118">
        <v>0.02</v>
      </c>
      <c r="BD109" s="239">
        <f>+BD108/AY108-1</f>
        <v>2.0000000000000018E-2</v>
      </c>
      <c r="BE109" s="118">
        <v>0.01</v>
      </c>
      <c r="BF109" s="118">
        <v>0.02</v>
      </c>
      <c r="BG109" s="118">
        <v>0.02</v>
      </c>
      <c r="BH109" s="118">
        <v>0.02</v>
      </c>
      <c r="BI109" s="239">
        <f>+BI108/BD108-1</f>
        <v>1.7500000000000071E-2</v>
      </c>
      <c r="BJ109" s="118">
        <v>0.02</v>
      </c>
      <c r="BK109" s="118">
        <v>0.02</v>
      </c>
      <c r="BL109" s="118">
        <v>0.02</v>
      </c>
      <c r="BM109" s="118">
        <v>0.02</v>
      </c>
      <c r="BN109" s="239">
        <f>+BN108/BI108-1</f>
        <v>1.9999999999999796E-2</v>
      </c>
      <c r="BO109" s="118">
        <v>0.02</v>
      </c>
      <c r="BP109" s="118">
        <v>0.02</v>
      </c>
      <c r="BQ109" s="118">
        <v>0.02</v>
      </c>
      <c r="BR109" s="118">
        <v>0.02</v>
      </c>
      <c r="BS109" s="239">
        <f>+BS108/BN108-1</f>
        <v>2.0000000000000018E-2</v>
      </c>
      <c r="BT109" s="118">
        <v>0.02</v>
      </c>
      <c r="BU109" s="118">
        <v>0.02</v>
      </c>
      <c r="BV109" s="118">
        <v>0.02</v>
      </c>
      <c r="BW109" s="118">
        <v>0.02</v>
      </c>
      <c r="BX109" s="239">
        <f>+BX108/BS108-1</f>
        <v>2.000000000000024E-2</v>
      </c>
      <c r="BY109" s="118">
        <v>0.02</v>
      </c>
      <c r="BZ109" s="118">
        <v>0.02</v>
      </c>
      <c r="CA109" s="118">
        <v>0.02</v>
      </c>
      <c r="CB109" s="118">
        <v>0.02</v>
      </c>
      <c r="CC109" s="239">
        <f>+CC108/BX108-1</f>
        <v>2.0000000000000018E-2</v>
      </c>
      <c r="CD109" s="118">
        <v>0.02</v>
      </c>
      <c r="CE109" s="118">
        <v>0.02</v>
      </c>
      <c r="CF109" s="118">
        <v>0.02</v>
      </c>
      <c r="CG109" s="118">
        <v>0.02</v>
      </c>
      <c r="CH109" s="239">
        <f>+CH108/CC108-1</f>
        <v>2.0000000000000018E-2</v>
      </c>
      <c r="CI109" s="118">
        <v>0.02</v>
      </c>
      <c r="CJ109" s="118">
        <v>0.02</v>
      </c>
      <c r="CK109" s="118">
        <v>0.02</v>
      </c>
      <c r="CL109" s="118">
        <v>0.02</v>
      </c>
      <c r="CM109" s="239">
        <f>+CM108/CH108-1</f>
        <v>2.0000000000000018E-2</v>
      </c>
      <c r="CN109" s="118">
        <v>0.02</v>
      </c>
      <c r="CO109" s="118">
        <v>0.02</v>
      </c>
      <c r="CP109" s="118">
        <v>0.02</v>
      </c>
      <c r="CQ109" s="118">
        <v>0.02</v>
      </c>
      <c r="CR109" s="239">
        <f>+CR108/CM108-1</f>
        <v>2.0000000000000018E-2</v>
      </c>
      <c r="CS109" s="118">
        <v>0.02</v>
      </c>
      <c r="CT109" s="118">
        <v>0.02</v>
      </c>
      <c r="CU109" s="118">
        <v>0.02</v>
      </c>
      <c r="CV109" s="118">
        <v>0.02</v>
      </c>
      <c r="CW109" s="239">
        <f>+CW108/CR108-1</f>
        <v>2.0000000000000018E-2</v>
      </c>
      <c r="CX109" s="118">
        <v>0.02</v>
      </c>
      <c r="CY109" s="118">
        <v>0.02</v>
      </c>
      <c r="CZ109" s="118">
        <v>0.02</v>
      </c>
      <c r="DA109" s="118">
        <v>0.02</v>
      </c>
      <c r="DB109" s="239">
        <f>+DB108/CW108-1</f>
        <v>1.9999999999999796E-2</v>
      </c>
    </row>
    <row r="110" spans="1:106">
      <c r="A110" s="117" t="s">
        <v>282</v>
      </c>
      <c r="B110" s="13">
        <f>+B108/B114</f>
        <v>0.22058823529411764</v>
      </c>
      <c r="C110" s="13">
        <f t="shared" ref="C110:F110" si="2712">+C108/C114</f>
        <v>0.22058823529411764</v>
      </c>
      <c r="D110" s="13">
        <f t="shared" si="2712"/>
        <v>0.22058823529411764</v>
      </c>
      <c r="E110" s="13">
        <f t="shared" si="2712"/>
        <v>0.22058823529411764</v>
      </c>
      <c r="F110" s="239">
        <f t="shared" si="2712"/>
        <v>0.22058823529411764</v>
      </c>
      <c r="G110" s="13">
        <f>+G108/G114</f>
        <v>0.22228679354932443</v>
      </c>
      <c r="H110" s="13">
        <f t="shared" ref="H110:K110" si="2713">+H108/H114</f>
        <v>0.22228679354932443</v>
      </c>
      <c r="I110" s="13">
        <f t="shared" si="2713"/>
        <v>0.22228679354932443</v>
      </c>
      <c r="J110" s="13">
        <f t="shared" si="2713"/>
        <v>0.22228679354932443</v>
      </c>
      <c r="K110" s="239">
        <f t="shared" si="2713"/>
        <v>0.22228679354932443</v>
      </c>
      <c r="L110" s="13">
        <f>+L108/L114</f>
        <v>0.22399467212467689</v>
      </c>
      <c r="M110" s="13">
        <f t="shared" ref="M110:P110" si="2714">+M108/M114</f>
        <v>0.22399467212467689</v>
      </c>
      <c r="N110" s="13">
        <f t="shared" si="2714"/>
        <v>0.22399467212467689</v>
      </c>
      <c r="O110" s="13">
        <f t="shared" si="2714"/>
        <v>0.22399467212467689</v>
      </c>
      <c r="P110" s="239">
        <f t="shared" si="2714"/>
        <v>0.22399467212467689</v>
      </c>
      <c r="Q110" s="13">
        <f>+Q108/Q114</f>
        <v>0.22571186437289292</v>
      </c>
      <c r="R110" s="13">
        <f t="shared" ref="R110:U110" si="2715">+R108/R114</f>
        <v>0.22571186437289292</v>
      </c>
      <c r="S110" s="13">
        <f t="shared" si="2715"/>
        <v>0.22571186437289292</v>
      </c>
      <c r="T110" s="13">
        <f t="shared" si="2715"/>
        <v>0.22571186437289292</v>
      </c>
      <c r="U110" s="239">
        <f t="shared" si="2715"/>
        <v>0.22571186437289292</v>
      </c>
      <c r="V110" s="13">
        <f>+V108/V114</f>
        <v>0.22743836266503006</v>
      </c>
      <c r="W110" s="13">
        <f t="shared" ref="W110:Z110" si="2716">+W108/W114</f>
        <v>0.22743836266503006</v>
      </c>
      <c r="X110" s="13">
        <f t="shared" si="2716"/>
        <v>0.22743836266503006</v>
      </c>
      <c r="Y110" s="13">
        <f t="shared" si="2716"/>
        <v>0.22743836266503006</v>
      </c>
      <c r="Z110" s="239">
        <f t="shared" si="2716"/>
        <v>0.22743836266503006</v>
      </c>
      <c r="AA110" s="13">
        <f>+AA108/AA114</f>
        <v>0.22917415838104699</v>
      </c>
      <c r="AB110" s="13">
        <f t="shared" ref="AB110:AE110" si="2717">+AB108/AB114</f>
        <v>0.22917415838104699</v>
      </c>
      <c r="AC110" s="13">
        <f t="shared" si="2717"/>
        <v>0.22917415838104699</v>
      </c>
      <c r="AD110" s="13">
        <f t="shared" si="2717"/>
        <v>0.22917415838104699</v>
      </c>
      <c r="AE110" s="239">
        <f t="shared" si="2717"/>
        <v>0.22917415838104699</v>
      </c>
      <c r="AF110" s="13">
        <f>+AF108/AF114</f>
        <v>0.23091924190049759</v>
      </c>
      <c r="AG110" s="13">
        <f t="shared" ref="AG110:AJ110" si="2718">+AG108/AG114</f>
        <v>0.23091924190049759</v>
      </c>
      <c r="AH110" s="13">
        <f t="shared" si="2718"/>
        <v>0.23091924190049759</v>
      </c>
      <c r="AI110" s="13">
        <f t="shared" si="2718"/>
        <v>0.23091924190049759</v>
      </c>
      <c r="AJ110" s="239">
        <f t="shared" si="2718"/>
        <v>0.23091924190049759</v>
      </c>
      <c r="AK110" s="13">
        <f>+AK108/AK114</f>
        <v>0.23267360259336273</v>
      </c>
      <c r="AL110" s="13">
        <f t="shared" ref="AL110:AO110" si="2719">+AL108/AL114</f>
        <v>0.23267360259336273</v>
      </c>
      <c r="AM110" s="13">
        <f t="shared" si="2719"/>
        <v>0.23267360259336273</v>
      </c>
      <c r="AN110" s="13">
        <f t="shared" si="2719"/>
        <v>0.23267360259336273</v>
      </c>
      <c r="AO110" s="239">
        <f t="shared" si="2719"/>
        <v>0.23267360259336273</v>
      </c>
      <c r="AP110" s="13">
        <f>+AP108/AP114</f>
        <v>0.23443722881102511</v>
      </c>
      <c r="AQ110" s="13">
        <f t="shared" ref="AQ110:AT110" si="2720">+AQ108/AQ114</f>
        <v>0.23443722881102511</v>
      </c>
      <c r="AR110" s="13">
        <f t="shared" si="2720"/>
        <v>0.23443722881102511</v>
      </c>
      <c r="AS110" s="13">
        <f t="shared" si="2720"/>
        <v>0.23443722881102511</v>
      </c>
      <c r="AT110" s="239">
        <f t="shared" si="2720"/>
        <v>0.23443722881102511</v>
      </c>
      <c r="AU110" s="13">
        <f>+AU108/AU114</f>
        <v>0.23621010787739238</v>
      </c>
      <c r="AV110" s="13">
        <f t="shared" ref="AV110:AY110" si="2721">+AV108/AV114</f>
        <v>0.23621010787739238</v>
      </c>
      <c r="AW110" s="13">
        <f t="shared" si="2721"/>
        <v>0.23621010787739238</v>
      </c>
      <c r="AX110" s="13">
        <f t="shared" si="2721"/>
        <v>0.23621010787739238</v>
      </c>
      <c r="AY110" s="239">
        <f t="shared" si="2721"/>
        <v>0.23621010787739238</v>
      </c>
      <c r="AZ110" s="13">
        <f>+AZ108/AZ114</f>
        <v>0.2379922260801747</v>
      </c>
      <c r="BA110" s="13">
        <f t="shared" ref="BA110:BD110" si="2722">+BA108/BA114</f>
        <v>0.2379922260801747</v>
      </c>
      <c r="BB110" s="13">
        <f t="shared" si="2722"/>
        <v>0.2379922260801747</v>
      </c>
      <c r="BC110" s="13">
        <f t="shared" si="2722"/>
        <v>0.2379922260801747</v>
      </c>
      <c r="BD110" s="239">
        <f t="shared" si="2722"/>
        <v>0.2379922260801747</v>
      </c>
      <c r="BE110" s="13">
        <f>+BE108/BE114</f>
        <v>0.2379922260801747</v>
      </c>
      <c r="BF110" s="13">
        <f t="shared" ref="BF110:BI110" si="2723">+BF108/BF114</f>
        <v>0.23978356866232103</v>
      </c>
      <c r="BG110" s="13">
        <f t="shared" si="2723"/>
        <v>0.23978356866232103</v>
      </c>
      <c r="BH110" s="13">
        <f t="shared" si="2723"/>
        <v>0.23978356866232103</v>
      </c>
      <c r="BI110" s="239">
        <f t="shared" si="2723"/>
        <v>0.23933652306660982</v>
      </c>
      <c r="BJ110" s="13">
        <f>+BJ108/BJ114</f>
        <v>0.23978356866232103</v>
      </c>
      <c r="BK110" s="13">
        <f t="shared" ref="BK110:BN110" si="2724">+BK108/BK114</f>
        <v>0.24158411981362068</v>
      </c>
      <c r="BL110" s="13">
        <f t="shared" si="2724"/>
        <v>0.24158411981362068</v>
      </c>
      <c r="BM110" s="13">
        <f t="shared" si="2724"/>
        <v>0.24158411981362068</v>
      </c>
      <c r="BN110" s="239">
        <f t="shared" si="2724"/>
        <v>0.24113478210351602</v>
      </c>
      <c r="BO110" s="13">
        <f>+BO108/BO114</f>
        <v>0.24158411981362068</v>
      </c>
      <c r="BP110" s="13">
        <f t="shared" ref="BP110:BS110" si="2725">+BP108/BP114</f>
        <v>0.24339386266247484</v>
      </c>
      <c r="BQ110" s="13">
        <f t="shared" si="2725"/>
        <v>0.24339386266247484</v>
      </c>
      <c r="BR110" s="13">
        <f t="shared" si="2725"/>
        <v>0.24339386266247484</v>
      </c>
      <c r="BS110" s="239">
        <f t="shared" si="2725"/>
        <v>0.24294223714002117</v>
      </c>
      <c r="BT110" s="13">
        <f>+BT108/BT114</f>
        <v>0.24339386266247484</v>
      </c>
      <c r="BU110" s="13">
        <f t="shared" ref="BU110:BX110" si="2726">+BU108/BU114</f>
        <v>0.24521277926784391</v>
      </c>
      <c r="BV110" s="13">
        <f t="shared" si="2726"/>
        <v>0.24521277926784391</v>
      </c>
      <c r="BW110" s="13">
        <f t="shared" si="2726"/>
        <v>0.24521277926784391</v>
      </c>
      <c r="BX110" s="239">
        <f t="shared" si="2726"/>
        <v>0.24475887050220291</v>
      </c>
      <c r="BY110" s="13">
        <f>+BY108/BY114</f>
        <v>0.24521277926784391</v>
      </c>
      <c r="BZ110" s="13">
        <f t="shared" ref="BZ110:CC110" si="2727">+BZ108/BZ114</f>
        <v>0.24704085061137596</v>
      </c>
      <c r="CA110" s="13">
        <f t="shared" si="2727"/>
        <v>0.24704085061137596</v>
      </c>
      <c r="CB110" s="13">
        <f t="shared" si="2727"/>
        <v>0.24704085061137596</v>
      </c>
      <c r="CC110" s="239">
        <f t="shared" si="2727"/>
        <v>0.24658466344076993</v>
      </c>
      <c r="CD110" s="13">
        <f>+CD108/CD114</f>
        <v>0.24704085061137593</v>
      </c>
      <c r="CE110" s="13">
        <f t="shared" ref="CE110:CH110" si="2728">+CE108/CE114</f>
        <v>0.2488780565897219</v>
      </c>
      <c r="CF110" s="13">
        <f t="shared" si="2728"/>
        <v>0.2488780565897219</v>
      </c>
      <c r="CG110" s="13">
        <f t="shared" si="2728"/>
        <v>0.2488780565897219</v>
      </c>
      <c r="CH110" s="239">
        <f t="shared" si="2728"/>
        <v>0.24841959612333039</v>
      </c>
      <c r="CI110" s="13">
        <f>+CI108/CI114</f>
        <v>0.24887805658972192</v>
      </c>
      <c r="CJ110" s="13">
        <f t="shared" ref="CJ110:CM110" si="2729">+CJ108/CJ114</f>
        <v>0.25072437600704289</v>
      </c>
      <c r="CK110" s="13">
        <f t="shared" si="2729"/>
        <v>0.25072437600704289</v>
      </c>
      <c r="CL110" s="13">
        <f t="shared" si="2729"/>
        <v>0.25072437600704289</v>
      </c>
      <c r="CM110" s="239">
        <f t="shared" si="2729"/>
        <v>0.25026364762685033</v>
      </c>
      <c r="CN110" s="13">
        <f>+CN108/CN114</f>
        <v>0.25072437600704289</v>
      </c>
      <c r="CO110" s="13">
        <f t="shared" ref="CO110:CR110" si="2730">+CO108/CO114</f>
        <v>0.25257978656771474</v>
      </c>
      <c r="CP110" s="13">
        <f t="shared" si="2730"/>
        <v>0.25257978656771474</v>
      </c>
      <c r="CQ110" s="13">
        <f t="shared" si="2730"/>
        <v>0.25257978656771474</v>
      </c>
      <c r="CR110" s="239">
        <f t="shared" si="2730"/>
        <v>0.25211679593030911</v>
      </c>
      <c r="CS110" s="13">
        <f>+CS108/CS114</f>
        <v>0.25257978656771479</v>
      </c>
      <c r="CT110" s="13">
        <f t="shared" ref="CT110:CW110" si="2731">+CT108/CT114</f>
        <v>0.25444426486923616</v>
      </c>
      <c r="CU110" s="13">
        <f t="shared" si="2731"/>
        <v>0.25444426486923616</v>
      </c>
      <c r="CV110" s="13">
        <f t="shared" si="2731"/>
        <v>0.25444426486923616</v>
      </c>
      <c r="CW110" s="239">
        <f t="shared" si="2731"/>
        <v>0.25397901790755595</v>
      </c>
      <c r="CX110" s="13">
        <f>+CX108/CX114</f>
        <v>0.25444426486923621</v>
      </c>
      <c r="CY110" s="13">
        <f t="shared" ref="CY110:DB110" si="2732">+CY108/CY114</f>
        <v>0.25631778639534475</v>
      </c>
      <c r="CZ110" s="13">
        <f t="shared" si="2732"/>
        <v>0.25631778639534475</v>
      </c>
      <c r="DA110" s="13">
        <f t="shared" si="2732"/>
        <v>0.25631778639534475</v>
      </c>
      <c r="DB110" s="239">
        <f t="shared" si="2732"/>
        <v>0.25585028932037379</v>
      </c>
    </row>
    <row r="111" spans="1:106" s="51" customFormat="1">
      <c r="A111" s="51" t="s">
        <v>283</v>
      </c>
      <c r="B111" s="213">
        <f>+F111/4</f>
        <v>1325000</v>
      </c>
      <c r="C111" s="213">
        <f>+F111/4</f>
        <v>1325000</v>
      </c>
      <c r="D111" s="213">
        <f>+F111/4</f>
        <v>1325000</v>
      </c>
      <c r="E111" s="213">
        <f>+F111/4</f>
        <v>1325000</v>
      </c>
      <c r="F111" s="234">
        <v>5300000</v>
      </c>
      <c r="G111" s="213">
        <f>+B111*(1+G112)</f>
        <v>1338250</v>
      </c>
      <c r="H111" s="213">
        <f t="shared" ref="H111" si="2733">+C111*(1+H112)</f>
        <v>1338250</v>
      </c>
      <c r="I111" s="213">
        <f t="shared" ref="I111" si="2734">+D111*(1+I112)</f>
        <v>1338250</v>
      </c>
      <c r="J111" s="213">
        <f t="shared" ref="J111" si="2735">+E111*(1+J112)</f>
        <v>1338250</v>
      </c>
      <c r="K111" s="234">
        <f>+G111+H111+I111+J111</f>
        <v>5353000</v>
      </c>
      <c r="L111" s="213">
        <f>+G111*(1+L112)</f>
        <v>1351632.5</v>
      </c>
      <c r="M111" s="213">
        <f t="shared" ref="M111" si="2736">+H111*(1+M112)</f>
        <v>1351632.5</v>
      </c>
      <c r="N111" s="213">
        <f t="shared" ref="N111" si="2737">+I111*(1+N112)</f>
        <v>1351632.5</v>
      </c>
      <c r="O111" s="213">
        <f t="shared" ref="O111" si="2738">+J111*(1+O112)</f>
        <v>1351632.5</v>
      </c>
      <c r="P111" s="234">
        <f>+L111+M111+N111+O111</f>
        <v>5406530</v>
      </c>
      <c r="Q111" s="213">
        <f>+L111*(1+Q112)</f>
        <v>1365148.825</v>
      </c>
      <c r="R111" s="213">
        <f t="shared" ref="R111" si="2739">+M111*(1+R112)</f>
        <v>1365148.825</v>
      </c>
      <c r="S111" s="213">
        <f t="shared" ref="S111" si="2740">+N111*(1+S112)</f>
        <v>1365148.825</v>
      </c>
      <c r="T111" s="213">
        <f t="shared" ref="T111" si="2741">+O111*(1+T112)</f>
        <v>1365148.825</v>
      </c>
      <c r="U111" s="234">
        <f>+Q111+R111+S111+T111</f>
        <v>5460595.2999999998</v>
      </c>
      <c r="V111" s="213">
        <f>+Q111*(1+V112)</f>
        <v>1378800.3132499999</v>
      </c>
      <c r="W111" s="213">
        <f t="shared" ref="W111" si="2742">+R111*(1+W112)</f>
        <v>1378800.3132499999</v>
      </c>
      <c r="X111" s="213">
        <f t="shared" ref="X111" si="2743">+S111*(1+X112)</f>
        <v>1378800.3132499999</v>
      </c>
      <c r="Y111" s="213">
        <f t="shared" ref="Y111" si="2744">+T111*(1+Y112)</f>
        <v>1378800.3132499999</v>
      </c>
      <c r="Z111" s="234">
        <f>+V111+W111+X111+Y111</f>
        <v>5515201.2529999996</v>
      </c>
      <c r="AA111" s="213">
        <f>+V111*(1+AA112)</f>
        <v>1392588.3163824999</v>
      </c>
      <c r="AB111" s="213">
        <f t="shared" ref="AB111" si="2745">+W111*(1+AB112)</f>
        <v>1392588.3163824999</v>
      </c>
      <c r="AC111" s="213">
        <f t="shared" ref="AC111" si="2746">+X111*(1+AC112)</f>
        <v>1392588.3163824999</v>
      </c>
      <c r="AD111" s="213">
        <f t="shared" ref="AD111" si="2747">+Y111*(1+AD112)</f>
        <v>1392588.3163824999</v>
      </c>
      <c r="AE111" s="234">
        <f>+AA111+AB111+AC111+AD111</f>
        <v>5570353.2655299995</v>
      </c>
      <c r="AF111" s="213">
        <f>+AA111*(1+AF112)</f>
        <v>1406514.1995463248</v>
      </c>
      <c r="AG111" s="213">
        <f t="shared" ref="AG111" si="2748">+AB111*(1+AG112)</f>
        <v>1406514.1995463248</v>
      </c>
      <c r="AH111" s="213">
        <f t="shared" ref="AH111" si="2749">+AC111*(1+AH112)</f>
        <v>1406514.1995463248</v>
      </c>
      <c r="AI111" s="213">
        <f t="shared" ref="AI111" si="2750">+AD111*(1+AI112)</f>
        <v>1406514.1995463248</v>
      </c>
      <c r="AJ111" s="234">
        <f>+AF111+AG111+AH111+AI111</f>
        <v>5626056.7981852992</v>
      </c>
      <c r="AK111" s="213">
        <f>+AF111*(1+AK112)</f>
        <v>1420579.3415417881</v>
      </c>
      <c r="AL111" s="213">
        <f t="shared" ref="AL111" si="2751">+AG111*(1+AL112)</f>
        <v>1420579.3415417881</v>
      </c>
      <c r="AM111" s="213">
        <f t="shared" ref="AM111" si="2752">+AH111*(1+AM112)</f>
        <v>1420579.3415417881</v>
      </c>
      <c r="AN111" s="213">
        <f t="shared" ref="AN111" si="2753">+AI111*(1+AN112)</f>
        <v>1420579.3415417881</v>
      </c>
      <c r="AO111" s="234">
        <f>+AK111+AL111+AM111+AN111</f>
        <v>5682317.3661671523</v>
      </c>
      <c r="AP111" s="213">
        <f>+AK111*(1+AP112)</f>
        <v>1434785.134957206</v>
      </c>
      <c r="AQ111" s="213">
        <f t="shared" ref="AQ111" si="2754">+AL111*(1+AQ112)</f>
        <v>1434785.134957206</v>
      </c>
      <c r="AR111" s="213">
        <f t="shared" ref="AR111" si="2755">+AM111*(1+AR112)</f>
        <v>1434785.134957206</v>
      </c>
      <c r="AS111" s="213">
        <f t="shared" ref="AS111" si="2756">+AN111*(1+AS112)</f>
        <v>1434785.134957206</v>
      </c>
      <c r="AT111" s="234">
        <f>+AP111+AQ111+AR111+AS111</f>
        <v>5739140.5398288239</v>
      </c>
      <c r="AU111" s="213">
        <f>+AP111*(1+AU112)</f>
        <v>1449132.9863067782</v>
      </c>
      <c r="AV111" s="213">
        <f t="shared" ref="AV111" si="2757">+AQ111*(1+AV112)</f>
        <v>1449132.9863067782</v>
      </c>
      <c r="AW111" s="213">
        <f t="shared" ref="AW111" si="2758">+AR111*(1+AW112)</f>
        <v>1449132.9863067782</v>
      </c>
      <c r="AX111" s="213">
        <f t="shared" ref="AX111" si="2759">+AS111*(1+AX112)</f>
        <v>1449132.9863067782</v>
      </c>
      <c r="AY111" s="234">
        <f>+AU111+AV111+AW111+AX111</f>
        <v>5796531.9452271126</v>
      </c>
      <c r="AZ111" s="213">
        <f>+AU111*(1+AZ112)</f>
        <v>1463624.3161698459</v>
      </c>
      <c r="BA111" s="213">
        <f t="shared" ref="BA111" si="2760">+AV111*(1+BA112)</f>
        <v>1463624.3161698459</v>
      </c>
      <c r="BB111" s="213">
        <f t="shared" ref="BB111" si="2761">+AW111*(1+BB112)</f>
        <v>1463624.3161698459</v>
      </c>
      <c r="BC111" s="213">
        <f t="shared" ref="BC111" si="2762">+AX111*(1+BC112)</f>
        <v>1463624.3161698459</v>
      </c>
      <c r="BD111" s="234">
        <f>+AZ111+BA111+BB111+BC111</f>
        <v>5854497.2646793835</v>
      </c>
      <c r="BE111" s="213">
        <f>+AZ111*(1+BE112)</f>
        <v>1478260.5593315444</v>
      </c>
      <c r="BF111" s="213">
        <f t="shared" ref="BF111" si="2763">+BA111*(1+BF112)</f>
        <v>1478260.5593315444</v>
      </c>
      <c r="BG111" s="213">
        <f t="shared" ref="BG111:BH111" si="2764">+BB111*(1+BG112)</f>
        <v>1478260.5593315444</v>
      </c>
      <c r="BH111" s="213">
        <f t="shared" si="2764"/>
        <v>1478260.5593315444</v>
      </c>
      <c r="BI111" s="234">
        <f>+BE111+BF111+BG111+BH111</f>
        <v>5913042.2373261778</v>
      </c>
      <c r="BJ111" s="213">
        <f>+BE111*(1+BJ112)</f>
        <v>1493043.16492486</v>
      </c>
      <c r="BK111" s="213">
        <f t="shared" ref="BK111" si="2765">+BF111*(1+BK112)</f>
        <v>1493043.16492486</v>
      </c>
      <c r="BL111" s="213">
        <f t="shared" ref="BL111" si="2766">+BG111*(1+BL112)</f>
        <v>1493043.16492486</v>
      </c>
      <c r="BM111" s="213">
        <f t="shared" ref="BM111" si="2767">+BH111*(1+BM112)</f>
        <v>1493043.16492486</v>
      </c>
      <c r="BN111" s="234">
        <f>+BJ111+BK111+BL111+BM111</f>
        <v>5972172.65969944</v>
      </c>
      <c r="BO111" s="213">
        <f>+BJ111*(1+BO112)</f>
        <v>1507973.5965741086</v>
      </c>
      <c r="BP111" s="213">
        <f t="shared" ref="BP111" si="2768">+BK111*(1+BP112)</f>
        <v>1507973.5965741086</v>
      </c>
      <c r="BQ111" s="213">
        <f t="shared" ref="BQ111" si="2769">+BL111*(1+BQ112)</f>
        <v>1507973.5965741086</v>
      </c>
      <c r="BR111" s="213">
        <f t="shared" ref="BR111" si="2770">+BM111*(1+BR112)</f>
        <v>1507973.5965741086</v>
      </c>
      <c r="BS111" s="234">
        <f>+BO111+BP111+BQ111+BR111</f>
        <v>6031894.3862964343</v>
      </c>
      <c r="BT111" s="213">
        <f>+BO111*(1+BT112)</f>
        <v>1523053.3325398497</v>
      </c>
      <c r="BU111" s="213">
        <f t="shared" ref="BU111" si="2771">+BP111*(1+BU112)</f>
        <v>1523053.3325398497</v>
      </c>
      <c r="BV111" s="213">
        <f t="shared" ref="BV111" si="2772">+BQ111*(1+BV112)</f>
        <v>1523053.3325398497</v>
      </c>
      <c r="BW111" s="213">
        <f t="shared" ref="BW111" si="2773">+BR111*(1+BW112)</f>
        <v>1523053.3325398497</v>
      </c>
      <c r="BX111" s="234">
        <f>+BT111+BU111+BV111+BW111</f>
        <v>6092213.3301593987</v>
      </c>
      <c r="BY111" s="213">
        <f>+BT111*(1+BY112)</f>
        <v>1538283.8658652483</v>
      </c>
      <c r="BZ111" s="213">
        <f t="shared" ref="BZ111" si="2774">+BU111*(1+BZ112)</f>
        <v>1538283.8658652483</v>
      </c>
      <c r="CA111" s="213">
        <f t="shared" ref="CA111" si="2775">+BV111*(1+CA112)</f>
        <v>1538283.8658652483</v>
      </c>
      <c r="CB111" s="213">
        <f t="shared" ref="CB111" si="2776">+BW111*(1+CB112)</f>
        <v>1538283.8658652483</v>
      </c>
      <c r="CC111" s="234">
        <f>+BY111+BZ111+CA111+CB111</f>
        <v>6153135.463460993</v>
      </c>
      <c r="CD111" s="213">
        <f>+BY111*(1+CD112)</f>
        <v>1553666.7045239008</v>
      </c>
      <c r="CE111" s="213">
        <f t="shared" ref="CE111" si="2777">+BZ111*(1+CE112)</f>
        <v>1553666.7045239008</v>
      </c>
      <c r="CF111" s="213">
        <f t="shared" ref="CF111" si="2778">+CA111*(1+CF112)</f>
        <v>1553666.7045239008</v>
      </c>
      <c r="CG111" s="213">
        <f t="shared" ref="CG111" si="2779">+CB111*(1+CG112)</f>
        <v>1553666.7045239008</v>
      </c>
      <c r="CH111" s="234">
        <f>+CD111+CE111+CF111+CG111</f>
        <v>6214666.818095603</v>
      </c>
      <c r="CI111" s="213">
        <f>+CD111*(1+CI112)</f>
        <v>1569203.3715691399</v>
      </c>
      <c r="CJ111" s="213">
        <f t="shared" ref="CJ111" si="2780">+CE111*(1+CJ112)</f>
        <v>1569203.3715691399</v>
      </c>
      <c r="CK111" s="213">
        <f t="shared" ref="CK111" si="2781">+CF111*(1+CK112)</f>
        <v>1569203.3715691399</v>
      </c>
      <c r="CL111" s="213">
        <f t="shared" ref="CL111" si="2782">+CG111*(1+CL112)</f>
        <v>1569203.3715691399</v>
      </c>
      <c r="CM111" s="234">
        <f>+CI111+CJ111+CK111+CL111</f>
        <v>6276813.4862765595</v>
      </c>
      <c r="CN111" s="213">
        <f>+CI111*(1+CN112)</f>
        <v>1584895.4052848313</v>
      </c>
      <c r="CO111" s="213">
        <f t="shared" ref="CO111" si="2783">+CJ111*(1+CO112)</f>
        <v>1584895.4052848313</v>
      </c>
      <c r="CP111" s="213">
        <f t="shared" ref="CP111" si="2784">+CK111*(1+CP112)</f>
        <v>1584895.4052848313</v>
      </c>
      <c r="CQ111" s="213">
        <f t="shared" ref="CQ111" si="2785">+CL111*(1+CQ112)</f>
        <v>1584895.4052848313</v>
      </c>
      <c r="CR111" s="234">
        <f>+CN111+CO111+CP111+CQ111</f>
        <v>6339581.6211393252</v>
      </c>
      <c r="CS111" s="213">
        <f>+CN111*(1+CS112)</f>
        <v>1600744.3593376796</v>
      </c>
      <c r="CT111" s="213">
        <f t="shared" ref="CT111" si="2786">+CO111*(1+CT112)</f>
        <v>1600744.3593376796</v>
      </c>
      <c r="CU111" s="213">
        <f t="shared" ref="CU111" si="2787">+CP111*(1+CU112)</f>
        <v>1600744.3593376796</v>
      </c>
      <c r="CV111" s="213">
        <f t="shared" ref="CV111" si="2788">+CQ111*(1+CV112)</f>
        <v>1600744.3593376796</v>
      </c>
      <c r="CW111" s="234">
        <f>+CS111+CT111+CU111+CV111</f>
        <v>6402977.4373507183</v>
      </c>
      <c r="CX111" s="213">
        <f>+CS111*(1+CX112)</f>
        <v>1616751.8029310564</v>
      </c>
      <c r="CY111" s="213">
        <f t="shared" ref="CY111" si="2789">+CT111*(1+CY112)</f>
        <v>1616751.8029310564</v>
      </c>
      <c r="CZ111" s="213">
        <f t="shared" ref="CZ111" si="2790">+CU111*(1+CZ112)</f>
        <v>1616751.8029310564</v>
      </c>
      <c r="DA111" s="213">
        <f t="shared" ref="DA111" si="2791">+CV111*(1+DA112)</f>
        <v>1616751.8029310564</v>
      </c>
      <c r="DB111" s="234">
        <f>+CX111+CY111+CZ111+DA111</f>
        <v>6467007.2117242254</v>
      </c>
    </row>
    <row r="112" spans="1:106">
      <c r="A112" s="117" t="s">
        <v>281</v>
      </c>
      <c r="B112" s="119" t="s">
        <v>290</v>
      </c>
      <c r="C112" s="119" t="s">
        <v>290</v>
      </c>
      <c r="D112" s="119" t="s">
        <v>290</v>
      </c>
      <c r="E112" s="119" t="s">
        <v>290</v>
      </c>
      <c r="F112" s="235" t="s">
        <v>290</v>
      </c>
      <c r="G112" s="118">
        <v>1.0000000000000009E-2</v>
      </c>
      <c r="H112" s="118">
        <v>1.0000000000000009E-2</v>
      </c>
      <c r="I112" s="118">
        <v>1.0000000000000009E-2</v>
      </c>
      <c r="J112" s="118">
        <v>1.0000000000000009E-2</v>
      </c>
      <c r="K112" s="239">
        <f>+K111/F111-1</f>
        <v>1.0000000000000009E-2</v>
      </c>
      <c r="L112" s="118">
        <v>1.0000000000000009E-2</v>
      </c>
      <c r="M112" s="118">
        <v>1.0000000000000009E-2</v>
      </c>
      <c r="N112" s="118">
        <v>1.0000000000000009E-2</v>
      </c>
      <c r="O112" s="118">
        <v>1.0000000000000009E-2</v>
      </c>
      <c r="P112" s="239">
        <f>+P111/K111-1</f>
        <v>1.0000000000000009E-2</v>
      </c>
      <c r="Q112" s="118">
        <v>1.0000000000000009E-2</v>
      </c>
      <c r="R112" s="118">
        <v>1.0000000000000009E-2</v>
      </c>
      <c r="S112" s="118">
        <v>1.0000000000000009E-2</v>
      </c>
      <c r="T112" s="118">
        <v>1.0000000000000009E-2</v>
      </c>
      <c r="U112" s="239">
        <f>+U111/P111-1</f>
        <v>1.0000000000000009E-2</v>
      </c>
      <c r="V112" s="118">
        <v>1.0000000000000009E-2</v>
      </c>
      <c r="W112" s="118">
        <v>1.0000000000000009E-2</v>
      </c>
      <c r="X112" s="118">
        <v>1.0000000000000009E-2</v>
      </c>
      <c r="Y112" s="118">
        <v>1.0000000000000009E-2</v>
      </c>
      <c r="Z112" s="239">
        <f>+Z111/U111-1</f>
        <v>1.0000000000000009E-2</v>
      </c>
      <c r="AA112" s="118">
        <v>1.0000000000000009E-2</v>
      </c>
      <c r="AB112" s="118">
        <v>1.0000000000000009E-2</v>
      </c>
      <c r="AC112" s="118">
        <v>1.0000000000000009E-2</v>
      </c>
      <c r="AD112" s="118">
        <v>1.0000000000000009E-2</v>
      </c>
      <c r="AE112" s="239">
        <f>+AE111/Z111-1</f>
        <v>1.0000000000000009E-2</v>
      </c>
      <c r="AF112" s="118">
        <v>1.0000000000000009E-2</v>
      </c>
      <c r="AG112" s="118">
        <v>1.0000000000000009E-2</v>
      </c>
      <c r="AH112" s="118">
        <v>1.0000000000000009E-2</v>
      </c>
      <c r="AI112" s="118">
        <v>1.0000000000000009E-2</v>
      </c>
      <c r="AJ112" s="239">
        <f>+AJ111/AE111-1</f>
        <v>1.0000000000000009E-2</v>
      </c>
      <c r="AK112" s="118">
        <v>1.0000000000000009E-2</v>
      </c>
      <c r="AL112" s="118">
        <v>1.0000000000000009E-2</v>
      </c>
      <c r="AM112" s="118">
        <v>1.0000000000000009E-2</v>
      </c>
      <c r="AN112" s="118">
        <v>1.0000000000000009E-2</v>
      </c>
      <c r="AO112" s="239">
        <f>+AO111/AJ111-1</f>
        <v>1.0000000000000009E-2</v>
      </c>
      <c r="AP112" s="118">
        <v>1.0000000000000009E-2</v>
      </c>
      <c r="AQ112" s="118">
        <v>1.0000000000000009E-2</v>
      </c>
      <c r="AR112" s="118">
        <v>1.0000000000000009E-2</v>
      </c>
      <c r="AS112" s="118">
        <v>1.0000000000000009E-2</v>
      </c>
      <c r="AT112" s="239">
        <f>+AT111/AO111-1</f>
        <v>1.0000000000000009E-2</v>
      </c>
      <c r="AU112" s="118">
        <v>1.0000000000000009E-2</v>
      </c>
      <c r="AV112" s="118">
        <v>1.0000000000000009E-2</v>
      </c>
      <c r="AW112" s="118">
        <v>1.0000000000000009E-2</v>
      </c>
      <c r="AX112" s="118">
        <v>1.0000000000000009E-2</v>
      </c>
      <c r="AY112" s="239">
        <f>+AY111/AT111-1</f>
        <v>1.0000000000000009E-2</v>
      </c>
      <c r="AZ112" s="118">
        <v>1.0000000000000009E-2</v>
      </c>
      <c r="BA112" s="118">
        <v>1.0000000000000009E-2</v>
      </c>
      <c r="BB112" s="118">
        <v>1.0000000000000009E-2</v>
      </c>
      <c r="BC112" s="118">
        <v>1.0000000000000009E-2</v>
      </c>
      <c r="BD112" s="239">
        <f>+BD111/AY111-1</f>
        <v>1.0000000000000009E-2</v>
      </c>
      <c r="BE112" s="118">
        <v>1.0000000000000009E-2</v>
      </c>
      <c r="BF112" s="118">
        <v>1.0000000000000009E-2</v>
      </c>
      <c r="BG112" s="118">
        <v>1.0000000000000009E-2</v>
      </c>
      <c r="BH112" s="118">
        <v>1.0000000000000009E-2</v>
      </c>
      <c r="BI112" s="239">
        <f>+BI111/BD111-1</f>
        <v>1.0000000000000009E-2</v>
      </c>
      <c r="BJ112" s="118">
        <v>1.0000000000000009E-2</v>
      </c>
      <c r="BK112" s="118">
        <v>1.0000000000000009E-2</v>
      </c>
      <c r="BL112" s="118">
        <v>1.0000000000000009E-2</v>
      </c>
      <c r="BM112" s="118">
        <v>1.0000000000000009E-2</v>
      </c>
      <c r="BN112" s="239">
        <f>+BN111/BI111-1</f>
        <v>1.0000000000000009E-2</v>
      </c>
      <c r="BO112" s="118">
        <v>1.0000000000000009E-2</v>
      </c>
      <c r="BP112" s="118">
        <v>1.0000000000000009E-2</v>
      </c>
      <c r="BQ112" s="118">
        <v>1.0000000000000009E-2</v>
      </c>
      <c r="BR112" s="118">
        <v>1.0000000000000009E-2</v>
      </c>
      <c r="BS112" s="239">
        <f>+BS111/BN111-1</f>
        <v>1.0000000000000009E-2</v>
      </c>
      <c r="BT112" s="118">
        <v>1.0000000000000009E-2</v>
      </c>
      <c r="BU112" s="118">
        <v>1.0000000000000009E-2</v>
      </c>
      <c r="BV112" s="118">
        <v>1.0000000000000009E-2</v>
      </c>
      <c r="BW112" s="118">
        <v>1.0000000000000009E-2</v>
      </c>
      <c r="BX112" s="239">
        <f>+BX111/BS111-1</f>
        <v>1.0000000000000009E-2</v>
      </c>
      <c r="BY112" s="118">
        <v>1.0000000000000009E-2</v>
      </c>
      <c r="BZ112" s="118">
        <v>1.0000000000000009E-2</v>
      </c>
      <c r="CA112" s="118">
        <v>1.0000000000000009E-2</v>
      </c>
      <c r="CB112" s="118">
        <v>1.0000000000000009E-2</v>
      </c>
      <c r="CC112" s="239">
        <f>+CC111/BX111-1</f>
        <v>1.0000000000000009E-2</v>
      </c>
      <c r="CD112" s="118">
        <v>1.0000000000000009E-2</v>
      </c>
      <c r="CE112" s="118">
        <v>1.0000000000000009E-2</v>
      </c>
      <c r="CF112" s="118">
        <v>1.0000000000000009E-2</v>
      </c>
      <c r="CG112" s="118">
        <v>1.0000000000000009E-2</v>
      </c>
      <c r="CH112" s="239">
        <f>+CH111/CC111-1</f>
        <v>1.0000000000000009E-2</v>
      </c>
      <c r="CI112" s="118">
        <v>1.0000000000000009E-2</v>
      </c>
      <c r="CJ112" s="118">
        <v>1.0000000000000009E-2</v>
      </c>
      <c r="CK112" s="118">
        <v>1.0000000000000009E-2</v>
      </c>
      <c r="CL112" s="118">
        <v>1.0000000000000009E-2</v>
      </c>
      <c r="CM112" s="239">
        <f>+CM111/CH111-1</f>
        <v>1.0000000000000009E-2</v>
      </c>
      <c r="CN112" s="118">
        <v>1.0000000000000009E-2</v>
      </c>
      <c r="CO112" s="118">
        <v>1.0000000000000009E-2</v>
      </c>
      <c r="CP112" s="118">
        <v>1.0000000000000009E-2</v>
      </c>
      <c r="CQ112" s="118">
        <v>1.0000000000000009E-2</v>
      </c>
      <c r="CR112" s="239">
        <f>+CR111/CM111-1</f>
        <v>1.0000000000000009E-2</v>
      </c>
      <c r="CS112" s="118">
        <v>1.0000000000000009E-2</v>
      </c>
      <c r="CT112" s="118">
        <v>1.0000000000000009E-2</v>
      </c>
      <c r="CU112" s="118">
        <v>1.0000000000000009E-2</v>
      </c>
      <c r="CV112" s="118">
        <v>1.0000000000000009E-2</v>
      </c>
      <c r="CW112" s="239">
        <f>+CW111/CR111-1</f>
        <v>1.0000000000000009E-2</v>
      </c>
      <c r="CX112" s="118">
        <v>1.0000000000000009E-2</v>
      </c>
      <c r="CY112" s="118">
        <v>1.0000000000000009E-2</v>
      </c>
      <c r="CZ112" s="118">
        <v>1.0000000000000009E-2</v>
      </c>
      <c r="DA112" s="118">
        <v>1.0000000000000009E-2</v>
      </c>
      <c r="DB112" s="239">
        <f>+DB111/CW111-1</f>
        <v>1.0000000000000009E-2</v>
      </c>
    </row>
    <row r="113" spans="1:106">
      <c r="A113" s="117" t="s">
        <v>282</v>
      </c>
      <c r="B113" s="13">
        <f>+B111/B114</f>
        <v>0.77941176470588236</v>
      </c>
      <c r="C113" s="13">
        <f t="shared" ref="C113" si="2792">+C111/C114</f>
        <v>0.77941176470588236</v>
      </c>
      <c r="D113" s="13">
        <f t="shared" ref="D113" si="2793">+D111/D114</f>
        <v>0.77941176470588236</v>
      </c>
      <c r="E113" s="13">
        <f t="shared" ref="E113" si="2794">+E111/E114</f>
        <v>0.77941176470588236</v>
      </c>
      <c r="F113" s="239">
        <f t="shared" ref="F113" si="2795">+F111/F114</f>
        <v>0.77941176470588236</v>
      </c>
      <c r="G113" s="13">
        <f>+G111/G114</f>
        <v>0.77771320645067554</v>
      </c>
      <c r="H113" s="13">
        <f t="shared" ref="H113" si="2796">+H111/H114</f>
        <v>0.77771320645067554</v>
      </c>
      <c r="I113" s="13">
        <f t="shared" ref="I113" si="2797">+I111/I114</f>
        <v>0.77771320645067554</v>
      </c>
      <c r="J113" s="13">
        <f t="shared" ref="J113" si="2798">+J111/J114</f>
        <v>0.77771320645067554</v>
      </c>
      <c r="K113" s="239">
        <f t="shared" ref="K113" si="2799">+K111/K114</f>
        <v>0.77771320645067554</v>
      </c>
      <c r="L113" s="13">
        <f>+L111/L114</f>
        <v>0.77600532787532317</v>
      </c>
      <c r="M113" s="13">
        <f t="shared" ref="M113" si="2800">+M111/M114</f>
        <v>0.77600532787532317</v>
      </c>
      <c r="N113" s="13">
        <f t="shared" ref="N113" si="2801">+N111/N114</f>
        <v>0.77600532787532317</v>
      </c>
      <c r="O113" s="13">
        <f t="shared" ref="O113" si="2802">+O111/O114</f>
        <v>0.77600532787532317</v>
      </c>
      <c r="P113" s="239">
        <f t="shared" ref="P113" si="2803">+P111/P114</f>
        <v>0.77600532787532317</v>
      </c>
      <c r="Q113" s="13">
        <f>+Q111/Q114</f>
        <v>0.77428813562710708</v>
      </c>
      <c r="R113" s="13">
        <f t="shared" ref="R113" si="2804">+R111/R114</f>
        <v>0.77428813562710708</v>
      </c>
      <c r="S113" s="13">
        <f t="shared" ref="S113" si="2805">+S111/S114</f>
        <v>0.77428813562710708</v>
      </c>
      <c r="T113" s="13">
        <f t="shared" ref="T113" si="2806">+T111/T114</f>
        <v>0.77428813562710708</v>
      </c>
      <c r="U113" s="239">
        <f t="shared" ref="U113" si="2807">+U111/U114</f>
        <v>0.77428813562710708</v>
      </c>
      <c r="V113" s="13">
        <f>+V111/V114</f>
        <v>0.77256163733496985</v>
      </c>
      <c r="W113" s="13">
        <f t="shared" ref="W113" si="2808">+W111/W114</f>
        <v>0.77256163733496985</v>
      </c>
      <c r="X113" s="13">
        <f t="shared" ref="X113" si="2809">+X111/X114</f>
        <v>0.77256163733496985</v>
      </c>
      <c r="Y113" s="13">
        <f t="shared" ref="Y113" si="2810">+Y111/Y114</f>
        <v>0.77256163733496985</v>
      </c>
      <c r="Z113" s="239">
        <f t="shared" ref="Z113" si="2811">+Z111/Z114</f>
        <v>0.77256163733496985</v>
      </c>
      <c r="AA113" s="13">
        <f>+AA111/AA114</f>
        <v>0.77082584161895296</v>
      </c>
      <c r="AB113" s="13">
        <f t="shared" ref="AB113" si="2812">+AB111/AB114</f>
        <v>0.77082584161895296</v>
      </c>
      <c r="AC113" s="13">
        <f t="shared" ref="AC113" si="2813">+AC111/AC114</f>
        <v>0.77082584161895296</v>
      </c>
      <c r="AD113" s="13">
        <f t="shared" ref="AD113" si="2814">+AD111/AD114</f>
        <v>0.77082584161895296</v>
      </c>
      <c r="AE113" s="239">
        <f t="shared" ref="AE113" si="2815">+AE111/AE114</f>
        <v>0.77082584161895296</v>
      </c>
      <c r="AF113" s="13">
        <f>+AF111/AF114</f>
        <v>0.76908075809950238</v>
      </c>
      <c r="AG113" s="13">
        <f t="shared" ref="AG113" si="2816">+AG111/AG114</f>
        <v>0.76908075809950238</v>
      </c>
      <c r="AH113" s="13">
        <f t="shared" ref="AH113" si="2817">+AH111/AH114</f>
        <v>0.76908075809950238</v>
      </c>
      <c r="AI113" s="13">
        <f t="shared" ref="AI113" si="2818">+AI111/AI114</f>
        <v>0.76908075809950238</v>
      </c>
      <c r="AJ113" s="239">
        <f t="shared" ref="AJ113" si="2819">+AJ111/AJ114</f>
        <v>0.76908075809950238</v>
      </c>
      <c r="AK113" s="13">
        <f>+AK111/AK114</f>
        <v>0.76732639740663722</v>
      </c>
      <c r="AL113" s="13">
        <f t="shared" ref="AL113" si="2820">+AL111/AL114</f>
        <v>0.76732639740663722</v>
      </c>
      <c r="AM113" s="13">
        <f t="shared" ref="AM113" si="2821">+AM111/AM114</f>
        <v>0.76732639740663722</v>
      </c>
      <c r="AN113" s="13">
        <f t="shared" ref="AN113" si="2822">+AN111/AN114</f>
        <v>0.76732639740663722</v>
      </c>
      <c r="AO113" s="239">
        <f t="shared" ref="AO113" si="2823">+AO111/AO114</f>
        <v>0.76732639740663722</v>
      </c>
      <c r="AP113" s="13">
        <f>+AP111/AP114</f>
        <v>0.76556277118897487</v>
      </c>
      <c r="AQ113" s="13">
        <f t="shared" ref="AQ113" si="2824">+AQ111/AQ114</f>
        <v>0.76556277118897487</v>
      </c>
      <c r="AR113" s="13">
        <f t="shared" ref="AR113" si="2825">+AR111/AR114</f>
        <v>0.76556277118897487</v>
      </c>
      <c r="AS113" s="13">
        <f t="shared" ref="AS113" si="2826">+AS111/AS114</f>
        <v>0.76556277118897487</v>
      </c>
      <c r="AT113" s="239">
        <f t="shared" ref="AT113" si="2827">+AT111/AT114</f>
        <v>0.76556277118897487</v>
      </c>
      <c r="AU113" s="13">
        <f>+AU111/AU114</f>
        <v>0.76378989212260762</v>
      </c>
      <c r="AV113" s="13">
        <f t="shared" ref="AV113" si="2828">+AV111/AV114</f>
        <v>0.76378989212260762</v>
      </c>
      <c r="AW113" s="13">
        <f t="shared" ref="AW113" si="2829">+AW111/AW114</f>
        <v>0.76378989212260762</v>
      </c>
      <c r="AX113" s="13">
        <f t="shared" ref="AX113" si="2830">+AX111/AX114</f>
        <v>0.76378989212260762</v>
      </c>
      <c r="AY113" s="239">
        <f t="shared" ref="AY113" si="2831">+AY111/AY114</f>
        <v>0.76378989212260762</v>
      </c>
      <c r="AZ113" s="13">
        <f>+AZ111/AZ114</f>
        <v>0.76200777391982533</v>
      </c>
      <c r="BA113" s="13">
        <f t="shared" ref="BA113" si="2832">+BA111/BA114</f>
        <v>0.76200777391982533</v>
      </c>
      <c r="BB113" s="13">
        <f t="shared" ref="BB113" si="2833">+BB111/BB114</f>
        <v>0.76200777391982533</v>
      </c>
      <c r="BC113" s="13">
        <f t="shared" ref="BC113" si="2834">+BC111/BC114</f>
        <v>0.76200777391982533</v>
      </c>
      <c r="BD113" s="239">
        <f t="shared" ref="BD113" si="2835">+BD111/BD114</f>
        <v>0.76200777391982533</v>
      </c>
      <c r="BE113" s="13">
        <f>+BE111/BE114</f>
        <v>0.76200777391982533</v>
      </c>
      <c r="BF113" s="13">
        <f t="shared" ref="BF113:BI113" si="2836">+BF111/BF114</f>
        <v>0.76021643133767891</v>
      </c>
      <c r="BG113" s="13">
        <f t="shared" si="2836"/>
        <v>0.76021643133767891</v>
      </c>
      <c r="BH113" s="13">
        <f t="shared" si="2836"/>
        <v>0.76021643133767891</v>
      </c>
      <c r="BI113" s="239">
        <f t="shared" si="2836"/>
        <v>0.76066347693339009</v>
      </c>
      <c r="BJ113" s="13">
        <f>+BJ111/BJ114</f>
        <v>0.76021643133767902</v>
      </c>
      <c r="BK113" s="13">
        <f t="shared" ref="BK113:BN113" si="2837">+BK111/BK114</f>
        <v>0.75841588018637929</v>
      </c>
      <c r="BL113" s="13">
        <f t="shared" si="2837"/>
        <v>0.75841588018637929</v>
      </c>
      <c r="BM113" s="13">
        <f t="shared" si="2837"/>
        <v>0.75841588018637929</v>
      </c>
      <c r="BN113" s="239">
        <f t="shared" si="2837"/>
        <v>0.75886521789648398</v>
      </c>
      <c r="BO113" s="13">
        <f>+BO111/BO114</f>
        <v>0.7584158801863794</v>
      </c>
      <c r="BP113" s="13">
        <f t="shared" ref="BP113:BS113" si="2838">+BP111/BP114</f>
        <v>0.75660613733752513</v>
      </c>
      <c r="BQ113" s="13">
        <f t="shared" si="2838"/>
        <v>0.75660613733752513</v>
      </c>
      <c r="BR113" s="13">
        <f t="shared" si="2838"/>
        <v>0.75660613733752513</v>
      </c>
      <c r="BS113" s="239">
        <f t="shared" si="2838"/>
        <v>0.75705776285997883</v>
      </c>
      <c r="BT113" s="13">
        <f>+BT111/BT114</f>
        <v>0.75660613733752513</v>
      </c>
      <c r="BU113" s="13">
        <f t="shared" ref="BU113:BX113" si="2839">+BU111/BU114</f>
        <v>0.75478722073215609</v>
      </c>
      <c r="BV113" s="13">
        <f t="shared" si="2839"/>
        <v>0.75478722073215609</v>
      </c>
      <c r="BW113" s="13">
        <f t="shared" si="2839"/>
        <v>0.75478722073215609</v>
      </c>
      <c r="BX113" s="239">
        <f t="shared" si="2839"/>
        <v>0.7552411294977972</v>
      </c>
      <c r="BY113" s="13">
        <f>+BY111/BY114</f>
        <v>0.75478722073215621</v>
      </c>
      <c r="BZ113" s="13">
        <f t="shared" ref="BZ113:CC113" si="2840">+BZ111/BZ114</f>
        <v>0.75295914938862407</v>
      </c>
      <c r="CA113" s="13">
        <f t="shared" si="2840"/>
        <v>0.75295914938862407</v>
      </c>
      <c r="CB113" s="13">
        <f t="shared" si="2840"/>
        <v>0.75295914938862407</v>
      </c>
      <c r="CC113" s="239">
        <f t="shared" si="2840"/>
        <v>0.7534153365592301</v>
      </c>
      <c r="CD113" s="13">
        <f>+CD111/CD114</f>
        <v>0.75295914938862407</v>
      </c>
      <c r="CE113" s="13">
        <f t="shared" ref="CE113:CH113" si="2841">+CE111/CE114</f>
        <v>0.75112194341027805</v>
      </c>
      <c r="CF113" s="13">
        <f t="shared" si="2841"/>
        <v>0.75112194341027805</v>
      </c>
      <c r="CG113" s="13">
        <f t="shared" si="2841"/>
        <v>0.75112194341027805</v>
      </c>
      <c r="CH113" s="239">
        <f t="shared" si="2841"/>
        <v>0.75158040387666958</v>
      </c>
      <c r="CI113" s="13">
        <f>+CI111/CI114</f>
        <v>0.75112194341027816</v>
      </c>
      <c r="CJ113" s="13">
        <f t="shared" ref="CJ113:CM113" si="2842">+CJ111/CJ114</f>
        <v>0.74927562399295711</v>
      </c>
      <c r="CK113" s="13">
        <f t="shared" si="2842"/>
        <v>0.74927562399295711</v>
      </c>
      <c r="CL113" s="13">
        <f t="shared" si="2842"/>
        <v>0.74927562399295711</v>
      </c>
      <c r="CM113" s="239">
        <f t="shared" si="2842"/>
        <v>0.74973635237314962</v>
      </c>
      <c r="CN113" s="13">
        <f>+CN111/CN114</f>
        <v>0.74927562399295711</v>
      </c>
      <c r="CO113" s="13">
        <f t="shared" ref="CO113:CR113" si="2843">+CO111/CO114</f>
        <v>0.74742021343228526</v>
      </c>
      <c r="CP113" s="13">
        <f t="shared" si="2843"/>
        <v>0.74742021343228526</v>
      </c>
      <c r="CQ113" s="13">
        <f t="shared" si="2843"/>
        <v>0.74742021343228526</v>
      </c>
      <c r="CR113" s="239">
        <f t="shared" si="2843"/>
        <v>0.74788320406969089</v>
      </c>
      <c r="CS113" s="13">
        <f>+CS111/CS114</f>
        <v>0.74742021343228526</v>
      </c>
      <c r="CT113" s="13">
        <f t="shared" ref="CT113:CW113" si="2844">+CT111/CT114</f>
        <v>0.74555573513076379</v>
      </c>
      <c r="CU113" s="13">
        <f t="shared" si="2844"/>
        <v>0.74555573513076379</v>
      </c>
      <c r="CV113" s="13">
        <f t="shared" si="2844"/>
        <v>0.74555573513076379</v>
      </c>
      <c r="CW113" s="239">
        <f t="shared" si="2844"/>
        <v>0.74602098209244405</v>
      </c>
      <c r="CX113" s="13">
        <f>+CX111/CX114</f>
        <v>0.74555573513076379</v>
      </c>
      <c r="CY113" s="13">
        <f t="shared" ref="CY113:DB113" si="2845">+CY111/CY114</f>
        <v>0.74368221360465536</v>
      </c>
      <c r="CZ113" s="13">
        <f t="shared" si="2845"/>
        <v>0.74368221360465536</v>
      </c>
      <c r="DA113" s="13">
        <f t="shared" si="2845"/>
        <v>0.74368221360465536</v>
      </c>
      <c r="DB113" s="239">
        <f t="shared" si="2845"/>
        <v>0.74414971067962621</v>
      </c>
    </row>
    <row r="114" spans="1:106" s="51" customFormat="1">
      <c r="A114" s="51" t="s">
        <v>284</v>
      </c>
      <c r="B114" s="213">
        <f t="shared" ref="B114:AG114" si="2846">+B108+B111</f>
        <v>1700000</v>
      </c>
      <c r="C114" s="213">
        <f t="shared" si="2846"/>
        <v>1700000</v>
      </c>
      <c r="D114" s="213">
        <f t="shared" si="2846"/>
        <v>1700000</v>
      </c>
      <c r="E114" s="213">
        <f t="shared" si="2846"/>
        <v>1700000</v>
      </c>
      <c r="F114" s="234">
        <f t="shared" si="2846"/>
        <v>6800000</v>
      </c>
      <c r="G114" s="213">
        <f t="shared" si="2846"/>
        <v>1720750</v>
      </c>
      <c r="H114" s="213">
        <f t="shared" si="2846"/>
        <v>1720750</v>
      </c>
      <c r="I114" s="213">
        <f t="shared" si="2846"/>
        <v>1720750</v>
      </c>
      <c r="J114" s="213">
        <f t="shared" si="2846"/>
        <v>1720750</v>
      </c>
      <c r="K114" s="234">
        <f t="shared" si="2846"/>
        <v>6883000</v>
      </c>
      <c r="L114" s="213">
        <f t="shared" si="2846"/>
        <v>1741782.5</v>
      </c>
      <c r="M114" s="213">
        <f t="shared" si="2846"/>
        <v>1741782.5</v>
      </c>
      <c r="N114" s="213">
        <f t="shared" si="2846"/>
        <v>1741782.5</v>
      </c>
      <c r="O114" s="213">
        <f t="shared" si="2846"/>
        <v>1741782.5</v>
      </c>
      <c r="P114" s="234">
        <f t="shared" si="2846"/>
        <v>6967130</v>
      </c>
      <c r="Q114" s="213">
        <f t="shared" si="2846"/>
        <v>1763101.825</v>
      </c>
      <c r="R114" s="213">
        <f t="shared" si="2846"/>
        <v>1763101.825</v>
      </c>
      <c r="S114" s="213">
        <f t="shared" si="2846"/>
        <v>1763101.825</v>
      </c>
      <c r="T114" s="213">
        <f t="shared" si="2846"/>
        <v>1763101.825</v>
      </c>
      <c r="U114" s="234">
        <f t="shared" si="2846"/>
        <v>7052407.2999999998</v>
      </c>
      <c r="V114" s="213">
        <f t="shared" si="2846"/>
        <v>1784712.3732499999</v>
      </c>
      <c r="W114" s="213">
        <f t="shared" si="2846"/>
        <v>1784712.3732499999</v>
      </c>
      <c r="X114" s="213">
        <f t="shared" si="2846"/>
        <v>1784712.3732499999</v>
      </c>
      <c r="Y114" s="213">
        <f t="shared" si="2846"/>
        <v>1784712.3732499999</v>
      </c>
      <c r="Z114" s="234">
        <f t="shared" si="2846"/>
        <v>7138849.4929999998</v>
      </c>
      <c r="AA114" s="213">
        <f t="shared" si="2846"/>
        <v>1806618.6175825</v>
      </c>
      <c r="AB114" s="213">
        <f t="shared" si="2846"/>
        <v>1806618.6175825</v>
      </c>
      <c r="AC114" s="213">
        <f t="shared" si="2846"/>
        <v>1806618.6175825</v>
      </c>
      <c r="AD114" s="213">
        <f t="shared" si="2846"/>
        <v>1806618.6175825</v>
      </c>
      <c r="AE114" s="234">
        <f t="shared" si="2846"/>
        <v>7226474.4703299999</v>
      </c>
      <c r="AF114" s="213">
        <f t="shared" si="2846"/>
        <v>1828825.1067703248</v>
      </c>
      <c r="AG114" s="213">
        <f t="shared" si="2846"/>
        <v>1828825.1067703248</v>
      </c>
      <c r="AH114" s="213">
        <f t="shared" ref="AH114:BD114" si="2847">+AH108+AH111</f>
        <v>1828825.1067703248</v>
      </c>
      <c r="AI114" s="213">
        <f t="shared" si="2847"/>
        <v>1828825.1067703248</v>
      </c>
      <c r="AJ114" s="234">
        <f t="shared" si="2847"/>
        <v>7315300.427081299</v>
      </c>
      <c r="AK114" s="213">
        <f t="shared" si="2847"/>
        <v>1851336.4669102682</v>
      </c>
      <c r="AL114" s="213">
        <f t="shared" si="2847"/>
        <v>1851336.4669102682</v>
      </c>
      <c r="AM114" s="213">
        <f t="shared" si="2847"/>
        <v>1851336.4669102682</v>
      </c>
      <c r="AN114" s="213">
        <f t="shared" si="2847"/>
        <v>1851336.4669102682</v>
      </c>
      <c r="AO114" s="234">
        <f t="shared" si="2847"/>
        <v>7405345.8676410727</v>
      </c>
      <c r="AP114" s="213">
        <f t="shared" si="2847"/>
        <v>1874157.4028330557</v>
      </c>
      <c r="AQ114" s="213">
        <f t="shared" si="2847"/>
        <v>1874157.4028330557</v>
      </c>
      <c r="AR114" s="213">
        <f t="shared" si="2847"/>
        <v>1874157.4028330557</v>
      </c>
      <c r="AS114" s="213">
        <f t="shared" si="2847"/>
        <v>1874157.4028330557</v>
      </c>
      <c r="AT114" s="234">
        <f t="shared" si="2847"/>
        <v>7496629.6113322228</v>
      </c>
      <c r="AU114" s="213">
        <f t="shared" si="2847"/>
        <v>1897292.6995401448</v>
      </c>
      <c r="AV114" s="213">
        <f t="shared" si="2847"/>
        <v>1897292.6995401448</v>
      </c>
      <c r="AW114" s="213">
        <f t="shared" si="2847"/>
        <v>1897292.6995401448</v>
      </c>
      <c r="AX114" s="213">
        <f t="shared" si="2847"/>
        <v>1897292.6995401448</v>
      </c>
      <c r="AY114" s="234">
        <f t="shared" si="2847"/>
        <v>7589170.7981605791</v>
      </c>
      <c r="AZ114" s="213">
        <f t="shared" si="2847"/>
        <v>1920747.2236678798</v>
      </c>
      <c r="BA114" s="213">
        <f t="shared" si="2847"/>
        <v>1920747.2236678798</v>
      </c>
      <c r="BB114" s="213">
        <f t="shared" si="2847"/>
        <v>1920747.2236678798</v>
      </c>
      <c r="BC114" s="213">
        <f t="shared" si="2847"/>
        <v>1920747.2236678798</v>
      </c>
      <c r="BD114" s="234">
        <f t="shared" si="2847"/>
        <v>7682988.8946715193</v>
      </c>
      <c r="BE114" s="213">
        <f t="shared" ref="BE114:BI114" si="2848">+BE108+BE111</f>
        <v>1939954.6959045588</v>
      </c>
      <c r="BF114" s="213">
        <f t="shared" si="2848"/>
        <v>1944525.9249795391</v>
      </c>
      <c r="BG114" s="213">
        <f t="shared" si="2848"/>
        <v>1944525.9249795391</v>
      </c>
      <c r="BH114" s="213">
        <f t="shared" si="2848"/>
        <v>1944525.9249795391</v>
      </c>
      <c r="BI114" s="234">
        <f t="shared" si="2848"/>
        <v>7773532.4708431764</v>
      </c>
      <c r="BJ114" s="213">
        <f t="shared" ref="BJ114:DB114" si="2849">+BJ108+BJ111</f>
        <v>1963971.1842293346</v>
      </c>
      <c r="BK114" s="213">
        <f t="shared" si="2849"/>
        <v>1968633.8378858145</v>
      </c>
      <c r="BL114" s="213">
        <f t="shared" si="2849"/>
        <v>1968633.8378858145</v>
      </c>
      <c r="BM114" s="213">
        <f t="shared" si="2849"/>
        <v>1968633.8378858145</v>
      </c>
      <c r="BN114" s="234">
        <f t="shared" si="2849"/>
        <v>7869872.697886778</v>
      </c>
      <c r="BO114" s="213">
        <f t="shared" si="2849"/>
        <v>1988320.1762646725</v>
      </c>
      <c r="BP114" s="213">
        <f t="shared" si="2849"/>
        <v>1993076.0829942822</v>
      </c>
      <c r="BQ114" s="213">
        <f t="shared" si="2849"/>
        <v>1993076.0829942822</v>
      </c>
      <c r="BR114" s="213">
        <f t="shared" si="2849"/>
        <v>1993076.0829942822</v>
      </c>
      <c r="BS114" s="234">
        <f t="shared" si="2849"/>
        <v>7967548.4252475193</v>
      </c>
      <c r="BT114" s="213">
        <f t="shared" si="2849"/>
        <v>2013006.843824225</v>
      </c>
      <c r="BU114" s="213">
        <f t="shared" si="2849"/>
        <v>2017857.8686884269</v>
      </c>
      <c r="BV114" s="213">
        <f t="shared" si="2849"/>
        <v>2017857.8686884269</v>
      </c>
      <c r="BW114" s="213">
        <f t="shared" si="2849"/>
        <v>2017857.8686884269</v>
      </c>
      <c r="BX114" s="234">
        <f t="shared" si="2849"/>
        <v>8066580.4498895053</v>
      </c>
      <c r="BY114" s="213">
        <f t="shared" si="2849"/>
        <v>2038036.4473753111</v>
      </c>
      <c r="BZ114" s="213">
        <f t="shared" si="2849"/>
        <v>2042984.4927367968</v>
      </c>
      <c r="CA114" s="213">
        <f t="shared" si="2849"/>
        <v>2042984.4927367968</v>
      </c>
      <c r="CB114" s="213">
        <f t="shared" si="2849"/>
        <v>2042984.4927367968</v>
      </c>
      <c r="CC114" s="234">
        <f t="shared" si="2849"/>
        <v>8166989.9255857021</v>
      </c>
      <c r="CD114" s="213">
        <f t="shared" si="2849"/>
        <v>2063414.3376641651</v>
      </c>
      <c r="CE114" s="213">
        <f t="shared" si="2849"/>
        <v>2068461.3439328806</v>
      </c>
      <c r="CF114" s="213">
        <f t="shared" si="2849"/>
        <v>2068461.3439328806</v>
      </c>
      <c r="CG114" s="213">
        <f t="shared" si="2849"/>
        <v>2068461.3439328806</v>
      </c>
      <c r="CH114" s="234">
        <f t="shared" si="2849"/>
        <v>8268798.3694628067</v>
      </c>
      <c r="CI114" s="213">
        <f t="shared" si="2849"/>
        <v>2089145.9573722093</v>
      </c>
      <c r="CJ114" s="213">
        <f t="shared" si="2849"/>
        <v>2094293.9037662991</v>
      </c>
      <c r="CK114" s="213">
        <f t="shared" si="2849"/>
        <v>2094293.9037662991</v>
      </c>
      <c r="CL114" s="213">
        <f t="shared" si="2849"/>
        <v>2094293.9037662991</v>
      </c>
      <c r="CM114" s="234">
        <f t="shared" si="2849"/>
        <v>8372027.6686711069</v>
      </c>
      <c r="CN114" s="213">
        <f t="shared" si="2849"/>
        <v>2115236.8428039621</v>
      </c>
      <c r="CO114" s="213">
        <f t="shared" si="2849"/>
        <v>2120487.7481259336</v>
      </c>
      <c r="CP114" s="213">
        <f t="shared" si="2849"/>
        <v>2120487.7481259336</v>
      </c>
      <c r="CQ114" s="213">
        <f t="shared" si="2849"/>
        <v>2120487.7481259336</v>
      </c>
      <c r="CR114" s="234">
        <f t="shared" si="2849"/>
        <v>8476700.0871817637</v>
      </c>
      <c r="CS114" s="213">
        <f t="shared" si="2849"/>
        <v>2141692.625607193</v>
      </c>
      <c r="CT114" s="213">
        <f t="shared" si="2849"/>
        <v>2147048.5490356041</v>
      </c>
      <c r="CU114" s="213">
        <f t="shared" si="2849"/>
        <v>2147048.5490356041</v>
      </c>
      <c r="CV114" s="213">
        <f t="shared" si="2849"/>
        <v>2147048.5490356041</v>
      </c>
      <c r="CW114" s="234">
        <f t="shared" si="2849"/>
        <v>8582838.2727140058</v>
      </c>
      <c r="CX114" s="213">
        <f t="shared" si="2849"/>
        <v>2168519.0345259602</v>
      </c>
      <c r="CY114" s="213">
        <f t="shared" si="2849"/>
        <v>2173982.0764229391</v>
      </c>
      <c r="CZ114" s="213">
        <f t="shared" si="2849"/>
        <v>2173982.0764229391</v>
      </c>
      <c r="DA114" s="213">
        <f t="shared" si="2849"/>
        <v>2173982.0764229391</v>
      </c>
      <c r="DB114" s="234">
        <f t="shared" si="2849"/>
        <v>8690465.2637947779</v>
      </c>
    </row>
    <row r="115" spans="1:106">
      <c r="A115" s="12" t="s">
        <v>281</v>
      </c>
      <c r="B115" s="119" t="s">
        <v>290</v>
      </c>
      <c r="C115" s="119" t="s">
        <v>290</v>
      </c>
      <c r="D115" s="119" t="s">
        <v>290</v>
      </c>
      <c r="E115" s="119" t="s">
        <v>290</v>
      </c>
      <c r="F115" s="235" t="s">
        <v>290</v>
      </c>
      <c r="G115" s="13">
        <f>+G114/B114-1</f>
        <v>1.2205882352941178E-2</v>
      </c>
      <c r="H115" s="13">
        <f t="shared" ref="H115" si="2850">+H114/C114-1</f>
        <v>1.2205882352941178E-2</v>
      </c>
      <c r="I115" s="13">
        <f t="shared" ref="I115" si="2851">+I114/D114-1</f>
        <v>1.2205882352941178E-2</v>
      </c>
      <c r="J115" s="13">
        <f t="shared" ref="J115" si="2852">+J114/E114-1</f>
        <v>1.2205882352941178E-2</v>
      </c>
      <c r="K115" s="239">
        <f t="shared" ref="K115" si="2853">+K114/F114-1</f>
        <v>1.2205882352941178E-2</v>
      </c>
      <c r="L115" s="13">
        <f>+L114/G114-1</f>
        <v>1.2222867935493209E-2</v>
      </c>
      <c r="M115" s="13">
        <f t="shared" ref="M115" si="2854">+M114/H114-1</f>
        <v>1.2222867935493209E-2</v>
      </c>
      <c r="N115" s="13">
        <f t="shared" ref="N115" si="2855">+N114/I114-1</f>
        <v>1.2222867935493209E-2</v>
      </c>
      <c r="O115" s="13">
        <f t="shared" ref="O115" si="2856">+O114/J114-1</f>
        <v>1.2222867935493209E-2</v>
      </c>
      <c r="P115" s="239">
        <f t="shared" ref="P115" si="2857">+P114/K114-1</f>
        <v>1.2222867935493209E-2</v>
      </c>
      <c r="Q115" s="13">
        <f>+Q114/L114-1</f>
        <v>1.2239946721246842E-2</v>
      </c>
      <c r="R115" s="13">
        <f t="shared" ref="R115" si="2858">+R114/M114-1</f>
        <v>1.2239946721246842E-2</v>
      </c>
      <c r="S115" s="13">
        <f t="shared" ref="S115" si="2859">+S114/N114-1</f>
        <v>1.2239946721246842E-2</v>
      </c>
      <c r="T115" s="13">
        <f t="shared" ref="T115" si="2860">+T114/O114-1</f>
        <v>1.2239946721246842E-2</v>
      </c>
      <c r="U115" s="239">
        <f t="shared" ref="U115" si="2861">+U114/P114-1</f>
        <v>1.2239946721246842E-2</v>
      </c>
      <c r="V115" s="13">
        <f>+V114/Q114-1</f>
        <v>1.2257118643729026E-2</v>
      </c>
      <c r="W115" s="13">
        <f t="shared" ref="W115" si="2862">+W114/R114-1</f>
        <v>1.2257118643729026E-2</v>
      </c>
      <c r="X115" s="13">
        <f t="shared" ref="X115" si="2863">+X114/S114-1</f>
        <v>1.2257118643729026E-2</v>
      </c>
      <c r="Y115" s="13">
        <f t="shared" ref="Y115" si="2864">+Y114/T114-1</f>
        <v>1.2257118643729026E-2</v>
      </c>
      <c r="Z115" s="239">
        <f t="shared" ref="Z115" si="2865">+Z114/U114-1</f>
        <v>1.2257118643729026E-2</v>
      </c>
      <c r="AA115" s="13">
        <f>+AA114/V114-1</f>
        <v>1.2274383626650343E-2</v>
      </c>
      <c r="AB115" s="13">
        <f t="shared" ref="AB115" si="2866">+AB114/W114-1</f>
        <v>1.2274383626650343E-2</v>
      </c>
      <c r="AC115" s="13">
        <f t="shared" ref="AC115" si="2867">+AC114/X114-1</f>
        <v>1.2274383626650343E-2</v>
      </c>
      <c r="AD115" s="13">
        <f t="shared" ref="AD115" si="2868">+AD114/Y114-1</f>
        <v>1.2274383626650343E-2</v>
      </c>
      <c r="AE115" s="239">
        <f t="shared" ref="AE115" si="2869">+AE114/Z114-1</f>
        <v>1.2274383626650343E-2</v>
      </c>
      <c r="AF115" s="13">
        <f>+AF114/AA114-1</f>
        <v>1.2291741583810412E-2</v>
      </c>
      <c r="AG115" s="13">
        <f t="shared" ref="AG115" si="2870">+AG114/AB114-1</f>
        <v>1.2291741583810412E-2</v>
      </c>
      <c r="AH115" s="13">
        <f t="shared" ref="AH115" si="2871">+AH114/AC114-1</f>
        <v>1.2291741583810412E-2</v>
      </c>
      <c r="AI115" s="13">
        <f t="shared" ref="AI115" si="2872">+AI114/AD114-1</f>
        <v>1.2291741583810412E-2</v>
      </c>
      <c r="AJ115" s="239">
        <f t="shared" ref="AJ115" si="2873">+AJ114/AE114-1</f>
        <v>1.2291741583810412E-2</v>
      </c>
      <c r="AK115" s="13">
        <f>+AK114/AF114-1</f>
        <v>1.2309192419005077E-2</v>
      </c>
      <c r="AL115" s="13">
        <f t="shared" ref="AL115" si="2874">+AL114/AG114-1</f>
        <v>1.2309192419005077E-2</v>
      </c>
      <c r="AM115" s="13">
        <f t="shared" ref="AM115" si="2875">+AM114/AH114-1</f>
        <v>1.2309192419005077E-2</v>
      </c>
      <c r="AN115" s="13">
        <f t="shared" ref="AN115" si="2876">+AN114/AI114-1</f>
        <v>1.2309192419005077E-2</v>
      </c>
      <c r="AO115" s="239">
        <f t="shared" ref="AO115" si="2877">+AO114/AJ114-1</f>
        <v>1.2309192419005077E-2</v>
      </c>
      <c r="AP115" s="13">
        <f>+AP114/AK114-1</f>
        <v>1.2326736025933593E-2</v>
      </c>
      <c r="AQ115" s="13">
        <f t="shared" ref="AQ115" si="2878">+AQ114/AL114-1</f>
        <v>1.2326736025933593E-2</v>
      </c>
      <c r="AR115" s="13">
        <f t="shared" ref="AR115" si="2879">+AR114/AM114-1</f>
        <v>1.2326736025933593E-2</v>
      </c>
      <c r="AS115" s="13">
        <f t="shared" ref="AS115" si="2880">+AS114/AN114-1</f>
        <v>1.2326736025933593E-2</v>
      </c>
      <c r="AT115" s="239">
        <f t="shared" ref="AT115" si="2881">+AT114/AO114-1</f>
        <v>1.2326736025933593E-2</v>
      </c>
      <c r="AU115" s="13">
        <f>+AU114/AP114-1</f>
        <v>1.234437228811025E-2</v>
      </c>
      <c r="AV115" s="13">
        <f t="shared" ref="AV115" si="2882">+AV114/AQ114-1</f>
        <v>1.234437228811025E-2</v>
      </c>
      <c r="AW115" s="13">
        <f t="shared" ref="AW115" si="2883">+AW114/AR114-1</f>
        <v>1.234437228811025E-2</v>
      </c>
      <c r="AX115" s="13">
        <f t="shared" ref="AX115" si="2884">+AX114/AS114-1</f>
        <v>1.234437228811025E-2</v>
      </c>
      <c r="AY115" s="239">
        <f t="shared" ref="AY115" si="2885">+AY114/AT114-1</f>
        <v>1.234437228811025E-2</v>
      </c>
      <c r="AZ115" s="13">
        <f>+AZ114/AU114-1</f>
        <v>1.2362101078774002E-2</v>
      </c>
      <c r="BA115" s="13">
        <f t="shared" ref="BA115" si="2886">+BA114/AV114-1</f>
        <v>1.2362101078774002E-2</v>
      </c>
      <c r="BB115" s="13">
        <f t="shared" ref="BB115" si="2887">+BB114/AW114-1</f>
        <v>1.2362101078774002E-2</v>
      </c>
      <c r="BC115" s="13">
        <f t="shared" ref="BC115" si="2888">+BC114/AX114-1</f>
        <v>1.2362101078774002E-2</v>
      </c>
      <c r="BD115" s="239">
        <f t="shared" ref="BD115" si="2889">+BD114/AY114-1</f>
        <v>1.2362101078774002E-2</v>
      </c>
      <c r="BE115" s="13">
        <f>+BE114/AZ114-1</f>
        <v>1.0000000000000009E-2</v>
      </c>
      <c r="BF115" s="13">
        <f t="shared" ref="BF115" si="2890">+BF114/BA114-1</f>
        <v>1.2379922260801868E-2</v>
      </c>
      <c r="BG115" s="13">
        <f t="shared" ref="BG115" si="2891">+BG114/BB114-1</f>
        <v>1.2379922260801868E-2</v>
      </c>
      <c r="BH115" s="13">
        <f t="shared" ref="BH115" si="2892">+BH114/BC114-1</f>
        <v>1.2379922260801868E-2</v>
      </c>
      <c r="BI115" s="239">
        <f t="shared" ref="BI115" si="2893">+BI114/BD114-1</f>
        <v>1.1784941695601514E-2</v>
      </c>
      <c r="BJ115" s="13">
        <f>+BJ114/BE114-1</f>
        <v>1.2379922260801868E-2</v>
      </c>
      <c r="BK115" s="13">
        <f t="shared" ref="BK115" si="2894">+BK114/BF114-1</f>
        <v>1.2397835686623226E-2</v>
      </c>
      <c r="BL115" s="13">
        <f t="shared" ref="BL115" si="2895">+BL114/BG114-1</f>
        <v>1.2397835686623226E-2</v>
      </c>
      <c r="BM115" s="13">
        <f t="shared" ref="BM115" si="2896">+BM114/BH114-1</f>
        <v>1.2397835686623226E-2</v>
      </c>
      <c r="BN115" s="239">
        <f t="shared" ref="BN115" si="2897">+BN114/BI114-1</f>
        <v>1.2393365230666031E-2</v>
      </c>
      <c r="BO115" s="13">
        <f>+BO114/BJ114-1</f>
        <v>1.2397835686623226E-2</v>
      </c>
      <c r="BP115" s="13">
        <f t="shared" ref="BP115" si="2898">+BP114/BK114-1</f>
        <v>1.2415841198136324E-2</v>
      </c>
      <c r="BQ115" s="13">
        <f t="shared" ref="BQ115" si="2899">+BQ114/BL114-1</f>
        <v>1.2415841198136324E-2</v>
      </c>
      <c r="BR115" s="13">
        <f t="shared" ref="BR115" si="2900">+BR114/BM114-1</f>
        <v>1.2415841198136324E-2</v>
      </c>
      <c r="BS115" s="239">
        <f t="shared" ref="BS115" si="2901">+BS114/BN114-1</f>
        <v>1.2411347821035257E-2</v>
      </c>
      <c r="BT115" s="13">
        <f>+BT114/BO114-1</f>
        <v>1.2415841198136324E-2</v>
      </c>
      <c r="BU115" s="13">
        <f t="shared" ref="BU115" si="2902">+BU114/BP114-1</f>
        <v>1.2433938626624785E-2</v>
      </c>
      <c r="BV115" s="13">
        <f t="shared" ref="BV115" si="2903">+BV114/BQ114-1</f>
        <v>1.2433938626624785E-2</v>
      </c>
      <c r="BW115" s="13">
        <f t="shared" ref="BW115" si="2904">+BW114/BR114-1</f>
        <v>1.2433938626624785E-2</v>
      </c>
      <c r="BX115" s="239">
        <f t="shared" ref="BX115" si="2905">+BX114/BS114-1</f>
        <v>1.2429422371400101E-2</v>
      </c>
      <c r="BY115" s="13">
        <f>+BY114/BT114-1</f>
        <v>1.2433938626624785E-2</v>
      </c>
      <c r="BZ115" s="13">
        <f t="shared" ref="BZ115" si="2906">+BZ114/BU114-1</f>
        <v>1.2452127792678347E-2</v>
      </c>
      <c r="CA115" s="13">
        <f t="shared" ref="CA115" si="2907">+CA114/BV114-1</f>
        <v>1.2452127792678347E-2</v>
      </c>
      <c r="CB115" s="13">
        <f t="shared" ref="CB115" si="2908">+CB114/BW114-1</f>
        <v>1.2452127792678347E-2</v>
      </c>
      <c r="CC115" s="239">
        <f t="shared" ref="CC115" si="2909">+CC114/BX114-1</f>
        <v>1.2447588705022161E-2</v>
      </c>
      <c r="CD115" s="13">
        <f>+CD114/BY114-1</f>
        <v>1.2452127792678569E-2</v>
      </c>
      <c r="CE115" s="13">
        <f t="shared" ref="CE115" si="2910">+CE114/BZ114-1</f>
        <v>1.2470408506113806E-2</v>
      </c>
      <c r="CF115" s="13">
        <f t="shared" ref="CF115" si="2911">+CF114/CA114-1</f>
        <v>1.2470408506113806E-2</v>
      </c>
      <c r="CG115" s="13">
        <f t="shared" ref="CG115" si="2912">+CG114/CB114-1</f>
        <v>1.2470408506113806E-2</v>
      </c>
      <c r="CH115" s="239">
        <f t="shared" ref="CH115" si="2913">+CH114/CC114-1</f>
        <v>1.2465846634407862E-2</v>
      </c>
      <c r="CI115" s="13">
        <f>+CI114/CD114-1</f>
        <v>1.2470408506113806E-2</v>
      </c>
      <c r="CJ115" s="13">
        <f t="shared" ref="CJ115" si="2914">+CJ114/CE114-1</f>
        <v>1.2488780565897306E-2</v>
      </c>
      <c r="CK115" s="13">
        <f t="shared" ref="CK115" si="2915">+CK114/CF114-1</f>
        <v>1.2488780565897306E-2</v>
      </c>
      <c r="CL115" s="13">
        <f t="shared" ref="CL115" si="2916">+CL114/CG114-1</f>
        <v>1.2488780565897306E-2</v>
      </c>
      <c r="CM115" s="239">
        <f t="shared" ref="CM115" si="2917">+CM114/CH114-1</f>
        <v>1.2484195961233402E-2</v>
      </c>
      <c r="CN115" s="13">
        <f>+CN114/CI114-1</f>
        <v>1.2488780565897306E-2</v>
      </c>
      <c r="CO115" s="13">
        <f t="shared" ref="CO115" si="2918">+CO114/CJ114-1</f>
        <v>1.2507243760070397E-2</v>
      </c>
      <c r="CP115" s="13">
        <f t="shared" ref="CP115" si="2919">+CP114/CK114-1</f>
        <v>1.2507243760070397E-2</v>
      </c>
      <c r="CQ115" s="13">
        <f t="shared" ref="CQ115" si="2920">+CQ114/CL114-1</f>
        <v>1.2507243760070397E-2</v>
      </c>
      <c r="CR115" s="239">
        <f t="shared" ref="CR115" si="2921">+CR114/CM114-1</f>
        <v>1.2502636476268592E-2</v>
      </c>
      <c r="CS115" s="13">
        <f>+CS114/CN114-1</f>
        <v>1.2507243760070397E-2</v>
      </c>
      <c r="CT115" s="13">
        <f t="shared" ref="CT115" si="2922">+CT114/CO114-1</f>
        <v>1.2525797865677202E-2</v>
      </c>
      <c r="CU115" s="13">
        <f t="shared" ref="CU115" si="2923">+CU114/CP114-1</f>
        <v>1.2525797865677202E-2</v>
      </c>
      <c r="CV115" s="13">
        <f t="shared" ref="CV115" si="2924">+CV114/CQ114-1</f>
        <v>1.2525797865677202E-2</v>
      </c>
      <c r="CW115" s="239">
        <f t="shared" ref="CW115" si="2925">+CW114/CR114-1</f>
        <v>1.2521167959303137E-2</v>
      </c>
      <c r="CX115" s="13">
        <f>+CX114/CS114-1</f>
        <v>1.2525797865677202E-2</v>
      </c>
      <c r="CY115" s="13">
        <f t="shared" ref="CY115" si="2926">+CY114/CT114-1</f>
        <v>1.2544442648692256E-2</v>
      </c>
      <c r="CZ115" s="13">
        <f t="shared" ref="CZ115" si="2927">+CZ114/CU114-1</f>
        <v>1.2544442648692256E-2</v>
      </c>
      <c r="DA115" s="13">
        <f t="shared" ref="DA115" si="2928">+DA114/CV114-1</f>
        <v>1.2544442648692256E-2</v>
      </c>
      <c r="DB115" s="239">
        <f t="shared" ref="DB115" si="2929">+DB114/CW114-1</f>
        <v>1.2539790179075361E-2</v>
      </c>
    </row>
    <row r="116" spans="1:106">
      <c r="A116" s="117"/>
      <c r="F116" s="217"/>
      <c r="K116" s="217"/>
      <c r="P116" s="217"/>
      <c r="U116" s="217"/>
      <c r="Z116" s="217"/>
      <c r="AE116" s="217"/>
      <c r="AJ116" s="217"/>
      <c r="AO116" s="217"/>
      <c r="AT116" s="217"/>
      <c r="AY116" s="217"/>
      <c r="BD116" s="217"/>
      <c r="BI116" s="217"/>
      <c r="BN116" s="217"/>
      <c r="BS116" s="217"/>
      <c r="BX116" s="217"/>
      <c r="CC116" s="217"/>
      <c r="CH116" s="217"/>
      <c r="CM116" s="217"/>
      <c r="CR116" s="217"/>
      <c r="CW116" s="217"/>
      <c r="DB116" s="217"/>
    </row>
    <row r="117" spans="1:106" s="51" customFormat="1">
      <c r="A117" s="51" t="s">
        <v>285</v>
      </c>
      <c r="B117" s="213">
        <f>+B67-B95</f>
        <v>7386.2074999999968</v>
      </c>
      <c r="C117" s="213">
        <f>+C67-C95</f>
        <v>7876.5782499999987</v>
      </c>
      <c r="D117" s="213">
        <f>+D67-D95</f>
        <v>9324.8442499999946</v>
      </c>
      <c r="E117" s="213">
        <f>+E67-E95</f>
        <v>10606.799999999996</v>
      </c>
      <c r="F117" s="234">
        <f>+B117+C117+D117+E117</f>
        <v>35194.429999999986</v>
      </c>
      <c r="G117" s="213">
        <f>+G67-G95</f>
        <v>11815.057562500006</v>
      </c>
      <c r="H117" s="213">
        <f>+H67-H95</f>
        <v>11682.977620000005</v>
      </c>
      <c r="I117" s="213">
        <f>+I67-I95</f>
        <v>19733.876075</v>
      </c>
      <c r="J117" s="213">
        <f t="shared" ref="J117" si="2930">+J119*J108</f>
        <v>13005.000000000002</v>
      </c>
      <c r="K117" s="234">
        <f>+G117+H117+I117+J117</f>
        <v>56236.911257500011</v>
      </c>
      <c r="L117" s="213">
        <f>+L119*L108</f>
        <v>13265.1</v>
      </c>
      <c r="M117" s="213">
        <f t="shared" ref="M117:O117" si="2931">+M119*M108</f>
        <v>12484.800000000001</v>
      </c>
      <c r="N117" s="213">
        <f t="shared" si="2931"/>
        <v>9753.75</v>
      </c>
      <c r="O117" s="213">
        <f t="shared" si="2931"/>
        <v>8388.2249999999985</v>
      </c>
      <c r="P117" s="234">
        <f>+L117+M117+N117+O117</f>
        <v>43891.875</v>
      </c>
      <c r="Q117" s="213">
        <f>+Q119*Q108</f>
        <v>8953.9424999999992</v>
      </c>
      <c r="R117" s="213">
        <f t="shared" ref="R117:T117" si="2932">+R119*R108</f>
        <v>9152.9189999999999</v>
      </c>
      <c r="S117" s="213">
        <f t="shared" si="2932"/>
        <v>9431.4861000000001</v>
      </c>
      <c r="T117" s="213">
        <f t="shared" si="2932"/>
        <v>9829.4390999999996</v>
      </c>
      <c r="U117" s="234">
        <f>+Q117+R117+S117+T117</f>
        <v>37367.786699999997</v>
      </c>
      <c r="V117" s="213">
        <f>+V119*V108</f>
        <v>10553.71356</v>
      </c>
      <c r="W117" s="213">
        <f t="shared" ref="W117:Y117" si="2933">+W119*W108</f>
        <v>10350.757529999999</v>
      </c>
      <c r="X117" s="213">
        <f t="shared" si="2933"/>
        <v>9376.5685859999994</v>
      </c>
      <c r="Y117" s="213">
        <f t="shared" si="2933"/>
        <v>8930.0653199999997</v>
      </c>
      <c r="Z117" s="234">
        <f>+V117+W117+X117+Y117</f>
        <v>39211.104996000002</v>
      </c>
      <c r="AA117" s="213">
        <f>+AA119*AA108</f>
        <v>13248.9696384</v>
      </c>
      <c r="AB117" s="213">
        <f t="shared" ref="AB117:AD117" si="2934">+AB119*AB108</f>
        <v>19045.3938552</v>
      </c>
      <c r="AC117" s="213">
        <f t="shared" si="2934"/>
        <v>21613.6238135436</v>
      </c>
      <c r="AD117" s="213">
        <f t="shared" si="2934"/>
        <v>21943.605963599999</v>
      </c>
      <c r="AE117" s="234">
        <f>+AA117+AB117+AC117+AD117</f>
        <v>75851.5932707436</v>
      </c>
      <c r="AF117" s="213">
        <f>+AF119*AF108</f>
        <v>23015.944443707998</v>
      </c>
      <c r="AG117" s="213">
        <f t="shared" ref="AG117:AI117" si="2935">+AG119*AG108</f>
        <v>22804.788990095996</v>
      </c>
      <c r="AH117" s="213">
        <f t="shared" si="2935"/>
        <v>22804.788990095996</v>
      </c>
      <c r="AI117" s="213">
        <f t="shared" si="2935"/>
        <v>22804.788990095996</v>
      </c>
      <c r="AJ117" s="234">
        <f>+AF117+AG117+AH117+AI117</f>
        <v>91430.311413995994</v>
      </c>
      <c r="AK117" s="213">
        <f>+AK119*AK108</f>
        <v>24983.913271371839</v>
      </c>
      <c r="AL117" s="213">
        <f t="shared" ref="AL117:AN117" si="2936">+AL119*AL108</f>
        <v>25845.427522108799</v>
      </c>
      <c r="AM117" s="213">
        <f t="shared" si="2936"/>
        <v>29291.48452505664</v>
      </c>
      <c r="AN117" s="213">
        <f t="shared" si="2936"/>
        <v>32737.54152800448</v>
      </c>
      <c r="AO117" s="234">
        <f>+AK117+AL117+AM117+AN117</f>
        <v>112858.36684654176</v>
      </c>
      <c r="AP117" s="213">
        <f>+AP119*AP108</f>
        <v>33831.664626440419</v>
      </c>
      <c r="AQ117" s="213">
        <f t="shared" ref="AQ117:AS117" si="2937">+AQ119*AQ108</f>
        <v>33831.664626440419</v>
      </c>
      <c r="AR117" s="213">
        <f t="shared" si="2937"/>
        <v>33831.664626440419</v>
      </c>
      <c r="AS117" s="213">
        <f t="shared" si="2937"/>
        <v>34271.036894316268</v>
      </c>
      <c r="AT117" s="234">
        <f>+AP117+AQ117+AR117+AS117</f>
        <v>135766.03077363753</v>
      </c>
      <c r="AU117" s="213">
        <f>+AU119*AU108</f>
        <v>35852.77705866933</v>
      </c>
      <c r="AV117" s="213">
        <f t="shared" ref="AV117" si="2938">+AV119*AV108</f>
        <v>35852.77705866933</v>
      </c>
      <c r="AW117" s="213">
        <f>+AW119*AW108</f>
        <v>35852.77705866933</v>
      </c>
      <c r="AX117" s="213">
        <f t="shared" ref="AX117" si="2939">+AX119*AX108</f>
        <v>35852.77705866933</v>
      </c>
      <c r="AY117" s="234">
        <f>+AU117+AV117+AW117+AX117</f>
        <v>143411.10823467732</v>
      </c>
      <c r="AZ117" s="213">
        <f>+AZ119*AZ108</f>
        <v>37941.201322336819</v>
      </c>
      <c r="BA117" s="213">
        <f>+BA119*BA108</f>
        <v>36569.832599842717</v>
      </c>
      <c r="BB117" s="213">
        <f t="shared" ref="BB117:BC117" si="2940">+BB119*BB108</f>
        <v>37941.201322336819</v>
      </c>
      <c r="BC117" s="213">
        <f t="shared" si="2940"/>
        <v>37941.201322336819</v>
      </c>
      <c r="BD117" s="234">
        <f>+AZ117+BA117+BB117+BC117</f>
        <v>150393.4365668532</v>
      </c>
      <c r="BE117" s="213">
        <f>+BE119*BE108</f>
        <v>39013.15454041971</v>
      </c>
      <c r="BF117" s="213">
        <f>+BF119*BF108</f>
        <v>40098.821445727539</v>
      </c>
      <c r="BG117" s="213">
        <f t="shared" ref="BG117:BH117" si="2941">+BG119*BG108</f>
        <v>40798.219494199533</v>
      </c>
      <c r="BH117" s="213">
        <f t="shared" si="2941"/>
        <v>41963.882908319516</v>
      </c>
      <c r="BI117" s="234">
        <f>+BE117+BF117+BG117+BH117</f>
        <v>161874.07838866627</v>
      </c>
      <c r="BJ117" s="213">
        <f>+BJ119*BJ108</f>
        <v>44738.161833925085</v>
      </c>
      <c r="BK117" s="213">
        <f>+BK119*BK108</f>
        <v>45894.499940732116</v>
      </c>
      <c r="BL117" s="213">
        <f t="shared" ref="BL117:BM117" si="2942">+BL119*BL108</f>
        <v>46607.88595017355</v>
      </c>
      <c r="BM117" s="213">
        <f t="shared" si="2942"/>
        <v>47321.271959614976</v>
      </c>
      <c r="BN117" s="234">
        <f>+BJ117+BK117+BL117+BM117</f>
        <v>184561.81968444571</v>
      </c>
      <c r="BO117" s="213">
        <f>+BO119*BO108</f>
        <v>48515.004548746976</v>
      </c>
      <c r="BP117" s="213">
        <f>+BP119*BP108</f>
        <v>49723.004858067805</v>
      </c>
      <c r="BQ117" s="213">
        <f t="shared" ref="BQ117:BR117" si="2943">+BQ119*BQ108</f>
        <v>50450.658587698068</v>
      </c>
      <c r="BR117" s="213">
        <f t="shared" si="2943"/>
        <v>51178.312317328324</v>
      </c>
      <c r="BS117" s="234">
        <f>+BO117+BP117+BQ117+BR117</f>
        <v>199866.98031184118</v>
      </c>
      <c r="BT117" s="213">
        <f>+BT119*BT108</f>
        <v>52425.025707428169</v>
      </c>
      <c r="BU117" s="213">
        <f>+BU119*BU108</f>
        <v>53686.292172120629</v>
      </c>
      <c r="BV117" s="213">
        <f t="shared" ref="BV117:BW117" si="2944">+BV119*BV108</f>
        <v>54428.498976343493</v>
      </c>
      <c r="BW117" s="213">
        <f t="shared" si="2944"/>
        <v>55170.705780566364</v>
      </c>
      <c r="BX117" s="234">
        <f>+BT117+BU117+BV117+BW117</f>
        <v>215710.52263645863</v>
      </c>
      <c r="BY117" s="213">
        <f>+BY119*BY108</f>
        <v>56472.041710637117</v>
      </c>
      <c r="BZ117" s="213">
        <f>+BZ119*BZ108</f>
        <v>57788.221776792336</v>
      </c>
      <c r="CA117" s="213">
        <f t="shared" ref="CA117:CB117" si="2945">+CA119*CA108</f>
        <v>58545.272717099659</v>
      </c>
      <c r="CB117" s="213">
        <f t="shared" si="2945"/>
        <v>59302.323657406982</v>
      </c>
      <c r="CC117" s="234">
        <f>+BY117+BZ117+CA117+CB117</f>
        <v>232107.8598619361</v>
      </c>
      <c r="CD117" s="213">
        <f>+CD119*CD108</f>
        <v>60659.968343691449</v>
      </c>
      <c r="CE117" s="213">
        <f>+CE119*CE108</f>
        <v>62032.754048782066</v>
      </c>
      <c r="CF117" s="213">
        <f t="shared" ref="CF117:CG117" si="2946">+CF119*CF108</f>
        <v>62804.946007895531</v>
      </c>
      <c r="CG117" s="213">
        <f t="shared" si="2946"/>
        <v>63577.137967009003</v>
      </c>
      <c r="CH117" s="234">
        <f>+CD117+CE117+CF117+CG117</f>
        <v>249074.80636737807</v>
      </c>
      <c r="CI117" s="213">
        <f>+CI119*CI108</f>
        <v>64992.823225383698</v>
      </c>
      <c r="CJ117" s="213">
        <f>+CJ119*CJ108</f>
        <v>66423.952322940662</v>
      </c>
      <c r="CK117" s="213">
        <f t="shared" ref="CK117:CL117" si="2947">+CK119*CK108</f>
        <v>67211.588121236404</v>
      </c>
      <c r="CL117" s="213">
        <f t="shared" si="2947"/>
        <v>67999.223919532145</v>
      </c>
      <c r="CM117" s="234">
        <f>+CI117+CJ117+CK117+CL117</f>
        <v>266627.5875890929</v>
      </c>
      <c r="CN117" s="213">
        <f>+CN119*CN108</f>
        <v>69474.728315006156</v>
      </c>
      <c r="CO117" s="213">
        <f>+CO119*CO108</f>
        <v>70965.985426446088</v>
      </c>
      <c r="CP117" s="213">
        <f t="shared" ref="CP117:CQ117" si="2948">+CP119*CP108</f>
        <v>71769.373940707737</v>
      </c>
      <c r="CQ117" s="213">
        <f t="shared" si="2948"/>
        <v>72572.762454969401</v>
      </c>
      <c r="CR117" s="234">
        <f>+CN117+CO117+CP117+CQ117</f>
        <v>284782.85013712943</v>
      </c>
      <c r="CS117" s="213">
        <f>+CS119*CS108</f>
        <v>74109.912478923376</v>
      </c>
      <c r="CT117" s="213">
        <f>+CT119*CT108</f>
        <v>75663.130273162547</v>
      </c>
      <c r="CU117" s="213">
        <f t="shared" ref="CU117:CV117" si="2949">+CU119*CU108</f>
        <v>76482.586557709437</v>
      </c>
      <c r="CV117" s="213">
        <f t="shared" si="2949"/>
        <v>77302.042842256327</v>
      </c>
      <c r="CW117" s="234">
        <f>+CS117+CT117+CU117+CV117</f>
        <v>303557.6721520517</v>
      </c>
      <c r="CX117" s="213">
        <f>+CX119*CX108</f>
        <v>78902.714118071279</v>
      </c>
      <c r="CY117" s="213">
        <f>+CY119*CY108</f>
        <v>80519.774519577113</v>
      </c>
      <c r="CZ117" s="213">
        <f t="shared" ref="CZ117:DA117" si="2950">+CZ119*CZ108</f>
        <v>81355.619929814944</v>
      </c>
      <c r="DA117" s="213">
        <f t="shared" si="2950"/>
        <v>82191.46534005276</v>
      </c>
      <c r="DB117" s="234">
        <f>+CX117+CY117+CZ117+DA117</f>
        <v>322969.57390751608</v>
      </c>
    </row>
    <row r="118" spans="1:106">
      <c r="A118" s="117" t="s">
        <v>281</v>
      </c>
      <c r="B118" s="119" t="s">
        <v>290</v>
      </c>
      <c r="C118" s="119" t="s">
        <v>290</v>
      </c>
      <c r="D118" s="119" t="s">
        <v>290</v>
      </c>
      <c r="E118" s="119" t="s">
        <v>290</v>
      </c>
      <c r="F118" s="235" t="s">
        <v>290</v>
      </c>
      <c r="G118" s="13">
        <f>+G117/B117-1</f>
        <v>0.59961083715831309</v>
      </c>
      <c r="H118" s="13">
        <f t="shared" ref="H118" si="2951">+H117/C117-1</f>
        <v>0.48325545042353979</v>
      </c>
      <c r="I118" s="13">
        <f t="shared" ref="I118" si="2952">+I117/D117-1</f>
        <v>1.1162687060430003</v>
      </c>
      <c r="J118" s="13">
        <f t="shared" ref="J118" si="2953">+J117/E117-1</f>
        <v>0.22610023758343778</v>
      </c>
      <c r="K118" s="239">
        <f t="shared" ref="K118" si="2954">+K117/F117-1</f>
        <v>0.59789237267090378</v>
      </c>
      <c r="L118" s="13">
        <f>+L117/G117-1</f>
        <v>0.12272834303425717</v>
      </c>
      <c r="M118" s="13">
        <f t="shared" ref="M118" si="2955">+M117/H117-1</f>
        <v>6.8631679874774587E-2</v>
      </c>
      <c r="N118" s="13">
        <f t="shared" ref="N118" si="2956">+N117/I117-1</f>
        <v>-0.50573572252454713</v>
      </c>
      <c r="O118" s="13">
        <f t="shared" ref="O118" si="2957">+O117/J117-1</f>
        <v>-0.3550000000000002</v>
      </c>
      <c r="P118" s="239">
        <f t="shared" ref="P118" si="2958">+P117/K117-1</f>
        <v>-0.21951839070559942</v>
      </c>
      <c r="Q118" s="13">
        <f>+Q117/L117-1</f>
        <v>-0.32500000000000007</v>
      </c>
      <c r="R118" s="13">
        <f t="shared" ref="R118" si="2959">+R117/M117-1</f>
        <v>-0.26687500000000008</v>
      </c>
      <c r="S118" s="13">
        <f t="shared" ref="S118" si="2960">+S117/N117-1</f>
        <v>-3.3039999999999958E-2</v>
      </c>
      <c r="T118" s="13">
        <f t="shared" ref="T118" si="2961">+T117/O117-1</f>
        <v>0.17181395348837225</v>
      </c>
      <c r="U118" s="239">
        <f t="shared" ref="U118" si="2962">+U117/P117-1</f>
        <v>-0.14864000000000011</v>
      </c>
      <c r="V118" s="13">
        <f>+V117/Q117-1</f>
        <v>0.17866666666666675</v>
      </c>
      <c r="W118" s="13">
        <f t="shared" ref="W118" si="2963">+W117/R117-1</f>
        <v>0.13086956521739124</v>
      </c>
      <c r="X118" s="13">
        <f t="shared" ref="X118" si="2964">+X117/S117-1</f>
        <v>-5.8227848101266577E-3</v>
      </c>
      <c r="Y118" s="13">
        <f t="shared" ref="Y118" si="2965">+Y117/T117-1</f>
        <v>-9.1497975708502044E-2</v>
      </c>
      <c r="Z118" s="239">
        <f t="shared" ref="Z118" si="2966">+Z117/U117-1</f>
        <v>4.9329073482428321E-2</v>
      </c>
      <c r="AA118" s="13">
        <f>+AA117/V117-1</f>
        <v>0.25538461538461532</v>
      </c>
      <c r="AB118" s="13">
        <f t="shared" ref="AB118" si="2967">+AB117/W117-1</f>
        <v>0.84000000000000008</v>
      </c>
      <c r="AC118" s="13">
        <f t="shared" ref="AC118" si="2968">+AC117/X117-1</f>
        <v>1.3050675324675325</v>
      </c>
      <c r="AD118" s="13">
        <f t="shared" ref="AD118" si="2969">+AD117/Y117-1</f>
        <v>1.4572727272727271</v>
      </c>
      <c r="AE118" s="239">
        <f t="shared" ref="AE118" si="2970">+AE117/Z117-1</f>
        <v>0.9344416149068322</v>
      </c>
      <c r="AF118" s="13">
        <f>+AF117/AA117-1</f>
        <v>0.73718749999999988</v>
      </c>
      <c r="AG118" s="13">
        <f t="shared" ref="AG118" si="2971">+AG117/AB117-1</f>
        <v>0.19739130434782592</v>
      </c>
      <c r="AH118" s="13">
        <f t="shared" ref="AH118" si="2972">+AH117/AC117-1</f>
        <v>5.5111775185334055E-2</v>
      </c>
      <c r="AI118" s="13">
        <f t="shared" ref="AI118" si="2973">+AI117/AD117-1</f>
        <v>3.9245283018867871E-2</v>
      </c>
      <c r="AJ118" s="239">
        <f t="shared" ref="AJ118" si="2974">+AJ117/AE117-1</f>
        <v>0.20538419130691077</v>
      </c>
      <c r="AK118" s="13">
        <f>+AK117/AF117-1</f>
        <v>8.550458715596343E-2</v>
      </c>
      <c r="AL118" s="13">
        <f t="shared" ref="AL118" si="2975">+AL117/AG117-1</f>
        <v>0.13333333333333353</v>
      </c>
      <c r="AM118" s="13">
        <f t="shared" ref="AM118" si="2976">+AM117/AH117-1</f>
        <v>0.28444444444444472</v>
      </c>
      <c r="AN118" s="13">
        <f t="shared" ref="AN118" si="2977">+AN117/AI117-1</f>
        <v>0.4355555555555557</v>
      </c>
      <c r="AO118" s="239">
        <f t="shared" ref="AO118" si="2978">+AO117/AJ117-1</f>
        <v>0.2343648960739031</v>
      </c>
      <c r="AP118" s="13">
        <f>+AP117/AK117-1</f>
        <v>0.35413793103448277</v>
      </c>
      <c r="AQ118" s="13">
        <f t="shared" ref="AQ118" si="2979">+AQ117/AL117-1</f>
        <v>0.30899999999999994</v>
      </c>
      <c r="AR118" s="13">
        <f t="shared" ref="AR118" si="2980">+AR117/AM117-1</f>
        <v>0.15500000000000003</v>
      </c>
      <c r="AS118" s="13">
        <f t="shared" ref="AS118" si="2981">+AS117/AN117-1</f>
        <v>4.6842105263157796E-2</v>
      </c>
      <c r="AT118" s="239">
        <f t="shared" ref="AT118" si="2982">+AT117/AO117-1</f>
        <v>0.20297709923664131</v>
      </c>
      <c r="AU118" s="13">
        <f>+AU117/AP117-1</f>
        <v>5.9740259740259871E-2</v>
      </c>
      <c r="AV118" s="13">
        <f t="shared" ref="AV118" si="2983">+AV117/AQ117-1</f>
        <v>5.9740259740259871E-2</v>
      </c>
      <c r="AW118" s="13">
        <f t="shared" ref="AW118" si="2984">+AW117/AR117-1</f>
        <v>5.9740259740259871E-2</v>
      </c>
      <c r="AX118" s="13">
        <f t="shared" ref="AX118" si="2985">+AX117/AS117-1</f>
        <v>4.6153846153846212E-2</v>
      </c>
      <c r="AY118" s="239">
        <f t="shared" ref="AY118" si="2986">+AY117/AT117-1</f>
        <v>5.6310679611650594E-2</v>
      </c>
      <c r="AZ118" s="13">
        <f>+AZ117/AU117-1</f>
        <v>5.8250000000000135E-2</v>
      </c>
      <c r="BA118" s="13">
        <f t="shared" ref="BA118" si="2987">+BA117/AV117-1</f>
        <v>2.0000000000000018E-2</v>
      </c>
      <c r="BB118" s="13">
        <f t="shared" ref="BB118" si="2988">+BB117/AW117-1</f>
        <v>5.8250000000000135E-2</v>
      </c>
      <c r="BC118" s="13">
        <f t="shared" ref="BC118" si="2989">+BC117/AX117-1</f>
        <v>5.8250000000000135E-2</v>
      </c>
      <c r="BD118" s="239">
        <f t="shared" ref="BD118" si="2990">+BD117/AY117-1</f>
        <v>4.8687500000000217E-2</v>
      </c>
      <c r="BE118" s="13">
        <f>+BE117/AZ117-1</f>
        <v>2.8253012048192749E-2</v>
      </c>
      <c r="BF118" s="13">
        <f t="shared" ref="BF118" si="2991">+BF117/BA117-1</f>
        <v>9.650000000000003E-2</v>
      </c>
      <c r="BG118" s="13">
        <f t="shared" ref="BG118" si="2992">+BG117/BB117-1</f>
        <v>7.5301204819277157E-2</v>
      </c>
      <c r="BH118" s="13">
        <f t="shared" ref="BH118" si="2993">+BH117/BC117-1</f>
        <v>0.10602409638554211</v>
      </c>
      <c r="BI118" s="239">
        <f t="shared" ref="BI118" si="2994">+BI117/BD117-1</f>
        <v>7.6337386018236808E-2</v>
      </c>
      <c r="BJ118" s="13">
        <f>+BJ117/BE117-1</f>
        <v>0.14674556213017742</v>
      </c>
      <c r="BK118" s="13">
        <f t="shared" ref="BK118" si="2995">+BK117/BF117-1</f>
        <v>0.14453488372093037</v>
      </c>
      <c r="BL118" s="13">
        <f t="shared" ref="BL118" si="2996">+BL117/BG117-1</f>
        <v>0.14240000000000008</v>
      </c>
      <c r="BM118" s="13">
        <f t="shared" ref="BM118" si="2997">+BM117/BH117-1</f>
        <v>0.12766666666666682</v>
      </c>
      <c r="BN118" s="239">
        <f t="shared" ref="BN118" si="2998">+BN117/BI117-1</f>
        <v>0.14015672874631147</v>
      </c>
      <c r="BO118" s="13">
        <f>+BO117/BJ117-1</f>
        <v>8.4421052631578952E-2</v>
      </c>
      <c r="BP118" s="13">
        <f t="shared" ref="BP118" si="2999">+BP117/BK117-1</f>
        <v>8.3419689119171192E-2</v>
      </c>
      <c r="BQ118" s="13">
        <f t="shared" ref="BQ118" si="3000">+BQ117/BL117-1</f>
        <v>8.2448979591836835E-2</v>
      </c>
      <c r="BR118" s="13">
        <f t="shared" ref="BR118" si="3001">+BR117/BM117-1</f>
        <v>8.1507537688442433E-2</v>
      </c>
      <c r="BS118" s="239">
        <f t="shared" ref="BS118" si="3002">+BS117/BN117-1</f>
        <v>8.2927014122224474E-2</v>
      </c>
      <c r="BT118" s="13">
        <f>+BT117/BO117-1</f>
        <v>8.0594059405940666E-2</v>
      </c>
      <c r="BU118" s="13">
        <f t="shared" ref="BU118" si="3003">+BU117/BP117-1</f>
        <v>7.9707317073170803E-2</v>
      </c>
      <c r="BV118" s="13">
        <f t="shared" ref="BV118" si="3004">+BV117/BQ117-1</f>
        <v>7.8846153846153788E-2</v>
      </c>
      <c r="BW118" s="13">
        <f t="shared" ref="BW118" si="3005">+BW117/BR117-1</f>
        <v>7.800947867298591E-2</v>
      </c>
      <c r="BX118" s="239">
        <f t="shared" ref="BX118" si="3006">+BX117/BS117-1</f>
        <v>7.9270434265318102E-2</v>
      </c>
      <c r="BY118" s="13">
        <f>+BY117/BT117-1</f>
        <v>7.7196261682243028E-2</v>
      </c>
      <c r="BZ118" s="13">
        <f t="shared" ref="BZ118" si="3007">+BZ117/BU117-1</f>
        <v>7.6405529953917029E-2</v>
      </c>
      <c r="CA118" s="13">
        <f t="shared" ref="CA118" si="3008">+CA117/BV117-1</f>
        <v>7.5636363636363724E-2</v>
      </c>
      <c r="CB118" s="13">
        <f t="shared" ref="CB118" si="3009">+CB117/BW117-1</f>
        <v>7.4887892376681586E-2</v>
      </c>
      <c r="CC118" s="239">
        <f t="shared" ref="CC118" si="3010">+CC117/BX117-1</f>
        <v>7.6015472147885177E-2</v>
      </c>
      <c r="CD118" s="13">
        <f>+CD117/BY117-1</f>
        <v>7.4159292035398394E-2</v>
      </c>
      <c r="CE118" s="13">
        <f t="shared" ref="CE118" si="3011">+CE117/BZ117-1</f>
        <v>7.3449781659388647E-2</v>
      </c>
      <c r="CF118" s="13">
        <f t="shared" ref="CF118" si="3012">+CF117/CA117-1</f>
        <v>7.2758620689655107E-2</v>
      </c>
      <c r="CG118" s="13">
        <f t="shared" ref="CG118" si="3013">+CG117/CB117-1</f>
        <v>7.2085106382978825E-2</v>
      </c>
      <c r="CH118" s="239">
        <f t="shared" ref="CH118" si="3014">+CH117/CC117-1</f>
        <v>7.3099405231405568E-2</v>
      </c>
      <c r="CI118" s="13">
        <f>+CI117/CD117-1</f>
        <v>7.1428571428571397E-2</v>
      </c>
      <c r="CJ118" s="13">
        <f t="shared" ref="CJ118" si="3015">+CJ117/CE117-1</f>
        <v>7.0788381742738604E-2</v>
      </c>
      <c r="CK118" s="13">
        <f t="shared" ref="CK118" si="3016">+CK117/CF117-1</f>
        <v>7.0163934426229702E-2</v>
      </c>
      <c r="CL118" s="13">
        <f t="shared" ref="CL118" si="3017">+CL117/CG117-1</f>
        <v>6.9554655870445403E-2</v>
      </c>
      <c r="CM118" s="239">
        <f t="shared" ref="CM118" si="3018">+CM117/CH117-1</f>
        <v>7.0471925594212781E-2</v>
      </c>
      <c r="CN118" s="13">
        <f>+CN117/CI117-1</f>
        <v>6.895999999999991E-2</v>
      </c>
      <c r="CO118" s="13">
        <f t="shared" ref="CO118" si="3019">+CO117/CJ117-1</f>
        <v>6.8379446640316255E-2</v>
      </c>
      <c r="CP118" s="13">
        <f t="shared" ref="CP118" si="3020">+CP117/CK117-1</f>
        <v>6.7812499999999831E-2</v>
      </c>
      <c r="CQ118" s="13">
        <f t="shared" ref="CQ118" si="3021">+CQ117/CL117-1</f>
        <v>6.7258687258687111E-2</v>
      </c>
      <c r="CR118" s="239">
        <f t="shared" ref="CR118" si="3022">+CR117/CM117-1</f>
        <v>6.8092213233448717E-2</v>
      </c>
      <c r="CS118" s="13">
        <f>+CS117/CN117-1</f>
        <v>6.6717557251908532E-2</v>
      </c>
      <c r="CT118" s="13">
        <f t="shared" ref="CT118" si="3023">+CT117/CO117-1</f>
        <v>6.6188679245282822E-2</v>
      </c>
      <c r="CU118" s="13">
        <f t="shared" ref="CU118" si="3024">+CU117/CP117-1</f>
        <v>6.5671641791044788E-2</v>
      </c>
      <c r="CV118" s="13">
        <f t="shared" ref="CV118" si="3025">+CV117/CQ117-1</f>
        <v>6.5166051660516366E-2</v>
      </c>
      <c r="CW118" s="239">
        <f t="shared" ref="CW118" si="3026">+CW117/CR117-1</f>
        <v>6.5926800036876454E-2</v>
      </c>
      <c r="CX118" s="13">
        <f>+CX117/CS117-1</f>
        <v>6.4671532846715563E-2</v>
      </c>
      <c r="CY118" s="13">
        <f t="shared" ref="CY118" si="3027">+CY117/CT117-1</f>
        <v>6.418772563176911E-2</v>
      </c>
      <c r="CZ118" s="13">
        <f t="shared" ref="CZ118" si="3028">+CZ117/CU117-1</f>
        <v>6.3714285714286056E-2</v>
      </c>
      <c r="DA118" s="13">
        <f t="shared" ref="DA118" si="3029">+DA117/CV117-1</f>
        <v>6.3250883392226287E-2</v>
      </c>
      <c r="DB118" s="239">
        <f t="shared" ref="DB118" si="3030">+DB117/CW117-1</f>
        <v>6.3947985955502329E-2</v>
      </c>
    </row>
    <row r="119" spans="1:106">
      <c r="A119" s="117" t="s">
        <v>291</v>
      </c>
      <c r="B119" s="118">
        <f>+B117/B108</f>
        <v>1.9696553333333325E-2</v>
      </c>
      <c r="C119" s="118">
        <f>+C117/C108</f>
        <v>2.1004208666666663E-2</v>
      </c>
      <c r="D119" s="118">
        <f>+D117/D108</f>
        <v>2.4866251333333318E-2</v>
      </c>
      <c r="E119" s="118">
        <f>+E117/E108</f>
        <v>2.8284799999999988E-2</v>
      </c>
      <c r="F119" s="239">
        <f>+F117/F108</f>
        <v>2.3462953333333324E-2</v>
      </c>
      <c r="G119" s="118">
        <f t="shared" ref="G119:I119" si="3031">+G117/G108</f>
        <v>3.0889039379084982E-2</v>
      </c>
      <c r="H119" s="118">
        <f t="shared" si="3031"/>
        <v>3.0543732339869293E-2</v>
      </c>
      <c r="I119" s="118">
        <f t="shared" si="3031"/>
        <v>5.1591832875816993E-2</v>
      </c>
      <c r="J119" s="118">
        <v>3.4000000000000002E-2</v>
      </c>
      <c r="K119" s="239">
        <f>+K117/K108</f>
        <v>3.6756151148692816E-2</v>
      </c>
      <c r="L119" s="118">
        <v>3.4000000000000002E-2</v>
      </c>
      <c r="M119" s="118">
        <v>3.2000000000000001E-2</v>
      </c>
      <c r="N119" s="118">
        <v>2.5000000000000001E-2</v>
      </c>
      <c r="O119" s="118">
        <v>2.1499999999999998E-2</v>
      </c>
      <c r="P119" s="239">
        <f>+P117/P108</f>
        <v>2.8125000000000001E-2</v>
      </c>
      <c r="Q119" s="118">
        <v>2.2499999999999999E-2</v>
      </c>
      <c r="R119" s="118">
        <v>2.3E-2</v>
      </c>
      <c r="S119" s="118">
        <v>2.3699999999999999E-2</v>
      </c>
      <c r="T119" s="118">
        <v>2.47E-2</v>
      </c>
      <c r="U119" s="239">
        <f>+U117/U108</f>
        <v>2.3474999999999999E-2</v>
      </c>
      <c r="V119" s="118">
        <v>2.5999999999999999E-2</v>
      </c>
      <c r="W119" s="118">
        <v>2.5499999999999998E-2</v>
      </c>
      <c r="X119" s="118">
        <v>2.3099999999999999E-2</v>
      </c>
      <c r="Y119" s="118">
        <v>2.1999999999999999E-2</v>
      </c>
      <c r="Z119" s="239">
        <f>+Z117/Z108</f>
        <v>2.4150000000000001E-2</v>
      </c>
      <c r="AA119" s="118">
        <v>3.2000000000000001E-2</v>
      </c>
      <c r="AB119" s="118">
        <v>4.5999999999999999E-2</v>
      </c>
      <c r="AC119" s="118">
        <v>5.2202999999999999E-2</v>
      </c>
      <c r="AD119" s="118">
        <v>5.2999999999999999E-2</v>
      </c>
      <c r="AE119" s="239">
        <f>+AE117/AE108</f>
        <v>4.5800750000000001E-2</v>
      </c>
      <c r="AF119" s="118">
        <v>5.45E-2</v>
      </c>
      <c r="AG119" s="118">
        <v>5.3999999999999999E-2</v>
      </c>
      <c r="AH119" s="118">
        <v>5.3999999999999999E-2</v>
      </c>
      <c r="AI119" s="118">
        <v>5.3999999999999999E-2</v>
      </c>
      <c r="AJ119" s="239">
        <f>+AJ117/AJ108</f>
        <v>5.4125E-2</v>
      </c>
      <c r="AK119" s="118">
        <v>5.8000000000000003E-2</v>
      </c>
      <c r="AL119" s="118">
        <v>0.06</v>
      </c>
      <c r="AM119" s="118">
        <v>6.8000000000000005E-2</v>
      </c>
      <c r="AN119" s="118">
        <v>7.5999999999999998E-2</v>
      </c>
      <c r="AO119" s="239">
        <f>+AO117/AO108</f>
        <v>6.5500000000000003E-2</v>
      </c>
      <c r="AP119" s="118">
        <v>7.6999999999999999E-2</v>
      </c>
      <c r="AQ119" s="118">
        <v>7.6999999999999999E-2</v>
      </c>
      <c r="AR119" s="118">
        <v>7.6999999999999999E-2</v>
      </c>
      <c r="AS119" s="118">
        <v>7.8E-2</v>
      </c>
      <c r="AT119" s="239">
        <f>+AT117/AT108</f>
        <v>7.7249999999999999E-2</v>
      </c>
      <c r="AU119" s="118">
        <v>0.08</v>
      </c>
      <c r="AV119" s="118">
        <v>0.08</v>
      </c>
      <c r="AW119" s="118">
        <v>0.08</v>
      </c>
      <c r="AX119" s="118">
        <v>0.08</v>
      </c>
      <c r="AY119" s="239">
        <f>+AY117/AY108</f>
        <v>0.08</v>
      </c>
      <c r="AZ119" s="118">
        <v>8.3000000000000004E-2</v>
      </c>
      <c r="BA119" s="118">
        <v>0.08</v>
      </c>
      <c r="BB119" s="118">
        <v>8.3000000000000004E-2</v>
      </c>
      <c r="BC119" s="118">
        <v>8.3000000000000004E-2</v>
      </c>
      <c r="BD119" s="239">
        <f>+BD117/BD108</f>
        <v>8.2250000000000018E-2</v>
      </c>
      <c r="BE119" s="118">
        <f>+BC119+0.0015</f>
        <v>8.4500000000000006E-2</v>
      </c>
      <c r="BF119" s="118">
        <f>+BE119+0.0015</f>
        <v>8.6000000000000007E-2</v>
      </c>
      <c r="BG119" s="118">
        <f t="shared" ref="BG119" si="3032">+BF119+0.0015</f>
        <v>8.7500000000000008E-2</v>
      </c>
      <c r="BH119" s="118">
        <v>0.09</v>
      </c>
      <c r="BI119" s="239">
        <f>+BI117/BI108</f>
        <v>8.7006142506142484E-2</v>
      </c>
      <c r="BJ119" s="118">
        <f>+BH119+0.005</f>
        <v>9.5000000000000001E-2</v>
      </c>
      <c r="BK119" s="118">
        <f>+BJ119+0.0015</f>
        <v>9.6500000000000002E-2</v>
      </c>
      <c r="BL119" s="118">
        <f t="shared" ref="BL119:BM119" si="3033">+BK119+0.0015</f>
        <v>9.8000000000000004E-2</v>
      </c>
      <c r="BM119" s="118">
        <f t="shared" si="3033"/>
        <v>9.9500000000000005E-2</v>
      </c>
      <c r="BN119" s="239">
        <f>+BN117/BN108</f>
        <v>9.7255528255528259E-2</v>
      </c>
      <c r="BO119" s="118">
        <f>+BM119+0.0015</f>
        <v>0.10100000000000001</v>
      </c>
      <c r="BP119" s="118">
        <f>+BO119+0.0015</f>
        <v>0.10250000000000001</v>
      </c>
      <c r="BQ119" s="118">
        <f t="shared" ref="BQ119:BR119" si="3034">+BP119+0.0015</f>
        <v>0.10400000000000001</v>
      </c>
      <c r="BR119" s="118">
        <f t="shared" si="3034"/>
        <v>0.10550000000000001</v>
      </c>
      <c r="BS119" s="239">
        <f>+BS117/BS108</f>
        <v>0.10325552825552828</v>
      </c>
      <c r="BT119" s="118">
        <f>+BR119+0.0015</f>
        <v>0.10700000000000001</v>
      </c>
      <c r="BU119" s="118">
        <f>+BT119+0.0015</f>
        <v>0.10850000000000001</v>
      </c>
      <c r="BV119" s="118">
        <f t="shared" ref="BV119:BW119" si="3035">+BU119+0.0015</f>
        <v>0.11000000000000001</v>
      </c>
      <c r="BW119" s="118">
        <f t="shared" si="3035"/>
        <v>0.11150000000000002</v>
      </c>
      <c r="BX119" s="239">
        <f>+BX117/BX108</f>
        <v>0.10925552825552824</v>
      </c>
      <c r="BY119" s="118">
        <f>+BW119+0.0015</f>
        <v>0.11300000000000002</v>
      </c>
      <c r="BZ119" s="118">
        <f>+BY119+0.0015</f>
        <v>0.11450000000000002</v>
      </c>
      <c r="CA119" s="118">
        <f t="shared" ref="CA119:CB119" si="3036">+BZ119+0.0015</f>
        <v>0.11600000000000002</v>
      </c>
      <c r="CB119" s="118">
        <f t="shared" si="3036"/>
        <v>0.11750000000000002</v>
      </c>
      <c r="CC119" s="239">
        <f>+CC117/CC108</f>
        <v>0.11525552825552828</v>
      </c>
      <c r="CD119" s="118">
        <f>+CB119+0.0015</f>
        <v>0.11900000000000002</v>
      </c>
      <c r="CE119" s="118">
        <f>+CD119+0.0015</f>
        <v>0.12050000000000002</v>
      </c>
      <c r="CF119" s="118">
        <f t="shared" ref="CF119:CG119" si="3037">+CE119+0.0015</f>
        <v>0.12200000000000003</v>
      </c>
      <c r="CG119" s="118">
        <f t="shared" si="3037"/>
        <v>0.12350000000000003</v>
      </c>
      <c r="CH119" s="239">
        <f>+CH117/CH108</f>
        <v>0.12125552825552829</v>
      </c>
      <c r="CI119" s="118">
        <f>+CG119+0.0015</f>
        <v>0.12500000000000003</v>
      </c>
      <c r="CJ119" s="118">
        <f>+CI119+0.0015</f>
        <v>0.12650000000000003</v>
      </c>
      <c r="CK119" s="118">
        <f t="shared" ref="CK119:CL119" si="3038">+CJ119+0.0015</f>
        <v>0.12800000000000003</v>
      </c>
      <c r="CL119" s="118">
        <f t="shared" si="3038"/>
        <v>0.12950000000000003</v>
      </c>
      <c r="CM119" s="239">
        <f>+CM117/CM108</f>
        <v>0.1272555282555283</v>
      </c>
      <c r="CN119" s="118">
        <f>+CL119+0.0015</f>
        <v>0.13100000000000003</v>
      </c>
      <c r="CO119" s="118">
        <f>+CN119+0.0015</f>
        <v>0.13250000000000003</v>
      </c>
      <c r="CP119" s="118">
        <f t="shared" ref="CP119:CQ119" si="3039">+CO119+0.0015</f>
        <v>0.13400000000000004</v>
      </c>
      <c r="CQ119" s="118">
        <f t="shared" si="3039"/>
        <v>0.13550000000000004</v>
      </c>
      <c r="CR119" s="239">
        <f>+CR117/CR108</f>
        <v>0.1332555282555283</v>
      </c>
      <c r="CS119" s="118">
        <f>+CQ119+0.0015</f>
        <v>0.13700000000000004</v>
      </c>
      <c r="CT119" s="118">
        <f>+CS119+0.0015</f>
        <v>0.13850000000000004</v>
      </c>
      <c r="CU119" s="118">
        <f t="shared" ref="CU119:CV119" si="3040">+CT119+0.0015</f>
        <v>0.14000000000000004</v>
      </c>
      <c r="CV119" s="118">
        <f t="shared" si="3040"/>
        <v>0.14150000000000004</v>
      </c>
      <c r="CW119" s="239">
        <f>+CW117/CW108</f>
        <v>0.13925552825552828</v>
      </c>
      <c r="CX119" s="118">
        <f>+CV119+0.0015</f>
        <v>0.14300000000000004</v>
      </c>
      <c r="CY119" s="118">
        <f>+CX119+0.0015</f>
        <v>0.14450000000000005</v>
      </c>
      <c r="CZ119" s="118">
        <f t="shared" ref="CZ119:DA119" si="3041">+CY119+0.0015</f>
        <v>0.14600000000000005</v>
      </c>
      <c r="DA119" s="118">
        <f t="shared" si="3041"/>
        <v>0.14750000000000005</v>
      </c>
      <c r="DB119" s="239">
        <f>+DB117/DB108</f>
        <v>0.14525552825552832</v>
      </c>
    </row>
    <row r="120" spans="1:106" s="51" customFormat="1">
      <c r="A120" s="51" t="s">
        <v>286</v>
      </c>
      <c r="B120" s="213">
        <f>+B122*B111</f>
        <v>0</v>
      </c>
      <c r="C120" s="213">
        <f t="shared" ref="C120:E120" si="3042">+C122*C111</f>
        <v>0</v>
      </c>
      <c r="D120" s="213">
        <f t="shared" si="3042"/>
        <v>0</v>
      </c>
      <c r="E120" s="213">
        <f t="shared" si="3042"/>
        <v>0</v>
      </c>
      <c r="F120" s="234">
        <f>+B120+C120+D120+E120</f>
        <v>0</v>
      </c>
      <c r="G120" s="213">
        <f>+G122*G111</f>
        <v>0</v>
      </c>
      <c r="H120" s="213">
        <f t="shared" ref="H120:J120" si="3043">+H122*H111</f>
        <v>0</v>
      </c>
      <c r="I120" s="213">
        <f t="shared" si="3043"/>
        <v>0</v>
      </c>
      <c r="J120" s="213">
        <f t="shared" si="3043"/>
        <v>0</v>
      </c>
      <c r="K120" s="234">
        <f>+G120+H120+I120+J120</f>
        <v>0</v>
      </c>
      <c r="L120" s="213">
        <f>+L122*L111</f>
        <v>1621.9589999999998</v>
      </c>
      <c r="M120" s="213">
        <f>+M122*M111</f>
        <v>1689.5406250000001</v>
      </c>
      <c r="N120" s="213">
        <f>+N122*N111</f>
        <v>2500.520125</v>
      </c>
      <c r="O120" s="213">
        <f t="shared" ref="O120" si="3044">+O122*O111</f>
        <v>2703.2649999999999</v>
      </c>
      <c r="P120" s="234">
        <f>+L120+M120+N120+O120</f>
        <v>8515.2847499999989</v>
      </c>
      <c r="Q120" s="213">
        <f>+Q122*Q111</f>
        <v>3549.3869449999997</v>
      </c>
      <c r="R120" s="213">
        <f t="shared" ref="R120:T120" si="3045">+R122*R111</f>
        <v>4914.5357699999995</v>
      </c>
      <c r="S120" s="213">
        <f t="shared" si="3045"/>
        <v>5597.1101824999987</v>
      </c>
      <c r="T120" s="213">
        <f t="shared" si="3045"/>
        <v>6962.2590074999989</v>
      </c>
      <c r="U120" s="234">
        <f>+Q120+R120+S120+T120</f>
        <v>21023.291904999998</v>
      </c>
      <c r="V120" s="213">
        <f>+V122*V111</f>
        <v>8272.8018794999989</v>
      </c>
      <c r="W120" s="213">
        <f t="shared" ref="W120:Y120" si="3046">+W122*W111</f>
        <v>6894.00156625</v>
      </c>
      <c r="X120" s="213">
        <f t="shared" si="3046"/>
        <v>7031.8815975750003</v>
      </c>
      <c r="Y120" s="213">
        <f t="shared" si="3046"/>
        <v>7169.7616289000007</v>
      </c>
      <c r="Z120" s="234">
        <f>+V120+W120+X120+Y120</f>
        <v>29368.446672225</v>
      </c>
      <c r="AA120" s="213">
        <f>+AA122*AA111</f>
        <v>9330.3417197627496</v>
      </c>
      <c r="AB120" s="213">
        <f t="shared" ref="AB120:AC120" si="3047">+AB122*AB111</f>
        <v>10078.161645660151</v>
      </c>
      <c r="AC120" s="213">
        <f t="shared" si="3047"/>
        <v>11470.749962042653</v>
      </c>
      <c r="AD120" s="213">
        <f>+AD122*AD111</f>
        <v>13229.589005633748</v>
      </c>
      <c r="AE120" s="234">
        <f>+AA120+AB120+AC120+AD120</f>
        <v>44108.842333099303</v>
      </c>
      <c r="AF120" s="213">
        <f>+AF122*AF111</f>
        <v>17018.821814510531</v>
      </c>
      <c r="AG120" s="213">
        <f t="shared" ref="AG120:AI120" si="3048">+AG122*AG111</f>
        <v>14346.444835372515</v>
      </c>
      <c r="AH120" s="213">
        <f t="shared" si="3048"/>
        <v>15471.656195009571</v>
      </c>
      <c r="AI120" s="213">
        <f t="shared" si="3048"/>
        <v>16878.170394555898</v>
      </c>
      <c r="AJ120" s="234">
        <f>+AF120+AG120+AH120+AI120</f>
        <v>63715.093239448513</v>
      </c>
      <c r="AK120" s="213">
        <f>+AK122*AK111</f>
        <v>17046.952098501457</v>
      </c>
      <c r="AL120" s="213">
        <f t="shared" ref="AL120:AN120" si="3049">+AL122*AL111</f>
        <v>17615.183835118172</v>
      </c>
      <c r="AM120" s="213">
        <f t="shared" si="3049"/>
        <v>18587.570394403527</v>
      </c>
      <c r="AN120" s="213">
        <f t="shared" si="3049"/>
        <v>22729.26946466861</v>
      </c>
      <c r="AO120" s="234">
        <f>+AK120+AL120+AM120+AN120</f>
        <v>75978.975792691766</v>
      </c>
      <c r="AP120" s="213">
        <f>+AP122*AP111</f>
        <v>24391.347294272502</v>
      </c>
      <c r="AQ120" s="213">
        <f t="shared" ref="AQ120:AS120" si="3050">+AQ122*AQ111</f>
        <v>24750.043578011806</v>
      </c>
      <c r="AR120" s="213">
        <f t="shared" si="3050"/>
        <v>25108.739861751106</v>
      </c>
      <c r="AS120" s="213">
        <f t="shared" si="3050"/>
        <v>25108.739861751106</v>
      </c>
      <c r="AT120" s="234">
        <f>+AP120+AQ120+AR120+AS120</f>
        <v>99358.870595786517</v>
      </c>
      <c r="AU120" s="213">
        <f>+AU122*AU111</f>
        <v>27533.526739828791</v>
      </c>
      <c r="AV120" s="213">
        <f t="shared" ref="AV120" si="3051">+AV122*AV111</f>
        <v>27895.809986405486</v>
      </c>
      <c r="AW120" s="213">
        <f>+AW122*AW111</f>
        <v>28258.093232982181</v>
      </c>
      <c r="AX120" s="213">
        <f t="shared" ref="AX120" si="3052">+AX122*AX111</f>
        <v>28258.093232982181</v>
      </c>
      <c r="AY120" s="234">
        <f>+AU120+AV120+AW120+AX120</f>
        <v>111945.52319219864</v>
      </c>
      <c r="AZ120" s="213">
        <f>+AZ122*AZ111</f>
        <v>30736.11063956677</v>
      </c>
      <c r="BA120" s="213">
        <f t="shared" ref="BA120" si="3053">+BA122*BA111</f>
        <v>30736.110639566767</v>
      </c>
      <c r="BB120" s="213">
        <f>+BB122*BB111</f>
        <v>31467.922797651692</v>
      </c>
      <c r="BC120" s="213">
        <f>+BC122*BC111</f>
        <v>31467.922797651692</v>
      </c>
      <c r="BD120" s="234">
        <f>+AZ120+BA120+BB120+BC120</f>
        <v>124408.06687443692</v>
      </c>
      <c r="BE120" s="213">
        <f>+BE122*BE111</f>
        <v>33999.992864625528</v>
      </c>
      <c r="BF120" s="213">
        <f t="shared" ref="BF120" si="3054">+BF122*BF111</f>
        <v>36217.383703622851</v>
      </c>
      <c r="BG120" s="213">
        <f>+BG122*BG111</f>
        <v>38434.774542620173</v>
      </c>
      <c r="BH120" s="213">
        <f>+BH122*BH111</f>
        <v>39173.904822285942</v>
      </c>
      <c r="BI120" s="234">
        <f>+BE120+BF120+BG120+BH120</f>
        <v>147826.05593315448</v>
      </c>
      <c r="BJ120" s="213">
        <f>+BJ122*BJ111</f>
        <v>41805.208617896096</v>
      </c>
      <c r="BK120" s="213">
        <f t="shared" ref="BK120" si="3055">+BK122*BK111</f>
        <v>44044.773365283385</v>
      </c>
      <c r="BL120" s="213">
        <f>+BL122*BL111</f>
        <v>46284.338112670681</v>
      </c>
      <c r="BM120" s="213">
        <f>+BM122*BM111</f>
        <v>48523.90286005797</v>
      </c>
      <c r="BN120" s="234">
        <f>+BJ120+BK120+BL120+BM120</f>
        <v>180658.22295590813</v>
      </c>
      <c r="BO120" s="213">
        <f>+BO122*BO111</f>
        <v>51271.102283519715</v>
      </c>
      <c r="BP120" s="213">
        <f t="shared" ref="BP120" si="3056">+BP122*BP111</f>
        <v>53533.062678380884</v>
      </c>
      <c r="BQ120" s="213">
        <f>+BQ122*BQ111</f>
        <v>55795.023073242046</v>
      </c>
      <c r="BR120" s="213">
        <f>+BR122*BR111</f>
        <v>58056.983468103208</v>
      </c>
      <c r="BS120" s="234">
        <f>+BO120+BP120+BQ120+BR120</f>
        <v>218656.17150324583</v>
      </c>
      <c r="BT120" s="213">
        <f>+BT122*BT111</f>
        <v>60922.133301594018</v>
      </c>
      <c r="BU120" s="213">
        <f t="shared" ref="BU120" si="3057">+BU122*BU111</f>
        <v>63206.713300403797</v>
      </c>
      <c r="BV120" s="213">
        <f>+BV122*BV111</f>
        <v>65491.293299213576</v>
      </c>
      <c r="BW120" s="213">
        <f>+BW122*BW111</f>
        <v>67775.873298023347</v>
      </c>
      <c r="BX120" s="234">
        <f>+BT120+BU120+BV120+BW120</f>
        <v>257396.01319923473</v>
      </c>
      <c r="BY120" s="213">
        <f>+BY122*BY111</f>
        <v>70761.057829801459</v>
      </c>
      <c r="BZ120" s="213">
        <f t="shared" ref="BZ120" si="3058">+BZ122*BZ111</f>
        <v>73068.483628599337</v>
      </c>
      <c r="CA120" s="213">
        <f>+CA122*CA111</f>
        <v>75375.909427397215</v>
      </c>
      <c r="CB120" s="213">
        <f>+CB122*CB111</f>
        <v>77683.335226195079</v>
      </c>
      <c r="CC120" s="234">
        <f>+BY120+BZ120+CA120+CB120</f>
        <v>296888.78611199307</v>
      </c>
      <c r="CD120" s="213">
        <f>+CD122*CD111</f>
        <v>80790.668635242895</v>
      </c>
      <c r="CE120" s="213">
        <f t="shared" ref="CE120" si="3059">+CE122*CE111</f>
        <v>83121.168692028747</v>
      </c>
      <c r="CF120" s="213">
        <f>+CF122*CF111</f>
        <v>85451.668748814598</v>
      </c>
      <c r="CG120" s="213">
        <f>+CG122*CG111</f>
        <v>87782.16880560045</v>
      </c>
      <c r="CH120" s="234">
        <f>+CD120+CE120+CF120+CG120</f>
        <v>337145.67488168669</v>
      </c>
      <c r="CI120" s="213">
        <f>+CI122*CI111</f>
        <v>91013.795551010175</v>
      </c>
      <c r="CJ120" s="213">
        <f t="shared" ref="CJ120" si="3060">+CJ122*CJ111</f>
        <v>93367.600608363879</v>
      </c>
      <c r="CK120" s="213">
        <f>+CK122*CK111</f>
        <v>95721.405665717597</v>
      </c>
      <c r="CL120" s="213">
        <f>+CL122*CL111</f>
        <v>98075.210723071301</v>
      </c>
      <c r="CM120" s="234">
        <f>+CI120+CJ120+CK120+CL120</f>
        <v>378178.01254816295</v>
      </c>
      <c r="CN120" s="213">
        <f>+CN122*CN111</f>
        <v>101433.30593822927</v>
      </c>
      <c r="CO120" s="213">
        <f t="shared" ref="CO120" si="3061">+CO122*CO111</f>
        <v>103810.64904615653</v>
      </c>
      <c r="CP120" s="213">
        <f>+CP122*CP111</f>
        <v>106187.99215408377</v>
      </c>
      <c r="CQ120" s="213">
        <f>+CQ122*CQ111</f>
        <v>108565.33526201102</v>
      </c>
      <c r="CR120" s="234">
        <f>+CN120+CO120+CP120+CQ120</f>
        <v>419997.28240048059</v>
      </c>
      <c r="CS120" s="213">
        <f>+CS122*CS111</f>
        <v>112052.10515363765</v>
      </c>
      <c r="CT120" s="213">
        <f t="shared" ref="CT120" si="3062">+CT122*CT111</f>
        <v>114453.22169264418</v>
      </c>
      <c r="CU120" s="213">
        <f>+CU122*CU111</f>
        <v>116854.33823165069</v>
      </c>
      <c r="CV120" s="213">
        <f>+CV122*CV111</f>
        <v>119255.45477065722</v>
      </c>
      <c r="CW120" s="234">
        <f>+CS120+CT120+CU120+CV120</f>
        <v>462615.11984858976</v>
      </c>
      <c r="CX120" s="213">
        <f>+CX122*CX111</f>
        <v>122873.13702276038</v>
      </c>
      <c r="CY120" s="213">
        <f t="shared" ref="CY120" si="3063">+CY122*CY111</f>
        <v>125298.26472715696</v>
      </c>
      <c r="CZ120" s="213">
        <f>+CZ122*CZ111</f>
        <v>127723.39243155354</v>
      </c>
      <c r="DA120" s="213">
        <f>+DA122*DA111</f>
        <v>130148.52013595014</v>
      </c>
      <c r="DB120" s="234">
        <f>+CX120+CY120+CZ120+DA120</f>
        <v>506043.314317421</v>
      </c>
    </row>
    <row r="121" spans="1:106">
      <c r="A121" s="117" t="s">
        <v>281</v>
      </c>
      <c r="B121" s="119" t="s">
        <v>290</v>
      </c>
      <c r="C121" s="119" t="s">
        <v>290</v>
      </c>
      <c r="D121" s="119" t="s">
        <v>290</v>
      </c>
      <c r="E121" s="119" t="s">
        <v>290</v>
      </c>
      <c r="F121" s="235" t="s">
        <v>290</v>
      </c>
      <c r="G121" s="119" t="s">
        <v>290</v>
      </c>
      <c r="H121" s="119" t="s">
        <v>290</v>
      </c>
      <c r="I121" s="119" t="s">
        <v>290</v>
      </c>
      <c r="J121" s="119" t="s">
        <v>290</v>
      </c>
      <c r="K121" s="235" t="s">
        <v>290</v>
      </c>
      <c r="L121" s="119" t="s">
        <v>290</v>
      </c>
      <c r="M121" s="119" t="s">
        <v>290</v>
      </c>
      <c r="N121" s="119" t="s">
        <v>290</v>
      </c>
      <c r="O121" s="119" t="s">
        <v>290</v>
      </c>
      <c r="P121" s="235" t="s">
        <v>290</v>
      </c>
      <c r="Q121" s="13">
        <f>+Q120/L120-1</f>
        <v>1.1883333333333335</v>
      </c>
      <c r="R121" s="13">
        <f t="shared" ref="R121" si="3064">+R120/M120-1</f>
        <v>1.9087999999999994</v>
      </c>
      <c r="S121" s="13">
        <f t="shared" ref="S121" si="3065">+S120/N120-1</f>
        <v>1.2383783783783779</v>
      </c>
      <c r="T121" s="13">
        <f t="shared" ref="T121" si="3066">+T120/O120-1</f>
        <v>1.5754999999999999</v>
      </c>
      <c r="U121" s="239">
        <f t="shared" ref="U121" si="3067">+U120/P120-1</f>
        <v>1.4688888888888889</v>
      </c>
      <c r="V121" s="13">
        <f>+V120/Q120-1</f>
        <v>1.3307692307692305</v>
      </c>
      <c r="W121" s="13">
        <f t="shared" ref="W121" si="3068">+W120/R120-1</f>
        <v>0.4027777777777779</v>
      </c>
      <c r="X121" s="13">
        <f t="shared" ref="X121" si="3069">+X120/S120-1</f>
        <v>0.2563414634146346</v>
      </c>
      <c r="Y121" s="13">
        <f t="shared" ref="Y121" si="3070">+Y120/T120-1</f>
        <v>2.9803921568627656E-2</v>
      </c>
      <c r="Z121" s="239">
        <f t="shared" ref="Z121" si="3071">+Z120/U120-1</f>
        <v>0.39694805194805216</v>
      </c>
      <c r="AA121" s="13">
        <f>+AA120/V120-1</f>
        <v>0.12783333333333347</v>
      </c>
      <c r="AB121" s="13">
        <f t="shared" ref="AB121" si="3072">+AB120/W120-1</f>
        <v>0.4618739999999999</v>
      </c>
      <c r="AC121" s="13">
        <f t="shared" ref="AC121" si="3073">+AC120/X120-1</f>
        <v>0.63124901960784308</v>
      </c>
      <c r="AD121" s="13">
        <f t="shared" ref="AD121" si="3074">+AD120/Y120-1</f>
        <v>0.84519230769230735</v>
      </c>
      <c r="AE121" s="239">
        <f t="shared" ref="AE121" si="3075">+AE120/Z120-1</f>
        <v>0.50191267605633794</v>
      </c>
      <c r="AF121" s="13">
        <f>+AF120/AA120-1</f>
        <v>0.82402985074626867</v>
      </c>
      <c r="AG121" s="13">
        <f t="shared" ref="AG121" si="3076">+AG120/AB120-1</f>
        <v>0.42351803233384011</v>
      </c>
      <c r="AH121" s="13">
        <f t="shared" ref="AH121" si="3077">+AH120/AC120-1</f>
        <v>0.34879203593541286</v>
      </c>
      <c r="AI121" s="13">
        <f t="shared" ref="AI121" si="3078">+AI120/AD120-1</f>
        <v>0.27578947368421058</v>
      </c>
      <c r="AJ121" s="239">
        <f t="shared" ref="AJ121" si="3079">+AJ120/AE120-1</f>
        <v>0.44449706383784804</v>
      </c>
      <c r="AK121" s="13">
        <f>+AK120/AF120-1</f>
        <v>1.6528925619834212E-3</v>
      </c>
      <c r="AL121" s="13">
        <f t="shared" ref="AL121" si="3080">+AL120/AG120-1</f>
        <v>0.22784313725490191</v>
      </c>
      <c r="AM121" s="13">
        <f t="shared" ref="AM121" si="3081">+AM120/AH120-1</f>
        <v>0.20139500000000021</v>
      </c>
      <c r="AN121" s="13">
        <f t="shared" ref="AN121" si="3082">+AN120/AI120-1</f>
        <v>0.34666666666666668</v>
      </c>
      <c r="AO121" s="239">
        <f t="shared" ref="AO121" si="3083">+AO120/AJ120-1</f>
        <v>0.19248002207505532</v>
      </c>
      <c r="AP121" s="13">
        <f>+AP120/AK120-1</f>
        <v>0.4308333333333334</v>
      </c>
      <c r="AQ121" s="13">
        <f t="shared" ref="AQ121" si="3084">+AQ120/AL120-1</f>
        <v>0.40504032258064537</v>
      </c>
      <c r="AR121" s="13">
        <f t="shared" ref="AR121" si="3085">+AR120/AM120-1</f>
        <v>0.35083495739233439</v>
      </c>
      <c r="AS121" s="13">
        <f t="shared" ref="AS121" si="3086">+AS120/AN120-1</f>
        <v>0.10468750000000004</v>
      </c>
      <c r="AT121" s="239">
        <f t="shared" ref="AT121" si="3087">+AT120/AO120-1</f>
        <v>0.30771531939159935</v>
      </c>
      <c r="AU121" s="13">
        <f>+AU120/AP120-1</f>
        <v>0.128823529411765</v>
      </c>
      <c r="AV121" s="13">
        <f t="shared" ref="AV121" si="3088">+AV120/AQ120-1</f>
        <v>0.1271014492753626</v>
      </c>
      <c r="AW121" s="13">
        <f t="shared" ref="AW121" si="3089">+AW120/AR120-1</f>
        <v>0.12542857142857167</v>
      </c>
      <c r="AX121" s="13">
        <f t="shared" ref="AX121" si="3090">+AX120/AS120-1</f>
        <v>0.12542857142857167</v>
      </c>
      <c r="AY121" s="239">
        <f t="shared" ref="AY121" si="3091">+AY120/AT120-1</f>
        <v>0.12667870036101125</v>
      </c>
      <c r="AZ121" s="13">
        <f>+AZ120/AU120-1</f>
        <v>0.11631578947368415</v>
      </c>
      <c r="BA121" s="13">
        <f t="shared" ref="BA121" si="3092">+BA120/AV120-1</f>
        <v>0.10181818181818159</v>
      </c>
      <c r="BB121" s="13">
        <f t="shared" ref="BB121" si="3093">+BB120/AW120-1</f>
        <v>0.1135897435897435</v>
      </c>
      <c r="BC121" s="13">
        <f t="shared" ref="BC121" si="3094">+BC120/AX120-1</f>
        <v>0.1135897435897435</v>
      </c>
      <c r="BD121" s="239">
        <f t="shared" ref="BD121" si="3095">+BD120/AY120-1</f>
        <v>0.11132686084142374</v>
      </c>
      <c r="BE121" s="13">
        <f>+BE120/AZ120-1</f>
        <v>0.10619047619047617</v>
      </c>
      <c r="BF121" s="13">
        <f t="shared" ref="BF121" si="3096">+BF120/BA120-1</f>
        <v>0.17833333333333368</v>
      </c>
      <c r="BG121" s="13">
        <f t="shared" ref="BG121" si="3097">+BG120/BB120-1</f>
        <v>0.22139534883720979</v>
      </c>
      <c r="BH121" s="13">
        <f t="shared" ref="BH121" si="3098">+BH120/BC120-1</f>
        <v>0.24488372093023281</v>
      </c>
      <c r="BI121" s="239">
        <f t="shared" ref="BI121" si="3099">+BI120/BD120-1</f>
        <v>0.18823529411764728</v>
      </c>
      <c r="BJ121" s="13">
        <f>+BJ120/BE120-1</f>
        <v>0.22956521739130475</v>
      </c>
      <c r="BK121" s="13">
        <f t="shared" ref="BK121" si="3100">+BK120/BF120-1</f>
        <v>0.21612244897959187</v>
      </c>
      <c r="BL121" s="13">
        <f t="shared" ref="BL121" si="3101">+BL120/BG120-1</f>
        <v>0.20423076923076922</v>
      </c>
      <c r="BM121" s="13">
        <f t="shared" ref="BM121" si="3102">+BM120/BH120-1</f>
        <v>0.23867924528301909</v>
      </c>
      <c r="BN121" s="239">
        <f t="shared" ref="BN121" si="3103">+BN120/BI120-1</f>
        <v>0.22210000000000019</v>
      </c>
      <c r="BO121" s="13">
        <f>+BO120/BJ120-1</f>
        <v>0.22642857142857142</v>
      </c>
      <c r="BP121" s="13">
        <f t="shared" ref="BP121" si="3104">+BP120/BK120-1</f>
        <v>0.21542372881355965</v>
      </c>
      <c r="BQ121" s="13">
        <f t="shared" ref="BQ121" si="3105">+BQ120/BL120-1</f>
        <v>0.20548387096774201</v>
      </c>
      <c r="BR121" s="13">
        <f t="shared" ref="BR121" si="3106">+BR120/BM120-1</f>
        <v>0.19646153846153847</v>
      </c>
      <c r="BS121" s="239">
        <f t="shared" ref="BS121" si="3107">+BS120/BN120-1</f>
        <v>0.21033057851239678</v>
      </c>
      <c r="BT121" s="13">
        <f>+BT120/BO120-1</f>
        <v>0.18823529411764706</v>
      </c>
      <c r="BU121" s="13">
        <f t="shared" ref="BU121" si="3108">+BU120/BP120-1</f>
        <v>0.18070422535211272</v>
      </c>
      <c r="BV121" s="13">
        <f t="shared" ref="BV121" si="3109">+BV120/BQ120-1</f>
        <v>0.1737837837837839</v>
      </c>
      <c r="BW121" s="13">
        <f t="shared" ref="BW121" si="3110">+BW120/BR120-1</f>
        <v>0.16740259740259744</v>
      </c>
      <c r="BX121" s="239">
        <f t="shared" ref="BX121" si="3111">+BX120/BS120-1</f>
        <v>0.17717241379310367</v>
      </c>
      <c r="BY121" s="13">
        <f>+BY120/BT120-1</f>
        <v>0.1615000000000002</v>
      </c>
      <c r="BZ121" s="13">
        <f t="shared" ref="BZ121" si="3112">+BZ120/BU120-1</f>
        <v>0.15602409638554238</v>
      </c>
      <c r="CA121" s="13">
        <f t="shared" ref="CA121" si="3113">+CA120/BV120-1</f>
        <v>0.15093023255813964</v>
      </c>
      <c r="CB121" s="13">
        <f t="shared" ref="CB121" si="3114">+CB120/BW120-1</f>
        <v>0.14617977528089887</v>
      </c>
      <c r="CC121" s="239">
        <f t="shared" ref="CC121" si="3115">+CC120/BX120-1</f>
        <v>0.15343195266272192</v>
      </c>
      <c r="CD121" s="13">
        <f>+CD120/BY120-1</f>
        <v>0.14173913043478281</v>
      </c>
      <c r="CE121" s="13">
        <f t="shared" ref="CE121" si="3116">+CE120/BZ120-1</f>
        <v>0.13757894736842124</v>
      </c>
      <c r="CF121" s="13">
        <f t="shared" ref="CF121" si="3117">+CF120/CA120-1</f>
        <v>0.13367346938775504</v>
      </c>
      <c r="CG121" s="13">
        <f t="shared" ref="CG121" si="3118">+CG120/CB120-1</f>
        <v>0.13000000000000012</v>
      </c>
      <c r="CH121" s="239">
        <f t="shared" ref="CH121" si="3119">+CH120/CC120-1</f>
        <v>0.13559585492227999</v>
      </c>
      <c r="CI121" s="13">
        <f>+CI120/CD120-1</f>
        <v>0.12653846153846171</v>
      </c>
      <c r="CJ121" s="13">
        <f t="shared" ref="CJ121" si="3120">+CJ120/CE120-1</f>
        <v>0.12327102803738321</v>
      </c>
      <c r="CK121" s="13">
        <f t="shared" ref="CK121" si="3121">+CK120/CF120-1</f>
        <v>0.12018181818181817</v>
      </c>
      <c r="CL121" s="13">
        <f t="shared" ref="CL121" si="3122">+CL120/CG120-1</f>
        <v>0.11725663716814161</v>
      </c>
      <c r="CM121" s="239">
        <f t="shared" ref="CM121" si="3123">+CM120/CH120-1</f>
        <v>0.12170506912442391</v>
      </c>
      <c r="CN121" s="13">
        <f>+CN120/CI120-1</f>
        <v>0.11448275862068957</v>
      </c>
      <c r="CO121" s="13">
        <f t="shared" ref="CO121" si="3124">+CO120/CJ120-1</f>
        <v>0.11184873949579854</v>
      </c>
      <c r="CP121" s="13">
        <f t="shared" ref="CP121" si="3125">+CP120/CK120-1</f>
        <v>0.10934426229508198</v>
      </c>
      <c r="CQ121" s="13">
        <f t="shared" ref="CQ121" si="3126">+CQ120/CL120-1</f>
        <v>0.10696000000000017</v>
      </c>
      <c r="CR121" s="239">
        <f t="shared" ref="CR121" si="3127">+CR120/CM120-1</f>
        <v>0.11058091286307059</v>
      </c>
      <c r="CS121" s="13">
        <f>+CS120/CN120-1</f>
        <v>0.10468750000000004</v>
      </c>
      <c r="CT121" s="13">
        <f t="shared" ref="CT121" si="3128">+CT120/CO120-1</f>
        <v>0.10251908396946563</v>
      </c>
      <c r="CU121" s="13">
        <f t="shared" ref="CU121" si="3129">+CU120/CP120-1</f>
        <v>0.10044776119402976</v>
      </c>
      <c r="CV121" s="13">
        <f t="shared" ref="CV121" si="3130">+CV120/CQ120-1</f>
        <v>9.8467153284671483E-2</v>
      </c>
      <c r="CW121" s="239">
        <f t="shared" ref="CW121" si="3131">+CW120/CR120-1</f>
        <v>0.10147169811320755</v>
      </c>
      <c r="CX121" s="13">
        <f>+CX120/CS120-1</f>
        <v>9.6571428571428752E-2</v>
      </c>
      <c r="CY121" s="13">
        <f t="shared" ref="CY121" si="3132">+CY120/CT120-1</f>
        <v>9.4755244755244661E-2</v>
      </c>
      <c r="CZ121" s="13">
        <f t="shared" ref="CZ121" si="3133">+CZ120/CU120-1</f>
        <v>9.3013698630136865E-2</v>
      </c>
      <c r="DA121" s="13">
        <f t="shared" ref="DA121" si="3134">+DA120/CV120-1</f>
        <v>9.1342281879194687E-2</v>
      </c>
      <c r="DB121" s="239">
        <f t="shared" ref="DB121" si="3135">+DB120/CW120-1</f>
        <v>9.387543252595143E-2</v>
      </c>
    </row>
    <row r="122" spans="1:106">
      <c r="A122" s="117" t="s">
        <v>292</v>
      </c>
      <c r="B122" s="118">
        <v>0</v>
      </c>
      <c r="C122" s="118">
        <v>0</v>
      </c>
      <c r="D122" s="118">
        <v>0</v>
      </c>
      <c r="E122" s="118">
        <v>0</v>
      </c>
      <c r="F122" s="240">
        <f>+F120/F111</f>
        <v>0</v>
      </c>
      <c r="G122" s="118">
        <v>0</v>
      </c>
      <c r="H122" s="118">
        <v>0</v>
      </c>
      <c r="I122" s="118">
        <v>0</v>
      </c>
      <c r="J122" s="118">
        <v>0</v>
      </c>
      <c r="K122" s="239">
        <f>+K120/K111</f>
        <v>0</v>
      </c>
      <c r="L122" s="118">
        <v>1.1999999999999999E-3</v>
      </c>
      <c r="M122" s="118">
        <v>1.25E-3</v>
      </c>
      <c r="N122" s="118">
        <v>1.8500000000000001E-3</v>
      </c>
      <c r="O122" s="118">
        <v>2E-3</v>
      </c>
      <c r="P122" s="239">
        <f>+P120/P111</f>
        <v>1.5749999999999998E-3</v>
      </c>
      <c r="Q122" s="118">
        <v>2.5999999999999999E-3</v>
      </c>
      <c r="R122" s="118">
        <v>3.5999999999999999E-3</v>
      </c>
      <c r="S122" s="118">
        <v>4.0999999999999995E-3</v>
      </c>
      <c r="T122" s="118">
        <v>5.0999999999999995E-3</v>
      </c>
      <c r="U122" s="239">
        <f>+U120/U111</f>
        <v>3.8499999999999997E-3</v>
      </c>
      <c r="V122" s="118">
        <v>6.0000000000000001E-3</v>
      </c>
      <c r="W122" s="118">
        <v>5.0000000000000001E-3</v>
      </c>
      <c r="X122" s="118">
        <v>5.1000000000000004E-3</v>
      </c>
      <c r="Y122" s="118">
        <v>5.2000000000000006E-3</v>
      </c>
      <c r="Z122" s="239">
        <f>+Z120/Z111</f>
        <v>5.3250000000000007E-3</v>
      </c>
      <c r="AA122" s="118">
        <v>6.7000000000000002E-3</v>
      </c>
      <c r="AB122" s="118">
        <v>7.2370000000000004E-3</v>
      </c>
      <c r="AC122" s="118">
        <v>8.2370000000000013E-3</v>
      </c>
      <c r="AD122" s="118">
        <v>9.4999999999999998E-3</v>
      </c>
      <c r="AE122" s="239">
        <f>+AE120/AE111</f>
        <v>7.9185000000000002E-3</v>
      </c>
      <c r="AF122" s="118">
        <v>1.21E-2</v>
      </c>
      <c r="AG122" s="118">
        <v>1.0200000000000001E-2</v>
      </c>
      <c r="AH122" s="118">
        <v>1.0999999999999999E-2</v>
      </c>
      <c r="AI122" s="118">
        <v>1.2E-2</v>
      </c>
      <c r="AJ122" s="239">
        <f>+AJ120/AJ111</f>
        <v>1.1325E-2</v>
      </c>
      <c r="AK122" s="118">
        <v>1.2E-2</v>
      </c>
      <c r="AL122" s="118">
        <v>1.24E-2</v>
      </c>
      <c r="AM122" s="118">
        <v>1.3084500000000001E-2</v>
      </c>
      <c r="AN122" s="118">
        <v>1.6E-2</v>
      </c>
      <c r="AO122" s="239">
        <f>+AO120/AO111</f>
        <v>1.3371125000000001E-2</v>
      </c>
      <c r="AP122" s="118">
        <v>1.7000000000000001E-2</v>
      </c>
      <c r="AQ122" s="118">
        <v>1.7250000000000001E-2</v>
      </c>
      <c r="AR122" s="118">
        <v>1.7500000000000002E-2</v>
      </c>
      <c r="AS122" s="118">
        <v>1.7500000000000002E-2</v>
      </c>
      <c r="AT122" s="239">
        <f>+AT120/AT111</f>
        <v>1.7312500000000001E-2</v>
      </c>
      <c r="AU122" s="118">
        <v>1.9000000000000003E-2</v>
      </c>
      <c r="AV122" s="118">
        <v>1.9250000000000003E-2</v>
      </c>
      <c r="AW122" s="118">
        <v>1.9500000000000003E-2</v>
      </c>
      <c r="AX122" s="118">
        <v>1.9500000000000003E-2</v>
      </c>
      <c r="AY122" s="239">
        <f>+AY120/AY111</f>
        <v>1.9312500000000003E-2</v>
      </c>
      <c r="AZ122" s="118">
        <v>2.1000000000000005E-2</v>
      </c>
      <c r="BA122" s="118">
        <v>2.1000000000000001E-2</v>
      </c>
      <c r="BB122" s="118">
        <v>2.1500000000000005E-2</v>
      </c>
      <c r="BC122" s="118">
        <v>2.1500000000000005E-2</v>
      </c>
      <c r="BD122" s="239">
        <f>+BD120/BD111</f>
        <v>2.1250000000000002E-2</v>
      </c>
      <c r="BE122" s="118">
        <f>+BC122+0.0015</f>
        <v>2.3000000000000007E-2</v>
      </c>
      <c r="BF122" s="118">
        <f>+BE122+0.0015</f>
        <v>2.4500000000000008E-2</v>
      </c>
      <c r="BG122" s="118">
        <f t="shared" ref="BG122" si="3136">+BF122+0.0015</f>
        <v>2.6000000000000009E-2</v>
      </c>
      <c r="BH122" s="118">
        <f>+BG122+0.0005</f>
        <v>2.650000000000001E-2</v>
      </c>
      <c r="BI122" s="239">
        <f>+BI120/BI111</f>
        <v>2.5000000000000005E-2</v>
      </c>
      <c r="BJ122" s="118">
        <f>+BH122+0.0015</f>
        <v>2.8000000000000011E-2</v>
      </c>
      <c r="BK122" s="118">
        <f>+BJ122+0.0015</f>
        <v>2.9500000000000012E-2</v>
      </c>
      <c r="BL122" s="118">
        <f t="shared" ref="BL122:BM122" si="3137">+BK122+0.0015</f>
        <v>3.1000000000000014E-2</v>
      </c>
      <c r="BM122" s="118">
        <f t="shared" si="3137"/>
        <v>3.2500000000000015E-2</v>
      </c>
      <c r="BN122" s="239">
        <f>+BN120/BN111</f>
        <v>3.0250000000000013E-2</v>
      </c>
      <c r="BO122" s="118">
        <f>+BM122+0.0015</f>
        <v>3.4000000000000016E-2</v>
      </c>
      <c r="BP122" s="118">
        <f>+BO122+0.0015</f>
        <v>3.5500000000000018E-2</v>
      </c>
      <c r="BQ122" s="118">
        <f t="shared" ref="BQ122:BR122" si="3138">+BP122+0.0015</f>
        <v>3.7000000000000019E-2</v>
      </c>
      <c r="BR122" s="118">
        <f t="shared" si="3138"/>
        <v>3.850000000000002E-2</v>
      </c>
      <c r="BS122" s="239">
        <f>+BS120/BS111</f>
        <v>3.6250000000000011E-2</v>
      </c>
      <c r="BT122" s="118">
        <f>+BR122+0.0015</f>
        <v>4.0000000000000022E-2</v>
      </c>
      <c r="BU122" s="118">
        <f>+BT122+0.0015</f>
        <v>4.1500000000000023E-2</v>
      </c>
      <c r="BV122" s="118">
        <f t="shared" ref="BV122:BW122" si="3139">+BU122+0.0015</f>
        <v>4.3000000000000024E-2</v>
      </c>
      <c r="BW122" s="118">
        <f t="shared" si="3139"/>
        <v>4.4500000000000026E-2</v>
      </c>
      <c r="BX122" s="239">
        <f>+BX120/BX111</f>
        <v>4.2250000000000024E-2</v>
      </c>
      <c r="BY122" s="118">
        <f>+BW122+0.0015</f>
        <v>4.6000000000000027E-2</v>
      </c>
      <c r="BZ122" s="118">
        <f>+BY122+0.0015</f>
        <v>4.7500000000000028E-2</v>
      </c>
      <c r="CA122" s="118">
        <f t="shared" ref="CA122:CB122" si="3140">+BZ122+0.0015</f>
        <v>4.900000000000003E-2</v>
      </c>
      <c r="CB122" s="118">
        <f t="shared" si="3140"/>
        <v>5.0500000000000031E-2</v>
      </c>
      <c r="CC122" s="239">
        <f>+CC120/CC111</f>
        <v>4.8250000000000029E-2</v>
      </c>
      <c r="CD122" s="118">
        <f>+CB122+0.0015</f>
        <v>5.2000000000000032E-2</v>
      </c>
      <c r="CE122" s="118">
        <f>+CD122+0.0015</f>
        <v>5.3500000000000034E-2</v>
      </c>
      <c r="CF122" s="118">
        <f t="shared" ref="CF122:CG122" si="3141">+CE122+0.0015</f>
        <v>5.5000000000000035E-2</v>
      </c>
      <c r="CG122" s="118">
        <f t="shared" si="3141"/>
        <v>5.6500000000000036E-2</v>
      </c>
      <c r="CH122" s="239">
        <f>+CH120/CH111</f>
        <v>5.4250000000000034E-2</v>
      </c>
      <c r="CI122" s="118">
        <f>+CG122+0.0015</f>
        <v>5.8000000000000038E-2</v>
      </c>
      <c r="CJ122" s="118">
        <f>+CI122+0.0015</f>
        <v>5.9500000000000039E-2</v>
      </c>
      <c r="CK122" s="118">
        <f t="shared" ref="CK122:CL122" si="3142">+CJ122+0.0015</f>
        <v>6.100000000000004E-2</v>
      </c>
      <c r="CL122" s="118">
        <f t="shared" si="3142"/>
        <v>6.2500000000000042E-2</v>
      </c>
      <c r="CM122" s="239">
        <f>+CM120/CM111</f>
        <v>6.025000000000004E-2</v>
      </c>
      <c r="CN122" s="118">
        <f>+CL122+0.0015</f>
        <v>6.4000000000000043E-2</v>
      </c>
      <c r="CO122" s="118">
        <f>+CN122+0.0015</f>
        <v>6.5500000000000044E-2</v>
      </c>
      <c r="CP122" s="118">
        <f t="shared" ref="CP122:CQ122" si="3143">+CO122+0.0015</f>
        <v>6.7000000000000046E-2</v>
      </c>
      <c r="CQ122" s="118">
        <f t="shared" si="3143"/>
        <v>6.8500000000000047E-2</v>
      </c>
      <c r="CR122" s="239">
        <f>+CR120/CR111</f>
        <v>6.6250000000000045E-2</v>
      </c>
      <c r="CS122" s="118">
        <f>+CQ122+0.0015</f>
        <v>7.0000000000000048E-2</v>
      </c>
      <c r="CT122" s="118">
        <f>+CS122+0.0015</f>
        <v>7.150000000000005E-2</v>
      </c>
      <c r="CU122" s="118">
        <f t="shared" ref="CU122:CV122" si="3144">+CT122+0.0015</f>
        <v>7.3000000000000051E-2</v>
      </c>
      <c r="CV122" s="118">
        <f t="shared" si="3144"/>
        <v>7.4500000000000052E-2</v>
      </c>
      <c r="CW122" s="239">
        <f>+CW120/CW111</f>
        <v>7.225000000000005E-2</v>
      </c>
      <c r="CX122" s="118">
        <f>+CV122+0.0015</f>
        <v>7.6000000000000054E-2</v>
      </c>
      <c r="CY122" s="118">
        <f>+CX122+0.0015</f>
        <v>7.7500000000000055E-2</v>
      </c>
      <c r="CZ122" s="118">
        <f t="shared" ref="CZ122:DA122" si="3145">+CY122+0.0015</f>
        <v>7.9000000000000056E-2</v>
      </c>
      <c r="DA122" s="118">
        <f t="shared" si="3145"/>
        <v>8.0500000000000058E-2</v>
      </c>
      <c r="DB122" s="239">
        <f>+DB120/DB111</f>
        <v>7.8250000000000056E-2</v>
      </c>
    </row>
    <row r="123" spans="1:106">
      <c r="A123" s="117"/>
      <c r="B123" s="118"/>
      <c r="C123" s="118"/>
      <c r="D123" s="118"/>
      <c r="E123" s="118"/>
      <c r="F123" s="240"/>
      <c r="G123" s="118"/>
      <c r="H123" s="118"/>
      <c r="I123" s="118"/>
      <c r="J123" s="118"/>
      <c r="K123" s="239"/>
      <c r="L123" s="118"/>
      <c r="M123" s="118"/>
      <c r="N123" s="118"/>
      <c r="O123" s="118"/>
      <c r="P123" s="239"/>
      <c r="Q123" s="118"/>
      <c r="R123" s="118"/>
      <c r="S123" s="118"/>
      <c r="T123" s="118"/>
      <c r="U123" s="239"/>
      <c r="V123" s="118"/>
      <c r="W123" s="118"/>
      <c r="X123" s="118"/>
      <c r="Y123" s="118"/>
      <c r="Z123" s="239"/>
      <c r="AA123" s="118"/>
      <c r="AB123" s="118"/>
      <c r="AC123" s="118"/>
      <c r="AD123" s="118"/>
      <c r="AE123" s="239"/>
      <c r="AF123" s="118"/>
      <c r="AG123" s="118"/>
      <c r="AH123" s="118"/>
      <c r="AI123" s="118"/>
      <c r="AJ123" s="239"/>
      <c r="AK123" s="118"/>
      <c r="AL123" s="118"/>
      <c r="AM123" s="118"/>
      <c r="AN123" s="118"/>
      <c r="AO123" s="239"/>
      <c r="AP123" s="118"/>
      <c r="AQ123" s="118"/>
      <c r="AR123" s="118"/>
      <c r="AS123" s="118"/>
      <c r="AT123" s="239"/>
      <c r="AU123" s="118"/>
      <c r="AV123" s="118"/>
      <c r="AW123" s="118"/>
      <c r="AX123" s="118"/>
      <c r="AY123" s="239"/>
      <c r="AZ123" s="118"/>
      <c r="BA123" s="118"/>
      <c r="BB123" s="118"/>
      <c r="BC123" s="118"/>
      <c r="BD123" s="239"/>
      <c r="BE123" s="118"/>
      <c r="BF123" s="118"/>
      <c r="BG123" s="118"/>
      <c r="BH123" s="118"/>
      <c r="BI123" s="239"/>
      <c r="BJ123" s="118"/>
      <c r="BK123" s="118"/>
      <c r="BL123" s="118"/>
      <c r="BM123" s="118"/>
      <c r="BN123" s="239"/>
      <c r="BO123" s="118"/>
      <c r="BP123" s="118"/>
      <c r="BQ123" s="118"/>
      <c r="BR123" s="118"/>
      <c r="BS123" s="239"/>
      <c r="BT123" s="118"/>
      <c r="BU123" s="118"/>
      <c r="BV123" s="118"/>
      <c r="BW123" s="118"/>
      <c r="BX123" s="239"/>
      <c r="BY123" s="118"/>
      <c r="BZ123" s="118"/>
      <c r="CA123" s="118"/>
      <c r="CB123" s="118"/>
      <c r="CC123" s="239"/>
      <c r="CD123" s="118"/>
      <c r="CE123" s="118"/>
      <c r="CF123" s="118"/>
      <c r="CG123" s="118"/>
      <c r="CH123" s="239"/>
      <c r="CI123" s="118"/>
      <c r="CJ123" s="118"/>
      <c r="CK123" s="118"/>
      <c r="CL123" s="118"/>
      <c r="CM123" s="239"/>
      <c r="CN123" s="118"/>
      <c r="CO123" s="118"/>
      <c r="CP123" s="118"/>
      <c r="CQ123" s="118"/>
      <c r="CR123" s="239"/>
      <c r="CS123" s="118"/>
      <c r="CT123" s="118"/>
      <c r="CU123" s="118"/>
      <c r="CV123" s="118"/>
      <c r="CW123" s="239"/>
      <c r="CX123" s="118"/>
      <c r="CY123" s="118"/>
      <c r="CZ123" s="118"/>
      <c r="DA123" s="118"/>
      <c r="DB123" s="239"/>
    </row>
    <row r="124" spans="1:106" s="51" customFormat="1">
      <c r="A124" s="51" t="s">
        <v>382</v>
      </c>
      <c r="B124" s="213">
        <f>+B117+B120</f>
        <v>7386.2074999999968</v>
      </c>
      <c r="C124" s="213">
        <f t="shared" ref="C124:F124" si="3146">+C117+C120</f>
        <v>7876.5782499999987</v>
      </c>
      <c r="D124" s="213">
        <f t="shared" si="3146"/>
        <v>9324.8442499999946</v>
      </c>
      <c r="E124" s="213">
        <f t="shared" si="3146"/>
        <v>10606.799999999996</v>
      </c>
      <c r="F124" s="234">
        <f t="shared" si="3146"/>
        <v>35194.429999999986</v>
      </c>
      <c r="G124" s="213">
        <f>+G117+G120</f>
        <v>11815.057562500006</v>
      </c>
      <c r="H124" s="213">
        <f t="shared" ref="H124:K124" si="3147">+H117+H120</f>
        <v>11682.977620000005</v>
      </c>
      <c r="I124" s="213">
        <f t="shared" si="3147"/>
        <v>19733.876075</v>
      </c>
      <c r="J124" s="213">
        <f t="shared" si="3147"/>
        <v>13005.000000000002</v>
      </c>
      <c r="K124" s="234">
        <f t="shared" si="3147"/>
        <v>56236.911257500011</v>
      </c>
      <c r="L124" s="213">
        <f>+L117+L120</f>
        <v>14887.059000000001</v>
      </c>
      <c r="M124" s="213">
        <f t="shared" ref="M124:P124" si="3148">+M117+M120</f>
        <v>14174.340625000001</v>
      </c>
      <c r="N124" s="213">
        <f t="shared" si="3148"/>
        <v>12254.270124999999</v>
      </c>
      <c r="O124" s="213">
        <f t="shared" si="3148"/>
        <v>11091.489999999998</v>
      </c>
      <c r="P124" s="234">
        <f t="shared" si="3148"/>
        <v>52407.159749999999</v>
      </c>
      <c r="Q124" s="213">
        <f>+Q117+Q120</f>
        <v>12503.329444999999</v>
      </c>
      <c r="R124" s="213">
        <f t="shared" ref="R124:U124" si="3149">+R117+R120</f>
        <v>14067.45477</v>
      </c>
      <c r="S124" s="213">
        <f t="shared" si="3149"/>
        <v>15028.596282499999</v>
      </c>
      <c r="T124" s="213">
        <f t="shared" si="3149"/>
        <v>16791.6981075</v>
      </c>
      <c r="U124" s="234">
        <f t="shared" si="3149"/>
        <v>58391.078604999995</v>
      </c>
      <c r="V124" s="213">
        <f>+V117+V120</f>
        <v>18826.515439499999</v>
      </c>
      <c r="W124" s="213">
        <f t="shared" ref="W124:Z124" si="3150">+W117+W120</f>
        <v>17244.75909625</v>
      </c>
      <c r="X124" s="213">
        <f t="shared" si="3150"/>
        <v>16408.450183574998</v>
      </c>
      <c r="Y124" s="213">
        <f t="shared" si="3150"/>
        <v>16099.826948900001</v>
      </c>
      <c r="Z124" s="234">
        <f t="shared" si="3150"/>
        <v>68579.551668225002</v>
      </c>
      <c r="AA124" s="213">
        <f>+AA117+AA120</f>
        <v>22579.311358162748</v>
      </c>
      <c r="AB124" s="213">
        <f t="shared" ref="AB124:AE124" si="3151">+AB117+AB120</f>
        <v>29123.555500860151</v>
      </c>
      <c r="AC124" s="213">
        <f t="shared" si="3151"/>
        <v>33084.373775586253</v>
      </c>
      <c r="AD124" s="213">
        <f>+AD117+AD120</f>
        <v>35173.194969233751</v>
      </c>
      <c r="AE124" s="234">
        <f t="shared" si="3151"/>
        <v>119960.4356038429</v>
      </c>
      <c r="AF124" s="213">
        <f>+AF117+AF120</f>
        <v>40034.766258218529</v>
      </c>
      <c r="AG124" s="213">
        <f t="shared" ref="AG124:AJ124" si="3152">+AG117+AG120</f>
        <v>37151.233825468509</v>
      </c>
      <c r="AH124" s="213">
        <f t="shared" si="3152"/>
        <v>38276.445185105564</v>
      </c>
      <c r="AI124" s="213">
        <f t="shared" si="3152"/>
        <v>39682.959384651898</v>
      </c>
      <c r="AJ124" s="234">
        <f t="shared" si="3152"/>
        <v>155145.40465344451</v>
      </c>
      <c r="AK124" s="213">
        <f>+AK117+AK120</f>
        <v>42030.865369873296</v>
      </c>
      <c r="AL124" s="213">
        <f t="shared" ref="AL124:AO124" si="3153">+AL117+AL120</f>
        <v>43460.611357226968</v>
      </c>
      <c r="AM124" s="213">
        <f t="shared" si="3153"/>
        <v>47879.054919460163</v>
      </c>
      <c r="AN124" s="213">
        <f t="shared" si="3153"/>
        <v>55466.81099267309</v>
      </c>
      <c r="AO124" s="234">
        <f t="shared" si="3153"/>
        <v>188837.34263923351</v>
      </c>
      <c r="AP124" s="213">
        <f>+AP117+AP120</f>
        <v>58223.011920712917</v>
      </c>
      <c r="AQ124" s="213">
        <f t="shared" ref="AQ124:AT124" si="3154">+AQ117+AQ120</f>
        <v>58581.708204452225</v>
      </c>
      <c r="AR124" s="213">
        <f t="shared" si="3154"/>
        <v>58940.404488191525</v>
      </c>
      <c r="AS124" s="213">
        <f t="shared" si="3154"/>
        <v>59379.776756067375</v>
      </c>
      <c r="AT124" s="234">
        <f t="shared" si="3154"/>
        <v>235124.90136942404</v>
      </c>
      <c r="AU124" s="213">
        <f>+AU117+AU120</f>
        <v>63386.30379849812</v>
      </c>
      <c r="AV124" s="213">
        <f t="shared" ref="AV124:AY124" si="3155">+AV117+AV120</f>
        <v>63748.587045074819</v>
      </c>
      <c r="AW124" s="213">
        <f t="shared" si="3155"/>
        <v>64110.87029165151</v>
      </c>
      <c r="AX124" s="213">
        <f t="shared" si="3155"/>
        <v>64110.87029165151</v>
      </c>
      <c r="AY124" s="234">
        <f t="shared" si="3155"/>
        <v>255356.63142687595</v>
      </c>
      <c r="AZ124" s="213">
        <f>+AZ117+AZ120</f>
        <v>68677.311961903586</v>
      </c>
      <c r="BA124" s="213">
        <f t="shared" ref="BA124:BC124" si="3156">+BA117+BA120</f>
        <v>67305.943239409477</v>
      </c>
      <c r="BB124" s="213">
        <f t="shared" si="3156"/>
        <v>69409.124119988512</v>
      </c>
      <c r="BC124" s="213">
        <f t="shared" si="3156"/>
        <v>69409.124119988512</v>
      </c>
      <c r="BD124" s="234">
        <f>+BD117+BD120</f>
        <v>274801.50344129012</v>
      </c>
      <c r="BE124" s="213">
        <f>+BE117+BE120</f>
        <v>73013.147405045238</v>
      </c>
      <c r="BF124" s="213">
        <f t="shared" ref="BF124:BH124" si="3157">+BF117+BF120</f>
        <v>76316.205149350397</v>
      </c>
      <c r="BG124" s="213">
        <f t="shared" si="3157"/>
        <v>79232.994036819699</v>
      </c>
      <c r="BH124" s="213">
        <f t="shared" si="3157"/>
        <v>81137.787730605458</v>
      </c>
      <c r="BI124" s="234">
        <f>+BI117+BI120</f>
        <v>309700.13432182075</v>
      </c>
      <c r="BJ124" s="213">
        <f>+BJ117+BJ120</f>
        <v>86543.370451821189</v>
      </c>
      <c r="BK124" s="213">
        <f t="shared" ref="BK124:BM124" si="3158">+BK117+BK120</f>
        <v>89939.273306015501</v>
      </c>
      <c r="BL124" s="213">
        <f t="shared" si="3158"/>
        <v>92892.224062844238</v>
      </c>
      <c r="BM124" s="213">
        <f t="shared" si="3158"/>
        <v>95845.174819672946</v>
      </c>
      <c r="BN124" s="234">
        <f>+BN117+BN120</f>
        <v>365220.04264035384</v>
      </c>
      <c r="BO124" s="213">
        <f>+BO117+BO120</f>
        <v>99786.106832266698</v>
      </c>
      <c r="BP124" s="213">
        <f t="shared" ref="BP124:BR124" si="3159">+BP117+BP120</f>
        <v>103256.06753644868</v>
      </c>
      <c r="BQ124" s="213">
        <f t="shared" si="3159"/>
        <v>106245.68166094011</v>
      </c>
      <c r="BR124" s="213">
        <f t="shared" si="3159"/>
        <v>109235.29578543153</v>
      </c>
      <c r="BS124" s="234">
        <f>+BS117+BS120</f>
        <v>418523.15181508701</v>
      </c>
      <c r="BT124" s="213">
        <f>+BT117+BT120</f>
        <v>113347.15900902219</v>
      </c>
      <c r="BU124" s="213">
        <f t="shared" ref="BU124:BW124" si="3160">+BU117+BU120</f>
        <v>116893.00547252443</v>
      </c>
      <c r="BV124" s="213">
        <f t="shared" si="3160"/>
        <v>119919.79227555706</v>
      </c>
      <c r="BW124" s="213">
        <f t="shared" si="3160"/>
        <v>122946.57907858971</v>
      </c>
      <c r="BX124" s="234">
        <f>+BX117+BX120</f>
        <v>473106.53583569336</v>
      </c>
      <c r="BY124" s="213">
        <f>+BY117+BY120</f>
        <v>127233.09954043858</v>
      </c>
      <c r="BZ124" s="213">
        <f t="shared" ref="BZ124:CB124" si="3161">+BZ117+BZ120</f>
        <v>130856.70540539167</v>
      </c>
      <c r="CA124" s="213">
        <f t="shared" si="3161"/>
        <v>133921.18214449688</v>
      </c>
      <c r="CB124" s="213">
        <f t="shared" si="3161"/>
        <v>136985.65888360207</v>
      </c>
      <c r="CC124" s="234">
        <f>+CC117+CC120</f>
        <v>528996.6459739292</v>
      </c>
      <c r="CD124" s="213">
        <f>+CD117+CD120</f>
        <v>141450.63697893434</v>
      </c>
      <c r="CE124" s="213">
        <f t="shared" ref="CE124:CG124" si="3162">+CE117+CE120</f>
        <v>145153.92274081081</v>
      </c>
      <c r="CF124" s="213">
        <f t="shared" si="3162"/>
        <v>148256.61475671013</v>
      </c>
      <c r="CG124" s="213">
        <f t="shared" si="3162"/>
        <v>151359.30677260945</v>
      </c>
      <c r="CH124" s="234">
        <f>+CH117+CH120</f>
        <v>586220.48124906479</v>
      </c>
      <c r="CI124" s="213">
        <f>+CI117+CI120</f>
        <v>156006.61877639388</v>
      </c>
      <c r="CJ124" s="213">
        <f t="shared" ref="CJ124:CL124" si="3163">+CJ117+CJ120</f>
        <v>159791.55293130456</v>
      </c>
      <c r="CK124" s="213">
        <f t="shared" si="3163"/>
        <v>162932.993786954</v>
      </c>
      <c r="CL124" s="213">
        <f t="shared" si="3163"/>
        <v>166074.43464260345</v>
      </c>
      <c r="CM124" s="234">
        <f>+CM117+CM120</f>
        <v>644805.60013725585</v>
      </c>
      <c r="CN124" s="213">
        <f>+CN117+CN120</f>
        <v>170908.03425323544</v>
      </c>
      <c r="CO124" s="213">
        <f t="shared" ref="CO124:CQ124" si="3164">+CO117+CO120</f>
        <v>174776.63447260263</v>
      </c>
      <c r="CP124" s="213">
        <f t="shared" si="3164"/>
        <v>177957.36609479151</v>
      </c>
      <c r="CQ124" s="213">
        <f t="shared" si="3164"/>
        <v>181138.09771698044</v>
      </c>
      <c r="CR124" s="234">
        <f>+CR117+CR120</f>
        <v>704780.13253761001</v>
      </c>
      <c r="CS124" s="213">
        <f>+CS117+CS120</f>
        <v>186162.01763256104</v>
      </c>
      <c r="CT124" s="213">
        <f t="shared" ref="CT124:CV124" si="3165">+CT117+CT120</f>
        <v>190116.35196580674</v>
      </c>
      <c r="CU124" s="213">
        <f t="shared" si="3165"/>
        <v>193336.92478936014</v>
      </c>
      <c r="CV124" s="213">
        <f t="shared" si="3165"/>
        <v>196557.49761291355</v>
      </c>
      <c r="CW124" s="234">
        <f>+CW117+CW120</f>
        <v>766172.79200064146</v>
      </c>
      <c r="CX124" s="213">
        <f>+CX117+CX120</f>
        <v>201775.85114083166</v>
      </c>
      <c r="CY124" s="213">
        <f t="shared" ref="CY124:DA124" si="3166">+CY117+CY120</f>
        <v>205818.03924673406</v>
      </c>
      <c r="CZ124" s="213">
        <f t="shared" si="3166"/>
        <v>209079.01236136848</v>
      </c>
      <c r="DA124" s="213">
        <f t="shared" si="3166"/>
        <v>212339.98547600291</v>
      </c>
      <c r="DB124" s="234">
        <f>+DB117+DB120</f>
        <v>829012.88822493702</v>
      </c>
    </row>
    <row r="125" spans="1:106">
      <c r="A125" s="117" t="s">
        <v>281</v>
      </c>
      <c r="B125" s="119" t="s">
        <v>290</v>
      </c>
      <c r="C125" s="119" t="s">
        <v>290</v>
      </c>
      <c r="D125" s="119" t="s">
        <v>290</v>
      </c>
      <c r="E125" s="119" t="s">
        <v>290</v>
      </c>
      <c r="F125" s="235" t="s">
        <v>290</v>
      </c>
      <c r="G125" s="13">
        <f>+G124/B124-1</f>
        <v>0.59961083715831309</v>
      </c>
      <c r="H125" s="13">
        <f t="shared" ref="H125" si="3167">+H124/C124-1</f>
        <v>0.48325545042353979</v>
      </c>
      <c r="I125" s="13">
        <f t="shared" ref="I125" si="3168">+I124/D124-1</f>
        <v>1.1162687060430003</v>
      </c>
      <c r="J125" s="13">
        <f t="shared" ref="J125" si="3169">+J124/E124-1</f>
        <v>0.22610023758343778</v>
      </c>
      <c r="K125" s="239">
        <f t="shared" ref="K125" si="3170">+K124/F124-1</f>
        <v>0.59789237267090378</v>
      </c>
      <c r="L125" s="13">
        <f>+L124/G124-1</f>
        <v>0.26000731873285732</v>
      </c>
      <c r="M125" s="13">
        <f t="shared" ref="M125" si="3171">+M124/H124-1</f>
        <v>0.21324726332908917</v>
      </c>
      <c r="N125" s="13">
        <f t="shared" ref="N125" si="3172">+N124/I124-1</f>
        <v>-0.37902366071283844</v>
      </c>
      <c r="O125" s="13">
        <f t="shared" ref="O125" si="3173">+O124/J124-1</f>
        <v>-0.14713648596693607</v>
      </c>
      <c r="P125" s="239">
        <f t="shared" ref="P125" si="3174">+P124/K124-1</f>
        <v>-6.8100317422558621E-2</v>
      </c>
      <c r="Q125" s="13">
        <f>+Q124/L124-1</f>
        <v>-0.16012091810746509</v>
      </c>
      <c r="R125" s="13">
        <f t="shared" ref="R125" si="3175">+R124/M124-1</f>
        <v>-7.5407990980180806E-3</v>
      </c>
      <c r="S125" s="13">
        <f t="shared" ref="S125" si="3176">+S124/N124-1</f>
        <v>0.22639668696710724</v>
      </c>
      <c r="T125" s="13">
        <f t="shared" ref="T125" si="3177">+T124/O124-1</f>
        <v>0.51392627207886443</v>
      </c>
      <c r="U125" s="239">
        <f t="shared" ref="U125" si="3178">+U124/P124-1</f>
        <v>0.11418132338301334</v>
      </c>
      <c r="V125" s="13">
        <f>+V124/Q124-1</f>
        <v>0.50572017815851456</v>
      </c>
      <c r="W125" s="13">
        <f t="shared" ref="W125" si="3179">+W124/R124-1</f>
        <v>0.22586206091992289</v>
      </c>
      <c r="X125" s="13">
        <f t="shared" ref="X125" si="3180">+X124/S124-1</f>
        <v>9.181522180363344E-2</v>
      </c>
      <c r="Y125" s="13">
        <f t="shared" ref="Y125" si="3181">+Y124/T124-1</f>
        <v>-4.1203168028073112E-2</v>
      </c>
      <c r="Z125" s="239">
        <f t="shared" ref="Z125" si="3182">+Z124/U124-1</f>
        <v>0.17448681042779324</v>
      </c>
      <c r="AA125" s="13">
        <f>+AA124/V124-1</f>
        <v>0.19933566202001418</v>
      </c>
      <c r="AB125" s="13">
        <f t="shared" ref="AB125" si="3183">+AB124/W124-1</f>
        <v>0.68883516077608076</v>
      </c>
      <c r="AC125" s="13">
        <f t="shared" ref="AC125" si="3184">+AC124/X124-1</f>
        <v>1.0163009550227966</v>
      </c>
      <c r="AD125" s="13">
        <f t="shared" ref="AD125" si="3185">+AD124/Y124-1</f>
        <v>1.1846939772006002</v>
      </c>
      <c r="AE125" s="239">
        <f t="shared" ref="AE125" si="3186">+AE124/Z124-1</f>
        <v>0.7492158039205179</v>
      </c>
      <c r="AF125" s="13">
        <f>+AF124/AA124-1</f>
        <v>0.7730729526321618</v>
      </c>
      <c r="AG125" s="13">
        <f t="shared" ref="AG125" si="3187">+AG124/AB124-1</f>
        <v>0.27564211122406612</v>
      </c>
      <c r="AH125" s="13">
        <f t="shared" ref="AH125" si="3188">+AH124/AC124-1</f>
        <v>0.1569342507353324</v>
      </c>
      <c r="AI125" s="13">
        <f t="shared" ref="AI125" si="3189">+AI124/AD124-1</f>
        <v>0.12821594453852914</v>
      </c>
      <c r="AJ125" s="239">
        <f t="shared" ref="AJ125" si="3190">+AJ124/AE124-1</f>
        <v>0.29330477896726204</v>
      </c>
      <c r="AK125" s="13">
        <f>+AK124/AF124-1</f>
        <v>4.9859142395891842E-2</v>
      </c>
      <c r="AL125" s="13">
        <f t="shared" ref="AL125" si="3191">+AL124/AG124-1</f>
        <v>0.16982955563196267</v>
      </c>
      <c r="AM125" s="13">
        <f t="shared" ref="AM125" si="3192">+AM124/AH124-1</f>
        <v>0.25087517108540802</v>
      </c>
      <c r="AN125" s="13">
        <f t="shared" ref="AN125" si="3193">+AN124/AI124-1</f>
        <v>0.39774885373407609</v>
      </c>
      <c r="AO125" s="239">
        <f t="shared" ref="AO125" si="3194">+AO124/AJ124-1</f>
        <v>0.21716362183622673</v>
      </c>
      <c r="AP125" s="13">
        <f>+AP124/AK124-1</f>
        <v>0.38524418682194828</v>
      </c>
      <c r="AQ125" s="13">
        <f t="shared" ref="AQ125" si="3195">+AQ124/AL124-1</f>
        <v>0.34792646433195662</v>
      </c>
      <c r="AR125" s="13">
        <f t="shared" ref="AR125" si="3196">+AR124/AM124-1</f>
        <v>0.23102689865825954</v>
      </c>
      <c r="AS125" s="13">
        <f t="shared" ref="AS125" si="3197">+AS124/AN124-1</f>
        <v>7.0546074190404928E-2</v>
      </c>
      <c r="AT125" s="239">
        <f t="shared" ref="AT125" si="3198">+AT124/AO124-1</f>
        <v>0.24511867241545082</v>
      </c>
      <c r="AU125" s="13">
        <f>+AU124/AP124-1</f>
        <v>8.8681291253301708E-2</v>
      </c>
      <c r="AV125" s="13">
        <f t="shared" ref="AV125" si="3199">+AV124/AQ124-1</f>
        <v>8.8199525056353867E-2</v>
      </c>
      <c r="AW125" s="13">
        <f t="shared" ref="AW125" si="3200">+AW124/AR124-1</f>
        <v>8.7723622672047696E-2</v>
      </c>
      <c r="AX125" s="13">
        <f t="shared" ref="AX125" si="3201">+AX124/AS124-1</f>
        <v>7.9675165419019756E-2</v>
      </c>
      <c r="AY125" s="239">
        <f t="shared" ref="AY125" si="3202">+AY124/AT124-1</f>
        <v>8.6046734903948652E-2</v>
      </c>
      <c r="AZ125" s="13">
        <f>+AZ124/AU124-1</f>
        <v>8.3472419849961899E-2</v>
      </c>
      <c r="BA125" s="13">
        <f t="shared" ref="BA125" si="3203">+BA124/AV124-1</f>
        <v>5.580290260895282E-2</v>
      </c>
      <c r="BB125" s="13">
        <f t="shared" ref="BB125" si="3204">+BB124/AW124-1</f>
        <v>8.2642051250190862E-2</v>
      </c>
      <c r="BC125" s="13">
        <f t="shared" ref="BC125" si="3205">+BC124/AX124-1</f>
        <v>8.2642051250190862E-2</v>
      </c>
      <c r="BD125" s="239">
        <f t="shared" ref="BD125" si="3206">+BD124/AY124-1</f>
        <v>7.6147903055270527E-2</v>
      </c>
      <c r="BE125" s="13">
        <f>+BE124/AZ124-1</f>
        <v>6.3133447120743647E-2</v>
      </c>
      <c r="BF125" s="13">
        <f t="shared" ref="BF125" si="3207">+BF124/BA124-1</f>
        <v>0.1338702271490515</v>
      </c>
      <c r="BG125" s="13">
        <f t="shared" ref="BG125" si="3208">+BG124/BB124-1</f>
        <v>0.14153571365990048</v>
      </c>
      <c r="BH125" s="13">
        <f t="shared" ref="BH125" si="3209">+BH124/BC124-1</f>
        <v>0.16897870070138676</v>
      </c>
      <c r="BI125" s="239">
        <f t="shared" ref="BI125" si="3210">+BI124/BD124-1</f>
        <v>0.12699577856562394</v>
      </c>
      <c r="BJ125" s="13">
        <f>+BJ124/BE124-1</f>
        <v>0.18531214620452041</v>
      </c>
      <c r="BK125" s="13">
        <f t="shared" ref="BK125" si="3211">+BK124/BF124-1</f>
        <v>0.17850819665370987</v>
      </c>
      <c r="BL125" s="13">
        <f t="shared" ref="BL125" si="3212">+BL124/BG124-1</f>
        <v>0.1723932080577073</v>
      </c>
      <c r="BM125" s="13">
        <f t="shared" ref="BM125" si="3213">+BM124/BH124-1</f>
        <v>0.18126433441714118</v>
      </c>
      <c r="BN125" s="239">
        <f t="shared" ref="BN125" si="3214">+BN124/BI124-1</f>
        <v>0.17926988775807362</v>
      </c>
      <c r="BO125" s="13">
        <f>+BO124/BJ124-1</f>
        <v>0.15301849594380834</v>
      </c>
      <c r="BP125" s="13">
        <f t="shared" ref="BP125" si="3215">+BP124/BK124-1</f>
        <v>0.1480642853886891</v>
      </c>
      <c r="BQ125" s="13">
        <f t="shared" ref="BQ125" si="3216">+BQ124/BL124-1</f>
        <v>0.14375215722105961</v>
      </c>
      <c r="BR125" s="13">
        <f t="shared" ref="BR125" si="3217">+BR124/BM124-1</f>
        <v>0.13970573887471449</v>
      </c>
      <c r="BS125" s="239">
        <f t="shared" ref="BS125" si="3218">+BS124/BN124-1</f>
        <v>0.14594792988188443</v>
      </c>
      <c r="BT125" s="13">
        <f>+BT124/BO124-1</f>
        <v>0.13590120516025994</v>
      </c>
      <c r="BU125" s="13">
        <f t="shared" ref="BU125" si="3219">+BU124/BP124-1</f>
        <v>0.13206911963078594</v>
      </c>
      <c r="BV125" s="13">
        <f t="shared" ref="BV125" si="3220">+BV124/BQ124-1</f>
        <v>0.12870274255715053</v>
      </c>
      <c r="BW125" s="13">
        <f t="shared" ref="BW125" si="3221">+BW124/BR124-1</f>
        <v>0.1255206313542736</v>
      </c>
      <c r="BX125" s="239">
        <f t="shared" ref="BX125" si="3222">+BX124/BS124-1</f>
        <v>0.13041903126239118</v>
      </c>
      <c r="BY125" s="13">
        <f>+BY124/BT124-1</f>
        <v>0.12250805977687618</v>
      </c>
      <c r="BZ125" s="13">
        <f t="shared" ref="BZ125" si="3223">+BZ124/BU124-1</f>
        <v>0.11945710418190414</v>
      </c>
      <c r="CA125" s="13">
        <f t="shared" ref="CA125" si="3224">+CA124/BV124-1</f>
        <v>0.11675628854298536</v>
      </c>
      <c r="CB125" s="13">
        <f t="shared" ref="CB125" si="3225">+CB124/BW124-1</f>
        <v>0.11418845412557843</v>
      </c>
      <c r="CC125" s="239">
        <f t="shared" ref="CC125" si="3226">+CC124/BX124-1</f>
        <v>0.11813430148351634</v>
      </c>
      <c r="CD125" s="13">
        <f>+CD124/BY124-1</f>
        <v>0.11174401543190426</v>
      </c>
      <c r="CE125" s="13">
        <f t="shared" ref="CE125" si="3227">+CE124/BZ124-1</f>
        <v>0.10925857632688074</v>
      </c>
      <c r="CF125" s="13">
        <f t="shared" ref="CF125" si="3228">+CF124/CA124-1</f>
        <v>0.1070438027999614</v>
      </c>
      <c r="CG125" s="13">
        <f t="shared" ref="CG125" si="3229">+CG124/CB124-1</f>
        <v>0.10492812171835286</v>
      </c>
      <c r="CH125" s="239">
        <f t="shared" ref="CH125" si="3230">+CH124/CC124-1</f>
        <v>0.10817428751326297</v>
      </c>
      <c r="CI125" s="13">
        <f>+CI124/CD124-1</f>
        <v>0.10290502827235271</v>
      </c>
      <c r="CJ125" s="13">
        <f t="shared" ref="CJ125" si="3231">+CJ124/CE124-1</f>
        <v>0.10084212616582833</v>
      </c>
      <c r="CK125" s="13">
        <f t="shared" ref="CK125" si="3232">+CK124/CF124-1</f>
        <v>9.8993080708930759E-2</v>
      </c>
      <c r="CL125" s="13">
        <f t="shared" ref="CL125" si="3233">+CL124/CG124-1</f>
        <v>9.7219841870053392E-2</v>
      </c>
      <c r="CM125" s="239">
        <f t="shared" ref="CM125" si="3234">+CM124/CH124-1</f>
        <v>9.9937004526630124E-2</v>
      </c>
      <c r="CN125" s="13">
        <f>+CN124/CI124-1</f>
        <v>9.5517841446201235E-2</v>
      </c>
      <c r="CO125" s="13">
        <f t="shared" ref="CO125" si="3235">+CO124/CJ124-1</f>
        <v>9.3778934282841897E-2</v>
      </c>
      <c r="CP125" s="13">
        <f t="shared" ref="CP125" si="3236">+CP124/CK124-1</f>
        <v>9.2211969832720841E-2</v>
      </c>
      <c r="CQ125" s="13">
        <f t="shared" ref="CQ125" si="3237">+CQ124/CL124-1</f>
        <v>9.0704286344821083E-2</v>
      </c>
      <c r="CR125" s="239">
        <f t="shared" ref="CR125" si="3238">+CR124/CM124-1</f>
        <v>9.3011804468800641E-2</v>
      </c>
      <c r="CS125" s="13">
        <f>+CS124/CN124-1</f>
        <v>8.9252582220468835E-2</v>
      </c>
      <c r="CT125" s="13">
        <f t="shared" ref="CT125" si="3239">+CT124/CO124-1</f>
        <v>8.7767552793841519E-2</v>
      </c>
      <c r="CU125" s="13">
        <f t="shared" ref="CU125" si="3240">+CU124/CP124-1</f>
        <v>8.6422714788757293E-2</v>
      </c>
      <c r="CV125" s="13">
        <f t="shared" ref="CV125" si="3241">+CV124/CQ124-1</f>
        <v>8.5125106701877673E-2</v>
      </c>
      <c r="CW125" s="239">
        <f t="shared" ref="CW125" si="3242">+CW124/CR124-1</f>
        <v>8.7108953031895142E-2</v>
      </c>
      <c r="CX125" s="13">
        <f>+CX124/CS124-1</f>
        <v>8.3872283438013451E-2</v>
      </c>
      <c r="CY125" s="13">
        <f t="shared" ref="CY125" si="3243">+CY124/CT124-1</f>
        <v>8.2589883082499593E-2</v>
      </c>
      <c r="CZ125" s="13">
        <f t="shared" ref="CZ125" si="3244">+CZ124/CU124-1</f>
        <v>8.1423078334153187E-2</v>
      </c>
      <c r="DA125" s="13">
        <f t="shared" ref="DA125" si="3245">+DA124/CV124-1</f>
        <v>8.02945095188905E-2</v>
      </c>
      <c r="DB125" s="239">
        <f t="shared" ref="DB125" si="3246">+DB124/CW124-1</f>
        <v>8.201817772751574E-2</v>
      </c>
    </row>
    <row r="126" spans="1:106">
      <c r="A126" s="117" t="s">
        <v>288</v>
      </c>
      <c r="B126" s="119" t="s">
        <v>290</v>
      </c>
      <c r="C126" s="13">
        <f>+C124/B124-1</f>
        <v>6.6390058768319493E-2</v>
      </c>
      <c r="D126" s="13">
        <f t="shared" ref="D126:E126" si="3247">+D124/C124-1</f>
        <v>0.18386994377920329</v>
      </c>
      <c r="E126" s="13">
        <f t="shared" si="3247"/>
        <v>0.13747744365810743</v>
      </c>
      <c r="F126" s="235" t="s">
        <v>290</v>
      </c>
      <c r="G126" s="13">
        <f>+G124/E124-1</f>
        <v>0.11391348592412509</v>
      </c>
      <c r="H126" s="13">
        <f>+H124/G124-1</f>
        <v>-1.1178950403018861E-2</v>
      </c>
      <c r="I126" s="13">
        <f t="shared" ref="I126:J126" si="3248">+I124/H124-1</f>
        <v>0.68911357334261436</v>
      </c>
      <c r="J126" s="13">
        <f t="shared" si="3248"/>
        <v>-0.34098096336606276</v>
      </c>
      <c r="K126" s="235" t="s">
        <v>290</v>
      </c>
      <c r="L126" s="13">
        <f>+L124/J124-1</f>
        <v>0.14471810841983834</v>
      </c>
      <c r="M126" s="13">
        <f>+M124/L124-1</f>
        <v>-4.7875028573474476E-2</v>
      </c>
      <c r="N126" s="13">
        <f t="shared" ref="N126:O126" si="3249">+N124/M124-1</f>
        <v>-0.1354610102013124</v>
      </c>
      <c r="O126" s="13">
        <f t="shared" si="3249"/>
        <v>-9.4887750403657822E-2</v>
      </c>
      <c r="P126" s="235" t="s">
        <v>290</v>
      </c>
      <c r="Q126" s="13">
        <f>+Q124/O124-1</f>
        <v>0.12729033204736262</v>
      </c>
      <c r="R126" s="13">
        <f>+R124/Q124-1</f>
        <v>0.12509670579187082</v>
      </c>
      <c r="S126" s="13">
        <f t="shared" ref="S126:T126" si="3250">+S124/R124-1</f>
        <v>6.832376774721971E-2</v>
      </c>
      <c r="T126" s="13">
        <f t="shared" si="3250"/>
        <v>0.11731646734386225</v>
      </c>
      <c r="U126" s="235" t="s">
        <v>290</v>
      </c>
      <c r="V126" s="13">
        <f>+V124/T124-1</f>
        <v>0.12117996160800137</v>
      </c>
      <c r="W126" s="13">
        <f>+W124/V124-1</f>
        <v>-8.4017477813834285E-2</v>
      </c>
      <c r="X126" s="13">
        <f t="shared" ref="X126:Y126" si="3251">+X124/W124-1</f>
        <v>-4.8496410301078874E-2</v>
      </c>
      <c r="Y126" s="13">
        <f t="shared" si="3251"/>
        <v>-1.880879858988338E-2</v>
      </c>
      <c r="Z126" s="235" t="s">
        <v>290</v>
      </c>
      <c r="AA126" s="13">
        <f>+AA124/Y124-1</f>
        <v>0.402456773593175</v>
      </c>
      <c r="AB126" s="13">
        <f>+AB124/AA124-1</f>
        <v>0.28983364633623188</v>
      </c>
      <c r="AC126" s="13">
        <f t="shared" ref="AC126:AD126" si="3252">+AC124/AB124-1</f>
        <v>0.13600050565972688</v>
      </c>
      <c r="AD126" s="13">
        <f t="shared" si="3252"/>
        <v>6.3136186521652871E-2</v>
      </c>
      <c r="AE126" s="235" t="s">
        <v>290</v>
      </c>
      <c r="AF126" s="13">
        <f>+AF124/AD124-1</f>
        <v>0.13821807467980185</v>
      </c>
      <c r="AG126" s="13">
        <f>+AG124/AF124-1</f>
        <v>-7.2025709208632493E-2</v>
      </c>
      <c r="AH126" s="13">
        <f t="shared" ref="AH126:AI126" si="3253">+AH124/AG124-1</f>
        <v>3.0287321409650847E-2</v>
      </c>
      <c r="AI126" s="13">
        <f t="shared" si="3253"/>
        <v>3.6746207563017164E-2</v>
      </c>
      <c r="AJ126" s="235" t="s">
        <v>290</v>
      </c>
      <c r="AK126" s="13">
        <f>+AK124/AI124-1</f>
        <v>5.9166605052381582E-2</v>
      </c>
      <c r="AL126" s="13">
        <f>+AL124/AK124-1</f>
        <v>3.4016572696561109E-2</v>
      </c>
      <c r="AM126" s="13">
        <f t="shared" ref="AM126:AN126" si="3254">+AM124/AL124-1</f>
        <v>0.10166547188937458</v>
      </c>
      <c r="AN126" s="13">
        <f t="shared" si="3254"/>
        <v>0.15847756573258787</v>
      </c>
      <c r="AO126" s="235" t="s">
        <v>290</v>
      </c>
      <c r="AP126" s="13">
        <f>+AP124/AN124-1</f>
        <v>4.9690993203195033E-2</v>
      </c>
      <c r="AQ126" s="13">
        <f>+AQ124/AP124-1</f>
        <v>6.160730472476672E-3</v>
      </c>
      <c r="AR126" s="13">
        <f t="shared" ref="AR126:AS126" si="3255">+AR124/AQ124-1</f>
        <v>6.123008268851482E-3</v>
      </c>
      <c r="AS126" s="13">
        <f t="shared" si="3255"/>
        <v>7.4545173500442097E-3</v>
      </c>
      <c r="AT126" s="235" t="s">
        <v>290</v>
      </c>
      <c r="AU126" s="13">
        <f>+AU124/AS124-1</f>
        <v>6.7472921949329523E-2</v>
      </c>
      <c r="AV126" s="13">
        <f>+AV124/AU124-1</f>
        <v>5.7154814978386259E-3</v>
      </c>
      <c r="AW126" s="13">
        <f t="shared" ref="AW126:AX126" si="3256">+AW124/AV124-1</f>
        <v>5.6830004141195101E-3</v>
      </c>
      <c r="AX126" s="13">
        <f t="shared" si="3256"/>
        <v>0</v>
      </c>
      <c r="AY126" s="235" t="s">
        <v>290</v>
      </c>
      <c r="AZ126" s="13">
        <f>+AZ124/AX124-1</f>
        <v>7.1227260673245141E-2</v>
      </c>
      <c r="BA126" s="13">
        <f>+BA124/AZ124-1</f>
        <v>-1.9968293506519741E-2</v>
      </c>
      <c r="BB126" s="13">
        <f t="shared" ref="BB126:BC126" si="3257">+BB124/BA124-1</f>
        <v>3.1248070814459128E-2</v>
      </c>
      <c r="BC126" s="13">
        <f t="shared" si="3257"/>
        <v>0</v>
      </c>
      <c r="BD126" s="235" t="s">
        <v>290</v>
      </c>
      <c r="BE126" s="13">
        <f>+BE124/BC124-1</f>
        <v>5.1924344684517232E-2</v>
      </c>
      <c r="BF126" s="13">
        <f>+BF124/BE124-1</f>
        <v>4.5239218711956575E-2</v>
      </c>
      <c r="BG126" s="13">
        <f t="shared" ref="BG126" si="3258">+BG124/BF124-1</f>
        <v>3.8219784143631808E-2</v>
      </c>
      <c r="BH126" s="13">
        <f t="shared" ref="BH126" si="3259">+BH124/BG124-1</f>
        <v>2.4040410398988632E-2</v>
      </c>
      <c r="BI126" s="235" t="s">
        <v>290</v>
      </c>
      <c r="BJ126" s="13">
        <f>+BJ124/BH124-1</f>
        <v>6.6622259152090857E-2</v>
      </c>
      <c r="BK126" s="13">
        <f>+BK124/BJ124-1</f>
        <v>3.9239318233911469E-2</v>
      </c>
      <c r="BL126" s="13">
        <f t="shared" ref="BL126" si="3260">+BL124/BK124-1</f>
        <v>3.2832717546887658E-2</v>
      </c>
      <c r="BM126" s="13">
        <f t="shared" ref="BM126" si="3261">+BM124/BL124-1</f>
        <v>3.1788998343186936E-2</v>
      </c>
      <c r="BN126" s="235" t="s">
        <v>290</v>
      </c>
      <c r="BO126" s="13">
        <f>+BO124/BM124-1</f>
        <v>4.1117688188355705E-2</v>
      </c>
      <c r="BP126" s="13">
        <f>+BP124/BO124-1</f>
        <v>3.4773986222498277E-2</v>
      </c>
      <c r="BQ126" s="13">
        <f t="shared" ref="BQ126" si="3262">+BQ124/BP124-1</f>
        <v>2.8953399018765813E-2</v>
      </c>
      <c r="BR126" s="13">
        <f t="shared" ref="BR126" si="3263">+BR124/BQ124-1</f>
        <v>2.8138688347185026E-2</v>
      </c>
      <c r="BS126" s="235" t="s">
        <v>290</v>
      </c>
      <c r="BT126" s="13">
        <f>+BT124/BR124-1</f>
        <v>3.7642258338069556E-2</v>
      </c>
      <c r="BU126" s="13">
        <f>+BU124/BT124-1</f>
        <v>3.1283064300005936E-2</v>
      </c>
      <c r="BV126" s="13">
        <f t="shared" ref="BV126" si="3264">+BV124/BU124-1</f>
        <v>2.5893651983685873E-2</v>
      </c>
      <c r="BW126" s="13">
        <f t="shared" ref="BW126" si="3265">+BW124/BV124-1</f>
        <v>2.5240093779328454E-2</v>
      </c>
      <c r="BX126" s="235" t="s">
        <v>290</v>
      </c>
      <c r="BY126" s="13">
        <f>+BY124/BW124-1</f>
        <v>3.4864902252455865E-2</v>
      </c>
      <c r="BZ126" s="13">
        <f>+BZ124/BY124-1</f>
        <v>2.8480056510777674E-2</v>
      </c>
      <c r="CA126" s="13">
        <f t="shared" ref="CA126" si="3266">+CA124/BZ124-1</f>
        <v>2.3418568651958127E-2</v>
      </c>
      <c r="CB126" s="13">
        <f t="shared" ref="CB126" si="3267">+CB124/CA124-1</f>
        <v>2.288268883259037E-2</v>
      </c>
      <c r="CC126" s="235" t="s">
        <v>290</v>
      </c>
      <c r="CD126" s="13">
        <f>+CD124/CB124-1</f>
        <v>3.2594492968977207E-2</v>
      </c>
      <c r="CE126" s="13">
        <f>+CE124/CD124-1</f>
        <v>2.6180764123586053E-2</v>
      </c>
      <c r="CF126" s="13">
        <f t="shared" ref="CF126" si="3268">+CF124/CE124-1</f>
        <v>2.1375185439800548E-2</v>
      </c>
      <c r="CG126" s="13">
        <f t="shared" ref="CG126" si="3269">+CG124/CF124-1</f>
        <v>2.0927848791036041E-2</v>
      </c>
      <c r="CH126" s="235" t="s">
        <v>290</v>
      </c>
      <c r="CI126" s="13">
        <f>+CI124/CG124-1</f>
        <v>3.0703840436889562E-2</v>
      </c>
      <c r="CJ126" s="13">
        <f>+CJ124/CI124-1</f>
        <v>2.4261369066242322E-2</v>
      </c>
      <c r="CK126" s="13">
        <f t="shared" ref="CK126" si="3270">+CK124/CJ124-1</f>
        <v>1.9659617783425398E-2</v>
      </c>
      <c r="CL126" s="13">
        <f t="shared" ref="CL126" si="3271">+CL124/CK124-1</f>
        <v>1.9280569163033334E-2</v>
      </c>
      <c r="CM126" s="235" t="s">
        <v>290</v>
      </c>
      <c r="CN126" s="13">
        <f>+CN124/CL124-1</f>
        <v>2.9105019210416305E-2</v>
      </c>
      <c r="CO126" s="13">
        <f>+CO124/CN124-1</f>
        <v>2.2635566761215253E-2</v>
      </c>
      <c r="CP126" s="13">
        <f t="shared" ref="CP126" si="3272">+CP124/CO124-1</f>
        <v>1.8198837801099099E-2</v>
      </c>
      <c r="CQ126" s="13">
        <f t="shared" ref="CQ126" si="3273">+CQ124/CP124-1</f>
        <v>1.7873559785632542E-2</v>
      </c>
      <c r="CR126" s="235" t="s">
        <v>290</v>
      </c>
      <c r="CS126" s="13">
        <f>+CS124/CQ124-1</f>
        <v>2.7735302395800909E-2</v>
      </c>
      <c r="CT126" s="13">
        <f>+CT124/CS124-1</f>
        <v>2.1241359454164277E-2</v>
      </c>
      <c r="CU126" s="13">
        <f t="shared" ref="CU126" si="3274">+CU124/CT124-1</f>
        <v>1.6940009579673898E-2</v>
      </c>
      <c r="CV126" s="13">
        <f t="shared" ref="CV126" si="3275">+CV124/CU124-1</f>
        <v>1.665782585019504E-2</v>
      </c>
      <c r="CW126" s="235" t="s">
        <v>290</v>
      </c>
      <c r="CX126" s="13">
        <f>+CX124/CV124-1</f>
        <v>2.6548738111200176E-2</v>
      </c>
      <c r="CY126" s="13">
        <f>+CY124/CX124-1</f>
        <v>2.0033061850801559E-2</v>
      </c>
      <c r="CZ126" s="13">
        <f t="shared" ref="CZ126" si="3276">+CZ124/CY124-1</f>
        <v>1.5843961620512603E-2</v>
      </c>
      <c r="DA126" s="13">
        <f t="shared" ref="DA126" si="3277">+DA124/CZ124-1</f>
        <v>1.5596845794346059E-2</v>
      </c>
      <c r="DB126" s="235" t="s">
        <v>290</v>
      </c>
    </row>
    <row r="127" spans="1:106">
      <c r="F127" s="217"/>
      <c r="K127" s="217"/>
      <c r="P127" s="217"/>
      <c r="U127" s="217"/>
      <c r="Z127" s="217"/>
      <c r="AE127" s="217"/>
      <c r="AJ127" s="217"/>
      <c r="AO127" s="217"/>
      <c r="AT127" s="217"/>
      <c r="AY127" s="217"/>
      <c r="BD127" s="217"/>
      <c r="BI127" s="217"/>
      <c r="BN127" s="217"/>
      <c r="BS127" s="217"/>
      <c r="BX127" s="217"/>
      <c r="CC127" s="217"/>
      <c r="CH127" s="217"/>
      <c r="CM127" s="217"/>
      <c r="CR127" s="217"/>
      <c r="CW127" s="217"/>
      <c r="DB127" s="217"/>
    </row>
    <row r="128" spans="1:106" s="51" customFormat="1">
      <c r="A128" s="51" t="s">
        <v>289</v>
      </c>
      <c r="B128" s="226">
        <f>+B132/B124*1000000</f>
        <v>572.5097981609639</v>
      </c>
      <c r="C128" s="226">
        <f t="shared" ref="C128:E128" si="3278">+C132/C124*1000000</f>
        <v>526.44288038400418</v>
      </c>
      <c r="D128" s="226">
        <f t="shared" si="3278"/>
        <v>714.97881916365498</v>
      </c>
      <c r="E128" s="226">
        <f t="shared" si="3278"/>
        <v>753.99769958894285</v>
      </c>
      <c r="F128" s="236">
        <f>+F132/F124*1000000</f>
        <v>654.64375008346474</v>
      </c>
      <c r="G128" s="226">
        <f>+G132/G124*1000000</f>
        <v>560.93614301106811</v>
      </c>
      <c r="H128" s="226">
        <f t="shared" ref="H128:I128" si="3279">+H132/H124*1000000</f>
        <v>446.82751866813913</v>
      </c>
      <c r="I128" s="226">
        <f t="shared" si="3279"/>
        <v>484.06498501207392</v>
      </c>
      <c r="J128" s="226">
        <v>475</v>
      </c>
      <c r="K128" s="236">
        <f>+K132/K124*1000000</f>
        <v>490.38294474182442</v>
      </c>
      <c r="L128" s="226">
        <v>390</v>
      </c>
      <c r="M128" s="226">
        <v>440</v>
      </c>
      <c r="N128" s="226">
        <v>440</v>
      </c>
      <c r="O128" s="226">
        <v>450</v>
      </c>
      <c r="P128" s="236">
        <f>+P132/P124*1000000</f>
        <v>427.9131391011893</v>
      </c>
      <c r="Q128" s="226">
        <v>400</v>
      </c>
      <c r="R128" s="226">
        <v>400</v>
      </c>
      <c r="S128" s="226">
        <v>360</v>
      </c>
      <c r="T128" s="226">
        <v>460</v>
      </c>
      <c r="U128" s="236">
        <f>+U132/U124*1000000</f>
        <v>406.95924865335854</v>
      </c>
      <c r="V128" s="226">
        <v>410</v>
      </c>
      <c r="W128" s="226">
        <v>340</v>
      </c>
      <c r="X128" s="226">
        <v>355</v>
      </c>
      <c r="Y128" s="226">
        <v>335</v>
      </c>
      <c r="Z128" s="236">
        <f>+Z132/Z124*1000000</f>
        <v>361.63157475789495</v>
      </c>
      <c r="AA128" s="226">
        <v>277</v>
      </c>
      <c r="AB128" s="226">
        <v>300</v>
      </c>
      <c r="AC128" s="226">
        <v>315</v>
      </c>
      <c r="AD128" s="226">
        <v>360</v>
      </c>
      <c r="AE128" s="236">
        <f>+AE132/AE124*1000000</f>
        <v>317.40017975962746</v>
      </c>
      <c r="AF128" s="226">
        <v>375</v>
      </c>
      <c r="AG128" s="226">
        <v>350</v>
      </c>
      <c r="AH128" s="226">
        <v>350</v>
      </c>
      <c r="AI128" s="226">
        <v>350</v>
      </c>
      <c r="AJ128" s="236">
        <f>+AJ132/AJ124*1000000</f>
        <v>356.45116855823829</v>
      </c>
      <c r="AK128" s="226">
        <v>275</v>
      </c>
      <c r="AL128" s="226">
        <v>275</v>
      </c>
      <c r="AM128" s="226">
        <v>275</v>
      </c>
      <c r="AN128" s="226">
        <v>275</v>
      </c>
      <c r="AO128" s="236">
        <f>+AO132/AO124*1000000</f>
        <v>275</v>
      </c>
      <c r="AP128" s="226">
        <v>270</v>
      </c>
      <c r="AQ128" s="226">
        <v>270</v>
      </c>
      <c r="AR128" s="226">
        <v>270</v>
      </c>
      <c r="AS128" s="226">
        <v>270</v>
      </c>
      <c r="AT128" s="236">
        <f>+AT132/AT124*1000000</f>
        <v>270</v>
      </c>
      <c r="AU128" s="226">
        <v>275</v>
      </c>
      <c r="AV128" s="226">
        <v>275</v>
      </c>
      <c r="AW128" s="226">
        <v>275</v>
      </c>
      <c r="AX128" s="226">
        <v>275</v>
      </c>
      <c r="AY128" s="236">
        <f>+AY132/AY124*1000000</f>
        <v>275.00000000000006</v>
      </c>
      <c r="AZ128" s="226">
        <v>325</v>
      </c>
      <c r="BA128" s="226">
        <v>350</v>
      </c>
      <c r="BB128" s="226">
        <v>350</v>
      </c>
      <c r="BC128" s="226">
        <v>350</v>
      </c>
      <c r="BD128" s="236">
        <f>+BD132/BD124*1000000</f>
        <v>343.7520982325542</v>
      </c>
      <c r="BE128" s="226">
        <v>350</v>
      </c>
      <c r="BF128" s="226">
        <v>350</v>
      </c>
      <c r="BG128" s="226">
        <v>350</v>
      </c>
      <c r="BH128" s="226">
        <v>350</v>
      </c>
      <c r="BI128" s="236">
        <f>+BI132/BI124*1000000</f>
        <v>350.00000000000006</v>
      </c>
      <c r="BJ128" s="226">
        <v>300</v>
      </c>
      <c r="BK128" s="226">
        <v>300</v>
      </c>
      <c r="BL128" s="226">
        <v>300</v>
      </c>
      <c r="BM128" s="226">
        <v>300</v>
      </c>
      <c r="BN128" s="236">
        <f>+BN132/BN124*1000000</f>
        <v>300</v>
      </c>
      <c r="BO128" s="226">
        <v>300</v>
      </c>
      <c r="BP128" s="226">
        <v>300</v>
      </c>
      <c r="BQ128" s="226">
        <v>300</v>
      </c>
      <c r="BR128" s="226">
        <v>300</v>
      </c>
      <c r="BS128" s="236">
        <f>+BS132/BS124*1000000</f>
        <v>300</v>
      </c>
      <c r="BT128" s="226">
        <v>300</v>
      </c>
      <c r="BU128" s="226">
        <v>300</v>
      </c>
      <c r="BV128" s="226">
        <v>300</v>
      </c>
      <c r="BW128" s="226">
        <v>300</v>
      </c>
      <c r="BX128" s="236">
        <f>+BX132/BX124*1000000</f>
        <v>300</v>
      </c>
      <c r="BY128" s="226">
        <v>300</v>
      </c>
      <c r="BZ128" s="226">
        <v>300</v>
      </c>
      <c r="CA128" s="226">
        <v>300</v>
      </c>
      <c r="CB128" s="226">
        <v>300</v>
      </c>
      <c r="CC128" s="236">
        <f>+CC132/CC124*1000000</f>
        <v>300</v>
      </c>
      <c r="CD128" s="226">
        <v>300</v>
      </c>
      <c r="CE128" s="226">
        <v>300</v>
      </c>
      <c r="CF128" s="226">
        <v>300</v>
      </c>
      <c r="CG128" s="226">
        <v>300</v>
      </c>
      <c r="CH128" s="236">
        <f>+CH132/CH124*1000000</f>
        <v>300</v>
      </c>
      <c r="CI128" s="226">
        <v>300</v>
      </c>
      <c r="CJ128" s="226">
        <v>300</v>
      </c>
      <c r="CK128" s="226">
        <v>300</v>
      </c>
      <c r="CL128" s="226">
        <v>300</v>
      </c>
      <c r="CM128" s="236">
        <f>+CM132/CM124*1000000</f>
        <v>300</v>
      </c>
      <c r="CN128" s="226">
        <v>300</v>
      </c>
      <c r="CO128" s="226">
        <v>300</v>
      </c>
      <c r="CP128" s="226">
        <v>300</v>
      </c>
      <c r="CQ128" s="226">
        <v>300</v>
      </c>
      <c r="CR128" s="236">
        <f>+CR132/CR124*1000000</f>
        <v>300</v>
      </c>
      <c r="CS128" s="226">
        <v>300</v>
      </c>
      <c r="CT128" s="226">
        <v>300</v>
      </c>
      <c r="CU128" s="226">
        <v>300</v>
      </c>
      <c r="CV128" s="226">
        <v>300</v>
      </c>
      <c r="CW128" s="236">
        <f>+CW132/CW124*1000000</f>
        <v>300</v>
      </c>
      <c r="CX128" s="226">
        <v>300</v>
      </c>
      <c r="CY128" s="226">
        <v>300</v>
      </c>
      <c r="CZ128" s="226">
        <v>300</v>
      </c>
      <c r="DA128" s="226">
        <v>300</v>
      </c>
      <c r="DB128" s="236">
        <f>+DB132/DB124*1000000</f>
        <v>300</v>
      </c>
    </row>
    <row r="129" spans="1:106">
      <c r="A129" s="117" t="s">
        <v>281</v>
      </c>
      <c r="B129" s="119" t="s">
        <v>290</v>
      </c>
      <c r="C129" s="119" t="s">
        <v>290</v>
      </c>
      <c r="D129" s="119" t="s">
        <v>290</v>
      </c>
      <c r="E129" s="119" t="s">
        <v>290</v>
      </c>
      <c r="F129" s="235" t="s">
        <v>290</v>
      </c>
      <c r="G129" s="13">
        <f>+G128/B128-1</f>
        <v>-2.0215645543662508E-2</v>
      </c>
      <c r="H129" s="13">
        <f t="shared" ref="H129" si="3280">+H128/C128-1</f>
        <v>-0.15123266869482799</v>
      </c>
      <c r="I129" s="13">
        <f t="shared" ref="I129" si="3281">+I128/D128-1</f>
        <v>-0.32296597879877342</v>
      </c>
      <c r="J129" s="13">
        <f t="shared" ref="J129" si="3282">+J128/E128-1</f>
        <v>-0.37002460317988251</v>
      </c>
      <c r="K129" s="239">
        <f t="shared" ref="K129" si="3283">+K128/F128-1</f>
        <v>-0.25091632711791356</v>
      </c>
      <c r="L129" s="13">
        <f>+L128/G128-1</f>
        <v>-0.30473369409482909</v>
      </c>
      <c r="M129" s="13">
        <f t="shared" ref="M129" si="3284">+M128/H128-1</f>
        <v>-1.5279986981307614E-2</v>
      </c>
      <c r="N129" s="13">
        <f t="shared" ref="N129" si="3285">+N128/I128-1</f>
        <v>-9.1031135026167664E-2</v>
      </c>
      <c r="O129" s="13">
        <f t="shared" ref="O129" si="3286">+O128/J128-1</f>
        <v>-5.2631578947368474E-2</v>
      </c>
      <c r="P129" s="239">
        <f t="shared" ref="P129" si="3287">+P128/K128-1</f>
        <v>-0.1273898415727408</v>
      </c>
      <c r="Q129" s="13">
        <f>+Q128/L128-1</f>
        <v>2.564102564102555E-2</v>
      </c>
      <c r="R129" s="13">
        <f t="shared" ref="R129" si="3288">+R128/M128-1</f>
        <v>-9.0909090909090939E-2</v>
      </c>
      <c r="S129" s="13">
        <f t="shared" ref="S129" si="3289">+S128/N128-1</f>
        <v>-0.18181818181818177</v>
      </c>
      <c r="T129" s="13">
        <f t="shared" ref="T129" si="3290">+T128/O128-1</f>
        <v>2.2222222222222143E-2</v>
      </c>
      <c r="U129" s="239">
        <f t="shared" ref="U129" si="3291">+U128/P128-1</f>
        <v>-4.8967625747233123E-2</v>
      </c>
      <c r="V129" s="13">
        <f>+V128/Q128-1</f>
        <v>2.4999999999999911E-2</v>
      </c>
      <c r="W129" s="13">
        <f t="shared" ref="W129" si="3292">+W128/R128-1</f>
        <v>-0.15000000000000002</v>
      </c>
      <c r="X129" s="13">
        <f t="shared" ref="X129" si="3293">+X128/S128-1</f>
        <v>-1.388888888888884E-2</v>
      </c>
      <c r="Y129" s="13">
        <f t="shared" ref="Y129" si="3294">+Y128/T128-1</f>
        <v>-0.27173913043478259</v>
      </c>
      <c r="Z129" s="239">
        <f t="shared" ref="Z129" si="3295">+Z128/U128-1</f>
        <v>-0.11138135831893325</v>
      </c>
      <c r="AA129" s="13">
        <f>+AA128/V128-1</f>
        <v>-0.32439024390243898</v>
      </c>
      <c r="AB129" s="13">
        <f t="shared" ref="AB129" si="3296">+AB128/W128-1</f>
        <v>-0.11764705882352944</v>
      </c>
      <c r="AC129" s="13">
        <f t="shared" ref="AC129" si="3297">+AC128/X128-1</f>
        <v>-0.11267605633802813</v>
      </c>
      <c r="AD129" s="13">
        <f t="shared" ref="AD129" si="3298">+AD128/Y128-1</f>
        <v>7.4626865671641784E-2</v>
      </c>
      <c r="AE129" s="239">
        <f t="shared" ref="AE129" si="3299">+AE128/Z128-1</f>
        <v>-0.12231065561097509</v>
      </c>
      <c r="AF129" s="13">
        <f>+AF128/AA128-1</f>
        <v>0.35379061371841147</v>
      </c>
      <c r="AG129" s="13">
        <f t="shared" ref="AG129" si="3300">+AG128/AB128-1</f>
        <v>0.16666666666666674</v>
      </c>
      <c r="AH129" s="13">
        <f t="shared" ref="AH129" si="3301">+AH128/AC128-1</f>
        <v>0.11111111111111116</v>
      </c>
      <c r="AI129" s="13">
        <f t="shared" ref="AI129" si="3302">+AI128/AD128-1</f>
        <v>-2.777777777777779E-2</v>
      </c>
      <c r="AJ129" s="239">
        <f t="shared" ref="AJ129" si="3303">+AJ128/AE128-1</f>
        <v>0.12303392149363246</v>
      </c>
      <c r="AK129" s="13">
        <f>+AK128/AF128-1</f>
        <v>-0.26666666666666672</v>
      </c>
      <c r="AL129" s="13">
        <f t="shared" ref="AL129" si="3304">+AL128/AG128-1</f>
        <v>-0.2142857142857143</v>
      </c>
      <c r="AM129" s="13">
        <f t="shared" ref="AM129" si="3305">+AM128/AH128-1</f>
        <v>-0.2142857142857143</v>
      </c>
      <c r="AN129" s="13">
        <f t="shared" ref="AN129" si="3306">+AN128/AI128-1</f>
        <v>-0.2142857142857143</v>
      </c>
      <c r="AO129" s="239">
        <f t="shared" ref="AO129" si="3307">+AO128/AJ128-1</f>
        <v>-0.2285058256021133</v>
      </c>
      <c r="AP129" s="13">
        <f>+AP128/AK128-1</f>
        <v>-1.8181818181818188E-2</v>
      </c>
      <c r="AQ129" s="13">
        <f t="shared" ref="AQ129" si="3308">+AQ128/AL128-1</f>
        <v>-1.8181818181818188E-2</v>
      </c>
      <c r="AR129" s="13">
        <f t="shared" ref="AR129" si="3309">+AR128/AM128-1</f>
        <v>-1.8181818181818188E-2</v>
      </c>
      <c r="AS129" s="13">
        <f t="shared" ref="AS129" si="3310">+AS128/AN128-1</f>
        <v>-1.8181818181818188E-2</v>
      </c>
      <c r="AT129" s="239">
        <f t="shared" ref="AT129" si="3311">+AT128/AO128-1</f>
        <v>-1.8181818181818188E-2</v>
      </c>
      <c r="AU129" s="13">
        <f>+AU128/AP128-1</f>
        <v>1.8518518518518601E-2</v>
      </c>
      <c r="AV129" s="13">
        <f t="shared" ref="AV129" si="3312">+AV128/AQ128-1</f>
        <v>1.8518518518518601E-2</v>
      </c>
      <c r="AW129" s="13">
        <f t="shared" ref="AW129" si="3313">+AW128/AR128-1</f>
        <v>1.8518518518518601E-2</v>
      </c>
      <c r="AX129" s="13">
        <f t="shared" ref="AX129" si="3314">+AX128/AS128-1</f>
        <v>1.8518518518518601E-2</v>
      </c>
      <c r="AY129" s="239">
        <f t="shared" ref="AY129" si="3315">+AY128/AT128-1</f>
        <v>1.8518518518518823E-2</v>
      </c>
      <c r="AZ129" s="13">
        <f>+AZ128/AU128-1</f>
        <v>0.18181818181818188</v>
      </c>
      <c r="BA129" s="13">
        <f t="shared" ref="BA129" si="3316">+BA128/AV128-1</f>
        <v>0.27272727272727271</v>
      </c>
      <c r="BB129" s="13">
        <f t="shared" ref="BB129" si="3317">+BB128/AW128-1</f>
        <v>0.27272727272727271</v>
      </c>
      <c r="BC129" s="13">
        <f t="shared" ref="BC129" si="3318">+BC128/AX128-1</f>
        <v>0.27272727272727271</v>
      </c>
      <c r="BD129" s="239">
        <f t="shared" ref="BD129" si="3319">+BD128/AY128-1</f>
        <v>0.25000762993656056</v>
      </c>
      <c r="BE129" s="13">
        <f>+BE128/AZ128-1</f>
        <v>7.6923076923076872E-2</v>
      </c>
      <c r="BF129" s="13">
        <f t="shared" ref="BF129" si="3320">+BF128/BA128-1</f>
        <v>0</v>
      </c>
      <c r="BG129" s="13">
        <f t="shared" ref="BG129" si="3321">+BG128/BB128-1</f>
        <v>0</v>
      </c>
      <c r="BH129" s="13">
        <f t="shared" ref="BH129" si="3322">+BH128/BC128-1</f>
        <v>0</v>
      </c>
      <c r="BI129" s="239">
        <f t="shared" ref="BI129" si="3323">+BI128/BD128-1</f>
        <v>1.8175603289609654E-2</v>
      </c>
      <c r="BJ129" s="13">
        <f>+BJ128/BE128-1</f>
        <v>-0.1428571428571429</v>
      </c>
      <c r="BK129" s="13">
        <f t="shared" ref="BK129" si="3324">+BK128/BF128-1</f>
        <v>-0.1428571428571429</v>
      </c>
      <c r="BL129" s="13">
        <f t="shared" ref="BL129" si="3325">+BL128/BG128-1</f>
        <v>-0.1428571428571429</v>
      </c>
      <c r="BM129" s="13">
        <f t="shared" ref="BM129" si="3326">+BM128/BH128-1</f>
        <v>-0.1428571428571429</v>
      </c>
      <c r="BN129" s="239">
        <f t="shared" ref="BN129" si="3327">+BN128/BI128-1</f>
        <v>-0.14285714285714302</v>
      </c>
      <c r="BO129" s="13">
        <f>+BO128/BJ128-1</f>
        <v>0</v>
      </c>
      <c r="BP129" s="13">
        <f t="shared" ref="BP129" si="3328">+BP128/BK128-1</f>
        <v>0</v>
      </c>
      <c r="BQ129" s="13">
        <f t="shared" ref="BQ129" si="3329">+BQ128/BL128-1</f>
        <v>0</v>
      </c>
      <c r="BR129" s="13">
        <f t="shared" ref="BR129" si="3330">+BR128/BM128-1</f>
        <v>0</v>
      </c>
      <c r="BS129" s="239">
        <f t="shared" ref="BS129" si="3331">+BS128/BN128-1</f>
        <v>0</v>
      </c>
      <c r="BT129" s="13">
        <f>+BT128/BO128-1</f>
        <v>0</v>
      </c>
      <c r="BU129" s="13">
        <f t="shared" ref="BU129" si="3332">+BU128/BP128-1</f>
        <v>0</v>
      </c>
      <c r="BV129" s="13">
        <f t="shared" ref="BV129" si="3333">+BV128/BQ128-1</f>
        <v>0</v>
      </c>
      <c r="BW129" s="13">
        <f t="shared" ref="BW129" si="3334">+BW128/BR128-1</f>
        <v>0</v>
      </c>
      <c r="BX129" s="239">
        <f t="shared" ref="BX129" si="3335">+BX128/BS128-1</f>
        <v>0</v>
      </c>
      <c r="BY129" s="13">
        <f>+BY128/BT128-1</f>
        <v>0</v>
      </c>
      <c r="BZ129" s="13">
        <f t="shared" ref="BZ129" si="3336">+BZ128/BU128-1</f>
        <v>0</v>
      </c>
      <c r="CA129" s="13">
        <f t="shared" ref="CA129" si="3337">+CA128/BV128-1</f>
        <v>0</v>
      </c>
      <c r="CB129" s="13">
        <f t="shared" ref="CB129" si="3338">+CB128/BW128-1</f>
        <v>0</v>
      </c>
      <c r="CC129" s="239">
        <f t="shared" ref="CC129" si="3339">+CC128/BX128-1</f>
        <v>0</v>
      </c>
      <c r="CD129" s="13">
        <f>+CD128/BY128-1</f>
        <v>0</v>
      </c>
      <c r="CE129" s="13">
        <f t="shared" ref="CE129" si="3340">+CE128/BZ128-1</f>
        <v>0</v>
      </c>
      <c r="CF129" s="13">
        <f t="shared" ref="CF129" si="3341">+CF128/CA128-1</f>
        <v>0</v>
      </c>
      <c r="CG129" s="13">
        <f t="shared" ref="CG129" si="3342">+CG128/CB128-1</f>
        <v>0</v>
      </c>
      <c r="CH129" s="239">
        <f t="shared" ref="CH129" si="3343">+CH128/CC128-1</f>
        <v>0</v>
      </c>
      <c r="CI129" s="13">
        <f>+CI128/CD128-1</f>
        <v>0</v>
      </c>
      <c r="CJ129" s="13">
        <f t="shared" ref="CJ129" si="3344">+CJ128/CE128-1</f>
        <v>0</v>
      </c>
      <c r="CK129" s="13">
        <f t="shared" ref="CK129" si="3345">+CK128/CF128-1</f>
        <v>0</v>
      </c>
      <c r="CL129" s="13">
        <f t="shared" ref="CL129" si="3346">+CL128/CG128-1</f>
        <v>0</v>
      </c>
      <c r="CM129" s="239">
        <f t="shared" ref="CM129" si="3347">+CM128/CH128-1</f>
        <v>0</v>
      </c>
      <c r="CN129" s="13">
        <f>+CN128/CI128-1</f>
        <v>0</v>
      </c>
      <c r="CO129" s="13">
        <f t="shared" ref="CO129" si="3348">+CO128/CJ128-1</f>
        <v>0</v>
      </c>
      <c r="CP129" s="13">
        <f t="shared" ref="CP129" si="3349">+CP128/CK128-1</f>
        <v>0</v>
      </c>
      <c r="CQ129" s="13">
        <f t="shared" ref="CQ129" si="3350">+CQ128/CL128-1</f>
        <v>0</v>
      </c>
      <c r="CR129" s="239">
        <f t="shared" ref="CR129" si="3351">+CR128/CM128-1</f>
        <v>0</v>
      </c>
      <c r="CS129" s="13">
        <f>+CS128/CN128-1</f>
        <v>0</v>
      </c>
      <c r="CT129" s="13">
        <f t="shared" ref="CT129" si="3352">+CT128/CO128-1</f>
        <v>0</v>
      </c>
      <c r="CU129" s="13">
        <f t="shared" ref="CU129" si="3353">+CU128/CP128-1</f>
        <v>0</v>
      </c>
      <c r="CV129" s="13">
        <f t="shared" ref="CV129" si="3354">+CV128/CQ128-1</f>
        <v>0</v>
      </c>
      <c r="CW129" s="239">
        <f t="shared" ref="CW129" si="3355">+CW128/CR128-1</f>
        <v>0</v>
      </c>
      <c r="CX129" s="13">
        <f>+CX128/CS128-1</f>
        <v>0</v>
      </c>
      <c r="CY129" s="13">
        <f t="shared" ref="CY129" si="3356">+CY128/CT128-1</f>
        <v>0</v>
      </c>
      <c r="CZ129" s="13">
        <f t="shared" ref="CZ129" si="3357">+CZ128/CU128-1</f>
        <v>0</v>
      </c>
      <c r="DA129" s="13">
        <f t="shared" ref="DA129" si="3358">+DA128/CV128-1</f>
        <v>0</v>
      </c>
      <c r="DB129" s="239">
        <f t="shared" ref="DB129" si="3359">+DB128/CW128-1</f>
        <v>0</v>
      </c>
    </row>
    <row r="130" spans="1:106">
      <c r="A130" s="117" t="s">
        <v>288</v>
      </c>
      <c r="B130" s="119" t="s">
        <v>290</v>
      </c>
      <c r="C130" s="13">
        <f>+C128/B128-1</f>
        <v>-8.0464854793642848E-2</v>
      </c>
      <c r="D130" s="13">
        <f t="shared" ref="D130:E130" si="3360">+D128/C128-1</f>
        <v>0.35813180461691618</v>
      </c>
      <c r="E130" s="13">
        <f t="shared" si="3360"/>
        <v>5.4573477394659342E-2</v>
      </c>
      <c r="F130" s="235" t="s">
        <v>290</v>
      </c>
      <c r="G130" s="13">
        <f>+G128/E128-1</f>
        <v>-0.25605059098074989</v>
      </c>
      <c r="H130" s="13">
        <f>+H128/G128-1</f>
        <v>-0.20342533774058746</v>
      </c>
      <c r="I130" s="13">
        <f t="shared" ref="I130:J130" si="3361">+I128/H128-1</f>
        <v>8.3337450779505939E-2</v>
      </c>
      <c r="J130" s="13">
        <f t="shared" si="3361"/>
        <v>-1.8726793494158289E-2</v>
      </c>
      <c r="K130" s="235" t="s">
        <v>290</v>
      </c>
      <c r="L130" s="13">
        <f>+L128/J128-1</f>
        <v>-0.17894736842105263</v>
      </c>
      <c r="M130" s="13">
        <f>+M128/L128-1</f>
        <v>0.12820512820512819</v>
      </c>
      <c r="N130" s="13">
        <f t="shared" ref="N130:O130" si="3362">+N128/M128-1</f>
        <v>0</v>
      </c>
      <c r="O130" s="13">
        <f t="shared" si="3362"/>
        <v>2.2727272727272707E-2</v>
      </c>
      <c r="P130" s="235" t="s">
        <v>290</v>
      </c>
      <c r="Q130" s="13">
        <f>+Q128/O128-1</f>
        <v>-0.11111111111111116</v>
      </c>
      <c r="R130" s="13">
        <f>+R128/Q128-1</f>
        <v>0</v>
      </c>
      <c r="S130" s="13">
        <f t="shared" ref="S130:T130" si="3363">+S128/R128-1</f>
        <v>-9.9999999999999978E-2</v>
      </c>
      <c r="T130" s="13">
        <f t="shared" si="3363"/>
        <v>0.27777777777777768</v>
      </c>
      <c r="U130" s="235" t="s">
        <v>290</v>
      </c>
      <c r="V130" s="13">
        <f>+V128/T128-1</f>
        <v>-0.10869565217391308</v>
      </c>
      <c r="W130" s="13">
        <f>+W128/V128-1</f>
        <v>-0.17073170731707321</v>
      </c>
      <c r="X130" s="13">
        <f t="shared" ref="X130:Y130" si="3364">+X128/W128-1</f>
        <v>4.4117647058823595E-2</v>
      </c>
      <c r="Y130" s="13">
        <f t="shared" si="3364"/>
        <v>-5.633802816901412E-2</v>
      </c>
      <c r="Z130" s="235" t="s">
        <v>290</v>
      </c>
      <c r="AA130" s="13">
        <f>+AA128/Y128-1</f>
        <v>-0.17313432835820897</v>
      </c>
      <c r="AB130" s="13">
        <f>+AB128/AA128-1</f>
        <v>8.3032490974729312E-2</v>
      </c>
      <c r="AC130" s="13">
        <f t="shared" ref="AC130:AD130" si="3365">+AC128/AB128-1</f>
        <v>5.0000000000000044E-2</v>
      </c>
      <c r="AD130" s="13">
        <f t="shared" si="3365"/>
        <v>0.14285714285714279</v>
      </c>
      <c r="AE130" s="235" t="s">
        <v>290</v>
      </c>
      <c r="AF130" s="13">
        <f>+AF128/AD128-1</f>
        <v>4.1666666666666741E-2</v>
      </c>
      <c r="AG130" s="13">
        <f>+AG128/AF128-1</f>
        <v>-6.6666666666666652E-2</v>
      </c>
      <c r="AH130" s="13">
        <f t="shared" ref="AH130:AI130" si="3366">+AH128/AG128-1</f>
        <v>0</v>
      </c>
      <c r="AI130" s="13">
        <f t="shared" si="3366"/>
        <v>0</v>
      </c>
      <c r="AJ130" s="235" t="s">
        <v>290</v>
      </c>
      <c r="AK130" s="13">
        <f>+AK128/AI128-1</f>
        <v>-0.2142857142857143</v>
      </c>
      <c r="AL130" s="13">
        <f>+AL128/AK128-1</f>
        <v>0</v>
      </c>
      <c r="AM130" s="13">
        <f t="shared" ref="AM130:AN130" si="3367">+AM128/AL128-1</f>
        <v>0</v>
      </c>
      <c r="AN130" s="13">
        <f t="shared" si="3367"/>
        <v>0</v>
      </c>
      <c r="AO130" s="235" t="s">
        <v>290</v>
      </c>
      <c r="AP130" s="13">
        <f>+AP128/AN128-1</f>
        <v>-1.8181818181818188E-2</v>
      </c>
      <c r="AQ130" s="13">
        <f>+AQ128/AP128-1</f>
        <v>0</v>
      </c>
      <c r="AR130" s="13">
        <f t="shared" ref="AR130:AS130" si="3368">+AR128/AQ128-1</f>
        <v>0</v>
      </c>
      <c r="AS130" s="13">
        <f t="shared" si="3368"/>
        <v>0</v>
      </c>
      <c r="AT130" s="235" t="s">
        <v>290</v>
      </c>
      <c r="AU130" s="13">
        <f>+AU128/AS128-1</f>
        <v>1.8518518518518601E-2</v>
      </c>
      <c r="AV130" s="13">
        <f>+AV128/AU128-1</f>
        <v>0</v>
      </c>
      <c r="AW130" s="13">
        <f t="shared" ref="AW130:AX130" si="3369">+AW128/AV128-1</f>
        <v>0</v>
      </c>
      <c r="AX130" s="13">
        <f t="shared" si="3369"/>
        <v>0</v>
      </c>
      <c r="AY130" s="235" t="s">
        <v>290</v>
      </c>
      <c r="AZ130" s="13">
        <f>+AZ128/AX128-1</f>
        <v>0.18181818181818188</v>
      </c>
      <c r="BA130" s="13">
        <f>+BA128/AZ128-1</f>
        <v>7.6923076923076872E-2</v>
      </c>
      <c r="BB130" s="13">
        <f t="shared" ref="BB130:BC130" si="3370">+BB128/BA128-1</f>
        <v>0</v>
      </c>
      <c r="BC130" s="13">
        <f t="shared" si="3370"/>
        <v>0</v>
      </c>
      <c r="BD130" s="235" t="s">
        <v>290</v>
      </c>
      <c r="BE130" s="13">
        <f>+BE128/BC128-1</f>
        <v>0</v>
      </c>
      <c r="BF130" s="13">
        <f>+BF128/BE128-1</f>
        <v>0</v>
      </c>
      <c r="BG130" s="13">
        <f t="shared" ref="BG130" si="3371">+BG128/BF128-1</f>
        <v>0</v>
      </c>
      <c r="BH130" s="13">
        <f t="shared" ref="BH130" si="3372">+BH128/BG128-1</f>
        <v>0</v>
      </c>
      <c r="BI130" s="235" t="s">
        <v>290</v>
      </c>
      <c r="BJ130" s="13">
        <f>+BJ128/BH128-1</f>
        <v>-0.1428571428571429</v>
      </c>
      <c r="BK130" s="13">
        <f>+BK128/BJ128-1</f>
        <v>0</v>
      </c>
      <c r="BL130" s="13">
        <f t="shared" ref="BL130" si="3373">+BL128/BK128-1</f>
        <v>0</v>
      </c>
      <c r="BM130" s="13">
        <f t="shared" ref="BM130" si="3374">+BM128/BL128-1</f>
        <v>0</v>
      </c>
      <c r="BN130" s="235" t="s">
        <v>290</v>
      </c>
      <c r="BO130" s="13">
        <f>+BO128/BM128-1</f>
        <v>0</v>
      </c>
      <c r="BP130" s="13">
        <f>+BP128/BO128-1</f>
        <v>0</v>
      </c>
      <c r="BQ130" s="13">
        <f t="shared" ref="BQ130" si="3375">+BQ128/BP128-1</f>
        <v>0</v>
      </c>
      <c r="BR130" s="13">
        <f t="shared" ref="BR130" si="3376">+BR128/BQ128-1</f>
        <v>0</v>
      </c>
      <c r="BS130" s="235" t="s">
        <v>290</v>
      </c>
      <c r="BT130" s="13">
        <f>+BT128/BR128-1</f>
        <v>0</v>
      </c>
      <c r="BU130" s="13">
        <f>+BU128/BT128-1</f>
        <v>0</v>
      </c>
      <c r="BV130" s="13">
        <f t="shared" ref="BV130" si="3377">+BV128/BU128-1</f>
        <v>0</v>
      </c>
      <c r="BW130" s="13">
        <f t="shared" ref="BW130" si="3378">+BW128/BV128-1</f>
        <v>0</v>
      </c>
      <c r="BX130" s="235" t="s">
        <v>290</v>
      </c>
      <c r="BY130" s="13">
        <f>+BY128/BW128-1</f>
        <v>0</v>
      </c>
      <c r="BZ130" s="13">
        <f>+BZ128/BY128-1</f>
        <v>0</v>
      </c>
      <c r="CA130" s="13">
        <f t="shared" ref="CA130" si="3379">+CA128/BZ128-1</f>
        <v>0</v>
      </c>
      <c r="CB130" s="13">
        <f t="shared" ref="CB130" si="3380">+CB128/CA128-1</f>
        <v>0</v>
      </c>
      <c r="CC130" s="235" t="s">
        <v>290</v>
      </c>
      <c r="CD130" s="13">
        <f>+CD128/CB128-1</f>
        <v>0</v>
      </c>
      <c r="CE130" s="13">
        <f>+CE128/CD128-1</f>
        <v>0</v>
      </c>
      <c r="CF130" s="13">
        <f t="shared" ref="CF130" si="3381">+CF128/CE128-1</f>
        <v>0</v>
      </c>
      <c r="CG130" s="13">
        <f t="shared" ref="CG130" si="3382">+CG128/CF128-1</f>
        <v>0</v>
      </c>
      <c r="CH130" s="235" t="s">
        <v>290</v>
      </c>
      <c r="CI130" s="13">
        <f>+CI128/CG128-1</f>
        <v>0</v>
      </c>
      <c r="CJ130" s="13">
        <f>+CJ128/CI128-1</f>
        <v>0</v>
      </c>
      <c r="CK130" s="13">
        <f t="shared" ref="CK130" si="3383">+CK128/CJ128-1</f>
        <v>0</v>
      </c>
      <c r="CL130" s="13">
        <f t="shared" ref="CL130" si="3384">+CL128/CK128-1</f>
        <v>0</v>
      </c>
      <c r="CM130" s="235" t="s">
        <v>290</v>
      </c>
      <c r="CN130" s="13">
        <f>+CN128/CL128-1</f>
        <v>0</v>
      </c>
      <c r="CO130" s="13">
        <f>+CO128/CN128-1</f>
        <v>0</v>
      </c>
      <c r="CP130" s="13">
        <f t="shared" ref="CP130" si="3385">+CP128/CO128-1</f>
        <v>0</v>
      </c>
      <c r="CQ130" s="13">
        <f t="shared" ref="CQ130" si="3386">+CQ128/CP128-1</f>
        <v>0</v>
      </c>
      <c r="CR130" s="235" t="s">
        <v>290</v>
      </c>
      <c r="CS130" s="13">
        <f>+CS128/CQ128-1</f>
        <v>0</v>
      </c>
      <c r="CT130" s="13">
        <f>+CT128/CS128-1</f>
        <v>0</v>
      </c>
      <c r="CU130" s="13">
        <f t="shared" ref="CU130" si="3387">+CU128/CT128-1</f>
        <v>0</v>
      </c>
      <c r="CV130" s="13">
        <f t="shared" ref="CV130" si="3388">+CV128/CU128-1</f>
        <v>0</v>
      </c>
      <c r="CW130" s="235" t="s">
        <v>290</v>
      </c>
      <c r="CX130" s="13">
        <f>+CX128/CV128-1</f>
        <v>0</v>
      </c>
      <c r="CY130" s="13">
        <f>+CY128/CX128-1</f>
        <v>0</v>
      </c>
      <c r="CZ130" s="13">
        <f t="shared" ref="CZ130" si="3389">+CZ128/CY128-1</f>
        <v>0</v>
      </c>
      <c r="DA130" s="13">
        <f t="shared" ref="DA130" si="3390">+DA128/CZ128-1</f>
        <v>0</v>
      </c>
      <c r="DB130" s="235" t="s">
        <v>290</v>
      </c>
    </row>
    <row r="131" spans="1:106">
      <c r="F131" s="217"/>
      <c r="K131" s="217"/>
      <c r="P131" s="217"/>
      <c r="U131" s="217"/>
      <c r="Z131" s="217"/>
      <c r="AE131" s="217"/>
      <c r="AJ131" s="217"/>
      <c r="AO131" s="217"/>
      <c r="AT131" s="217"/>
      <c r="AY131" s="217"/>
      <c r="BD131" s="217"/>
      <c r="BI131" s="217"/>
      <c r="BN131" s="217"/>
      <c r="BS131" s="217"/>
      <c r="BX131" s="217"/>
      <c r="CC131" s="217"/>
      <c r="CH131" s="217"/>
      <c r="CM131" s="217"/>
      <c r="CR131" s="217"/>
      <c r="CW131" s="217"/>
      <c r="DB131" s="217"/>
    </row>
    <row r="132" spans="1:106" s="51" customFormat="1">
      <c r="A132" s="51" t="s">
        <v>299</v>
      </c>
      <c r="B132" s="135">
        <f>+B75-B103</f>
        <v>4.228676164999996</v>
      </c>
      <c r="C132" s="135">
        <f>+C75-C103</f>
        <v>4.1465685414999989</v>
      </c>
      <c r="D132" s="135">
        <f>+D75-D103</f>
        <v>6.6670661307499941</v>
      </c>
      <c r="E132" s="135">
        <f>+E75-E103</f>
        <v>7.9975027999999959</v>
      </c>
      <c r="F132" s="216">
        <f>+B132+C132+D132+E132</f>
        <v>23.039813637249985</v>
      </c>
      <c r="G132" s="135">
        <f>+G75-G103</f>
        <v>6.6274928185625051</v>
      </c>
      <c r="H132" s="135">
        <f>+H75-H103</f>
        <v>5.2202759006000043</v>
      </c>
      <c r="I132" s="135">
        <f>+I75-I103</f>
        <v>9.5524784264749982</v>
      </c>
      <c r="J132" s="135">
        <f t="shared" ref="J132" si="3391">+J124*J128/1000000</f>
        <v>6.1773750000000005</v>
      </c>
      <c r="K132" s="216">
        <f>+G132+H132+I132+J132</f>
        <v>27.577622145637509</v>
      </c>
      <c r="L132" s="135">
        <f>+L124*L128/1000000</f>
        <v>5.8059530100000005</v>
      </c>
      <c r="M132" s="135">
        <f t="shared" ref="M132:O132" si="3392">+M124*M128/1000000</f>
        <v>6.2367098749999998</v>
      </c>
      <c r="N132" s="135">
        <f t="shared" si="3392"/>
        <v>5.3918788549999999</v>
      </c>
      <c r="O132" s="135">
        <f t="shared" si="3392"/>
        <v>4.9911704999999991</v>
      </c>
      <c r="P132" s="216">
        <f>+L132+M132+N132+O132</f>
        <v>22.425712239999999</v>
      </c>
      <c r="Q132" s="135">
        <f>+Q124*Q128/1000000</f>
        <v>5.001331778</v>
      </c>
      <c r="R132" s="135">
        <f t="shared" ref="R132:T132" si="3393">+R124*R128/1000000</f>
        <v>5.6269819079999994</v>
      </c>
      <c r="S132" s="135">
        <f t="shared" si="3393"/>
        <v>5.4102946616999992</v>
      </c>
      <c r="T132" s="135">
        <f t="shared" si="3393"/>
        <v>7.7241811294499998</v>
      </c>
      <c r="U132" s="216">
        <f>+Q132+R132+S132+T132</f>
        <v>23.762789477149997</v>
      </c>
      <c r="V132" s="135">
        <f>+V124*V128/1000000</f>
        <v>7.7188713301949994</v>
      </c>
      <c r="W132" s="135">
        <f t="shared" ref="W132:Y132" si="3394">+W124*W128/1000000</f>
        <v>5.8632180927249999</v>
      </c>
      <c r="X132" s="135">
        <f t="shared" si="3394"/>
        <v>5.8249998151691242</v>
      </c>
      <c r="Y132" s="135">
        <f t="shared" si="3394"/>
        <v>5.3934420278815001</v>
      </c>
      <c r="Z132" s="216">
        <f>+V132+W132+X132+Y132</f>
        <v>24.800531265970626</v>
      </c>
      <c r="AA132" s="135">
        <f>+AA124*AA128/1000000</f>
        <v>6.2544692462110811</v>
      </c>
      <c r="AB132" s="135">
        <f t="shared" ref="AB132:AD132" si="3395">+AB124*AB128/1000000</f>
        <v>8.7370666502580452</v>
      </c>
      <c r="AC132" s="135">
        <f t="shared" si="3395"/>
        <v>10.42157773930967</v>
      </c>
      <c r="AD132" s="135">
        <f t="shared" si="3395"/>
        <v>12.662350188924151</v>
      </c>
      <c r="AE132" s="216">
        <f>+AA132+AB132+AC132+AD132</f>
        <v>38.07546382470295</v>
      </c>
      <c r="AF132" s="135">
        <f>+AF124*AF128/1000000</f>
        <v>15.013037346831949</v>
      </c>
      <c r="AG132" s="135">
        <f t="shared" ref="AG132:AI132" si="3396">+AG124*AG128/1000000</f>
        <v>13.002931838913979</v>
      </c>
      <c r="AH132" s="135">
        <f t="shared" si="3396"/>
        <v>13.396755814786946</v>
      </c>
      <c r="AI132" s="135">
        <f t="shared" si="3396"/>
        <v>13.889035784628165</v>
      </c>
      <c r="AJ132" s="216">
        <f>+AF132+AG132+AH132+AI132</f>
        <v>55.301760785161036</v>
      </c>
      <c r="AK132" s="135">
        <f>+AK124*AK128/1000000</f>
        <v>11.558487976715156</v>
      </c>
      <c r="AL132" s="135">
        <f t="shared" ref="AL132:AN132" si="3397">+AL124*AL128/1000000</f>
        <v>11.951668123237416</v>
      </c>
      <c r="AM132" s="135">
        <f t="shared" si="3397"/>
        <v>13.166740102851545</v>
      </c>
      <c r="AN132" s="135">
        <f t="shared" si="3397"/>
        <v>15.2533730229851</v>
      </c>
      <c r="AO132" s="216">
        <f>+AK132+AL132+AM132+AN132</f>
        <v>51.930269225789218</v>
      </c>
      <c r="AP132" s="135">
        <f>+AP124*AP128/1000000</f>
        <v>15.720213218592487</v>
      </c>
      <c r="AQ132" s="135">
        <f t="shared" ref="AQ132:AS132" si="3398">+AQ124*AQ128/1000000</f>
        <v>15.8170612152021</v>
      </c>
      <c r="AR132" s="135">
        <f t="shared" si="3398"/>
        <v>15.913909211811712</v>
      </c>
      <c r="AS132" s="135">
        <f t="shared" si="3398"/>
        <v>16.032539724138189</v>
      </c>
      <c r="AT132" s="216">
        <f>+AP132+AQ132+AR132+AS132</f>
        <v>63.483723369744489</v>
      </c>
      <c r="AU132" s="135">
        <f>+AU124*AU128/1000000</f>
        <v>17.431233544586984</v>
      </c>
      <c r="AV132" s="135">
        <f t="shared" ref="AV132:AX132" si="3399">+AV124*AV128/1000000</f>
        <v>17.530861437395576</v>
      </c>
      <c r="AW132" s="135">
        <f t="shared" si="3399"/>
        <v>17.630489330204167</v>
      </c>
      <c r="AX132" s="135">
        <f t="shared" si="3399"/>
        <v>17.630489330204167</v>
      </c>
      <c r="AY132" s="216">
        <f>+AU132+AV132+AW132+AX132</f>
        <v>70.223073642390901</v>
      </c>
      <c r="AZ132" s="135">
        <f>+AZ124*AZ128/1000000</f>
        <v>22.320126387618664</v>
      </c>
      <c r="BA132" s="135">
        <f t="shared" ref="BA132:BC132" si="3400">+BA124*BA128/1000000</f>
        <v>23.557080133793317</v>
      </c>
      <c r="BB132" s="135">
        <f t="shared" si="3400"/>
        <v>24.293193441995978</v>
      </c>
      <c r="BC132" s="135">
        <f t="shared" si="3400"/>
        <v>24.293193441995978</v>
      </c>
      <c r="BD132" s="216">
        <f>+AZ132+BA132+BB132+BC132</f>
        <v>94.463593405403941</v>
      </c>
      <c r="BE132" s="135">
        <f>+BE124*BE128/1000000</f>
        <v>25.554601591765831</v>
      </c>
      <c r="BF132" s="135">
        <f t="shared" ref="BF132:BH132" si="3401">+BF124*BF128/1000000</f>
        <v>26.710671802272639</v>
      </c>
      <c r="BG132" s="135">
        <f t="shared" si="3401"/>
        <v>27.731547912886896</v>
      </c>
      <c r="BH132" s="135">
        <f t="shared" si="3401"/>
        <v>28.398225705711909</v>
      </c>
      <c r="BI132" s="216">
        <f>+BE132+BF132+BG132+BH132</f>
        <v>108.39504701263728</v>
      </c>
      <c r="BJ132" s="135">
        <f>+BJ124*BJ128/1000000</f>
        <v>25.963011135546356</v>
      </c>
      <c r="BK132" s="135">
        <f t="shared" ref="BK132:BM132" si="3402">+BK124*BK128/1000000</f>
        <v>26.981781991804652</v>
      </c>
      <c r="BL132" s="135">
        <f t="shared" si="3402"/>
        <v>27.867667218853274</v>
      </c>
      <c r="BM132" s="135">
        <f t="shared" si="3402"/>
        <v>28.753552445901885</v>
      </c>
      <c r="BN132" s="216">
        <f>+BJ132+BK132+BL132+BM132</f>
        <v>109.56601279210616</v>
      </c>
      <c r="BO132" s="135">
        <f>+BO124*BO128/1000000</f>
        <v>29.935832049680009</v>
      </c>
      <c r="BP132" s="135">
        <f t="shared" ref="BP132:BR132" si="3403">+BP124*BP128/1000000</f>
        <v>30.976820260934605</v>
      </c>
      <c r="BQ132" s="135">
        <f t="shared" si="3403"/>
        <v>31.873704498282034</v>
      </c>
      <c r="BR132" s="135">
        <f t="shared" si="3403"/>
        <v>32.77058873562946</v>
      </c>
      <c r="BS132" s="216">
        <f>+BO132+BP132+BQ132+BR132</f>
        <v>125.55694554452612</v>
      </c>
      <c r="BT132" s="135">
        <f>+BT124*BT128/1000000</f>
        <v>34.004147702706661</v>
      </c>
      <c r="BU132" s="135">
        <f t="shared" ref="BU132:BW132" si="3404">+BU124*BU128/1000000</f>
        <v>35.067901641757324</v>
      </c>
      <c r="BV132" s="135">
        <f t="shared" si="3404"/>
        <v>35.975937682667123</v>
      </c>
      <c r="BW132" s="135">
        <f t="shared" si="3404"/>
        <v>36.883973723576908</v>
      </c>
      <c r="BX132" s="216">
        <f>+BT132+BU132+BV132+BW132</f>
        <v>141.93196075070801</v>
      </c>
      <c r="BY132" s="135">
        <f>+BY124*BY128/1000000</f>
        <v>38.169929862131575</v>
      </c>
      <c r="BZ132" s="135">
        <f t="shared" ref="BZ132:CB132" si="3405">+BZ124*BZ128/1000000</f>
        <v>39.257011621617494</v>
      </c>
      <c r="CA132" s="135">
        <f t="shared" si="3405"/>
        <v>40.176354643349065</v>
      </c>
      <c r="CB132" s="135">
        <f t="shared" si="3405"/>
        <v>41.095697665080621</v>
      </c>
      <c r="CC132" s="216">
        <f>+BY132+BZ132+CA132+CB132</f>
        <v>158.69899379217875</v>
      </c>
      <c r="CD132" s="135">
        <f>+CD124*CD128/1000000</f>
        <v>42.435191093680302</v>
      </c>
      <c r="CE132" s="135">
        <f t="shared" ref="CE132:CG132" si="3406">+CE124*CE128/1000000</f>
        <v>43.546176822243247</v>
      </c>
      <c r="CF132" s="135">
        <f t="shared" si="3406"/>
        <v>44.476984427013036</v>
      </c>
      <c r="CG132" s="135">
        <f t="shared" si="3406"/>
        <v>45.407792031782833</v>
      </c>
      <c r="CH132" s="216">
        <f>+CD132+CE132+CF132+CG132</f>
        <v>175.86614437471943</v>
      </c>
      <c r="CI132" s="135">
        <f>+CI124*CI128/1000000</f>
        <v>46.801985632918161</v>
      </c>
      <c r="CJ132" s="135">
        <f t="shared" ref="CJ132:CL132" si="3407">+CJ124*CJ128/1000000</f>
        <v>47.937465879391368</v>
      </c>
      <c r="CK132" s="135">
        <f t="shared" si="3407"/>
        <v>48.879898136086204</v>
      </c>
      <c r="CL132" s="135">
        <f t="shared" si="3407"/>
        <v>49.822330392781033</v>
      </c>
      <c r="CM132" s="216">
        <f>+CI132+CJ132+CK132+CL132</f>
        <v>193.44168004117677</v>
      </c>
      <c r="CN132" s="135">
        <f>+CN124*CN128/1000000</f>
        <v>51.272410275970628</v>
      </c>
      <c r="CO132" s="135">
        <f t="shared" ref="CO132:CQ132" si="3408">+CO124*CO128/1000000</f>
        <v>52.432990341780787</v>
      </c>
      <c r="CP132" s="135">
        <f t="shared" si="3408"/>
        <v>53.387209828437456</v>
      </c>
      <c r="CQ132" s="135">
        <f t="shared" si="3408"/>
        <v>54.341429315094125</v>
      </c>
      <c r="CR132" s="216">
        <f>+CN132+CO132+CP132+CQ132</f>
        <v>211.434039761283</v>
      </c>
      <c r="CS132" s="135">
        <f>+CS124*CS128/1000000</f>
        <v>55.848605289768308</v>
      </c>
      <c r="CT132" s="135">
        <f t="shared" ref="CT132:CV132" si="3409">+CT124*CT128/1000000</f>
        <v>57.034905589742017</v>
      </c>
      <c r="CU132" s="135">
        <f t="shared" si="3409"/>
        <v>58.001077436808039</v>
      </c>
      <c r="CV132" s="135">
        <f t="shared" si="3409"/>
        <v>58.967249283874068</v>
      </c>
      <c r="CW132" s="216">
        <f>+CS132+CT132+CU132+CV132</f>
        <v>229.85183760019243</v>
      </c>
      <c r="CX132" s="135">
        <f>+CX124*CX128/1000000</f>
        <v>60.532755342249494</v>
      </c>
      <c r="CY132" s="135">
        <f t="shared" ref="CY132:DA132" si="3410">+CY124*CY128/1000000</f>
        <v>61.745411774020219</v>
      </c>
      <c r="CZ132" s="135">
        <f t="shared" si="3410"/>
        <v>62.723703708410547</v>
      </c>
      <c r="DA132" s="135">
        <f t="shared" si="3410"/>
        <v>63.701995642800874</v>
      </c>
      <c r="DB132" s="216">
        <f>+CX132+CY132+CZ132+DA132</f>
        <v>248.70386646748113</v>
      </c>
    </row>
    <row r="133" spans="1:106">
      <c r="A133" s="117" t="s">
        <v>281</v>
      </c>
      <c r="B133" s="119" t="s">
        <v>290</v>
      </c>
      <c r="C133" s="119" t="s">
        <v>290</v>
      </c>
      <c r="D133" s="119" t="s">
        <v>290</v>
      </c>
      <c r="E133" s="119" t="s">
        <v>290</v>
      </c>
      <c r="F133" s="235" t="s">
        <v>290</v>
      </c>
      <c r="G133" s="13">
        <f>+G132/B132-1</f>
        <v>0.56727367146651941</v>
      </c>
      <c r="H133" s="13">
        <f t="shared" ref="H133" si="3411">+H132/C132-1</f>
        <v>0.25893877029983869</v>
      </c>
      <c r="I133" s="13">
        <f t="shared" ref="I133" si="3412">+I132/D132-1</f>
        <v>0.43278591199460892</v>
      </c>
      <c r="J133" s="13">
        <f t="shared" ref="J133" si="3413">+J132/E132-1</f>
        <v>-0.22758701628713363</v>
      </c>
      <c r="K133" s="239">
        <f t="shared" ref="K133" si="3414">+K132/F132-1</f>
        <v>0.19695508739059209</v>
      </c>
      <c r="L133" s="13">
        <f>+L132/G132-1</f>
        <v>-0.12395936609112701</v>
      </c>
      <c r="M133" s="13">
        <f t="shared" ref="M133" si="3415">+M132/H132-1</f>
        <v>0.19470886094031337</v>
      </c>
      <c r="N133" s="13">
        <f t="shared" ref="N133" si="3416">+N132/I132-1</f>
        <v>-0.43555184170254335</v>
      </c>
      <c r="O133" s="13">
        <f t="shared" ref="O133" si="3417">+O132/J132-1</f>
        <v>-0.19202403933709733</v>
      </c>
      <c r="P133" s="239">
        <f t="shared" ref="P133" si="3418">+P132/K132-1</f>
        <v>-0.18681487034778621</v>
      </c>
      <c r="Q133" s="13">
        <f>+Q132/L132-1</f>
        <v>-0.13858555703329756</v>
      </c>
      <c r="R133" s="13">
        <f t="shared" ref="R133" si="3419">+R132/M132-1</f>
        <v>-9.7764362816380124E-2</v>
      </c>
      <c r="S133" s="13">
        <f t="shared" ref="S133" si="3420">+S132/N132-1</f>
        <v>3.4154711549059247E-3</v>
      </c>
      <c r="T133" s="13">
        <f t="shared" ref="T133" si="3421">+T132/O132-1</f>
        <v>0.54756907812506128</v>
      </c>
      <c r="U133" s="239">
        <f t="shared" ref="U133" si="3422">+U132/P132-1</f>
        <v>5.9622509325037099E-2</v>
      </c>
      <c r="V133" s="13">
        <f>+V132/Q132-1</f>
        <v>0.54336318261247718</v>
      </c>
      <c r="W133" s="13">
        <f t="shared" ref="W133" si="3423">+W132/R132-1</f>
        <v>4.1982751781934669E-2</v>
      </c>
      <c r="X133" s="13">
        <f t="shared" ref="X133" si="3424">+X132/S132-1</f>
        <v>7.6651121500805219E-2</v>
      </c>
      <c r="Y133" s="13">
        <f t="shared" ref="Y133" si="3425">+Y132/T132-1</f>
        <v>-0.3017457854117489</v>
      </c>
      <c r="Z133" s="239">
        <f t="shared" ref="Z133" si="3426">+Z132/U132-1</f>
        <v>4.3670874154674078E-2</v>
      </c>
      <c r="AA133" s="13">
        <f>+AA132/V132-1</f>
        <v>-0.18971712590355139</v>
      </c>
      <c r="AB133" s="13">
        <f t="shared" ref="AB133" si="3427">+AB132/W132-1</f>
        <v>0.49014867127301254</v>
      </c>
      <c r="AC133" s="13">
        <f t="shared" ref="AC133" si="3428">+AC132/X132-1</f>
        <v>0.78911211502022827</v>
      </c>
      <c r="AD133" s="13">
        <f t="shared" ref="AD133" si="3429">+AD132/Y132-1</f>
        <v>1.3477308411707947</v>
      </c>
      <c r="AE133" s="239">
        <f t="shared" ref="AE133" si="3430">+AE132/Z132-1</f>
        <v>0.53526807213792083</v>
      </c>
      <c r="AF133" s="13">
        <f>+AF132/AA132-1</f>
        <v>1.4003695207114104</v>
      </c>
      <c r="AG133" s="13">
        <f t="shared" ref="AG133" si="3431">+AG132/AB132-1</f>
        <v>0.48824912976141066</v>
      </c>
      <c r="AH133" s="13">
        <f t="shared" ref="AH133" si="3432">+AH132/AC132-1</f>
        <v>0.28548250081703586</v>
      </c>
      <c r="AI133" s="13">
        <f t="shared" ref="AI133" si="3433">+AI132/AD132-1</f>
        <v>9.687661274579229E-2</v>
      </c>
      <c r="AJ133" s="239">
        <f t="shared" ref="AJ133" si="3434">+AJ132/AE132-1</f>
        <v>0.45242513761005987</v>
      </c>
      <c r="AK133" s="13">
        <f>+AK132/AF132-1</f>
        <v>-0.2301032955763459</v>
      </c>
      <c r="AL133" s="13">
        <f t="shared" ref="AL133" si="3435">+AL132/AG132-1</f>
        <v>-8.0848206289172109E-2</v>
      </c>
      <c r="AM133" s="13">
        <f t="shared" ref="AM133" si="3436">+AM132/AH132-1</f>
        <v>-1.7169508432893665E-2</v>
      </c>
      <c r="AN133" s="13">
        <f t="shared" ref="AN133" si="3437">+AN132/AI132-1</f>
        <v>9.8231242219631199E-2</v>
      </c>
      <c r="AO133" s="239">
        <f t="shared" ref="AO133" si="3438">+AO132/AJ132-1</f>
        <v>-6.0965356464318665E-2</v>
      </c>
      <c r="AP133" s="13">
        <f>+AP132/AK132-1</f>
        <v>0.36005792887973098</v>
      </c>
      <c r="AQ133" s="13">
        <f t="shared" ref="AQ133" si="3439">+AQ132/AL132-1</f>
        <v>0.32341871043501191</v>
      </c>
      <c r="AR133" s="13">
        <f t="shared" ref="AR133" si="3440">+AR132/AM132-1</f>
        <v>0.20864459140992753</v>
      </c>
      <c r="AS133" s="13">
        <f t="shared" ref="AS133" si="3441">+AS132/AN132-1</f>
        <v>5.1081600114215586E-2</v>
      </c>
      <c r="AT133" s="239">
        <f t="shared" ref="AT133" si="3442">+AT132/AO132-1</f>
        <v>0.22248015109880614</v>
      </c>
      <c r="AU133" s="13">
        <f>+AU132/AP132-1</f>
        <v>0.10884205590614071</v>
      </c>
      <c r="AV133" s="13">
        <f t="shared" ref="AV133" si="3443">+AV132/AQ132-1</f>
        <v>0.10835136811295309</v>
      </c>
      <c r="AW133" s="13">
        <f t="shared" ref="AW133" si="3444">+AW132/AR132-1</f>
        <v>0.10786665272153018</v>
      </c>
      <c r="AX133" s="13">
        <f t="shared" ref="AX133" si="3445">+AX132/AS132-1</f>
        <v>9.9669149963816706E-2</v>
      </c>
      <c r="AY133" s="239">
        <f t="shared" ref="AY133" si="3446">+AY132/AT132-1</f>
        <v>0.10615871147624434</v>
      </c>
      <c r="AZ133" s="13">
        <f>+AZ132/AU132-1</f>
        <v>0.28046740527722758</v>
      </c>
      <c r="BA133" s="13">
        <f t="shared" ref="BA133" si="3447">+BA132/AV132-1</f>
        <v>0.34374914877503082</v>
      </c>
      <c r="BB133" s="13">
        <f t="shared" ref="BB133" si="3448">+BB132/AW132-1</f>
        <v>0.37790806522751552</v>
      </c>
      <c r="BC133" s="13">
        <f t="shared" ref="BC133" si="3449">+BC132/AX132-1</f>
        <v>0.37790806522751552</v>
      </c>
      <c r="BD133" s="239">
        <f t="shared" ref="BD133" si="3450">+BD132/AY132-1</f>
        <v>0.34519308975931806</v>
      </c>
      <c r="BE133" s="13">
        <f>+BE132/AZ132-1</f>
        <v>0.14491294305310842</v>
      </c>
      <c r="BF133" s="13">
        <f t="shared" ref="BF133" si="3451">+BF132/BA132-1</f>
        <v>0.1338702271490515</v>
      </c>
      <c r="BG133" s="13">
        <f t="shared" ref="BG133" si="3452">+BG132/BB132-1</f>
        <v>0.1415357136599007</v>
      </c>
      <c r="BH133" s="13">
        <f t="shared" ref="BH133" si="3453">+BH132/BC132-1</f>
        <v>0.16897870070138676</v>
      </c>
      <c r="BI133" s="239">
        <f t="shared" ref="BI133" si="3454">+BI132/BD132-1</f>
        <v>0.14747960674589766</v>
      </c>
      <c r="BJ133" s="13">
        <f>+BJ132/BE132-1</f>
        <v>1.5981839603874892E-2</v>
      </c>
      <c r="BK133" s="13">
        <f t="shared" ref="BK133" si="3455">+BK132/BF132-1</f>
        <v>1.0149882846037128E-2</v>
      </c>
      <c r="BL133" s="13">
        <f t="shared" ref="BL133" si="3456">+BL132/BG132-1</f>
        <v>4.9084640494634346E-3</v>
      </c>
      <c r="BM133" s="13">
        <f t="shared" ref="BM133" si="3457">+BM132/BH132-1</f>
        <v>1.2512286643264092E-2</v>
      </c>
      <c r="BN133" s="239">
        <f t="shared" ref="BN133" si="3458">+BN132/BI132-1</f>
        <v>1.0802760935491484E-2</v>
      </c>
      <c r="BO133" s="13">
        <f>+BO132/BJ132-1</f>
        <v>0.15301849594380834</v>
      </c>
      <c r="BP133" s="13">
        <f t="shared" ref="BP133" si="3459">+BP132/BK132-1</f>
        <v>0.14806428538868888</v>
      </c>
      <c r="BQ133" s="13">
        <f t="shared" ref="BQ133" si="3460">+BQ132/BL132-1</f>
        <v>0.14375215722105938</v>
      </c>
      <c r="BR133" s="13">
        <f t="shared" ref="BR133" si="3461">+BR132/BM132-1</f>
        <v>0.13970573887471449</v>
      </c>
      <c r="BS133" s="239">
        <f t="shared" ref="BS133" si="3462">+BS132/BN132-1</f>
        <v>0.14594792988188443</v>
      </c>
      <c r="BT133" s="13">
        <f>+BT132/BO132-1</f>
        <v>0.13590120516026016</v>
      </c>
      <c r="BU133" s="13">
        <f t="shared" ref="BU133" si="3463">+BU132/BP132-1</f>
        <v>0.13206911963078571</v>
      </c>
      <c r="BV133" s="13">
        <f t="shared" ref="BV133" si="3464">+BV132/BQ132-1</f>
        <v>0.12870274255715075</v>
      </c>
      <c r="BW133" s="13">
        <f t="shared" ref="BW133" si="3465">+BW132/BR132-1</f>
        <v>0.12552063135427338</v>
      </c>
      <c r="BX133" s="239">
        <f t="shared" ref="BX133" si="3466">+BX132/BS132-1</f>
        <v>0.13041903126239118</v>
      </c>
      <c r="BY133" s="13">
        <f>+BY132/BT132-1</f>
        <v>0.12250805977687618</v>
      </c>
      <c r="BZ133" s="13">
        <f t="shared" ref="BZ133" si="3467">+BZ132/BU132-1</f>
        <v>0.11945710418190414</v>
      </c>
      <c r="CA133" s="13">
        <f t="shared" ref="CA133" si="3468">+CA132/BV132-1</f>
        <v>0.11675628854298536</v>
      </c>
      <c r="CB133" s="13">
        <f t="shared" ref="CB133" si="3469">+CB132/BW132-1</f>
        <v>0.11418845412557865</v>
      </c>
      <c r="CC133" s="239">
        <f t="shared" ref="CC133" si="3470">+CC132/BX132-1</f>
        <v>0.11813430148351634</v>
      </c>
      <c r="CD133" s="13">
        <f>+CD132/BY132-1</f>
        <v>0.11174401543190404</v>
      </c>
      <c r="CE133" s="13">
        <f t="shared" ref="CE133" si="3471">+CE132/BZ132-1</f>
        <v>0.10925857632688118</v>
      </c>
      <c r="CF133" s="13">
        <f t="shared" ref="CF133" si="3472">+CF132/CA132-1</f>
        <v>0.1070438027999614</v>
      </c>
      <c r="CG133" s="13">
        <f t="shared" ref="CG133" si="3473">+CG132/CB132-1</f>
        <v>0.10492812171835286</v>
      </c>
      <c r="CH133" s="239">
        <f t="shared" ref="CH133" si="3474">+CH132/CC132-1</f>
        <v>0.10817428751326297</v>
      </c>
      <c r="CI133" s="13">
        <f>+CI132/CD132-1</f>
        <v>0.10290502827235271</v>
      </c>
      <c r="CJ133" s="13">
        <f t="shared" ref="CJ133" si="3475">+CJ132/CE132-1</f>
        <v>0.10084212616582833</v>
      </c>
      <c r="CK133" s="13">
        <f t="shared" ref="CK133" si="3476">+CK132/CF132-1</f>
        <v>9.8993080708930981E-2</v>
      </c>
      <c r="CL133" s="13">
        <f t="shared" ref="CL133" si="3477">+CL132/CG132-1</f>
        <v>9.7219841870053392E-2</v>
      </c>
      <c r="CM133" s="239">
        <f t="shared" ref="CM133" si="3478">+CM132/CH132-1</f>
        <v>9.9937004526630124E-2</v>
      </c>
      <c r="CN133" s="13">
        <f>+CN132/CI132-1</f>
        <v>9.5517841446201235E-2</v>
      </c>
      <c r="CO133" s="13">
        <f t="shared" ref="CO133" si="3479">+CO132/CJ132-1</f>
        <v>9.3778934282841897E-2</v>
      </c>
      <c r="CP133" s="13">
        <f t="shared" ref="CP133" si="3480">+CP132/CK132-1</f>
        <v>9.2211969832720841E-2</v>
      </c>
      <c r="CQ133" s="13">
        <f t="shared" ref="CQ133" si="3481">+CQ132/CL132-1</f>
        <v>9.0704286344821083E-2</v>
      </c>
      <c r="CR133" s="239">
        <f t="shared" ref="CR133" si="3482">+CR132/CM132-1</f>
        <v>9.3011804468800641E-2</v>
      </c>
      <c r="CS133" s="13">
        <f>+CS132/CN132-1</f>
        <v>8.9252582220468835E-2</v>
      </c>
      <c r="CT133" s="13">
        <f t="shared" ref="CT133" si="3483">+CT132/CO132-1</f>
        <v>8.7767552793841519E-2</v>
      </c>
      <c r="CU133" s="13">
        <f t="shared" ref="CU133" si="3484">+CU132/CP132-1</f>
        <v>8.6422714788757071E-2</v>
      </c>
      <c r="CV133" s="13">
        <f t="shared" ref="CV133" si="3485">+CV132/CQ132-1</f>
        <v>8.5125106701877895E-2</v>
      </c>
      <c r="CW133" s="239">
        <f t="shared" ref="CW133" si="3486">+CW132/CR132-1</f>
        <v>8.710895303189492E-2</v>
      </c>
      <c r="CX133" s="13">
        <f>+CX132/CS132-1</f>
        <v>8.3872283438013451E-2</v>
      </c>
      <c r="CY133" s="13">
        <f t="shared" ref="CY133" si="3487">+CY132/CT132-1</f>
        <v>8.2589883082499815E-2</v>
      </c>
      <c r="CZ133" s="13">
        <f t="shared" ref="CZ133" si="3488">+CZ132/CU132-1</f>
        <v>8.1423078334153187E-2</v>
      </c>
      <c r="DA133" s="13">
        <f t="shared" ref="DA133" si="3489">+DA132/CV132-1</f>
        <v>8.0294509518890278E-2</v>
      </c>
      <c r="DB133" s="239">
        <f t="shared" ref="DB133" si="3490">+DB132/CW132-1</f>
        <v>8.2018177727515962E-2</v>
      </c>
    </row>
    <row r="134" spans="1:106">
      <c r="A134" s="117" t="s">
        <v>288</v>
      </c>
      <c r="B134" s="119" t="s">
        <v>290</v>
      </c>
      <c r="C134" s="13">
        <f>+C132/B132-1</f>
        <v>-1.9416862463857432E-2</v>
      </c>
      <c r="D134" s="13">
        <f t="shared" ref="D134:E134" si="3491">+D132/C132-1</f>
        <v>0.60785142317657637</v>
      </c>
      <c r="E134" s="13">
        <f t="shared" si="3491"/>
        <v>0.19955354321651786</v>
      </c>
      <c r="F134" s="235" t="s">
        <v>290</v>
      </c>
      <c r="G134" s="13">
        <f>+G132/E132-1</f>
        <v>-0.17130472044817435</v>
      </c>
      <c r="H134" s="13">
        <f>+H132/G132-1</f>
        <v>-0.21233020638228683</v>
      </c>
      <c r="I134" s="13">
        <f t="shared" ref="I134:J134" si="3492">+I132/H132-1</f>
        <v>0.82987999262204948</v>
      </c>
      <c r="J134" s="13">
        <f t="shared" si="3492"/>
        <v>-0.35332227677382566</v>
      </c>
      <c r="K134" s="235" t="s">
        <v>290</v>
      </c>
      <c r="L134" s="13">
        <f>+L132/J132-1</f>
        <v>-6.0126184665816762E-2</v>
      </c>
      <c r="M134" s="13">
        <f>+M132/L132-1</f>
        <v>7.4192275455567058E-2</v>
      </c>
      <c r="N134" s="13">
        <f t="shared" ref="N134:O134" si="3493">+N132/M132-1</f>
        <v>-0.13546101020131229</v>
      </c>
      <c r="O134" s="13">
        <f t="shared" si="3493"/>
        <v>-7.431701745828645E-2</v>
      </c>
      <c r="P134" s="235" t="s">
        <v>290</v>
      </c>
      <c r="Q134" s="13">
        <f>+Q132/O132-1</f>
        <v>2.0358507087667732E-3</v>
      </c>
      <c r="R134" s="13">
        <f>+R132/Q132-1</f>
        <v>0.1250967057918706</v>
      </c>
      <c r="S134" s="13">
        <f t="shared" ref="S134:T134" si="3494">+S132/R132-1</f>
        <v>-3.8508609027502194E-2</v>
      </c>
      <c r="T134" s="13">
        <f t="shared" si="3494"/>
        <v>0.42768215271715748</v>
      </c>
      <c r="U134" s="235" t="s">
        <v>290</v>
      </c>
      <c r="V134" s="13">
        <f>+V132/T132-1</f>
        <v>-6.8742552330314233E-4</v>
      </c>
      <c r="W134" s="13">
        <f>+W132/V132-1</f>
        <v>-0.24040473769927717</v>
      </c>
      <c r="X134" s="13">
        <f t="shared" ref="X134:Y134" si="3495">+X132/W132-1</f>
        <v>-6.5183107555382147E-3</v>
      </c>
      <c r="Y134" s="13">
        <f t="shared" si="3495"/>
        <v>-7.4087176134115307E-2</v>
      </c>
      <c r="Z134" s="235" t="s">
        <v>290</v>
      </c>
      <c r="AA134" s="13">
        <f>+AA132/Y132-1</f>
        <v>0.15964336204570007</v>
      </c>
      <c r="AB134" s="13">
        <f>+AB132/AA132-1</f>
        <v>0.39693174693454703</v>
      </c>
      <c r="AC134" s="13">
        <f t="shared" ref="AC134:AD134" si="3496">+AC132/AB132-1</f>
        <v>0.19280053094271343</v>
      </c>
      <c r="AD134" s="13">
        <f t="shared" si="3496"/>
        <v>0.2150127845961749</v>
      </c>
      <c r="AE134" s="235" t="s">
        <v>290</v>
      </c>
      <c r="AF134" s="13">
        <f>+AF132/AD132-1</f>
        <v>0.18564382779146005</v>
      </c>
      <c r="AG134" s="13">
        <f>+AG132/AF132-1</f>
        <v>-0.13389066192805699</v>
      </c>
      <c r="AH134" s="13">
        <f t="shared" ref="AH134:AI134" si="3497">+AH132/AG132-1</f>
        <v>3.0287321409650625E-2</v>
      </c>
      <c r="AI134" s="13">
        <f t="shared" si="3497"/>
        <v>3.6746207563017164E-2</v>
      </c>
      <c r="AJ134" s="235" t="s">
        <v>290</v>
      </c>
      <c r="AK134" s="13">
        <f>+AK132/AI132-1</f>
        <v>-0.16779766745884306</v>
      </c>
      <c r="AL134" s="13">
        <f>+AL132/AK132-1</f>
        <v>3.4016572696561331E-2</v>
      </c>
      <c r="AM134" s="13">
        <f t="shared" ref="AM134:AN134" si="3498">+AM132/AL132-1</f>
        <v>0.10166547188937458</v>
      </c>
      <c r="AN134" s="13">
        <f t="shared" si="3498"/>
        <v>0.15847756573258764</v>
      </c>
      <c r="AO134" s="235" t="s">
        <v>290</v>
      </c>
      <c r="AP134" s="13">
        <f>+AP132/AN132-1</f>
        <v>3.0605702417682457E-2</v>
      </c>
      <c r="AQ134" s="13">
        <f>+AQ132/AP132-1</f>
        <v>6.160730472476672E-3</v>
      </c>
      <c r="AR134" s="13">
        <f t="shared" ref="AR134:AS134" si="3499">+AR132/AQ132-1</f>
        <v>6.123008268851482E-3</v>
      </c>
      <c r="AS134" s="13">
        <f t="shared" si="3499"/>
        <v>7.4545173500442097E-3</v>
      </c>
      <c r="AT134" s="235" t="s">
        <v>290</v>
      </c>
      <c r="AU134" s="13">
        <f>+AU132/AS132-1</f>
        <v>8.7240939022465547E-2</v>
      </c>
      <c r="AV134" s="13">
        <f>+AV132/AU132-1</f>
        <v>5.7154814978386259E-3</v>
      </c>
      <c r="AW134" s="13">
        <f t="shared" ref="AW134:AX134" si="3500">+AW132/AV132-1</f>
        <v>5.6830004141195101E-3</v>
      </c>
      <c r="AX134" s="13">
        <f t="shared" si="3500"/>
        <v>0</v>
      </c>
      <c r="AY134" s="235" t="s">
        <v>290</v>
      </c>
      <c r="AZ134" s="13">
        <f>+AZ132/AX132-1</f>
        <v>0.2659958535229261</v>
      </c>
      <c r="BA134" s="13">
        <f>+BA132/AZ132-1</f>
        <v>5.5418760839132553E-2</v>
      </c>
      <c r="BB134" s="13">
        <f t="shared" ref="BB134:BC134" si="3501">+BB132/BA132-1</f>
        <v>3.1248070814459128E-2</v>
      </c>
      <c r="BC134" s="13">
        <f t="shared" si="3501"/>
        <v>0</v>
      </c>
      <c r="BD134" s="235" t="s">
        <v>290</v>
      </c>
      <c r="BE134" s="13">
        <f>+BE132/BC132-1</f>
        <v>5.1924344684517232E-2</v>
      </c>
      <c r="BF134" s="13">
        <f>+BF132/BE132-1</f>
        <v>4.5239218711956575E-2</v>
      </c>
      <c r="BG134" s="13">
        <f t="shared" ref="BG134" si="3502">+BG132/BF132-1</f>
        <v>3.821978414363203E-2</v>
      </c>
      <c r="BH134" s="13">
        <f t="shared" ref="BH134" si="3503">+BH132/BG132-1</f>
        <v>2.404041039898841E-2</v>
      </c>
      <c r="BI134" s="235" t="s">
        <v>290</v>
      </c>
      <c r="BJ134" s="13">
        <f>+BJ132/BH132-1</f>
        <v>-8.5752349298207853E-2</v>
      </c>
      <c r="BK134" s="13">
        <f>+BK132/BJ132-1</f>
        <v>3.9239318233911691E-2</v>
      </c>
      <c r="BL134" s="13">
        <f t="shared" ref="BL134" si="3504">+BL132/BK132-1</f>
        <v>3.2832717546887658E-2</v>
      </c>
      <c r="BM134" s="13">
        <f t="shared" ref="BM134" si="3505">+BM132/BL132-1</f>
        <v>3.1788998343186936E-2</v>
      </c>
      <c r="BN134" s="235" t="s">
        <v>290</v>
      </c>
      <c r="BO134" s="13">
        <f>+BO132/BM132-1</f>
        <v>4.1117688188355705E-2</v>
      </c>
      <c r="BP134" s="13">
        <f>+BP132/BO132-1</f>
        <v>3.4773986222498277E-2</v>
      </c>
      <c r="BQ134" s="13">
        <f t="shared" ref="BQ134" si="3506">+BQ132/BP132-1</f>
        <v>2.8953399018765813E-2</v>
      </c>
      <c r="BR134" s="13">
        <f t="shared" ref="BR134" si="3507">+BR132/BQ132-1</f>
        <v>2.8138688347185026E-2</v>
      </c>
      <c r="BS134" s="235" t="s">
        <v>290</v>
      </c>
      <c r="BT134" s="13">
        <f>+BT132/BR132-1</f>
        <v>3.7642258338069778E-2</v>
      </c>
      <c r="BU134" s="13">
        <f>+BU132/BT132-1</f>
        <v>3.1283064300005714E-2</v>
      </c>
      <c r="BV134" s="13">
        <f t="shared" ref="BV134" si="3508">+BV132/BU132-1</f>
        <v>2.5893651983686095E-2</v>
      </c>
      <c r="BW134" s="13">
        <f t="shared" ref="BW134" si="3509">+BW132/BV132-1</f>
        <v>2.5240093779328232E-2</v>
      </c>
      <c r="BX134" s="235" t="s">
        <v>290</v>
      </c>
      <c r="BY134" s="13">
        <f>+BY132/BW132-1</f>
        <v>3.4864902252456087E-2</v>
      </c>
      <c r="BZ134" s="13">
        <f>+BZ132/BY132-1</f>
        <v>2.8480056510777452E-2</v>
      </c>
      <c r="CA134" s="13">
        <f t="shared" ref="CA134" si="3510">+CA132/BZ132-1</f>
        <v>2.3418568651958127E-2</v>
      </c>
      <c r="CB134" s="13">
        <f t="shared" ref="CB134" si="3511">+CB132/CA132-1</f>
        <v>2.288268883259037E-2</v>
      </c>
      <c r="CC134" s="235" t="s">
        <v>290</v>
      </c>
      <c r="CD134" s="13">
        <f>+CD132/CB132-1</f>
        <v>3.2594492968977207E-2</v>
      </c>
      <c r="CE134" s="13">
        <f>+CE132/CD132-1</f>
        <v>2.6180764123586053E-2</v>
      </c>
      <c r="CF134" s="13">
        <f t="shared" ref="CF134" si="3512">+CF132/CE132-1</f>
        <v>2.1375185439800548E-2</v>
      </c>
      <c r="CG134" s="13">
        <f t="shared" ref="CG134" si="3513">+CG132/CF132-1</f>
        <v>2.0927848791036041E-2</v>
      </c>
      <c r="CH134" s="235" t="s">
        <v>290</v>
      </c>
      <c r="CI134" s="13">
        <f>+CI132/CG132-1</f>
        <v>3.0703840436889562E-2</v>
      </c>
      <c r="CJ134" s="13">
        <f>+CJ132/CI132-1</f>
        <v>2.4261369066242544E-2</v>
      </c>
      <c r="CK134" s="13">
        <f t="shared" ref="CK134" si="3514">+CK132/CJ132-1</f>
        <v>1.965961778342562E-2</v>
      </c>
      <c r="CL134" s="13">
        <f t="shared" ref="CL134" si="3515">+CL132/CK132-1</f>
        <v>1.9280569163033334E-2</v>
      </c>
      <c r="CM134" s="235" t="s">
        <v>290</v>
      </c>
      <c r="CN134" s="13">
        <f>+CN132/CL132-1</f>
        <v>2.9105019210416305E-2</v>
      </c>
      <c r="CO134" s="13">
        <f>+CO132/CN132-1</f>
        <v>2.2635566761215475E-2</v>
      </c>
      <c r="CP134" s="13">
        <f t="shared" ref="CP134" si="3516">+CP132/CO132-1</f>
        <v>1.8198837801099099E-2</v>
      </c>
      <c r="CQ134" s="13">
        <f t="shared" ref="CQ134" si="3517">+CQ132/CP132-1</f>
        <v>1.787355978563232E-2</v>
      </c>
      <c r="CR134" s="235" t="s">
        <v>290</v>
      </c>
      <c r="CS134" s="13">
        <f>+CS132/CQ132-1</f>
        <v>2.7735302395801131E-2</v>
      </c>
      <c r="CT134" s="13">
        <f>+CT132/CS132-1</f>
        <v>2.1241359454164277E-2</v>
      </c>
      <c r="CU134" s="13">
        <f t="shared" ref="CU134" si="3518">+CU132/CT132-1</f>
        <v>1.6940009579673898E-2</v>
      </c>
      <c r="CV134" s="13">
        <f t="shared" ref="CV134" si="3519">+CV132/CU132-1</f>
        <v>1.665782585019504E-2</v>
      </c>
      <c r="CW134" s="235" t="s">
        <v>290</v>
      </c>
      <c r="CX134" s="13">
        <f>+CX132/CV132-1</f>
        <v>2.6548738111200176E-2</v>
      </c>
      <c r="CY134" s="13">
        <f>+CY132/CX132-1</f>
        <v>2.0033061850801559E-2</v>
      </c>
      <c r="CZ134" s="13">
        <f t="shared" ref="CZ134" si="3520">+CZ132/CY132-1</f>
        <v>1.5843961620512603E-2</v>
      </c>
      <c r="DA134" s="13">
        <f t="shared" ref="DA134" si="3521">+DA132/CZ132-1</f>
        <v>1.5596845794346059E-2</v>
      </c>
      <c r="DB134" s="235" t="s">
        <v>290</v>
      </c>
    </row>
    <row r="135" spans="1:106">
      <c r="F135" s="217"/>
      <c r="K135" s="217"/>
      <c r="P135" s="217"/>
      <c r="U135" s="217"/>
      <c r="Z135" s="217"/>
      <c r="AE135" s="217"/>
      <c r="AJ135" s="217"/>
      <c r="AO135" s="217"/>
      <c r="AT135" s="217"/>
      <c r="AY135" s="217"/>
      <c r="BD135" s="217"/>
      <c r="BI135" s="217"/>
      <c r="BN135" s="217"/>
      <c r="BS135" s="217"/>
      <c r="BX135" s="217"/>
      <c r="CC135" s="217"/>
      <c r="CH135" s="217"/>
      <c r="CM135" s="217"/>
      <c r="CR135" s="217"/>
      <c r="CW135" s="217"/>
      <c r="DB135" s="217"/>
    </row>
    <row r="136" spans="1:106" s="123" customFormat="1">
      <c r="A136" s="124" t="s">
        <v>294</v>
      </c>
      <c r="F136" s="238"/>
      <c r="K136" s="238"/>
      <c r="P136" s="238"/>
      <c r="U136" s="238"/>
      <c r="Z136" s="238"/>
      <c r="AE136" s="238"/>
      <c r="AJ136" s="238"/>
      <c r="AO136" s="238"/>
      <c r="AT136" s="238"/>
      <c r="AY136" s="238"/>
      <c r="BD136" s="238"/>
      <c r="BI136" s="238"/>
      <c r="BN136" s="238"/>
      <c r="BS136" s="238"/>
      <c r="BX136" s="238"/>
      <c r="CC136" s="238"/>
      <c r="CH136" s="238"/>
      <c r="CM136" s="238"/>
      <c r="CR136" s="238"/>
      <c r="CW136" s="238"/>
      <c r="DB136" s="238"/>
    </row>
    <row r="137" spans="1:106" s="51" customFormat="1">
      <c r="A137" s="51" t="s">
        <v>276</v>
      </c>
      <c r="B137" s="213">
        <f>+F137/4</f>
        <v>1800000</v>
      </c>
      <c r="C137" s="213">
        <f>+F137/4</f>
        <v>1800000</v>
      </c>
      <c r="D137" s="213">
        <f>+F137/4</f>
        <v>1800000</v>
      </c>
      <c r="E137" s="213">
        <f>+F137/4</f>
        <v>1800000</v>
      </c>
      <c r="F137" s="234">
        <v>7200000</v>
      </c>
      <c r="G137" s="213">
        <f>+B137*(1+G138)</f>
        <v>1801799.9999999998</v>
      </c>
      <c r="H137" s="213">
        <f t="shared" ref="H137" si="3522">+C137*(1+H138)</f>
        <v>1801799.9999999998</v>
      </c>
      <c r="I137" s="213">
        <f t="shared" ref="I137" si="3523">+D137*(1+I138)</f>
        <v>1801799.9999999998</v>
      </c>
      <c r="J137" s="213">
        <f t="shared" ref="J137" si="3524">+E137*(1+J138)</f>
        <v>1801799.9999999998</v>
      </c>
      <c r="K137" s="234">
        <f>+G137+H137+I137+J137</f>
        <v>7207199.9999999991</v>
      </c>
      <c r="L137" s="213">
        <f>+G137*(1+L138)</f>
        <v>1803601.7999999996</v>
      </c>
      <c r="M137" s="213">
        <f t="shared" ref="M137" si="3525">+H137*(1+M138)</f>
        <v>1803601.7999999996</v>
      </c>
      <c r="N137" s="213">
        <f>+I137*(1+N138)</f>
        <v>1803601.7999999996</v>
      </c>
      <c r="O137" s="213">
        <f t="shared" ref="O137" si="3526">+J137*(1+O138)</f>
        <v>1803601.7999999996</v>
      </c>
      <c r="P137" s="234">
        <f>+L137+M137+N137+O137</f>
        <v>7214407.1999999983</v>
      </c>
      <c r="Q137" s="213">
        <f>+L137*(1+Q138)</f>
        <v>1805405.4017999994</v>
      </c>
      <c r="R137" s="213">
        <f t="shared" ref="R137" si="3527">+M137*(1+R138)</f>
        <v>1805405.4017999994</v>
      </c>
      <c r="S137" s="213">
        <f t="shared" ref="S137" si="3528">+N137*(1+S138)</f>
        <v>1805405.4017999994</v>
      </c>
      <c r="T137" s="213">
        <f t="shared" ref="T137" si="3529">+O137*(1+T138)</f>
        <v>1805405.4017999994</v>
      </c>
      <c r="U137" s="234">
        <f>+Q137+R137+S137+T137</f>
        <v>7221621.6071999976</v>
      </c>
      <c r="V137" s="213">
        <f>+Q137*(1+V138)</f>
        <v>1807210.8072017992</v>
      </c>
      <c r="W137" s="213">
        <f t="shared" ref="W137" si="3530">+R137*(1+W138)</f>
        <v>1807210.8072017992</v>
      </c>
      <c r="X137" s="213">
        <f t="shared" ref="X137" si="3531">+S137*(1+X138)</f>
        <v>1807210.8072017992</v>
      </c>
      <c r="Y137" s="213">
        <f t="shared" ref="Y137" si="3532">+T137*(1+Y138)</f>
        <v>1807210.8072017992</v>
      </c>
      <c r="Z137" s="234">
        <f>+V137+W137+X137+Y137</f>
        <v>7228843.228807197</v>
      </c>
      <c r="AA137" s="213">
        <f>+V137*(1+AA138)</f>
        <v>1809018.0180090009</v>
      </c>
      <c r="AB137" s="213">
        <f t="shared" ref="AB137" si="3533">+W137*(1+AB138)</f>
        <v>1809018.0180090009</v>
      </c>
      <c r="AC137" s="213">
        <f t="shared" ref="AC137" si="3534">+X137*(1+AC138)</f>
        <v>1809018.0180090009</v>
      </c>
      <c r="AD137" s="213">
        <f t="shared" ref="AD137" si="3535">+Y137*(1+AD138)</f>
        <v>1809018.0180090009</v>
      </c>
      <c r="AE137" s="234">
        <f>+AA137+AB137+AC137+AD137</f>
        <v>7236072.0720360037</v>
      </c>
      <c r="AF137" s="213">
        <f>+AA137*(1+AF138)</f>
        <v>1810827.0360270098</v>
      </c>
      <c r="AG137" s="213">
        <f t="shared" ref="AG137" si="3536">+AB137*(1+AG138)</f>
        <v>1810827.0360270098</v>
      </c>
      <c r="AH137" s="213">
        <f t="shared" ref="AH137" si="3537">+AC137*(1+AH138)</f>
        <v>1810827.0360270098</v>
      </c>
      <c r="AI137" s="213">
        <f t="shared" ref="AI137" si="3538">+AD137*(1+AI138)</f>
        <v>1810827.0360270098</v>
      </c>
      <c r="AJ137" s="234">
        <f>+AF137+AG137+AH137+AI137</f>
        <v>7243308.1441080393</v>
      </c>
      <c r="AK137" s="213">
        <f>+AF137*(1+AK138)</f>
        <v>1812637.8630630367</v>
      </c>
      <c r="AL137" s="213">
        <f t="shared" ref="AL137" si="3539">+AG137*(1+AL138)</f>
        <v>1812637.8630630367</v>
      </c>
      <c r="AM137" s="213">
        <f t="shared" ref="AM137" si="3540">+AH137*(1+AM138)</f>
        <v>1812637.8630630367</v>
      </c>
      <c r="AN137" s="213">
        <f t="shared" ref="AN137" si="3541">+AI137*(1+AN138)</f>
        <v>1812637.8630630367</v>
      </c>
      <c r="AO137" s="234">
        <f>+AK137+AL137+AM137+AN137</f>
        <v>7250551.4522521468</v>
      </c>
      <c r="AP137" s="213">
        <f>+AK137*(1+AP138)</f>
        <v>1814450.5009260995</v>
      </c>
      <c r="AQ137" s="213">
        <f t="shared" ref="AQ137" si="3542">+AL137*(1+AQ138)</f>
        <v>1814450.5009260995</v>
      </c>
      <c r="AR137" s="213">
        <f t="shared" ref="AR137" si="3543">+AM137*(1+AR138)</f>
        <v>1814450.5009260995</v>
      </c>
      <c r="AS137" s="213">
        <f t="shared" ref="AS137" si="3544">+AN137*(1+AS138)</f>
        <v>1814450.5009260995</v>
      </c>
      <c r="AT137" s="234">
        <f>+AP137+AQ137+AR137+AS137</f>
        <v>7257802.0037043979</v>
      </c>
      <c r="AU137" s="213">
        <f>+AP137*(1+AU138)</f>
        <v>1816264.9514270255</v>
      </c>
      <c r="AV137" s="213">
        <f t="shared" ref="AV137" si="3545">+AQ137*(1+AV138)</f>
        <v>1816264.9514270255</v>
      </c>
      <c r="AW137" s="213">
        <f t="shared" ref="AW137" si="3546">+AR137*(1+AW138)</f>
        <v>1816264.9514270255</v>
      </c>
      <c r="AX137" s="213">
        <f t="shared" ref="AX137" si="3547">+AS137*(1+AX138)</f>
        <v>1816264.9514270255</v>
      </c>
      <c r="AY137" s="234">
        <f>+AU137+AV137+AW137+AX137</f>
        <v>7265059.805708102</v>
      </c>
      <c r="AZ137" s="213">
        <f>+AU137*(1+AZ138)</f>
        <v>1818081.2163784523</v>
      </c>
      <c r="BA137" s="213">
        <f t="shared" ref="BA137" si="3548">+AV137*(1+BA138)</f>
        <v>1818081.2163784523</v>
      </c>
      <c r="BB137" s="213">
        <f t="shared" ref="BB137" si="3549">+AW137*(1+BB138)</f>
        <v>1818081.2163784523</v>
      </c>
      <c r="BC137" s="213">
        <f t="shared" ref="BC137" si="3550">+AX137*(1+BC138)</f>
        <v>1818081.2163784523</v>
      </c>
      <c r="BD137" s="234">
        <f>+AZ137+BA137+BB137+BC137</f>
        <v>7272324.865513809</v>
      </c>
      <c r="BE137" s="213">
        <f>+AZ137*(1+BE138)</f>
        <v>1819899.2975948304</v>
      </c>
      <c r="BF137" s="213">
        <f t="shared" ref="BF137" si="3551">+BA137*(1+BF138)</f>
        <v>1819899.2975948304</v>
      </c>
      <c r="BG137" s="213">
        <f t="shared" ref="BG137:BH137" si="3552">+BB137*(1+BG138)</f>
        <v>1819899.2975948304</v>
      </c>
      <c r="BH137" s="213">
        <f t="shared" si="3552"/>
        <v>1819899.2975948304</v>
      </c>
      <c r="BI137" s="234">
        <f>+BE137+BF137+BG137+BH137</f>
        <v>7279597.1903793216</v>
      </c>
      <c r="BJ137" s="213">
        <f>+BE137*(1+BJ138)</f>
        <v>1821719.196892425</v>
      </c>
      <c r="BK137" s="213">
        <f t="shared" ref="BK137" si="3553">+BF137*(1+BK138)</f>
        <v>1821719.196892425</v>
      </c>
      <c r="BL137" s="213">
        <f t="shared" ref="BL137" si="3554">+BG137*(1+BL138)</f>
        <v>1821719.196892425</v>
      </c>
      <c r="BM137" s="213">
        <f t="shared" ref="BM137" si="3555">+BH137*(1+BM138)</f>
        <v>1821719.196892425</v>
      </c>
      <c r="BN137" s="234">
        <f>+BJ137+BK137+BL137+BM137</f>
        <v>7286876.7875696998</v>
      </c>
      <c r="BO137" s="213">
        <f>+BJ137*(1+BO138)</f>
        <v>1823540.9160893171</v>
      </c>
      <c r="BP137" s="213">
        <f t="shared" ref="BP137" si="3556">+BK137*(1+BP138)</f>
        <v>1823540.9160893171</v>
      </c>
      <c r="BQ137" s="213">
        <f t="shared" ref="BQ137" si="3557">+BL137*(1+BQ138)</f>
        <v>1823540.9160893171</v>
      </c>
      <c r="BR137" s="213">
        <f t="shared" ref="BR137" si="3558">+BM137*(1+BR138)</f>
        <v>1823540.9160893171</v>
      </c>
      <c r="BS137" s="234">
        <f>+BO137+BP137+BQ137+BR137</f>
        <v>7294163.6643572683</v>
      </c>
      <c r="BT137" s="213">
        <f>+BO137*(1+BT138)</f>
        <v>1825364.4570054063</v>
      </c>
      <c r="BU137" s="213">
        <f t="shared" ref="BU137" si="3559">+BP137*(1+BU138)</f>
        <v>1825364.4570054063</v>
      </c>
      <c r="BV137" s="213">
        <f t="shared" ref="BV137" si="3560">+BQ137*(1+BV138)</f>
        <v>1825364.4570054063</v>
      </c>
      <c r="BW137" s="213">
        <f t="shared" ref="BW137" si="3561">+BR137*(1+BW138)</f>
        <v>1825364.4570054063</v>
      </c>
      <c r="BX137" s="234">
        <f>+BT137+BU137+BV137+BW137</f>
        <v>7301457.8280216251</v>
      </c>
      <c r="BY137" s="213">
        <f>+BT137*(1+BY138)</f>
        <v>1827189.8214624114</v>
      </c>
      <c r="BZ137" s="213">
        <f t="shared" ref="BZ137" si="3562">+BU137*(1+BZ138)</f>
        <v>1827189.8214624114</v>
      </c>
      <c r="CA137" s="213">
        <f t="shared" ref="CA137" si="3563">+BV137*(1+CA138)</f>
        <v>1827189.8214624114</v>
      </c>
      <c r="CB137" s="213">
        <f t="shared" ref="CB137" si="3564">+BW137*(1+CB138)</f>
        <v>1827189.8214624114</v>
      </c>
      <c r="CC137" s="234">
        <f>+BY137+BZ137+CA137+CB137</f>
        <v>7308759.2858496457</v>
      </c>
      <c r="CD137" s="213">
        <f>+BY137*(1+CD138)</f>
        <v>1829017.0112838736</v>
      </c>
      <c r="CE137" s="213">
        <f t="shared" ref="CE137" si="3565">+BZ137*(1+CE138)</f>
        <v>1829017.0112838736</v>
      </c>
      <c r="CF137" s="213">
        <f t="shared" ref="CF137" si="3566">+CA137*(1+CF138)</f>
        <v>1829017.0112838736</v>
      </c>
      <c r="CG137" s="213">
        <f t="shared" ref="CG137" si="3567">+CB137*(1+CG138)</f>
        <v>1829017.0112838736</v>
      </c>
      <c r="CH137" s="234">
        <f>+CD137+CE137+CF137+CG137</f>
        <v>7316068.0451354943</v>
      </c>
      <c r="CI137" s="213">
        <f>+CD137*(1+CI138)</f>
        <v>1830846.0282951572</v>
      </c>
      <c r="CJ137" s="213">
        <f t="shared" ref="CJ137" si="3568">+CE137*(1+CJ138)</f>
        <v>1830846.0282951572</v>
      </c>
      <c r="CK137" s="213">
        <f t="shared" ref="CK137" si="3569">+CF137*(1+CK138)</f>
        <v>1830846.0282951572</v>
      </c>
      <c r="CL137" s="213">
        <f t="shared" ref="CL137" si="3570">+CG137*(1+CL138)</f>
        <v>1830846.0282951572</v>
      </c>
      <c r="CM137" s="234">
        <f>+CI137+CJ137+CK137+CL137</f>
        <v>7323384.113180629</v>
      </c>
      <c r="CN137" s="213">
        <f>+CI137*(1+CN138)</f>
        <v>1832676.8743234521</v>
      </c>
      <c r="CO137" s="213">
        <f t="shared" ref="CO137" si="3571">+CJ137*(1+CO138)</f>
        <v>1832676.8743234521</v>
      </c>
      <c r="CP137" s="213">
        <f t="shared" ref="CP137" si="3572">+CK137*(1+CP138)</f>
        <v>1832676.8743234521</v>
      </c>
      <c r="CQ137" s="213">
        <f t="shared" ref="CQ137" si="3573">+CL137*(1+CQ138)</f>
        <v>1832676.8743234521</v>
      </c>
      <c r="CR137" s="234">
        <f>+CN137+CO137+CP137+CQ137</f>
        <v>7330707.4972938085</v>
      </c>
      <c r="CS137" s="213">
        <f>+CN137*(1+CS138)</f>
        <v>1834509.5511977754</v>
      </c>
      <c r="CT137" s="213">
        <f t="shared" ref="CT137" si="3574">+CO137*(1+CT138)</f>
        <v>1834509.5511977754</v>
      </c>
      <c r="CU137" s="213">
        <f t="shared" ref="CU137" si="3575">+CP137*(1+CU138)</f>
        <v>1834509.5511977754</v>
      </c>
      <c r="CV137" s="213">
        <f t="shared" ref="CV137" si="3576">+CQ137*(1+CV138)</f>
        <v>1834509.5511977754</v>
      </c>
      <c r="CW137" s="234">
        <f>+CS137+CT137+CU137+CV137</f>
        <v>7338038.2047911016</v>
      </c>
      <c r="CX137" s="213">
        <f>+CS137*(1+CX138)</f>
        <v>1836344.0607489729</v>
      </c>
      <c r="CY137" s="213">
        <f t="shared" ref="CY137" si="3577">+CT137*(1+CY138)</f>
        <v>1836344.0607489729</v>
      </c>
      <c r="CZ137" s="213">
        <f t="shared" ref="CZ137" si="3578">+CU137*(1+CZ138)</f>
        <v>1836344.0607489729</v>
      </c>
      <c r="DA137" s="213">
        <f t="shared" ref="DA137" si="3579">+CV137*(1+DA138)</f>
        <v>1836344.0607489729</v>
      </c>
      <c r="DB137" s="234">
        <f>+CX137+CY137+CZ137+DA137</f>
        <v>7345376.2429958917</v>
      </c>
    </row>
    <row r="138" spans="1:106">
      <c r="A138" s="117" t="s">
        <v>281</v>
      </c>
      <c r="B138" s="119" t="s">
        <v>290</v>
      </c>
      <c r="C138" s="119" t="s">
        <v>290</v>
      </c>
      <c r="D138" s="119" t="s">
        <v>290</v>
      </c>
      <c r="E138" s="119" t="s">
        <v>290</v>
      </c>
      <c r="F138" s="235" t="s">
        <v>290</v>
      </c>
      <c r="G138" s="118">
        <v>1E-3</v>
      </c>
      <c r="H138" s="118">
        <v>1E-3</v>
      </c>
      <c r="I138" s="118">
        <v>1E-3</v>
      </c>
      <c r="J138" s="118">
        <v>1E-3</v>
      </c>
      <c r="K138" s="239">
        <f>+K137/F137-1</f>
        <v>9.9999999999988987E-4</v>
      </c>
      <c r="L138" s="118">
        <v>1E-3</v>
      </c>
      <c r="M138" s="118">
        <v>1E-3</v>
      </c>
      <c r="N138" s="118">
        <v>1E-3</v>
      </c>
      <c r="O138" s="118">
        <v>1E-3</v>
      </c>
      <c r="P138" s="239">
        <f>+P137/K137-1</f>
        <v>9.9999999999988987E-4</v>
      </c>
      <c r="Q138" s="118">
        <v>1E-3</v>
      </c>
      <c r="R138" s="118">
        <v>1E-3</v>
      </c>
      <c r="S138" s="118">
        <v>1E-3</v>
      </c>
      <c r="T138" s="118">
        <v>1E-3</v>
      </c>
      <c r="U138" s="239">
        <f>+U137/P137-1</f>
        <v>9.9999999999988987E-4</v>
      </c>
      <c r="V138" s="118">
        <v>1E-3</v>
      </c>
      <c r="W138" s="118">
        <v>1E-3</v>
      </c>
      <c r="X138" s="118">
        <v>1E-3</v>
      </c>
      <c r="Y138" s="118">
        <v>1E-3</v>
      </c>
      <c r="Z138" s="239">
        <f>+Z137/U137-1</f>
        <v>9.9999999999988987E-4</v>
      </c>
      <c r="AA138" s="118">
        <v>1E-3</v>
      </c>
      <c r="AB138" s="118">
        <v>1E-3</v>
      </c>
      <c r="AC138" s="118">
        <v>1E-3</v>
      </c>
      <c r="AD138" s="118">
        <v>1E-3</v>
      </c>
      <c r="AE138" s="239">
        <f>+AE137/Z137-1</f>
        <v>9.9999999999988987E-4</v>
      </c>
      <c r="AF138" s="118">
        <v>1E-3</v>
      </c>
      <c r="AG138" s="118">
        <v>1E-3</v>
      </c>
      <c r="AH138" s="118">
        <v>1E-3</v>
      </c>
      <c r="AI138" s="118">
        <v>1E-3</v>
      </c>
      <c r="AJ138" s="239">
        <f>+AJ137/AE137-1</f>
        <v>9.9999999999988987E-4</v>
      </c>
      <c r="AK138" s="118">
        <v>1E-3</v>
      </c>
      <c r="AL138" s="118">
        <v>1E-3</v>
      </c>
      <c r="AM138" s="118">
        <v>1E-3</v>
      </c>
      <c r="AN138" s="118">
        <v>1E-3</v>
      </c>
      <c r="AO138" s="239">
        <f>+AO137/AJ137-1</f>
        <v>9.9999999999988987E-4</v>
      </c>
      <c r="AP138" s="118">
        <v>1E-3</v>
      </c>
      <c r="AQ138" s="118">
        <v>1E-3</v>
      </c>
      <c r="AR138" s="118">
        <v>1E-3</v>
      </c>
      <c r="AS138" s="118">
        <v>1E-3</v>
      </c>
      <c r="AT138" s="239">
        <f>+AT137/AO137-1</f>
        <v>9.9999999999988987E-4</v>
      </c>
      <c r="AU138" s="118">
        <v>1E-3</v>
      </c>
      <c r="AV138" s="118">
        <v>1E-3</v>
      </c>
      <c r="AW138" s="118">
        <v>1E-3</v>
      </c>
      <c r="AX138" s="118">
        <v>1E-3</v>
      </c>
      <c r="AY138" s="239">
        <f>+AY137/AT137-1</f>
        <v>9.9999999999988987E-4</v>
      </c>
      <c r="AZ138" s="118">
        <v>1E-3</v>
      </c>
      <c r="BA138" s="118">
        <v>1E-3</v>
      </c>
      <c r="BB138" s="118">
        <v>1E-3</v>
      </c>
      <c r="BC138" s="118">
        <v>1E-3</v>
      </c>
      <c r="BD138" s="239">
        <f>+BD137/AY137-1</f>
        <v>9.9999999999988987E-4</v>
      </c>
      <c r="BE138" s="118">
        <v>1E-3</v>
      </c>
      <c r="BF138" s="118">
        <v>1E-3</v>
      </c>
      <c r="BG138" s="118">
        <v>1E-3</v>
      </c>
      <c r="BH138" s="118">
        <v>1E-3</v>
      </c>
      <c r="BI138" s="239">
        <f>+BI137/BD137-1</f>
        <v>9.9999999999988987E-4</v>
      </c>
      <c r="BJ138" s="118">
        <v>1E-3</v>
      </c>
      <c r="BK138" s="118">
        <v>1E-3</v>
      </c>
      <c r="BL138" s="118">
        <v>1E-3</v>
      </c>
      <c r="BM138" s="118">
        <v>1E-3</v>
      </c>
      <c r="BN138" s="239">
        <f>+BN137/BI137-1</f>
        <v>9.9999999999988987E-4</v>
      </c>
      <c r="BO138" s="118">
        <v>1E-3</v>
      </c>
      <c r="BP138" s="118">
        <v>1E-3</v>
      </c>
      <c r="BQ138" s="118">
        <v>1E-3</v>
      </c>
      <c r="BR138" s="118">
        <v>1E-3</v>
      </c>
      <c r="BS138" s="239">
        <f>+BS137/BN137-1</f>
        <v>9.9999999999988987E-4</v>
      </c>
      <c r="BT138" s="118">
        <v>1E-3</v>
      </c>
      <c r="BU138" s="118">
        <v>1E-3</v>
      </c>
      <c r="BV138" s="118">
        <v>1E-3</v>
      </c>
      <c r="BW138" s="118">
        <v>1E-3</v>
      </c>
      <c r="BX138" s="239">
        <f>+BX137/BS137-1</f>
        <v>9.9999999999988987E-4</v>
      </c>
      <c r="BY138" s="118">
        <v>1E-3</v>
      </c>
      <c r="BZ138" s="118">
        <v>1E-3</v>
      </c>
      <c r="CA138" s="118">
        <v>1E-3</v>
      </c>
      <c r="CB138" s="118">
        <v>1E-3</v>
      </c>
      <c r="CC138" s="239">
        <f>+CC137/BX137-1</f>
        <v>9.9999999999988987E-4</v>
      </c>
      <c r="CD138" s="118">
        <v>1E-3</v>
      </c>
      <c r="CE138" s="118">
        <v>1E-3</v>
      </c>
      <c r="CF138" s="118">
        <v>1E-3</v>
      </c>
      <c r="CG138" s="118">
        <v>1E-3</v>
      </c>
      <c r="CH138" s="239">
        <f>+CH137/CC137-1</f>
        <v>9.9999999999988987E-4</v>
      </c>
      <c r="CI138" s="118">
        <v>1E-3</v>
      </c>
      <c r="CJ138" s="118">
        <v>1E-3</v>
      </c>
      <c r="CK138" s="118">
        <v>1E-3</v>
      </c>
      <c r="CL138" s="118">
        <v>1E-3</v>
      </c>
      <c r="CM138" s="239">
        <f>+CM137/CH137-1</f>
        <v>9.9999999999988987E-4</v>
      </c>
      <c r="CN138" s="118">
        <v>1E-3</v>
      </c>
      <c r="CO138" s="118">
        <v>1E-3</v>
      </c>
      <c r="CP138" s="118">
        <v>1E-3</v>
      </c>
      <c r="CQ138" s="118">
        <v>1E-3</v>
      </c>
      <c r="CR138" s="239">
        <f>+CR137/CM137-1</f>
        <v>9.9999999999988987E-4</v>
      </c>
      <c r="CS138" s="118">
        <v>1E-3</v>
      </c>
      <c r="CT138" s="118">
        <v>1E-3</v>
      </c>
      <c r="CU138" s="118">
        <v>1E-3</v>
      </c>
      <c r="CV138" s="118">
        <v>1E-3</v>
      </c>
      <c r="CW138" s="239">
        <f>+CW137/CR137-1</f>
        <v>9.9999999999988987E-4</v>
      </c>
      <c r="CX138" s="118">
        <v>1E-3</v>
      </c>
      <c r="CY138" s="118">
        <v>1E-3</v>
      </c>
      <c r="CZ138" s="118">
        <v>1E-3</v>
      </c>
      <c r="DA138" s="118">
        <v>1E-3</v>
      </c>
      <c r="DB138" s="239">
        <f>+DB137/CW137-1</f>
        <v>9.9999999999988987E-4</v>
      </c>
    </row>
    <row r="139" spans="1:106">
      <c r="A139" s="117" t="s">
        <v>282</v>
      </c>
      <c r="B139" s="13">
        <f>+B137/B143</f>
        <v>1</v>
      </c>
      <c r="C139" s="13">
        <f t="shared" ref="C139:F139" si="3580">+C137/C143</f>
        <v>1</v>
      </c>
      <c r="D139" s="13">
        <f t="shared" si="3580"/>
        <v>1</v>
      </c>
      <c r="E139" s="13">
        <f t="shared" si="3580"/>
        <v>1</v>
      </c>
      <c r="F139" s="239">
        <f t="shared" si="3580"/>
        <v>1</v>
      </c>
      <c r="G139" s="13">
        <f>+G137/G143</f>
        <v>1</v>
      </c>
      <c r="H139" s="13">
        <f t="shared" ref="H139:K139" si="3581">+H137/H143</f>
        <v>1</v>
      </c>
      <c r="I139" s="13">
        <f t="shared" si="3581"/>
        <v>1</v>
      </c>
      <c r="J139" s="13">
        <f t="shared" si="3581"/>
        <v>1</v>
      </c>
      <c r="K139" s="239">
        <f t="shared" si="3581"/>
        <v>1</v>
      </c>
      <c r="L139" s="13">
        <f>+L137/L143</f>
        <v>1</v>
      </c>
      <c r="M139" s="13">
        <f t="shared" ref="M139:P139" si="3582">+M137/M143</f>
        <v>1</v>
      </c>
      <c r="N139" s="13">
        <f t="shared" si="3582"/>
        <v>1</v>
      </c>
      <c r="O139" s="13">
        <f t="shared" si="3582"/>
        <v>1</v>
      </c>
      <c r="P139" s="239">
        <f t="shared" si="3582"/>
        <v>1</v>
      </c>
      <c r="Q139" s="13">
        <f>+Q137/Q143</f>
        <v>1</v>
      </c>
      <c r="R139" s="13">
        <f t="shared" ref="R139:U139" si="3583">+R137/R143</f>
        <v>1</v>
      </c>
      <c r="S139" s="13">
        <f t="shared" si="3583"/>
        <v>1</v>
      </c>
      <c r="T139" s="13">
        <f t="shared" si="3583"/>
        <v>1</v>
      </c>
      <c r="U139" s="239">
        <f t="shared" si="3583"/>
        <v>1</v>
      </c>
      <c r="V139" s="13">
        <f>+V137/V143</f>
        <v>1</v>
      </c>
      <c r="W139" s="13">
        <f t="shared" ref="W139:Z139" si="3584">+W137/W143</f>
        <v>1</v>
      </c>
      <c r="X139" s="13">
        <f t="shared" si="3584"/>
        <v>1</v>
      </c>
      <c r="Y139" s="13">
        <f t="shared" si="3584"/>
        <v>1</v>
      </c>
      <c r="Z139" s="239">
        <f t="shared" si="3584"/>
        <v>1</v>
      </c>
      <c r="AA139" s="13">
        <f>+AA137/AA143</f>
        <v>1</v>
      </c>
      <c r="AB139" s="13">
        <f t="shared" ref="AB139:AE139" si="3585">+AB137/AB143</f>
        <v>1</v>
      </c>
      <c r="AC139" s="13">
        <f t="shared" si="3585"/>
        <v>1</v>
      </c>
      <c r="AD139" s="13">
        <f t="shared" si="3585"/>
        <v>1</v>
      </c>
      <c r="AE139" s="239">
        <f t="shared" si="3585"/>
        <v>1</v>
      </c>
      <c r="AF139" s="13">
        <f>+AF137/AF143</f>
        <v>1</v>
      </c>
      <c r="AG139" s="13">
        <f t="shared" ref="AG139:AJ139" si="3586">+AG137/AG143</f>
        <v>1</v>
      </c>
      <c r="AH139" s="13">
        <f t="shared" si="3586"/>
        <v>1</v>
      </c>
      <c r="AI139" s="13">
        <f t="shared" si="3586"/>
        <v>1</v>
      </c>
      <c r="AJ139" s="239">
        <f t="shared" si="3586"/>
        <v>1</v>
      </c>
      <c r="AK139" s="13">
        <f>+AK137/AK143</f>
        <v>1</v>
      </c>
      <c r="AL139" s="13">
        <f t="shared" ref="AL139:AO139" si="3587">+AL137/AL143</f>
        <v>1</v>
      </c>
      <c r="AM139" s="13">
        <f t="shared" si="3587"/>
        <v>1</v>
      </c>
      <c r="AN139" s="13">
        <f t="shared" si="3587"/>
        <v>1</v>
      </c>
      <c r="AO139" s="239">
        <f t="shared" si="3587"/>
        <v>1</v>
      </c>
      <c r="AP139" s="13">
        <f>+AP137/AP143</f>
        <v>1</v>
      </c>
      <c r="AQ139" s="13">
        <f t="shared" ref="AQ139:AT139" si="3588">+AQ137/AQ143</f>
        <v>1</v>
      </c>
      <c r="AR139" s="13">
        <f t="shared" si="3588"/>
        <v>1</v>
      </c>
      <c r="AS139" s="13">
        <f t="shared" si="3588"/>
        <v>1</v>
      </c>
      <c r="AT139" s="239">
        <f t="shared" si="3588"/>
        <v>1</v>
      </c>
      <c r="AU139" s="13">
        <f>+AU137/AU143</f>
        <v>1</v>
      </c>
      <c r="AV139" s="13">
        <f t="shared" ref="AV139:AY139" si="3589">+AV137/AV143</f>
        <v>1</v>
      </c>
      <c r="AW139" s="13">
        <f t="shared" si="3589"/>
        <v>1</v>
      </c>
      <c r="AX139" s="13">
        <f t="shared" si="3589"/>
        <v>1</v>
      </c>
      <c r="AY139" s="239">
        <f t="shared" si="3589"/>
        <v>1</v>
      </c>
      <c r="AZ139" s="13">
        <f>+AZ137/AZ143</f>
        <v>1</v>
      </c>
      <c r="BA139" s="13">
        <f t="shared" ref="BA139:BD139" si="3590">+BA137/BA143</f>
        <v>1</v>
      </c>
      <c r="BB139" s="13">
        <f t="shared" si="3590"/>
        <v>1</v>
      </c>
      <c r="BC139" s="13">
        <f t="shared" si="3590"/>
        <v>1</v>
      </c>
      <c r="BD139" s="239">
        <f t="shared" si="3590"/>
        <v>1</v>
      </c>
      <c r="BE139" s="13">
        <f>+BE137/BE143</f>
        <v>1</v>
      </c>
      <c r="BF139" s="13">
        <f t="shared" ref="BF139:BI139" si="3591">+BF137/BF143</f>
        <v>1</v>
      </c>
      <c r="BG139" s="13">
        <f t="shared" si="3591"/>
        <v>1</v>
      </c>
      <c r="BH139" s="13">
        <f t="shared" si="3591"/>
        <v>1</v>
      </c>
      <c r="BI139" s="239">
        <f t="shared" si="3591"/>
        <v>1</v>
      </c>
      <c r="BJ139" s="13">
        <f>+BJ137/BJ143</f>
        <v>1</v>
      </c>
      <c r="BK139" s="13">
        <f t="shared" ref="BK139:BN139" si="3592">+BK137/BK143</f>
        <v>1</v>
      </c>
      <c r="BL139" s="13">
        <f t="shared" si="3592"/>
        <v>1</v>
      </c>
      <c r="BM139" s="13">
        <f t="shared" si="3592"/>
        <v>1</v>
      </c>
      <c r="BN139" s="239">
        <f t="shared" si="3592"/>
        <v>1</v>
      </c>
      <c r="BO139" s="13">
        <f>+BO137/BO143</f>
        <v>1</v>
      </c>
      <c r="BP139" s="13">
        <f t="shared" ref="BP139:BS139" si="3593">+BP137/BP143</f>
        <v>1</v>
      </c>
      <c r="BQ139" s="13">
        <f t="shared" si="3593"/>
        <v>1</v>
      </c>
      <c r="BR139" s="13">
        <f t="shared" si="3593"/>
        <v>1</v>
      </c>
      <c r="BS139" s="239">
        <f t="shared" si="3593"/>
        <v>1</v>
      </c>
      <c r="BT139" s="13">
        <f>+BT137/BT143</f>
        <v>1</v>
      </c>
      <c r="BU139" s="13">
        <f t="shared" ref="BU139:BX139" si="3594">+BU137/BU143</f>
        <v>1</v>
      </c>
      <c r="BV139" s="13">
        <f t="shared" si="3594"/>
        <v>1</v>
      </c>
      <c r="BW139" s="13">
        <f t="shared" si="3594"/>
        <v>1</v>
      </c>
      <c r="BX139" s="239">
        <f t="shared" si="3594"/>
        <v>1</v>
      </c>
      <c r="BY139" s="13">
        <f>+BY137/BY143</f>
        <v>1</v>
      </c>
      <c r="BZ139" s="13">
        <f t="shared" ref="BZ139:CC139" si="3595">+BZ137/BZ143</f>
        <v>1</v>
      </c>
      <c r="CA139" s="13">
        <f t="shared" si="3595"/>
        <v>1</v>
      </c>
      <c r="CB139" s="13">
        <f t="shared" si="3595"/>
        <v>1</v>
      </c>
      <c r="CC139" s="239">
        <f t="shared" si="3595"/>
        <v>1</v>
      </c>
      <c r="CD139" s="13">
        <f>+CD137/CD143</f>
        <v>1</v>
      </c>
      <c r="CE139" s="13">
        <f t="shared" ref="CE139:CH139" si="3596">+CE137/CE143</f>
        <v>1</v>
      </c>
      <c r="CF139" s="13">
        <f t="shared" si="3596"/>
        <v>1</v>
      </c>
      <c r="CG139" s="13">
        <f t="shared" si="3596"/>
        <v>1</v>
      </c>
      <c r="CH139" s="239">
        <f t="shared" si="3596"/>
        <v>1</v>
      </c>
      <c r="CI139" s="13">
        <f>+CI137/CI143</f>
        <v>1</v>
      </c>
      <c r="CJ139" s="13">
        <f t="shared" ref="CJ139:CM139" si="3597">+CJ137/CJ143</f>
        <v>1</v>
      </c>
      <c r="CK139" s="13">
        <f t="shared" si="3597"/>
        <v>1</v>
      </c>
      <c r="CL139" s="13">
        <f t="shared" si="3597"/>
        <v>1</v>
      </c>
      <c r="CM139" s="239">
        <f t="shared" si="3597"/>
        <v>1</v>
      </c>
      <c r="CN139" s="13">
        <f>+CN137/CN143</f>
        <v>1</v>
      </c>
      <c r="CO139" s="13">
        <f t="shared" ref="CO139:CR139" si="3598">+CO137/CO143</f>
        <v>1</v>
      </c>
      <c r="CP139" s="13">
        <f t="shared" si="3598"/>
        <v>1</v>
      </c>
      <c r="CQ139" s="13">
        <f t="shared" si="3598"/>
        <v>1</v>
      </c>
      <c r="CR139" s="239">
        <f t="shared" si="3598"/>
        <v>1</v>
      </c>
      <c r="CS139" s="13">
        <f>+CS137/CS143</f>
        <v>1</v>
      </c>
      <c r="CT139" s="13">
        <f t="shared" ref="CT139:CW139" si="3599">+CT137/CT143</f>
        <v>1</v>
      </c>
      <c r="CU139" s="13">
        <f t="shared" si="3599"/>
        <v>1</v>
      </c>
      <c r="CV139" s="13">
        <f t="shared" si="3599"/>
        <v>1</v>
      </c>
      <c r="CW139" s="239">
        <f t="shared" si="3599"/>
        <v>1</v>
      </c>
      <c r="CX139" s="13">
        <f>+CX137/CX143</f>
        <v>1</v>
      </c>
      <c r="CY139" s="13">
        <f t="shared" ref="CY139:DB139" si="3600">+CY137/CY143</f>
        <v>1</v>
      </c>
      <c r="CZ139" s="13">
        <f t="shared" si="3600"/>
        <v>1</v>
      </c>
      <c r="DA139" s="13">
        <f t="shared" si="3600"/>
        <v>1</v>
      </c>
      <c r="DB139" s="239">
        <f t="shared" si="3600"/>
        <v>1</v>
      </c>
    </row>
    <row r="140" spans="1:106" s="51" customFormat="1">
      <c r="A140" s="51" t="s">
        <v>283</v>
      </c>
      <c r="B140" s="213">
        <f>+F140/4</f>
        <v>16100000</v>
      </c>
      <c r="C140" s="213">
        <f>+F140/4</f>
        <v>16100000</v>
      </c>
      <c r="D140" s="213">
        <f>+F140/4</f>
        <v>16100000</v>
      </c>
      <c r="E140" s="213">
        <f>+F140/4</f>
        <v>16100000</v>
      </c>
      <c r="F140" s="234">
        <v>64400000</v>
      </c>
      <c r="G140" s="213">
        <f>+B140*(1+G141)</f>
        <v>16116099.999999998</v>
      </c>
      <c r="H140" s="213">
        <f t="shared" ref="H140" si="3601">+C140*(1+H141)</f>
        <v>16116099.999999998</v>
      </c>
      <c r="I140" s="213">
        <f t="shared" ref="I140" si="3602">+D140*(1+I141)</f>
        <v>16116099.999999998</v>
      </c>
      <c r="J140" s="213">
        <f t="shared" ref="J140" si="3603">+E140*(1+J141)</f>
        <v>16116099.999999998</v>
      </c>
      <c r="K140" s="234">
        <f>+G140+H140+I140+J140</f>
        <v>64464399.999999993</v>
      </c>
      <c r="L140" s="213">
        <f>+G140*(1+L141)</f>
        <v>16132216.099999996</v>
      </c>
      <c r="M140" s="213">
        <f t="shared" ref="M140" si="3604">+H140*(1+M141)</f>
        <v>16132216.099999996</v>
      </c>
      <c r="N140" s="213">
        <f t="shared" ref="N140" si="3605">+I140*(1+N141)</f>
        <v>16132216.099999996</v>
      </c>
      <c r="O140" s="213">
        <f t="shared" ref="O140" si="3606">+J140*(1+O141)</f>
        <v>16132216.099999996</v>
      </c>
      <c r="P140" s="234">
        <f>+L140+M140+N140+O140</f>
        <v>64528864.399999984</v>
      </c>
      <c r="Q140" s="213">
        <f>+L140*(1+Q141)</f>
        <v>16148348.316099994</v>
      </c>
      <c r="R140" s="213">
        <f t="shared" ref="R140" si="3607">+M140*(1+R141)</f>
        <v>16148348.316099994</v>
      </c>
      <c r="S140" s="213">
        <f t="shared" ref="S140" si="3608">+N140*(1+S141)</f>
        <v>16148348.316099994</v>
      </c>
      <c r="T140" s="213">
        <f t="shared" ref="T140" si="3609">+O140*(1+T141)</f>
        <v>16148348.316099994</v>
      </c>
      <c r="U140" s="234">
        <f>+Q140+R140+S140+T140</f>
        <v>64593393.264399976</v>
      </c>
      <c r="V140" s="213">
        <f>+Q140*(1+V141)</f>
        <v>16164496.664416092</v>
      </c>
      <c r="W140" s="213">
        <f t="shared" ref="W140" si="3610">+R140*(1+W141)</f>
        <v>16164496.664416092</v>
      </c>
      <c r="X140" s="213">
        <f t="shared" ref="X140" si="3611">+S140*(1+X141)</f>
        <v>16164496.664416092</v>
      </c>
      <c r="Y140" s="213">
        <f t="shared" ref="Y140" si="3612">+T140*(1+Y141)</f>
        <v>16164496.664416092</v>
      </c>
      <c r="Z140" s="234">
        <f>+V140+W140+X140+Y140</f>
        <v>64657986.657664366</v>
      </c>
      <c r="AA140" s="213">
        <f>+V140*(1+AA141)</f>
        <v>16180661.161080506</v>
      </c>
      <c r="AB140" s="213">
        <f t="shared" ref="AB140" si="3613">+W140*(1+AB141)</f>
        <v>16180661.161080506</v>
      </c>
      <c r="AC140" s="213">
        <f t="shared" ref="AC140" si="3614">+X140*(1+AC141)</f>
        <v>16180661.161080506</v>
      </c>
      <c r="AD140" s="213">
        <f t="shared" ref="AD140" si="3615">+Y140*(1+AD141)</f>
        <v>16180661.161080506</v>
      </c>
      <c r="AE140" s="234">
        <f>+AA140+AB140+AC140+AD140</f>
        <v>64722644.644322023</v>
      </c>
      <c r="AF140" s="213">
        <f>+AA140*(1+AF141)</f>
        <v>16196841.822241584</v>
      </c>
      <c r="AG140" s="213">
        <f t="shared" ref="AG140" si="3616">+AB140*(1+AG141)</f>
        <v>16196841.822241584</v>
      </c>
      <c r="AH140" s="213">
        <f t="shared" ref="AH140" si="3617">+AC140*(1+AH141)</f>
        <v>16196841.822241584</v>
      </c>
      <c r="AI140" s="213">
        <f t="shared" ref="AI140" si="3618">+AD140*(1+AI141)</f>
        <v>16196841.822241584</v>
      </c>
      <c r="AJ140" s="234">
        <f>+AF140+AG140+AH140+AI140</f>
        <v>64787367.288966335</v>
      </c>
      <c r="AK140" s="213">
        <f>+AF140*(1+AK141)</f>
        <v>16213038.664063824</v>
      </c>
      <c r="AL140" s="213">
        <f t="shared" ref="AL140" si="3619">+AG140*(1+AL141)</f>
        <v>16213038.664063824</v>
      </c>
      <c r="AM140" s="213">
        <f t="shared" ref="AM140" si="3620">+AH140*(1+AM141)</f>
        <v>16213038.664063824</v>
      </c>
      <c r="AN140" s="213">
        <f t="shared" ref="AN140" si="3621">+AI140*(1+AN141)</f>
        <v>16213038.664063824</v>
      </c>
      <c r="AO140" s="234">
        <f>+AK140+AL140+AM140+AN140</f>
        <v>64852154.656255297</v>
      </c>
      <c r="AP140" s="213">
        <f>+AK140*(1+AP141)</f>
        <v>16229251.702727886</v>
      </c>
      <c r="AQ140" s="213">
        <f t="shared" ref="AQ140" si="3622">+AL140*(1+AQ141)</f>
        <v>16229251.702727886</v>
      </c>
      <c r="AR140" s="213">
        <f t="shared" ref="AR140" si="3623">+AM140*(1+AR141)</f>
        <v>16229251.702727886</v>
      </c>
      <c r="AS140" s="213">
        <f t="shared" ref="AS140" si="3624">+AN140*(1+AS141)</f>
        <v>16229251.702727886</v>
      </c>
      <c r="AT140" s="234">
        <f>+AP140+AQ140+AR140+AS140</f>
        <v>64917006.810911544</v>
      </c>
      <c r="AU140" s="213">
        <f>+AP140*(1+AU141)</f>
        <v>16245480.954430612</v>
      </c>
      <c r="AV140" s="213">
        <f t="shared" ref="AV140" si="3625">+AQ140*(1+AV141)</f>
        <v>16245480.954430612</v>
      </c>
      <c r="AW140" s="213">
        <f t="shared" ref="AW140" si="3626">+AR140*(1+AW141)</f>
        <v>16245480.954430612</v>
      </c>
      <c r="AX140" s="213">
        <f t="shared" ref="AX140" si="3627">+AS140*(1+AX141)</f>
        <v>16245480.954430612</v>
      </c>
      <c r="AY140" s="234">
        <f>+AU140+AV140+AW140+AX140</f>
        <v>64981923.817722447</v>
      </c>
      <c r="AZ140" s="213">
        <f>+AU140*(1+AZ141)</f>
        <v>16261726.435385041</v>
      </c>
      <c r="BA140" s="213">
        <f t="shared" ref="BA140" si="3628">+AV140*(1+BA141)</f>
        <v>16261726.435385041</v>
      </c>
      <c r="BB140" s="213">
        <f t="shared" ref="BB140" si="3629">+AW140*(1+BB141)</f>
        <v>16261726.435385041</v>
      </c>
      <c r="BC140" s="213">
        <f t="shared" ref="BC140" si="3630">+AX140*(1+BC141)</f>
        <v>16261726.435385041</v>
      </c>
      <c r="BD140" s="234">
        <f>+AZ140+BA140+BB140+BC140</f>
        <v>65046905.741540164</v>
      </c>
      <c r="BE140" s="213">
        <f>+AZ140*(1+BE141)</f>
        <v>16277988.161820425</v>
      </c>
      <c r="BF140" s="213">
        <f t="shared" ref="BF140" si="3631">+BA140*(1+BF141)</f>
        <v>16277988.161820425</v>
      </c>
      <c r="BG140" s="213">
        <f t="shared" ref="BG140" si="3632">+BB140*(1+BG141)</f>
        <v>16277988.161820425</v>
      </c>
      <c r="BH140" s="213">
        <f t="shared" ref="BH140" si="3633">+BC140*(1+BH141)</f>
        <v>16277988.161820425</v>
      </c>
      <c r="BI140" s="234">
        <f>+BE140+BF140+BG140+BH140</f>
        <v>65111952.647281699</v>
      </c>
      <c r="BJ140" s="213">
        <f>+BE140*(1+BJ141)</f>
        <v>16294266.149982244</v>
      </c>
      <c r="BK140" s="213">
        <f t="shared" ref="BK140" si="3634">+BF140*(1+BK141)</f>
        <v>16294266.149982244</v>
      </c>
      <c r="BL140" s="213">
        <f t="shared" ref="BL140" si="3635">+BG140*(1+BL141)</f>
        <v>16294266.149982244</v>
      </c>
      <c r="BM140" s="213">
        <f t="shared" ref="BM140" si="3636">+BH140*(1+BM141)</f>
        <v>16294266.149982244</v>
      </c>
      <c r="BN140" s="234">
        <f>+BJ140+BK140+BL140+BM140</f>
        <v>65177064.599928975</v>
      </c>
      <c r="BO140" s="213">
        <f>+BJ140*(1+BO141)</f>
        <v>16310560.416132225</v>
      </c>
      <c r="BP140" s="213">
        <f t="shared" ref="BP140" si="3637">+BK140*(1+BP141)</f>
        <v>16310560.416132225</v>
      </c>
      <c r="BQ140" s="213">
        <f t="shared" ref="BQ140" si="3638">+BL140*(1+BQ141)</f>
        <v>16310560.416132225</v>
      </c>
      <c r="BR140" s="213">
        <f t="shared" ref="BR140" si="3639">+BM140*(1+BR141)</f>
        <v>16310560.416132225</v>
      </c>
      <c r="BS140" s="234">
        <f>+BO140+BP140+BQ140+BR140</f>
        <v>65242241.664528899</v>
      </c>
      <c r="BT140" s="213">
        <f>+BO140*(1+BT141)</f>
        <v>16326870.976548355</v>
      </c>
      <c r="BU140" s="213">
        <f t="shared" ref="BU140" si="3640">+BP140*(1+BU141)</f>
        <v>16326870.976548355</v>
      </c>
      <c r="BV140" s="213">
        <f t="shared" ref="BV140" si="3641">+BQ140*(1+BV141)</f>
        <v>16326870.976548355</v>
      </c>
      <c r="BW140" s="213">
        <f t="shared" ref="BW140" si="3642">+BR140*(1+BW141)</f>
        <v>16326870.976548355</v>
      </c>
      <c r="BX140" s="234">
        <f>+BT140+BU140+BV140+BW140</f>
        <v>65307483.90619342</v>
      </c>
      <c r="BY140" s="213">
        <f>+BT140*(1+BY141)</f>
        <v>16343197.847524902</v>
      </c>
      <c r="BZ140" s="213">
        <f t="shared" ref="BZ140" si="3643">+BU140*(1+BZ141)</f>
        <v>16343197.847524902</v>
      </c>
      <c r="CA140" s="213">
        <f t="shared" ref="CA140" si="3644">+BV140*(1+CA141)</f>
        <v>16343197.847524902</v>
      </c>
      <c r="CB140" s="213">
        <f t="shared" ref="CB140" si="3645">+BW140*(1+CB141)</f>
        <v>16343197.847524902</v>
      </c>
      <c r="CC140" s="234">
        <f>+BY140+BZ140+CA140+CB140</f>
        <v>65372791.390099607</v>
      </c>
      <c r="CD140" s="213">
        <f>+BY140*(1+CD141)</f>
        <v>16359541.045372425</v>
      </c>
      <c r="CE140" s="213">
        <f t="shared" ref="CE140" si="3646">+BZ140*(1+CE141)</f>
        <v>16359541.045372425</v>
      </c>
      <c r="CF140" s="213">
        <f t="shared" ref="CF140" si="3647">+CA140*(1+CF141)</f>
        <v>16359541.045372425</v>
      </c>
      <c r="CG140" s="213">
        <f t="shared" ref="CG140" si="3648">+CB140*(1+CG141)</f>
        <v>16359541.045372425</v>
      </c>
      <c r="CH140" s="234">
        <f>+CD140+CE140+CF140+CG140</f>
        <v>65438164.181489699</v>
      </c>
      <c r="CI140" s="213">
        <f>+CD140*(1+CI141)</f>
        <v>16375900.586417796</v>
      </c>
      <c r="CJ140" s="213">
        <f t="shared" ref="CJ140" si="3649">+CE140*(1+CJ141)</f>
        <v>16375900.586417796</v>
      </c>
      <c r="CK140" s="213">
        <f t="shared" ref="CK140" si="3650">+CF140*(1+CK141)</f>
        <v>16375900.586417796</v>
      </c>
      <c r="CL140" s="213">
        <f t="shared" ref="CL140" si="3651">+CG140*(1+CL141)</f>
        <v>16375900.586417796</v>
      </c>
      <c r="CM140" s="234">
        <f>+CI140+CJ140+CK140+CL140</f>
        <v>65503602.345671184</v>
      </c>
      <c r="CN140" s="213">
        <f>+CI140*(1+CN141)</f>
        <v>16392276.487004211</v>
      </c>
      <c r="CO140" s="213">
        <f t="shared" ref="CO140" si="3652">+CJ140*(1+CO141)</f>
        <v>16392276.487004211</v>
      </c>
      <c r="CP140" s="213">
        <f t="shared" ref="CP140" si="3653">+CK140*(1+CP141)</f>
        <v>16392276.487004211</v>
      </c>
      <c r="CQ140" s="213">
        <f t="shared" ref="CQ140" si="3654">+CL140*(1+CQ141)</f>
        <v>16392276.487004211</v>
      </c>
      <c r="CR140" s="234">
        <f>+CN140+CO140+CP140+CQ140</f>
        <v>65569105.948016845</v>
      </c>
      <c r="CS140" s="213">
        <f>+CN140*(1+CS141)</f>
        <v>16408668.763491213</v>
      </c>
      <c r="CT140" s="213">
        <f t="shared" ref="CT140" si="3655">+CO140*(1+CT141)</f>
        <v>16408668.763491213</v>
      </c>
      <c r="CU140" s="213">
        <f t="shared" ref="CU140" si="3656">+CP140*(1+CU141)</f>
        <v>16408668.763491213</v>
      </c>
      <c r="CV140" s="213">
        <f t="shared" ref="CV140" si="3657">+CQ140*(1+CV141)</f>
        <v>16408668.763491213</v>
      </c>
      <c r="CW140" s="234">
        <f>+CS140+CT140+CU140+CV140</f>
        <v>65634675.053964853</v>
      </c>
      <c r="CX140" s="213">
        <f>+CS140*(1+CX141)</f>
        <v>16425077.432254702</v>
      </c>
      <c r="CY140" s="213">
        <f t="shared" ref="CY140" si="3658">+CT140*(1+CY141)</f>
        <v>16425077.432254702</v>
      </c>
      <c r="CZ140" s="213">
        <f t="shared" ref="CZ140" si="3659">+CU140*(1+CZ141)</f>
        <v>16425077.432254702</v>
      </c>
      <c r="DA140" s="213">
        <f t="shared" ref="DA140" si="3660">+CV140*(1+DA141)</f>
        <v>16425077.432254702</v>
      </c>
      <c r="DB140" s="234">
        <f>+CX140+CY140+CZ140+DA140</f>
        <v>65700309.729018807</v>
      </c>
    </row>
    <row r="141" spans="1:106">
      <c r="A141" s="117" t="s">
        <v>281</v>
      </c>
      <c r="B141" s="119" t="s">
        <v>290</v>
      </c>
      <c r="C141" s="119" t="s">
        <v>290</v>
      </c>
      <c r="D141" s="119" t="s">
        <v>290</v>
      </c>
      <c r="E141" s="119" t="s">
        <v>290</v>
      </c>
      <c r="F141" s="235" t="s">
        <v>290</v>
      </c>
      <c r="G141" s="118">
        <v>1E-3</v>
      </c>
      <c r="H141" s="118">
        <v>1E-3</v>
      </c>
      <c r="I141" s="118">
        <v>1E-3</v>
      </c>
      <c r="J141" s="118">
        <v>1E-3</v>
      </c>
      <c r="K141" s="239">
        <f>+K140/F140-1</f>
        <v>9.9999999999988987E-4</v>
      </c>
      <c r="L141" s="118">
        <v>1E-3</v>
      </c>
      <c r="M141" s="118">
        <v>1E-3</v>
      </c>
      <c r="N141" s="118">
        <v>1E-3</v>
      </c>
      <c r="O141" s="118">
        <v>1E-3</v>
      </c>
      <c r="P141" s="239">
        <f>+P140/K140-1</f>
        <v>9.9999999999988987E-4</v>
      </c>
      <c r="Q141" s="118">
        <v>1E-3</v>
      </c>
      <c r="R141" s="118">
        <v>1E-3</v>
      </c>
      <c r="S141" s="118">
        <v>1E-3</v>
      </c>
      <c r="T141" s="118">
        <v>1E-3</v>
      </c>
      <c r="U141" s="239">
        <f>+U140/P140-1</f>
        <v>9.9999999999988987E-4</v>
      </c>
      <c r="V141" s="118">
        <v>1E-3</v>
      </c>
      <c r="W141" s="118">
        <v>1E-3</v>
      </c>
      <c r="X141" s="118">
        <v>1E-3</v>
      </c>
      <c r="Y141" s="118">
        <v>1E-3</v>
      </c>
      <c r="Z141" s="239">
        <f>+Z140/U140-1</f>
        <v>9.9999999999988987E-4</v>
      </c>
      <c r="AA141" s="118">
        <v>1E-3</v>
      </c>
      <c r="AB141" s="118">
        <v>1E-3</v>
      </c>
      <c r="AC141" s="118">
        <v>1E-3</v>
      </c>
      <c r="AD141" s="118">
        <v>1E-3</v>
      </c>
      <c r="AE141" s="239">
        <f>+AE140/Z140-1</f>
        <v>9.9999999999988987E-4</v>
      </c>
      <c r="AF141" s="118">
        <v>1E-3</v>
      </c>
      <c r="AG141" s="118">
        <v>1E-3</v>
      </c>
      <c r="AH141" s="118">
        <v>1E-3</v>
      </c>
      <c r="AI141" s="118">
        <v>1E-3</v>
      </c>
      <c r="AJ141" s="239">
        <f>+AJ140/AE140-1</f>
        <v>9.9999999999988987E-4</v>
      </c>
      <c r="AK141" s="118">
        <v>1E-3</v>
      </c>
      <c r="AL141" s="118">
        <v>1E-3</v>
      </c>
      <c r="AM141" s="118">
        <v>1E-3</v>
      </c>
      <c r="AN141" s="118">
        <v>1E-3</v>
      </c>
      <c r="AO141" s="239">
        <f>+AO140/AJ140-1</f>
        <v>9.9999999999988987E-4</v>
      </c>
      <c r="AP141" s="118">
        <v>1E-3</v>
      </c>
      <c r="AQ141" s="118">
        <v>1E-3</v>
      </c>
      <c r="AR141" s="118">
        <v>1E-3</v>
      </c>
      <c r="AS141" s="118">
        <v>1E-3</v>
      </c>
      <c r="AT141" s="239">
        <f>+AT140/AO140-1</f>
        <v>9.9999999999988987E-4</v>
      </c>
      <c r="AU141" s="118">
        <v>1E-3</v>
      </c>
      <c r="AV141" s="118">
        <v>1E-3</v>
      </c>
      <c r="AW141" s="118">
        <v>1E-3</v>
      </c>
      <c r="AX141" s="118">
        <v>1E-3</v>
      </c>
      <c r="AY141" s="239">
        <f>+AY140/AT140-1</f>
        <v>9.9999999999988987E-4</v>
      </c>
      <c r="AZ141" s="118">
        <v>1E-3</v>
      </c>
      <c r="BA141" s="118">
        <v>1E-3</v>
      </c>
      <c r="BB141" s="118">
        <v>1E-3</v>
      </c>
      <c r="BC141" s="118">
        <v>1E-3</v>
      </c>
      <c r="BD141" s="239">
        <f>+BD140/AY140-1</f>
        <v>9.9999999999988987E-4</v>
      </c>
      <c r="BE141" s="118">
        <v>1E-3</v>
      </c>
      <c r="BF141" s="118">
        <v>1E-3</v>
      </c>
      <c r="BG141" s="118">
        <v>1E-3</v>
      </c>
      <c r="BH141" s="118">
        <v>1E-3</v>
      </c>
      <c r="BI141" s="239">
        <f>+BI140/BD140-1</f>
        <v>9.9999999999988987E-4</v>
      </c>
      <c r="BJ141" s="118">
        <v>1E-3</v>
      </c>
      <c r="BK141" s="118">
        <v>1E-3</v>
      </c>
      <c r="BL141" s="118">
        <v>1E-3</v>
      </c>
      <c r="BM141" s="118">
        <v>1E-3</v>
      </c>
      <c r="BN141" s="239">
        <f>+BN140/BI140-1</f>
        <v>9.9999999999988987E-4</v>
      </c>
      <c r="BO141" s="118">
        <v>1E-3</v>
      </c>
      <c r="BP141" s="118">
        <v>1E-3</v>
      </c>
      <c r="BQ141" s="118">
        <v>1E-3</v>
      </c>
      <c r="BR141" s="118">
        <v>1E-3</v>
      </c>
      <c r="BS141" s="239">
        <f>+BS140/BN140-1</f>
        <v>9.9999999999988987E-4</v>
      </c>
      <c r="BT141" s="118">
        <v>1E-3</v>
      </c>
      <c r="BU141" s="118">
        <v>1E-3</v>
      </c>
      <c r="BV141" s="118">
        <v>1E-3</v>
      </c>
      <c r="BW141" s="118">
        <v>1E-3</v>
      </c>
      <c r="BX141" s="239">
        <f>+BX140/BS140-1</f>
        <v>9.9999999999988987E-4</v>
      </c>
      <c r="BY141" s="118">
        <v>1E-3</v>
      </c>
      <c r="BZ141" s="118">
        <v>1E-3</v>
      </c>
      <c r="CA141" s="118">
        <v>1E-3</v>
      </c>
      <c r="CB141" s="118">
        <v>1E-3</v>
      </c>
      <c r="CC141" s="239">
        <f>+CC140/BX140-1</f>
        <v>9.9999999999988987E-4</v>
      </c>
      <c r="CD141" s="118">
        <v>1E-3</v>
      </c>
      <c r="CE141" s="118">
        <v>1E-3</v>
      </c>
      <c r="CF141" s="118">
        <v>1E-3</v>
      </c>
      <c r="CG141" s="118">
        <v>1E-3</v>
      </c>
      <c r="CH141" s="239">
        <f>+CH140/CC140-1</f>
        <v>9.9999999999988987E-4</v>
      </c>
      <c r="CI141" s="118">
        <v>1E-3</v>
      </c>
      <c r="CJ141" s="118">
        <v>1E-3</v>
      </c>
      <c r="CK141" s="118">
        <v>1E-3</v>
      </c>
      <c r="CL141" s="118">
        <v>1E-3</v>
      </c>
      <c r="CM141" s="239">
        <f>+CM140/CH140-1</f>
        <v>9.9999999999988987E-4</v>
      </c>
      <c r="CN141" s="118">
        <v>1E-3</v>
      </c>
      <c r="CO141" s="118">
        <v>1E-3</v>
      </c>
      <c r="CP141" s="118">
        <v>1E-3</v>
      </c>
      <c r="CQ141" s="118">
        <v>1E-3</v>
      </c>
      <c r="CR141" s="239">
        <f>+CR140/CM140-1</f>
        <v>9.9999999999988987E-4</v>
      </c>
      <c r="CS141" s="118">
        <v>1E-3</v>
      </c>
      <c r="CT141" s="118">
        <v>1E-3</v>
      </c>
      <c r="CU141" s="118">
        <v>1E-3</v>
      </c>
      <c r="CV141" s="118">
        <v>1E-3</v>
      </c>
      <c r="CW141" s="239">
        <f>+CW140/CR140-1</f>
        <v>9.9999999999988987E-4</v>
      </c>
      <c r="CX141" s="118">
        <v>1E-3</v>
      </c>
      <c r="CY141" s="118">
        <v>1E-3</v>
      </c>
      <c r="CZ141" s="118">
        <v>1E-3</v>
      </c>
      <c r="DA141" s="118">
        <v>1E-3</v>
      </c>
      <c r="DB141" s="239">
        <f>+DB140/CW140-1</f>
        <v>9.9999999999988987E-4</v>
      </c>
    </row>
    <row r="142" spans="1:106">
      <c r="A142" s="117" t="s">
        <v>282</v>
      </c>
      <c r="B142" s="13">
        <f>+B140/B143</f>
        <v>8.9444444444444446</v>
      </c>
      <c r="C142" s="13">
        <f t="shared" ref="C142" si="3661">+C140/C143</f>
        <v>8.9444444444444446</v>
      </c>
      <c r="D142" s="13">
        <f t="shared" ref="D142" si="3662">+D140/D143</f>
        <v>8.9444444444444446</v>
      </c>
      <c r="E142" s="13">
        <f t="shared" ref="E142" si="3663">+E140/E143</f>
        <v>8.9444444444444446</v>
      </c>
      <c r="F142" s="239">
        <f t="shared" ref="F142" si="3664">+F140/F143</f>
        <v>8.9444444444444446</v>
      </c>
      <c r="G142" s="13">
        <f>+G140/G143</f>
        <v>8.9444444444444446</v>
      </c>
      <c r="H142" s="13">
        <f t="shared" ref="H142" si="3665">+H140/H143</f>
        <v>8.9444444444444446</v>
      </c>
      <c r="I142" s="13">
        <f t="shared" ref="I142" si="3666">+I140/I143</f>
        <v>8.9444444444444446</v>
      </c>
      <c r="J142" s="13">
        <f t="shared" ref="J142" si="3667">+J140/J143</f>
        <v>8.9444444444444446</v>
      </c>
      <c r="K142" s="239">
        <f t="shared" ref="K142" si="3668">+K140/K143</f>
        <v>8.9444444444444446</v>
      </c>
      <c r="L142" s="13">
        <f>+L140/L143</f>
        <v>8.9444444444444446</v>
      </c>
      <c r="M142" s="13">
        <f t="shared" ref="M142" si="3669">+M140/M143</f>
        <v>8.9444444444444446</v>
      </c>
      <c r="N142" s="13">
        <f t="shared" ref="N142" si="3670">+N140/N143</f>
        <v>8.9444444444444446</v>
      </c>
      <c r="O142" s="13">
        <f t="shared" ref="O142" si="3671">+O140/O143</f>
        <v>8.9444444444444446</v>
      </c>
      <c r="P142" s="239">
        <f t="shared" ref="P142" si="3672">+P140/P143</f>
        <v>8.9444444444444446</v>
      </c>
      <c r="Q142" s="13">
        <f>+Q140/Q143</f>
        <v>8.9444444444444446</v>
      </c>
      <c r="R142" s="13">
        <f t="shared" ref="R142" si="3673">+R140/R143</f>
        <v>8.9444444444444446</v>
      </c>
      <c r="S142" s="13">
        <f t="shared" ref="S142" si="3674">+S140/S143</f>
        <v>8.9444444444444446</v>
      </c>
      <c r="T142" s="13">
        <f t="shared" ref="T142" si="3675">+T140/T143</f>
        <v>8.9444444444444446</v>
      </c>
      <c r="U142" s="239">
        <f t="shared" ref="U142" si="3676">+U140/U143</f>
        <v>8.9444444444444446</v>
      </c>
      <c r="V142" s="13">
        <f>+V140/V143</f>
        <v>8.9444444444444429</v>
      </c>
      <c r="W142" s="13">
        <f t="shared" ref="W142" si="3677">+W140/W143</f>
        <v>8.9444444444444429</v>
      </c>
      <c r="X142" s="13">
        <f t="shared" ref="X142" si="3678">+X140/X143</f>
        <v>8.9444444444444429</v>
      </c>
      <c r="Y142" s="13">
        <f t="shared" ref="Y142" si="3679">+Y140/Y143</f>
        <v>8.9444444444444429</v>
      </c>
      <c r="Z142" s="239">
        <f t="shared" ref="Z142" si="3680">+Z140/Z143</f>
        <v>8.9444444444444429</v>
      </c>
      <c r="AA142" s="13">
        <f>+AA140/AA143</f>
        <v>8.9444444444444429</v>
      </c>
      <c r="AB142" s="13">
        <f t="shared" ref="AB142" si="3681">+AB140/AB143</f>
        <v>8.9444444444444429</v>
      </c>
      <c r="AC142" s="13">
        <f t="shared" ref="AC142" si="3682">+AC140/AC143</f>
        <v>8.9444444444444429</v>
      </c>
      <c r="AD142" s="13">
        <f t="shared" ref="AD142" si="3683">+AD140/AD143</f>
        <v>8.9444444444444429</v>
      </c>
      <c r="AE142" s="239">
        <f t="shared" ref="AE142" si="3684">+AE140/AE143</f>
        <v>8.9444444444444429</v>
      </c>
      <c r="AF142" s="13">
        <f>+AF140/AF143</f>
        <v>8.9444444444444429</v>
      </c>
      <c r="AG142" s="13">
        <f t="shared" ref="AG142" si="3685">+AG140/AG143</f>
        <v>8.9444444444444429</v>
      </c>
      <c r="AH142" s="13">
        <f t="shared" ref="AH142" si="3686">+AH140/AH143</f>
        <v>8.9444444444444429</v>
      </c>
      <c r="AI142" s="13">
        <f t="shared" ref="AI142" si="3687">+AI140/AI143</f>
        <v>8.9444444444444429</v>
      </c>
      <c r="AJ142" s="239">
        <f t="shared" ref="AJ142" si="3688">+AJ140/AJ143</f>
        <v>8.9444444444444429</v>
      </c>
      <c r="AK142" s="13">
        <f>+AK140/AK143</f>
        <v>8.9444444444444429</v>
      </c>
      <c r="AL142" s="13">
        <f t="shared" ref="AL142" si="3689">+AL140/AL143</f>
        <v>8.9444444444444429</v>
      </c>
      <c r="AM142" s="13">
        <f t="shared" ref="AM142" si="3690">+AM140/AM143</f>
        <v>8.9444444444444429</v>
      </c>
      <c r="AN142" s="13">
        <f t="shared" ref="AN142" si="3691">+AN140/AN143</f>
        <v>8.9444444444444429</v>
      </c>
      <c r="AO142" s="239">
        <f t="shared" ref="AO142" si="3692">+AO140/AO143</f>
        <v>8.9444444444444429</v>
      </c>
      <c r="AP142" s="13">
        <f>+AP140/AP143</f>
        <v>8.9444444444444429</v>
      </c>
      <c r="AQ142" s="13">
        <f t="shared" ref="AQ142" si="3693">+AQ140/AQ143</f>
        <v>8.9444444444444429</v>
      </c>
      <c r="AR142" s="13">
        <f t="shared" ref="AR142" si="3694">+AR140/AR143</f>
        <v>8.9444444444444429</v>
      </c>
      <c r="AS142" s="13">
        <f t="shared" ref="AS142" si="3695">+AS140/AS143</f>
        <v>8.9444444444444429</v>
      </c>
      <c r="AT142" s="239">
        <f t="shared" ref="AT142" si="3696">+AT140/AT143</f>
        <v>8.9444444444444429</v>
      </c>
      <c r="AU142" s="13">
        <f>+AU140/AU143</f>
        <v>8.9444444444444411</v>
      </c>
      <c r="AV142" s="13">
        <f t="shared" ref="AV142" si="3697">+AV140/AV143</f>
        <v>8.9444444444444411</v>
      </c>
      <c r="AW142" s="13">
        <f t="shared" ref="AW142" si="3698">+AW140/AW143</f>
        <v>8.9444444444444411</v>
      </c>
      <c r="AX142" s="13">
        <f t="shared" ref="AX142" si="3699">+AX140/AX143</f>
        <v>8.9444444444444411</v>
      </c>
      <c r="AY142" s="239">
        <f t="shared" ref="AY142" si="3700">+AY140/AY143</f>
        <v>8.9444444444444411</v>
      </c>
      <c r="AZ142" s="13">
        <f>+AZ140/AZ143</f>
        <v>8.9444444444444429</v>
      </c>
      <c r="BA142" s="13">
        <f t="shared" ref="BA142" si="3701">+BA140/BA143</f>
        <v>8.9444444444444429</v>
      </c>
      <c r="BB142" s="13">
        <f t="shared" ref="BB142" si="3702">+BB140/BB143</f>
        <v>8.9444444444444429</v>
      </c>
      <c r="BC142" s="13">
        <f t="shared" ref="BC142" si="3703">+BC140/BC143</f>
        <v>8.9444444444444429</v>
      </c>
      <c r="BD142" s="239">
        <f t="shared" ref="BD142" si="3704">+BD140/BD143</f>
        <v>8.9444444444444429</v>
      </c>
      <c r="BE142" s="13">
        <f>+BE140/BE143</f>
        <v>8.9444444444444429</v>
      </c>
      <c r="BF142" s="13">
        <f t="shared" ref="BF142:BI142" si="3705">+BF140/BF143</f>
        <v>8.9444444444444429</v>
      </c>
      <c r="BG142" s="13">
        <f t="shared" si="3705"/>
        <v>8.9444444444444429</v>
      </c>
      <c r="BH142" s="13">
        <f t="shared" si="3705"/>
        <v>8.9444444444444429</v>
      </c>
      <c r="BI142" s="239">
        <f t="shared" si="3705"/>
        <v>8.9444444444444429</v>
      </c>
      <c r="BJ142" s="13">
        <f>+BJ140/BJ143</f>
        <v>8.9444444444444429</v>
      </c>
      <c r="BK142" s="13">
        <f t="shared" ref="BK142:BN142" si="3706">+BK140/BK143</f>
        <v>8.9444444444444429</v>
      </c>
      <c r="BL142" s="13">
        <f t="shared" si="3706"/>
        <v>8.9444444444444429</v>
      </c>
      <c r="BM142" s="13">
        <f t="shared" si="3706"/>
        <v>8.9444444444444429</v>
      </c>
      <c r="BN142" s="239">
        <f t="shared" si="3706"/>
        <v>8.9444444444444429</v>
      </c>
      <c r="BO142" s="13">
        <f>+BO140/BO143</f>
        <v>8.9444444444444446</v>
      </c>
      <c r="BP142" s="13">
        <f t="shared" ref="BP142:BS142" si="3707">+BP140/BP143</f>
        <v>8.9444444444444446</v>
      </c>
      <c r="BQ142" s="13">
        <f t="shared" si="3707"/>
        <v>8.9444444444444446</v>
      </c>
      <c r="BR142" s="13">
        <f t="shared" si="3707"/>
        <v>8.9444444444444446</v>
      </c>
      <c r="BS142" s="239">
        <f t="shared" si="3707"/>
        <v>8.9444444444444446</v>
      </c>
      <c r="BT142" s="13">
        <f>+BT140/BT143</f>
        <v>8.9444444444444446</v>
      </c>
      <c r="BU142" s="13">
        <f t="shared" ref="BU142:BX142" si="3708">+BU140/BU143</f>
        <v>8.9444444444444446</v>
      </c>
      <c r="BV142" s="13">
        <f t="shared" si="3708"/>
        <v>8.9444444444444446</v>
      </c>
      <c r="BW142" s="13">
        <f t="shared" si="3708"/>
        <v>8.9444444444444446</v>
      </c>
      <c r="BX142" s="239">
        <f t="shared" si="3708"/>
        <v>8.9444444444444446</v>
      </c>
      <c r="BY142" s="13">
        <f>+BY140/BY143</f>
        <v>8.9444444444444446</v>
      </c>
      <c r="BZ142" s="13">
        <f t="shared" ref="BZ142:CC142" si="3709">+BZ140/BZ143</f>
        <v>8.9444444444444446</v>
      </c>
      <c r="CA142" s="13">
        <f t="shared" si="3709"/>
        <v>8.9444444444444446</v>
      </c>
      <c r="CB142" s="13">
        <f t="shared" si="3709"/>
        <v>8.9444444444444446</v>
      </c>
      <c r="CC142" s="239">
        <f t="shared" si="3709"/>
        <v>8.9444444444444446</v>
      </c>
      <c r="CD142" s="13">
        <f>+CD140/CD143</f>
        <v>8.9444444444444446</v>
      </c>
      <c r="CE142" s="13">
        <f t="shared" ref="CE142:CH142" si="3710">+CE140/CE143</f>
        <v>8.9444444444444446</v>
      </c>
      <c r="CF142" s="13">
        <f t="shared" si="3710"/>
        <v>8.9444444444444446</v>
      </c>
      <c r="CG142" s="13">
        <f t="shared" si="3710"/>
        <v>8.9444444444444446</v>
      </c>
      <c r="CH142" s="239">
        <f t="shared" si="3710"/>
        <v>8.9444444444444446</v>
      </c>
      <c r="CI142" s="13">
        <f>+CI140/CI143</f>
        <v>8.9444444444444446</v>
      </c>
      <c r="CJ142" s="13">
        <f t="shared" ref="CJ142:CM142" si="3711">+CJ140/CJ143</f>
        <v>8.9444444444444446</v>
      </c>
      <c r="CK142" s="13">
        <f t="shared" si="3711"/>
        <v>8.9444444444444446</v>
      </c>
      <c r="CL142" s="13">
        <f t="shared" si="3711"/>
        <v>8.9444444444444446</v>
      </c>
      <c r="CM142" s="239">
        <f t="shared" si="3711"/>
        <v>8.9444444444444446</v>
      </c>
      <c r="CN142" s="13">
        <f>+CN140/CN143</f>
        <v>8.9444444444444446</v>
      </c>
      <c r="CO142" s="13">
        <f t="shared" ref="CO142:CR142" si="3712">+CO140/CO143</f>
        <v>8.9444444444444446</v>
      </c>
      <c r="CP142" s="13">
        <f t="shared" si="3712"/>
        <v>8.9444444444444446</v>
      </c>
      <c r="CQ142" s="13">
        <f t="shared" si="3712"/>
        <v>8.9444444444444446</v>
      </c>
      <c r="CR142" s="239">
        <f t="shared" si="3712"/>
        <v>8.9444444444444446</v>
      </c>
      <c r="CS142" s="13">
        <f>+CS140/CS143</f>
        <v>8.9444444444444446</v>
      </c>
      <c r="CT142" s="13">
        <f t="shared" ref="CT142:CW142" si="3713">+CT140/CT143</f>
        <v>8.9444444444444446</v>
      </c>
      <c r="CU142" s="13">
        <f t="shared" si="3713"/>
        <v>8.9444444444444446</v>
      </c>
      <c r="CV142" s="13">
        <f t="shared" si="3713"/>
        <v>8.9444444444444446</v>
      </c>
      <c r="CW142" s="239">
        <f t="shared" si="3713"/>
        <v>8.9444444444444446</v>
      </c>
      <c r="CX142" s="13">
        <f>+CX140/CX143</f>
        <v>8.9444444444444446</v>
      </c>
      <c r="CY142" s="13">
        <f t="shared" ref="CY142:DB142" si="3714">+CY140/CY143</f>
        <v>8.9444444444444446</v>
      </c>
      <c r="CZ142" s="13">
        <f t="shared" si="3714"/>
        <v>8.9444444444444446</v>
      </c>
      <c r="DA142" s="13">
        <f t="shared" si="3714"/>
        <v>8.9444444444444446</v>
      </c>
      <c r="DB142" s="239">
        <f t="shared" si="3714"/>
        <v>8.9444444444444446</v>
      </c>
    </row>
    <row r="143" spans="1:106" s="51" customFormat="1">
      <c r="A143" s="51" t="s">
        <v>284</v>
      </c>
      <c r="B143" s="213">
        <f>+B137</f>
        <v>1800000</v>
      </c>
      <c r="C143" s="213">
        <f t="shared" ref="C143:BE143" si="3715">+C137</f>
        <v>1800000</v>
      </c>
      <c r="D143" s="213">
        <f t="shared" si="3715"/>
        <v>1800000</v>
      </c>
      <c r="E143" s="213">
        <f t="shared" si="3715"/>
        <v>1800000</v>
      </c>
      <c r="F143" s="234">
        <f t="shared" si="3715"/>
        <v>7200000</v>
      </c>
      <c r="G143" s="213">
        <f t="shared" si="3715"/>
        <v>1801799.9999999998</v>
      </c>
      <c r="H143" s="213">
        <f t="shared" si="3715"/>
        <v>1801799.9999999998</v>
      </c>
      <c r="I143" s="213">
        <f t="shared" si="3715"/>
        <v>1801799.9999999998</v>
      </c>
      <c r="J143" s="213">
        <f t="shared" si="3715"/>
        <v>1801799.9999999998</v>
      </c>
      <c r="K143" s="234">
        <f t="shared" si="3715"/>
        <v>7207199.9999999991</v>
      </c>
      <c r="L143" s="213">
        <f t="shared" si="3715"/>
        <v>1803601.7999999996</v>
      </c>
      <c r="M143" s="213">
        <f t="shared" si="3715"/>
        <v>1803601.7999999996</v>
      </c>
      <c r="N143" s="213">
        <f t="shared" si="3715"/>
        <v>1803601.7999999996</v>
      </c>
      <c r="O143" s="213">
        <f t="shared" si="3715"/>
        <v>1803601.7999999996</v>
      </c>
      <c r="P143" s="234">
        <f t="shared" si="3715"/>
        <v>7214407.1999999983</v>
      </c>
      <c r="Q143" s="213">
        <f t="shared" si="3715"/>
        <v>1805405.4017999994</v>
      </c>
      <c r="R143" s="213">
        <f t="shared" si="3715"/>
        <v>1805405.4017999994</v>
      </c>
      <c r="S143" s="213">
        <f t="shared" si="3715"/>
        <v>1805405.4017999994</v>
      </c>
      <c r="T143" s="213">
        <f t="shared" si="3715"/>
        <v>1805405.4017999994</v>
      </c>
      <c r="U143" s="234">
        <f t="shared" si="3715"/>
        <v>7221621.6071999976</v>
      </c>
      <c r="V143" s="213">
        <f t="shared" si="3715"/>
        <v>1807210.8072017992</v>
      </c>
      <c r="W143" s="213">
        <f t="shared" si="3715"/>
        <v>1807210.8072017992</v>
      </c>
      <c r="X143" s="213">
        <f t="shared" si="3715"/>
        <v>1807210.8072017992</v>
      </c>
      <c r="Y143" s="213">
        <f t="shared" si="3715"/>
        <v>1807210.8072017992</v>
      </c>
      <c r="Z143" s="234">
        <f t="shared" si="3715"/>
        <v>7228843.228807197</v>
      </c>
      <c r="AA143" s="213">
        <f t="shared" si="3715"/>
        <v>1809018.0180090009</v>
      </c>
      <c r="AB143" s="213">
        <f t="shared" si="3715"/>
        <v>1809018.0180090009</v>
      </c>
      <c r="AC143" s="213">
        <f t="shared" si="3715"/>
        <v>1809018.0180090009</v>
      </c>
      <c r="AD143" s="213">
        <f t="shared" si="3715"/>
        <v>1809018.0180090009</v>
      </c>
      <c r="AE143" s="234">
        <f t="shared" si="3715"/>
        <v>7236072.0720360037</v>
      </c>
      <c r="AF143" s="213">
        <f t="shared" si="3715"/>
        <v>1810827.0360270098</v>
      </c>
      <c r="AG143" s="213">
        <f t="shared" si="3715"/>
        <v>1810827.0360270098</v>
      </c>
      <c r="AH143" s="213">
        <f t="shared" si="3715"/>
        <v>1810827.0360270098</v>
      </c>
      <c r="AI143" s="213">
        <f t="shared" si="3715"/>
        <v>1810827.0360270098</v>
      </c>
      <c r="AJ143" s="234">
        <f t="shared" si="3715"/>
        <v>7243308.1441080393</v>
      </c>
      <c r="AK143" s="213">
        <f t="shared" si="3715"/>
        <v>1812637.8630630367</v>
      </c>
      <c r="AL143" s="213">
        <f t="shared" si="3715"/>
        <v>1812637.8630630367</v>
      </c>
      <c r="AM143" s="213">
        <f t="shared" si="3715"/>
        <v>1812637.8630630367</v>
      </c>
      <c r="AN143" s="213">
        <f t="shared" si="3715"/>
        <v>1812637.8630630367</v>
      </c>
      <c r="AO143" s="234">
        <f t="shared" si="3715"/>
        <v>7250551.4522521468</v>
      </c>
      <c r="AP143" s="213">
        <f t="shared" si="3715"/>
        <v>1814450.5009260995</v>
      </c>
      <c r="AQ143" s="213">
        <f t="shared" si="3715"/>
        <v>1814450.5009260995</v>
      </c>
      <c r="AR143" s="213">
        <f t="shared" si="3715"/>
        <v>1814450.5009260995</v>
      </c>
      <c r="AS143" s="213">
        <f t="shared" si="3715"/>
        <v>1814450.5009260995</v>
      </c>
      <c r="AT143" s="234">
        <f t="shared" si="3715"/>
        <v>7257802.0037043979</v>
      </c>
      <c r="AU143" s="213">
        <f t="shared" si="3715"/>
        <v>1816264.9514270255</v>
      </c>
      <c r="AV143" s="213">
        <f t="shared" si="3715"/>
        <v>1816264.9514270255</v>
      </c>
      <c r="AW143" s="213">
        <f t="shared" si="3715"/>
        <v>1816264.9514270255</v>
      </c>
      <c r="AX143" s="213">
        <f t="shared" si="3715"/>
        <v>1816264.9514270255</v>
      </c>
      <c r="AY143" s="234">
        <f t="shared" si="3715"/>
        <v>7265059.805708102</v>
      </c>
      <c r="AZ143" s="213">
        <f t="shared" si="3715"/>
        <v>1818081.2163784523</v>
      </c>
      <c r="BA143" s="213">
        <f t="shared" si="3715"/>
        <v>1818081.2163784523</v>
      </c>
      <c r="BB143" s="213">
        <f t="shared" si="3715"/>
        <v>1818081.2163784523</v>
      </c>
      <c r="BC143" s="213">
        <f t="shared" si="3715"/>
        <v>1818081.2163784523</v>
      </c>
      <c r="BD143" s="234">
        <f t="shared" si="3715"/>
        <v>7272324.865513809</v>
      </c>
      <c r="BE143" s="213">
        <f t="shared" si="3715"/>
        <v>1819899.2975948304</v>
      </c>
      <c r="BF143" s="213">
        <f t="shared" ref="BF143:BI143" si="3716">+BF137</f>
        <v>1819899.2975948304</v>
      </c>
      <c r="BG143" s="213">
        <f t="shared" si="3716"/>
        <v>1819899.2975948304</v>
      </c>
      <c r="BH143" s="213">
        <f t="shared" si="3716"/>
        <v>1819899.2975948304</v>
      </c>
      <c r="BI143" s="234">
        <f t="shared" si="3716"/>
        <v>7279597.1903793216</v>
      </c>
      <c r="BJ143" s="213">
        <f t="shared" ref="BJ143:DB143" si="3717">+BJ137</f>
        <v>1821719.196892425</v>
      </c>
      <c r="BK143" s="213">
        <f t="shared" si="3717"/>
        <v>1821719.196892425</v>
      </c>
      <c r="BL143" s="213">
        <f t="shared" si="3717"/>
        <v>1821719.196892425</v>
      </c>
      <c r="BM143" s="213">
        <f t="shared" si="3717"/>
        <v>1821719.196892425</v>
      </c>
      <c r="BN143" s="234">
        <f t="shared" si="3717"/>
        <v>7286876.7875696998</v>
      </c>
      <c r="BO143" s="213">
        <f t="shared" si="3717"/>
        <v>1823540.9160893171</v>
      </c>
      <c r="BP143" s="213">
        <f t="shared" si="3717"/>
        <v>1823540.9160893171</v>
      </c>
      <c r="BQ143" s="213">
        <f t="shared" si="3717"/>
        <v>1823540.9160893171</v>
      </c>
      <c r="BR143" s="213">
        <f t="shared" si="3717"/>
        <v>1823540.9160893171</v>
      </c>
      <c r="BS143" s="234">
        <f t="shared" si="3717"/>
        <v>7294163.6643572683</v>
      </c>
      <c r="BT143" s="213">
        <f t="shared" si="3717"/>
        <v>1825364.4570054063</v>
      </c>
      <c r="BU143" s="213">
        <f t="shared" si="3717"/>
        <v>1825364.4570054063</v>
      </c>
      <c r="BV143" s="213">
        <f t="shared" si="3717"/>
        <v>1825364.4570054063</v>
      </c>
      <c r="BW143" s="213">
        <f t="shared" si="3717"/>
        <v>1825364.4570054063</v>
      </c>
      <c r="BX143" s="234">
        <f t="shared" si="3717"/>
        <v>7301457.8280216251</v>
      </c>
      <c r="BY143" s="213">
        <f t="shared" si="3717"/>
        <v>1827189.8214624114</v>
      </c>
      <c r="BZ143" s="213">
        <f t="shared" si="3717"/>
        <v>1827189.8214624114</v>
      </c>
      <c r="CA143" s="213">
        <f t="shared" si="3717"/>
        <v>1827189.8214624114</v>
      </c>
      <c r="CB143" s="213">
        <f t="shared" si="3717"/>
        <v>1827189.8214624114</v>
      </c>
      <c r="CC143" s="234">
        <f t="shared" si="3717"/>
        <v>7308759.2858496457</v>
      </c>
      <c r="CD143" s="213">
        <f t="shared" si="3717"/>
        <v>1829017.0112838736</v>
      </c>
      <c r="CE143" s="213">
        <f t="shared" si="3717"/>
        <v>1829017.0112838736</v>
      </c>
      <c r="CF143" s="213">
        <f t="shared" si="3717"/>
        <v>1829017.0112838736</v>
      </c>
      <c r="CG143" s="213">
        <f t="shared" si="3717"/>
        <v>1829017.0112838736</v>
      </c>
      <c r="CH143" s="234">
        <f t="shared" si="3717"/>
        <v>7316068.0451354943</v>
      </c>
      <c r="CI143" s="213">
        <f t="shared" si="3717"/>
        <v>1830846.0282951572</v>
      </c>
      <c r="CJ143" s="213">
        <f t="shared" si="3717"/>
        <v>1830846.0282951572</v>
      </c>
      <c r="CK143" s="213">
        <f t="shared" si="3717"/>
        <v>1830846.0282951572</v>
      </c>
      <c r="CL143" s="213">
        <f t="shared" si="3717"/>
        <v>1830846.0282951572</v>
      </c>
      <c r="CM143" s="234">
        <f t="shared" si="3717"/>
        <v>7323384.113180629</v>
      </c>
      <c r="CN143" s="213">
        <f t="shared" si="3717"/>
        <v>1832676.8743234521</v>
      </c>
      <c r="CO143" s="213">
        <f t="shared" si="3717"/>
        <v>1832676.8743234521</v>
      </c>
      <c r="CP143" s="213">
        <f t="shared" si="3717"/>
        <v>1832676.8743234521</v>
      </c>
      <c r="CQ143" s="213">
        <f t="shared" si="3717"/>
        <v>1832676.8743234521</v>
      </c>
      <c r="CR143" s="234">
        <f t="shared" si="3717"/>
        <v>7330707.4972938085</v>
      </c>
      <c r="CS143" s="213">
        <f t="shared" si="3717"/>
        <v>1834509.5511977754</v>
      </c>
      <c r="CT143" s="213">
        <f t="shared" si="3717"/>
        <v>1834509.5511977754</v>
      </c>
      <c r="CU143" s="213">
        <f t="shared" si="3717"/>
        <v>1834509.5511977754</v>
      </c>
      <c r="CV143" s="213">
        <f t="shared" si="3717"/>
        <v>1834509.5511977754</v>
      </c>
      <c r="CW143" s="234">
        <f t="shared" si="3717"/>
        <v>7338038.2047911016</v>
      </c>
      <c r="CX143" s="213">
        <f t="shared" si="3717"/>
        <v>1836344.0607489729</v>
      </c>
      <c r="CY143" s="213">
        <f t="shared" si="3717"/>
        <v>1836344.0607489729</v>
      </c>
      <c r="CZ143" s="213">
        <f t="shared" si="3717"/>
        <v>1836344.0607489729</v>
      </c>
      <c r="DA143" s="213">
        <f t="shared" si="3717"/>
        <v>1836344.0607489729</v>
      </c>
      <c r="DB143" s="234">
        <f t="shared" si="3717"/>
        <v>7345376.2429958917</v>
      </c>
    </row>
    <row r="144" spans="1:106">
      <c r="A144" s="12" t="s">
        <v>281</v>
      </c>
      <c r="B144" s="119" t="s">
        <v>290</v>
      </c>
      <c r="C144" s="119" t="s">
        <v>290</v>
      </c>
      <c r="D144" s="119" t="s">
        <v>290</v>
      </c>
      <c r="E144" s="119" t="s">
        <v>290</v>
      </c>
      <c r="F144" s="235" t="s">
        <v>290</v>
      </c>
      <c r="G144" s="13">
        <f>+G143/B143-1</f>
        <v>9.9999999999988987E-4</v>
      </c>
      <c r="H144" s="13">
        <f t="shared" ref="H144" si="3718">+H143/C143-1</f>
        <v>9.9999999999988987E-4</v>
      </c>
      <c r="I144" s="13">
        <f t="shared" ref="I144" si="3719">+I143/D143-1</f>
        <v>9.9999999999988987E-4</v>
      </c>
      <c r="J144" s="13">
        <f t="shared" ref="J144" si="3720">+J143/E143-1</f>
        <v>9.9999999999988987E-4</v>
      </c>
      <c r="K144" s="239">
        <f t="shared" ref="K144" si="3721">+K143/F143-1</f>
        <v>9.9999999999988987E-4</v>
      </c>
      <c r="L144" s="13">
        <f>+L143/G143-1</f>
        <v>9.9999999999988987E-4</v>
      </c>
      <c r="M144" s="13">
        <f t="shared" ref="M144" si="3722">+M143/H143-1</f>
        <v>9.9999999999988987E-4</v>
      </c>
      <c r="N144" s="13">
        <f t="shared" ref="N144" si="3723">+N143/I143-1</f>
        <v>9.9999999999988987E-4</v>
      </c>
      <c r="O144" s="13">
        <f t="shared" ref="O144" si="3724">+O143/J143-1</f>
        <v>9.9999999999988987E-4</v>
      </c>
      <c r="P144" s="239">
        <f t="shared" ref="P144" si="3725">+P143/K143-1</f>
        <v>9.9999999999988987E-4</v>
      </c>
      <c r="Q144" s="13">
        <f>+Q143/L143-1</f>
        <v>9.9999999999988987E-4</v>
      </c>
      <c r="R144" s="13">
        <f t="shared" ref="R144" si="3726">+R143/M143-1</f>
        <v>9.9999999999988987E-4</v>
      </c>
      <c r="S144" s="13">
        <f t="shared" ref="S144" si="3727">+S143/N143-1</f>
        <v>9.9999999999988987E-4</v>
      </c>
      <c r="T144" s="13">
        <f t="shared" ref="T144" si="3728">+T143/O143-1</f>
        <v>9.9999999999988987E-4</v>
      </c>
      <c r="U144" s="239">
        <f t="shared" ref="U144" si="3729">+U143/P143-1</f>
        <v>9.9999999999988987E-4</v>
      </c>
      <c r="V144" s="13">
        <f>+V143/Q143-1</f>
        <v>9.9999999999988987E-4</v>
      </c>
      <c r="W144" s="13">
        <f t="shared" ref="W144" si="3730">+W143/R143-1</f>
        <v>9.9999999999988987E-4</v>
      </c>
      <c r="X144" s="13">
        <f t="shared" ref="X144" si="3731">+X143/S143-1</f>
        <v>9.9999999999988987E-4</v>
      </c>
      <c r="Y144" s="13">
        <f t="shared" ref="Y144" si="3732">+Y143/T143-1</f>
        <v>9.9999999999988987E-4</v>
      </c>
      <c r="Z144" s="239">
        <f t="shared" ref="Z144" si="3733">+Z143/U143-1</f>
        <v>9.9999999999988987E-4</v>
      </c>
      <c r="AA144" s="13">
        <f>+AA143/V143-1</f>
        <v>9.9999999999988987E-4</v>
      </c>
      <c r="AB144" s="13">
        <f t="shared" ref="AB144" si="3734">+AB143/W143-1</f>
        <v>9.9999999999988987E-4</v>
      </c>
      <c r="AC144" s="13">
        <f t="shared" ref="AC144" si="3735">+AC143/X143-1</f>
        <v>9.9999999999988987E-4</v>
      </c>
      <c r="AD144" s="13">
        <f t="shared" ref="AD144" si="3736">+AD143/Y143-1</f>
        <v>9.9999999999988987E-4</v>
      </c>
      <c r="AE144" s="239">
        <f t="shared" ref="AE144" si="3737">+AE143/Z143-1</f>
        <v>9.9999999999988987E-4</v>
      </c>
      <c r="AF144" s="13">
        <f>+AF143/AA143-1</f>
        <v>9.9999999999988987E-4</v>
      </c>
      <c r="AG144" s="13">
        <f t="shared" ref="AG144" si="3738">+AG143/AB143-1</f>
        <v>9.9999999999988987E-4</v>
      </c>
      <c r="AH144" s="13">
        <f t="shared" ref="AH144" si="3739">+AH143/AC143-1</f>
        <v>9.9999999999988987E-4</v>
      </c>
      <c r="AI144" s="13">
        <f t="shared" ref="AI144" si="3740">+AI143/AD143-1</f>
        <v>9.9999999999988987E-4</v>
      </c>
      <c r="AJ144" s="239">
        <f t="shared" ref="AJ144" si="3741">+AJ143/AE143-1</f>
        <v>9.9999999999988987E-4</v>
      </c>
      <c r="AK144" s="13">
        <f>+AK143/AF143-1</f>
        <v>9.9999999999988987E-4</v>
      </c>
      <c r="AL144" s="13">
        <f t="shared" ref="AL144" si="3742">+AL143/AG143-1</f>
        <v>9.9999999999988987E-4</v>
      </c>
      <c r="AM144" s="13">
        <f t="shared" ref="AM144" si="3743">+AM143/AH143-1</f>
        <v>9.9999999999988987E-4</v>
      </c>
      <c r="AN144" s="13">
        <f t="shared" ref="AN144" si="3744">+AN143/AI143-1</f>
        <v>9.9999999999988987E-4</v>
      </c>
      <c r="AO144" s="239">
        <f t="shared" ref="AO144" si="3745">+AO143/AJ143-1</f>
        <v>9.9999999999988987E-4</v>
      </c>
      <c r="AP144" s="13">
        <f>+AP143/AK143-1</f>
        <v>9.9999999999988987E-4</v>
      </c>
      <c r="AQ144" s="13">
        <f t="shared" ref="AQ144" si="3746">+AQ143/AL143-1</f>
        <v>9.9999999999988987E-4</v>
      </c>
      <c r="AR144" s="13">
        <f t="shared" ref="AR144" si="3747">+AR143/AM143-1</f>
        <v>9.9999999999988987E-4</v>
      </c>
      <c r="AS144" s="13">
        <f t="shared" ref="AS144" si="3748">+AS143/AN143-1</f>
        <v>9.9999999999988987E-4</v>
      </c>
      <c r="AT144" s="239">
        <f t="shared" ref="AT144" si="3749">+AT143/AO143-1</f>
        <v>9.9999999999988987E-4</v>
      </c>
      <c r="AU144" s="13">
        <f>+AU143/AP143-1</f>
        <v>9.9999999999988987E-4</v>
      </c>
      <c r="AV144" s="13">
        <f t="shared" ref="AV144" si="3750">+AV143/AQ143-1</f>
        <v>9.9999999999988987E-4</v>
      </c>
      <c r="AW144" s="13">
        <f t="shared" ref="AW144" si="3751">+AW143/AR143-1</f>
        <v>9.9999999999988987E-4</v>
      </c>
      <c r="AX144" s="13">
        <f t="shared" ref="AX144" si="3752">+AX143/AS143-1</f>
        <v>9.9999999999988987E-4</v>
      </c>
      <c r="AY144" s="239">
        <f t="shared" ref="AY144" si="3753">+AY143/AT143-1</f>
        <v>9.9999999999988987E-4</v>
      </c>
      <c r="AZ144" s="13">
        <f>+AZ143/AU143-1</f>
        <v>9.9999999999988987E-4</v>
      </c>
      <c r="BA144" s="13">
        <f t="shared" ref="BA144" si="3754">+BA143/AV143-1</f>
        <v>9.9999999999988987E-4</v>
      </c>
      <c r="BB144" s="13">
        <f t="shared" ref="BB144" si="3755">+BB143/AW143-1</f>
        <v>9.9999999999988987E-4</v>
      </c>
      <c r="BC144" s="13">
        <f t="shared" ref="BC144" si="3756">+BC143/AX143-1</f>
        <v>9.9999999999988987E-4</v>
      </c>
      <c r="BD144" s="239">
        <f t="shared" ref="BD144" si="3757">+BD143/AY143-1</f>
        <v>9.9999999999988987E-4</v>
      </c>
      <c r="BE144" s="13">
        <f>+BE143/AZ143-1</f>
        <v>9.9999999999988987E-4</v>
      </c>
      <c r="BF144" s="13">
        <f t="shared" ref="BF144" si="3758">+BF143/BA143-1</f>
        <v>9.9999999999988987E-4</v>
      </c>
      <c r="BG144" s="13">
        <f t="shared" ref="BG144" si="3759">+BG143/BB143-1</f>
        <v>9.9999999999988987E-4</v>
      </c>
      <c r="BH144" s="13">
        <f t="shared" ref="BH144" si="3760">+BH143/BC143-1</f>
        <v>9.9999999999988987E-4</v>
      </c>
      <c r="BI144" s="239">
        <f t="shared" ref="BI144" si="3761">+BI143/BD143-1</f>
        <v>9.9999999999988987E-4</v>
      </c>
      <c r="BJ144" s="13">
        <f>+BJ143/BE143-1</f>
        <v>9.9999999999988987E-4</v>
      </c>
      <c r="BK144" s="13">
        <f t="shared" ref="BK144" si="3762">+BK143/BF143-1</f>
        <v>9.9999999999988987E-4</v>
      </c>
      <c r="BL144" s="13">
        <f t="shared" ref="BL144" si="3763">+BL143/BG143-1</f>
        <v>9.9999999999988987E-4</v>
      </c>
      <c r="BM144" s="13">
        <f t="shared" ref="BM144" si="3764">+BM143/BH143-1</f>
        <v>9.9999999999988987E-4</v>
      </c>
      <c r="BN144" s="239">
        <f t="shared" ref="BN144" si="3765">+BN143/BI143-1</f>
        <v>9.9999999999988987E-4</v>
      </c>
      <c r="BO144" s="13">
        <f>+BO143/BJ143-1</f>
        <v>9.9999999999988987E-4</v>
      </c>
      <c r="BP144" s="13">
        <f t="shared" ref="BP144" si="3766">+BP143/BK143-1</f>
        <v>9.9999999999988987E-4</v>
      </c>
      <c r="BQ144" s="13">
        <f t="shared" ref="BQ144" si="3767">+BQ143/BL143-1</f>
        <v>9.9999999999988987E-4</v>
      </c>
      <c r="BR144" s="13">
        <f t="shared" ref="BR144" si="3768">+BR143/BM143-1</f>
        <v>9.9999999999988987E-4</v>
      </c>
      <c r="BS144" s="239">
        <f t="shared" ref="BS144" si="3769">+BS143/BN143-1</f>
        <v>9.9999999999988987E-4</v>
      </c>
      <c r="BT144" s="13">
        <f>+BT143/BO143-1</f>
        <v>9.9999999999988987E-4</v>
      </c>
      <c r="BU144" s="13">
        <f t="shared" ref="BU144" si="3770">+BU143/BP143-1</f>
        <v>9.9999999999988987E-4</v>
      </c>
      <c r="BV144" s="13">
        <f t="shared" ref="BV144" si="3771">+BV143/BQ143-1</f>
        <v>9.9999999999988987E-4</v>
      </c>
      <c r="BW144" s="13">
        <f t="shared" ref="BW144" si="3772">+BW143/BR143-1</f>
        <v>9.9999999999988987E-4</v>
      </c>
      <c r="BX144" s="239">
        <f t="shared" ref="BX144" si="3773">+BX143/BS143-1</f>
        <v>9.9999999999988987E-4</v>
      </c>
      <c r="BY144" s="13">
        <f>+BY143/BT143-1</f>
        <v>9.9999999999988987E-4</v>
      </c>
      <c r="BZ144" s="13">
        <f t="shared" ref="BZ144" si="3774">+BZ143/BU143-1</f>
        <v>9.9999999999988987E-4</v>
      </c>
      <c r="CA144" s="13">
        <f t="shared" ref="CA144" si="3775">+CA143/BV143-1</f>
        <v>9.9999999999988987E-4</v>
      </c>
      <c r="CB144" s="13">
        <f t="shared" ref="CB144" si="3776">+CB143/BW143-1</f>
        <v>9.9999999999988987E-4</v>
      </c>
      <c r="CC144" s="239">
        <f t="shared" ref="CC144" si="3777">+CC143/BX143-1</f>
        <v>9.9999999999988987E-4</v>
      </c>
      <c r="CD144" s="13">
        <f>+CD143/BY143-1</f>
        <v>9.9999999999988987E-4</v>
      </c>
      <c r="CE144" s="13">
        <f t="shared" ref="CE144" si="3778">+CE143/BZ143-1</f>
        <v>9.9999999999988987E-4</v>
      </c>
      <c r="CF144" s="13">
        <f t="shared" ref="CF144" si="3779">+CF143/CA143-1</f>
        <v>9.9999999999988987E-4</v>
      </c>
      <c r="CG144" s="13">
        <f t="shared" ref="CG144" si="3780">+CG143/CB143-1</f>
        <v>9.9999999999988987E-4</v>
      </c>
      <c r="CH144" s="239">
        <f t="shared" ref="CH144" si="3781">+CH143/CC143-1</f>
        <v>9.9999999999988987E-4</v>
      </c>
      <c r="CI144" s="13">
        <f>+CI143/CD143-1</f>
        <v>9.9999999999988987E-4</v>
      </c>
      <c r="CJ144" s="13">
        <f t="shared" ref="CJ144" si="3782">+CJ143/CE143-1</f>
        <v>9.9999999999988987E-4</v>
      </c>
      <c r="CK144" s="13">
        <f t="shared" ref="CK144" si="3783">+CK143/CF143-1</f>
        <v>9.9999999999988987E-4</v>
      </c>
      <c r="CL144" s="13">
        <f t="shared" ref="CL144" si="3784">+CL143/CG143-1</f>
        <v>9.9999999999988987E-4</v>
      </c>
      <c r="CM144" s="239">
        <f t="shared" ref="CM144" si="3785">+CM143/CH143-1</f>
        <v>9.9999999999988987E-4</v>
      </c>
      <c r="CN144" s="13">
        <f>+CN143/CI143-1</f>
        <v>9.9999999999988987E-4</v>
      </c>
      <c r="CO144" s="13">
        <f t="shared" ref="CO144" si="3786">+CO143/CJ143-1</f>
        <v>9.9999999999988987E-4</v>
      </c>
      <c r="CP144" s="13">
        <f t="shared" ref="CP144" si="3787">+CP143/CK143-1</f>
        <v>9.9999999999988987E-4</v>
      </c>
      <c r="CQ144" s="13">
        <f t="shared" ref="CQ144" si="3788">+CQ143/CL143-1</f>
        <v>9.9999999999988987E-4</v>
      </c>
      <c r="CR144" s="239">
        <f t="shared" ref="CR144" si="3789">+CR143/CM143-1</f>
        <v>9.9999999999988987E-4</v>
      </c>
      <c r="CS144" s="13">
        <f>+CS143/CN143-1</f>
        <v>9.9999999999988987E-4</v>
      </c>
      <c r="CT144" s="13">
        <f t="shared" ref="CT144" si="3790">+CT143/CO143-1</f>
        <v>9.9999999999988987E-4</v>
      </c>
      <c r="CU144" s="13">
        <f t="shared" ref="CU144" si="3791">+CU143/CP143-1</f>
        <v>9.9999999999988987E-4</v>
      </c>
      <c r="CV144" s="13">
        <f t="shared" ref="CV144" si="3792">+CV143/CQ143-1</f>
        <v>9.9999999999988987E-4</v>
      </c>
      <c r="CW144" s="239">
        <f t="shared" ref="CW144" si="3793">+CW143/CR143-1</f>
        <v>9.9999999999988987E-4</v>
      </c>
      <c r="CX144" s="13">
        <f>+CX143/CS143-1</f>
        <v>9.9999999999988987E-4</v>
      </c>
      <c r="CY144" s="13">
        <f t="shared" ref="CY144" si="3794">+CY143/CT143-1</f>
        <v>9.9999999999988987E-4</v>
      </c>
      <c r="CZ144" s="13">
        <f t="shared" ref="CZ144" si="3795">+CZ143/CU143-1</f>
        <v>9.9999999999988987E-4</v>
      </c>
      <c r="DA144" s="13">
        <f t="shared" ref="DA144" si="3796">+DA143/CV143-1</f>
        <v>9.9999999999988987E-4</v>
      </c>
      <c r="DB144" s="239">
        <f t="shared" ref="DB144" si="3797">+DB143/CW143-1</f>
        <v>9.9999999999988987E-4</v>
      </c>
    </row>
    <row r="145" spans="1:106">
      <c r="A145" s="117"/>
      <c r="F145" s="217"/>
      <c r="K145" s="217"/>
      <c r="P145" s="217"/>
      <c r="U145" s="217"/>
      <c r="Z145" s="217"/>
      <c r="AE145" s="217"/>
      <c r="AJ145" s="217"/>
      <c r="AO145" s="217"/>
      <c r="AT145" s="217"/>
      <c r="AY145" s="217"/>
      <c r="BD145" s="217"/>
      <c r="BI145" s="217"/>
      <c r="BN145" s="217"/>
      <c r="BS145" s="217"/>
      <c r="BX145" s="217"/>
      <c r="CC145" s="217"/>
      <c r="CH145" s="217"/>
      <c r="CM145" s="217"/>
      <c r="CR145" s="217"/>
      <c r="CW145" s="217"/>
      <c r="DB145" s="217"/>
    </row>
    <row r="146" spans="1:106" s="51" customFormat="1">
      <c r="A146" s="51" t="s">
        <v>381</v>
      </c>
      <c r="B146" s="213">
        <f>+B143*B149</f>
        <v>0</v>
      </c>
      <c r="C146" s="213">
        <f t="shared" ref="C146:E146" si="3798">+C143*C149</f>
        <v>0</v>
      </c>
      <c r="D146" s="213">
        <f t="shared" si="3798"/>
        <v>0</v>
      </c>
      <c r="E146" s="213">
        <f t="shared" si="3798"/>
        <v>0</v>
      </c>
      <c r="F146" s="234">
        <f>+B146+C146+D146+E146</f>
        <v>0</v>
      </c>
      <c r="G146" s="213">
        <f>+G143*G149</f>
        <v>0</v>
      </c>
      <c r="H146" s="213">
        <f t="shared" ref="H146:I146" si="3799">+H143*H149</f>
        <v>0</v>
      </c>
      <c r="I146" s="213">
        <f t="shared" si="3799"/>
        <v>0</v>
      </c>
      <c r="J146" s="213">
        <f>+J67-J95-J124</f>
        <v>3332.6362474999969</v>
      </c>
      <c r="K146" s="234">
        <f>+G146+H146+I146+J146</f>
        <v>3332.6362474999969</v>
      </c>
      <c r="L146" s="213">
        <f>+L67-L95-L124</f>
        <v>754.92564457500703</v>
      </c>
      <c r="M146" s="213">
        <f>+M67-M95-M124</f>
        <v>4282.9299755499997</v>
      </c>
      <c r="N146" s="213">
        <f>+N67-N95-N124</f>
        <v>4873.1110986000094</v>
      </c>
      <c r="O146" s="213">
        <f>+O67-O95-O124</f>
        <v>6035.8912236000106</v>
      </c>
      <c r="P146" s="234">
        <f>+L146+M146+N146+O146</f>
        <v>15946.857942325027</v>
      </c>
      <c r="Q146" s="213">
        <f>+Q67-Q95-Q124</f>
        <v>6650.0866291355014</v>
      </c>
      <c r="R146" s="213">
        <f>+R67-R95-R124</f>
        <v>8410.1980865750047</v>
      </c>
      <c r="S146" s="213">
        <f>+S67-S95-S124</f>
        <v>7025.8196804715008</v>
      </c>
      <c r="T146" s="213">
        <f>+T67-T95-T124</f>
        <v>7773.4694899172537</v>
      </c>
      <c r="U146" s="234">
        <f>+Q146+R146+S146+T146</f>
        <v>29859.573886099261</v>
      </c>
      <c r="V146" s="213">
        <f>+V67-V95-V124</f>
        <v>9233.8621305222914</v>
      </c>
      <c r="W146" s="213">
        <f>+W67-W95-W124</f>
        <v>8015.0519927038076</v>
      </c>
      <c r="X146" s="213">
        <f>+X67-X95-X124</f>
        <v>1507.8200888191495</v>
      </c>
      <c r="Y146" s="213">
        <f>+Y67-Y95-Y124</f>
        <v>13681.379157703377</v>
      </c>
      <c r="Z146" s="234">
        <f>+V146+W146+X146+Y146</f>
        <v>32438.113369748626</v>
      </c>
      <c r="AA146" s="213">
        <f>+AA67-AA95-AA124</f>
        <v>12495.915647659109</v>
      </c>
      <c r="AB146" s="213">
        <f>+AB67-AB95-AB124</f>
        <v>10313.915900570253</v>
      </c>
      <c r="AC146" s="213">
        <f>+AC67-AC95-AC124</f>
        <v>10397.541022123551</v>
      </c>
      <c r="AD146" s="213">
        <f>+AD143*AD149</f>
        <v>12663.126126063007</v>
      </c>
      <c r="AE146" s="234">
        <f>+AA146+AB146+AC146+AD146</f>
        <v>45870.498696415918</v>
      </c>
      <c r="AF146" s="213">
        <f>+AF143*AF149</f>
        <v>12675.78925218907</v>
      </c>
      <c r="AG146" s="213">
        <f t="shared" ref="AG146:AI146" si="3800">+AG143*AG149</f>
        <v>10864.962216162059</v>
      </c>
      <c r="AH146" s="213">
        <f t="shared" si="3800"/>
        <v>12675.78925218907</v>
      </c>
      <c r="AI146" s="213">
        <f t="shared" si="3800"/>
        <v>12675.78925218907</v>
      </c>
      <c r="AJ146" s="234">
        <f>+AF146+AG146+AH146+AI146</f>
        <v>48892.329972729269</v>
      </c>
      <c r="AK146" s="213">
        <f>+AK143*AK149</f>
        <v>12688.465041441257</v>
      </c>
      <c r="AL146" s="213">
        <f t="shared" ref="AL146:AN146" si="3801">+AL143*AL149</f>
        <v>14501.102904504294</v>
      </c>
      <c r="AM146" s="213">
        <f t="shared" si="3801"/>
        <v>16313.740767567329</v>
      </c>
      <c r="AN146" s="213">
        <f t="shared" si="3801"/>
        <v>18126.378630630366</v>
      </c>
      <c r="AO146" s="234">
        <f>+AK146+AL146+AM146+AN146</f>
        <v>61629.687344143247</v>
      </c>
      <c r="AP146" s="213">
        <f>+AP143*AP149</f>
        <v>21773.406011113195</v>
      </c>
      <c r="AQ146" s="213">
        <f t="shared" ref="AQ146:AS146" si="3802">+AQ143*AQ149</f>
        <v>21773.406011113195</v>
      </c>
      <c r="AR146" s="213">
        <f t="shared" si="3802"/>
        <v>21773.406011113195</v>
      </c>
      <c r="AS146" s="213">
        <f t="shared" si="3802"/>
        <v>21773.406011113195</v>
      </c>
      <c r="AT146" s="234">
        <f>+AP146+AQ146+AR146+AS146</f>
        <v>87093.624044452779</v>
      </c>
      <c r="AU146" s="213">
        <f>+AU143*AU149</f>
        <v>27243.974271405383</v>
      </c>
      <c r="AV146" s="213">
        <f t="shared" ref="AV146:AX146" si="3803">+AV143*AV149</f>
        <v>27243.974271405383</v>
      </c>
      <c r="AW146" s="213">
        <f t="shared" si="3803"/>
        <v>27243.974271405383</v>
      </c>
      <c r="AX146" s="213">
        <f t="shared" si="3803"/>
        <v>27243.974271405383</v>
      </c>
      <c r="AY146" s="234">
        <f>+AU146+AV146+AW146+AX146</f>
        <v>108975.89708562153</v>
      </c>
      <c r="AZ146" s="213">
        <f>+AZ143*AZ149</f>
        <v>32725.461894812139</v>
      </c>
      <c r="BA146" s="213">
        <f t="shared" ref="BA146:BC146" si="3804">+BA143*BA149</f>
        <v>32725.461894812139</v>
      </c>
      <c r="BB146" s="213">
        <f t="shared" si="3804"/>
        <v>32725.461894812139</v>
      </c>
      <c r="BC146" s="213">
        <f t="shared" si="3804"/>
        <v>32725.461894812139</v>
      </c>
      <c r="BD146" s="234">
        <f>+AZ146+BA146+BB146+BC146</f>
        <v>130901.84757924856</v>
      </c>
      <c r="BE146" s="213">
        <f>+BE143*BE149</f>
        <v>34578.086654301776</v>
      </c>
      <c r="BF146" s="213">
        <f t="shared" ref="BF146:BH146" si="3805">+BF143*BF149</f>
        <v>36397.985951896611</v>
      </c>
      <c r="BG146" s="213">
        <f t="shared" si="3805"/>
        <v>38217.885249491439</v>
      </c>
      <c r="BH146" s="213">
        <f t="shared" si="3805"/>
        <v>40037.784547086274</v>
      </c>
      <c r="BI146" s="234">
        <f>+BE146+BF146+BG146+BH146</f>
        <v>149231.74240277612</v>
      </c>
      <c r="BJ146" s="213">
        <f>+BJ143*BJ149</f>
        <v>41899.541528525777</v>
      </c>
      <c r="BK146" s="213">
        <f t="shared" ref="BK146:BM146" si="3806">+BK143*BK149</f>
        <v>43721.260725418208</v>
      </c>
      <c r="BL146" s="213">
        <f t="shared" si="3806"/>
        <v>45542.979922310631</v>
      </c>
      <c r="BM146" s="213">
        <f t="shared" si="3806"/>
        <v>47364.699119203062</v>
      </c>
      <c r="BN146" s="234">
        <f>+BJ146+BK146+BL146+BM146</f>
        <v>178528.48129545766</v>
      </c>
      <c r="BO146" s="213">
        <f>+BO143*BO149</f>
        <v>49235.604734411572</v>
      </c>
      <c r="BP146" s="213">
        <f t="shared" ref="BP146:BR146" si="3807">+BP143*BP149</f>
        <v>51059.14565050089</v>
      </c>
      <c r="BQ146" s="213">
        <f t="shared" si="3807"/>
        <v>52882.686566590208</v>
      </c>
      <c r="BR146" s="213">
        <f t="shared" si="3807"/>
        <v>54706.227482679526</v>
      </c>
      <c r="BS146" s="234">
        <f>+BO146+BP146+BQ146+BR146</f>
        <v>207883.6644341822</v>
      </c>
      <c r="BT146" s="213">
        <f>+BT143*BT149</f>
        <v>56586.29816716761</v>
      </c>
      <c r="BU146" s="213">
        <f t="shared" ref="BU146:BW146" si="3808">+BU143*BU149</f>
        <v>58411.662624173012</v>
      </c>
      <c r="BV146" s="213">
        <f t="shared" si="3808"/>
        <v>60237.027081178421</v>
      </c>
      <c r="BW146" s="213">
        <f t="shared" si="3808"/>
        <v>62062.391538183831</v>
      </c>
      <c r="BX146" s="234">
        <f>+BT146+BU146+BV146+BW146</f>
        <v>237297.37941070285</v>
      </c>
      <c r="BY146" s="213">
        <f>+BY143*BY149</f>
        <v>63951.64375118442</v>
      </c>
      <c r="BZ146" s="213">
        <f t="shared" ref="BZ146:CB146" si="3809">+BZ143*BZ149</f>
        <v>65778.833572646836</v>
      </c>
      <c r="CA146" s="213">
        <f t="shared" si="3809"/>
        <v>67606.023394109245</v>
      </c>
      <c r="CB146" s="213">
        <f t="shared" si="3809"/>
        <v>69433.213215571654</v>
      </c>
      <c r="CC146" s="234">
        <f>+BY146+BZ146+CA146+CB146</f>
        <v>266769.71393351216</v>
      </c>
      <c r="CD146" s="213">
        <f>+CD143*CD149</f>
        <v>71331.66344007109</v>
      </c>
      <c r="CE146" s="213">
        <f t="shared" ref="CE146:CG146" si="3810">+CE143*CE149</f>
        <v>73160.680451354972</v>
      </c>
      <c r="CF146" s="213">
        <f t="shared" si="3810"/>
        <v>74989.69746263884</v>
      </c>
      <c r="CG146" s="213">
        <f t="shared" si="3810"/>
        <v>76818.714473922722</v>
      </c>
      <c r="CH146" s="234">
        <f>+CD146+CE146+CF146+CG146</f>
        <v>296300.75582798762</v>
      </c>
      <c r="CI146" s="213">
        <f>+CI143*CI149</f>
        <v>78726.379216691799</v>
      </c>
      <c r="CJ146" s="213">
        <f t="shared" ref="CJ146:CL146" si="3811">+CJ143*CJ149</f>
        <v>80557.225244986956</v>
      </c>
      <c r="CK146" s="213">
        <f t="shared" si="3811"/>
        <v>82388.071273282112</v>
      </c>
      <c r="CL146" s="213">
        <f t="shared" si="3811"/>
        <v>84218.917301577269</v>
      </c>
      <c r="CM146" s="234">
        <f>+CI146+CJ146+CK146+CL146</f>
        <v>325890.59303653816</v>
      </c>
      <c r="CN146" s="213">
        <f>+CN143*CN149</f>
        <v>86135.81309320229</v>
      </c>
      <c r="CO146" s="213">
        <f t="shared" ref="CO146:CQ146" si="3812">+CO143*CO149</f>
        <v>87968.489967525747</v>
      </c>
      <c r="CP146" s="213">
        <f t="shared" si="3812"/>
        <v>89801.16684184919</v>
      </c>
      <c r="CQ146" s="213">
        <f t="shared" si="3812"/>
        <v>91633.843716172647</v>
      </c>
      <c r="CR146" s="234">
        <f>+CN146+CO146+CP146+CQ146</f>
        <v>355539.31361874985</v>
      </c>
      <c r="CS146" s="213">
        <f>+CS143*CS149</f>
        <v>93559.987111086593</v>
      </c>
      <c r="CT146" s="213">
        <f t="shared" ref="CT146:CV146" si="3813">+CT143*CT149</f>
        <v>95394.496662284364</v>
      </c>
      <c r="CU146" s="213">
        <f t="shared" si="3813"/>
        <v>97229.006213482149</v>
      </c>
      <c r="CV146" s="213">
        <f t="shared" si="3813"/>
        <v>99063.51576467992</v>
      </c>
      <c r="CW146" s="234">
        <f>+CS146+CT146+CU146+CV146</f>
        <v>385247.00575153303</v>
      </c>
      <c r="CX146" s="213">
        <f>+CX143*CX149</f>
        <v>100998.92334119356</v>
      </c>
      <c r="CY146" s="213">
        <f t="shared" ref="CY146:DA146" si="3814">+CY143*CY149</f>
        <v>102835.26740194253</v>
      </c>
      <c r="CZ146" s="213">
        <f t="shared" si="3814"/>
        <v>104671.61146269151</v>
      </c>
      <c r="DA146" s="213">
        <f t="shared" si="3814"/>
        <v>106507.95552344048</v>
      </c>
      <c r="DB146" s="234">
        <f>+CX146+CY146+CZ146+DA146</f>
        <v>415013.75772926811</v>
      </c>
    </row>
    <row r="147" spans="1:106">
      <c r="A147" s="117" t="s">
        <v>281</v>
      </c>
      <c r="B147" s="119" t="s">
        <v>290</v>
      </c>
      <c r="C147" s="119" t="s">
        <v>290</v>
      </c>
      <c r="D147" s="119" t="s">
        <v>290</v>
      </c>
      <c r="E147" s="119" t="s">
        <v>290</v>
      </c>
      <c r="F147" s="235" t="s">
        <v>290</v>
      </c>
      <c r="G147" s="119" t="s">
        <v>290</v>
      </c>
      <c r="H147" s="119" t="s">
        <v>290</v>
      </c>
      <c r="I147" s="119" t="s">
        <v>290</v>
      </c>
      <c r="J147" s="119" t="s">
        <v>290</v>
      </c>
      <c r="K147" s="235" t="s">
        <v>290</v>
      </c>
      <c r="L147" s="119" t="s">
        <v>290</v>
      </c>
      <c r="M147" s="119" t="s">
        <v>290</v>
      </c>
      <c r="N147" s="119" t="s">
        <v>290</v>
      </c>
      <c r="O147" s="13">
        <f t="shared" ref="O147" si="3815">+O146/J146-1</f>
        <v>0.81114612437162359</v>
      </c>
      <c r="P147" s="239">
        <f t="shared" ref="P147" si="3816">+P146/K146-1</f>
        <v>3.7850580615534284</v>
      </c>
      <c r="Q147" s="13">
        <f>+Q146/L146-1</f>
        <v>7.8089292990957198</v>
      </c>
      <c r="R147" s="13">
        <f t="shared" ref="R147" si="3817">+R146/M146-1</f>
        <v>0.9636552861210379</v>
      </c>
      <c r="S147" s="13">
        <f t="shared" ref="S147" si="3818">+S146/N146-1</f>
        <v>0.44175241202482352</v>
      </c>
      <c r="T147" s="13">
        <f t="shared" ref="T147" si="3819">+T146/O146-1</f>
        <v>0.28787435060516087</v>
      </c>
      <c r="U147" s="239">
        <f t="shared" ref="U147" si="3820">+U146/P146-1</f>
        <v>0.8724424582003758</v>
      </c>
      <c r="V147" s="13">
        <f>+V146/Q146-1</f>
        <v>0.38853260799140532</v>
      </c>
      <c r="W147" s="13">
        <f t="shared" ref="W147" si="3821">+W146/R146-1</f>
        <v>-4.6984160159314059E-2</v>
      </c>
      <c r="X147" s="13">
        <f t="shared" ref="X147" si="3822">+X146/S146-1</f>
        <v>-0.78538872937343018</v>
      </c>
      <c r="Y147" s="13">
        <f t="shared" ref="Y147" si="3823">+Y146/T146-1</f>
        <v>0.76000937232069998</v>
      </c>
      <c r="Z147" s="239">
        <f t="shared" ref="Z147" si="3824">+Z146/U146-1</f>
        <v>8.6355535195690392E-2</v>
      </c>
      <c r="AA147" s="13">
        <f>+AA146/V146-1</f>
        <v>0.35327076265890778</v>
      </c>
      <c r="AB147" s="13">
        <f t="shared" ref="AB147" si="3825">+AB146/W146-1</f>
        <v>0.28681834003810924</v>
      </c>
      <c r="AC147" s="13">
        <f t="shared" ref="AC147" si="3826">+AC146/X146-1</f>
        <v>5.8957437954460419</v>
      </c>
      <c r="AD147" s="13">
        <f t="shared" ref="AD147" si="3827">+AD146/Y146-1</f>
        <v>-7.4426197819906004E-2</v>
      </c>
      <c r="AE147" s="239">
        <f t="shared" ref="AE147" si="3828">+AE146/Z146-1</f>
        <v>0.41409268083988393</v>
      </c>
      <c r="AF147" s="13">
        <f>+AF146/AA146-1</f>
        <v>1.4394591769163911E-2</v>
      </c>
      <c r="AG147" s="13">
        <f t="shared" ref="AG147" si="3829">+AG146/AB146-1</f>
        <v>5.3427458678554807E-2</v>
      </c>
      <c r="AH147" s="13">
        <f t="shared" ref="AH147" si="3830">+AH146/AC146-1</f>
        <v>0.21911413720012618</v>
      </c>
      <c r="AI147" s="13">
        <f t="shared" ref="AI147" si="3831">+AI146/AD146-1</f>
        <v>9.9999999999988987E-4</v>
      </c>
      <c r="AJ147" s="239">
        <f t="shared" ref="AJ147" si="3832">+AJ146/AE146-1</f>
        <v>6.5877445464735285E-2</v>
      </c>
      <c r="AK147" s="13">
        <f>+AK146/AF146-1</f>
        <v>9.9999999999988987E-4</v>
      </c>
      <c r="AL147" s="13">
        <f t="shared" ref="AL147" si="3833">+AL146/AG146-1</f>
        <v>0.33466666666666667</v>
      </c>
      <c r="AM147" s="13">
        <f t="shared" ref="AM147" si="3834">+AM146/AH146-1</f>
        <v>0.2869999999999997</v>
      </c>
      <c r="AN147" s="13">
        <f t="shared" ref="AN147" si="3835">+AN146/AI146-1</f>
        <v>0.42999999999999972</v>
      </c>
      <c r="AO147" s="239">
        <f t="shared" ref="AO147" si="3836">+AO146/AJ146-1</f>
        <v>0.26051851851851837</v>
      </c>
      <c r="AP147" s="13">
        <f>+AP146/AK146-1</f>
        <v>0.71599999999999975</v>
      </c>
      <c r="AQ147" s="13">
        <f t="shared" ref="AQ147" si="3837">+AQ146/AL146-1</f>
        <v>0.50149999999999983</v>
      </c>
      <c r="AR147" s="13">
        <f t="shared" ref="AR147" si="3838">+AR146/AM146-1</f>
        <v>0.33466666666666667</v>
      </c>
      <c r="AS147" s="13">
        <f t="shared" ref="AS147" si="3839">+AS146/AN146-1</f>
        <v>0.20119999999999982</v>
      </c>
      <c r="AT147" s="239">
        <f t="shared" ref="AT147" si="3840">+AT146/AO146-1</f>
        <v>0.41317647058823526</v>
      </c>
      <c r="AU147" s="13">
        <f>+AU146/AP146-1</f>
        <v>0.25124999999999997</v>
      </c>
      <c r="AV147" s="13">
        <f t="shared" ref="AV147" si="3841">+AV146/AQ146-1</f>
        <v>0.25124999999999997</v>
      </c>
      <c r="AW147" s="13">
        <f t="shared" ref="AW147" si="3842">+AW146/AR146-1</f>
        <v>0.25124999999999997</v>
      </c>
      <c r="AX147" s="13">
        <f t="shared" ref="AX147" si="3843">+AX146/AS146-1</f>
        <v>0.25124999999999997</v>
      </c>
      <c r="AY147" s="239">
        <f t="shared" ref="AY147" si="3844">+AY146/AT146-1</f>
        <v>0.25124999999999997</v>
      </c>
      <c r="AZ147" s="13">
        <f>+AZ146/AU146-1</f>
        <v>0.20119999999999982</v>
      </c>
      <c r="BA147" s="13">
        <f t="shared" ref="BA147" si="3845">+BA146/AV146-1</f>
        <v>0.20119999999999982</v>
      </c>
      <c r="BB147" s="13">
        <f t="shared" ref="BB147" si="3846">+BB146/AW146-1</f>
        <v>0.20119999999999982</v>
      </c>
      <c r="BC147" s="13">
        <f t="shared" ref="BC147" si="3847">+BC146/AX146-1</f>
        <v>0.20119999999999982</v>
      </c>
      <c r="BD147" s="239">
        <f t="shared" ref="BD147" si="3848">+BD146/AY146-1</f>
        <v>0.20119999999999982</v>
      </c>
      <c r="BE147" s="13">
        <f>+BE146/AZ146-1</f>
        <v>5.6611111111110946E-2</v>
      </c>
      <c r="BF147" s="13">
        <f t="shared" ref="BF147" si="3849">+BF146/BA146-1</f>
        <v>0.11222222222222222</v>
      </c>
      <c r="BG147" s="13">
        <f t="shared" ref="BG147" si="3850">+BG146/BB146-1</f>
        <v>0.16783333333333328</v>
      </c>
      <c r="BH147" s="13">
        <f t="shared" ref="BH147" si="3851">+BH146/BC146-1</f>
        <v>0.22344444444444456</v>
      </c>
      <c r="BI147" s="239">
        <f t="shared" ref="BI147" si="3852">+BI146/BD146-1</f>
        <v>0.14002777777777786</v>
      </c>
      <c r="BJ147" s="13">
        <f>+BJ146/BE146-1</f>
        <v>0.211736842105263</v>
      </c>
      <c r="BK147" s="13">
        <f t="shared" ref="BK147" si="3853">+BK146/BF146-1</f>
        <v>0.20120000000000005</v>
      </c>
      <c r="BL147" s="13">
        <f t="shared" ref="BL147" si="3854">+BL146/BG146-1</f>
        <v>0.19166666666666665</v>
      </c>
      <c r="BM147" s="13">
        <f t="shared" ref="BM147" si="3855">+BM146/BH146-1</f>
        <v>0.18300000000000005</v>
      </c>
      <c r="BN147" s="239">
        <f t="shared" ref="BN147" si="3856">+BN146/BI146-1</f>
        <v>0.19631707317073155</v>
      </c>
      <c r="BO147" s="13">
        <f>+BO146/BJ146-1</f>
        <v>0.17508695652173922</v>
      </c>
      <c r="BP147" s="13">
        <f t="shared" ref="BP147" si="3857">+BP146/BK146-1</f>
        <v>0.16783333333333328</v>
      </c>
      <c r="BQ147" s="13">
        <f t="shared" ref="BQ147" si="3858">+BQ146/BL146-1</f>
        <v>0.16115999999999997</v>
      </c>
      <c r="BR147" s="13">
        <f t="shared" ref="BR147" si="3859">+BR146/BM146-1</f>
        <v>0.1549999999999998</v>
      </c>
      <c r="BS147" s="239">
        <f t="shared" ref="BS147" si="3860">+BS146/BN146-1</f>
        <v>0.16442857142857137</v>
      </c>
      <c r="BT147" s="13">
        <f>+BT146/BO146-1</f>
        <v>0.14929629629629626</v>
      </c>
      <c r="BU147" s="13">
        <f t="shared" ref="BU147" si="3861">+BU146/BP146-1</f>
        <v>0.14399999999999991</v>
      </c>
      <c r="BV147" s="13">
        <f t="shared" ref="BV147" si="3862">+BV146/BQ146-1</f>
        <v>0.13906896551724124</v>
      </c>
      <c r="BW147" s="13">
        <f t="shared" ref="BW147" si="3863">+BW146/BR146-1</f>
        <v>0.13446666666666673</v>
      </c>
      <c r="BX147" s="239">
        <f t="shared" ref="BX147" si="3864">+BX146/BS146-1</f>
        <v>0.14149122807017522</v>
      </c>
      <c r="BY147" s="13">
        <f>+BY146/BT146-1</f>
        <v>0.13016129032258061</v>
      </c>
      <c r="BZ147" s="13">
        <f t="shared" ref="BZ147" si="3865">+BZ146/BU146-1</f>
        <v>0.12612500000000004</v>
      </c>
      <c r="CA147" s="13">
        <f t="shared" ref="CA147" si="3866">+CA146/BV146-1</f>
        <v>0.12233333333333318</v>
      </c>
      <c r="CB147" s="13">
        <f t="shared" ref="CB147" si="3867">+CB146/BW146-1</f>
        <v>0.11876470588235288</v>
      </c>
      <c r="CC147" s="239">
        <f t="shared" ref="CC147" si="3868">+CC146/BX146-1</f>
        <v>0.12420000000000009</v>
      </c>
      <c r="CD147" s="13">
        <f>+CD146/BY146-1</f>
        <v>0.11539999999999973</v>
      </c>
      <c r="CE147" s="13">
        <f t="shared" ref="CE147" si="3869">+CE146/BZ146-1</f>
        <v>0.112222222222222</v>
      </c>
      <c r="CF147" s="13">
        <f t="shared" ref="CF147" si="3870">+CF146/CA146-1</f>
        <v>0.10921621621621602</v>
      </c>
      <c r="CG147" s="13">
        <f t="shared" ref="CG147" si="3871">+CG146/CB146-1</f>
        <v>0.10636842105263167</v>
      </c>
      <c r="CH147" s="239">
        <f t="shared" ref="CH147" si="3872">+CH146/CC146-1</f>
        <v>0.11069863013698611</v>
      </c>
      <c r="CI147" s="13">
        <f>+CI146/CD146-1</f>
        <v>0.1036666666666668</v>
      </c>
      <c r="CJ147" s="13">
        <f t="shared" ref="CJ147" si="3873">+CJ146/CE146-1</f>
        <v>0.10109999999999997</v>
      </c>
      <c r="CK147" s="13">
        <f t="shared" ref="CK147" si="3874">+CK146/CF146-1</f>
        <v>9.865853658536583E-2</v>
      </c>
      <c r="CL147" s="13">
        <f t="shared" ref="CL147" si="3875">+CL146/CG146-1</f>
        <v>9.633333333333316E-2</v>
      </c>
      <c r="CM147" s="239">
        <f t="shared" ref="CM147" si="3876">+CM146/CH146-1</f>
        <v>9.9864197530864285E-2</v>
      </c>
      <c r="CN147" s="13">
        <f>+CN146/CI146-1</f>
        <v>9.4116279069767161E-2</v>
      </c>
      <c r="CO147" s="13">
        <f t="shared" ref="CO147" si="3877">+CO146/CJ146-1</f>
        <v>9.199999999999986E-2</v>
      </c>
      <c r="CP147" s="13">
        <f t="shared" ref="CP147" si="3878">+CP146/CK146-1</f>
        <v>8.997777777777749E-2</v>
      </c>
      <c r="CQ147" s="13">
        <f t="shared" ref="CQ147" si="3879">+CQ146/CL146-1</f>
        <v>8.8043478260869446E-2</v>
      </c>
      <c r="CR147" s="239">
        <f t="shared" ref="CR147" si="3880">+CR146/CM146-1</f>
        <v>9.0977528089887238E-2</v>
      </c>
      <c r="CS147" s="13">
        <f>+CS146/CN146-1</f>
        <v>8.6191489361702178E-2</v>
      </c>
      <c r="CT147" s="13">
        <f t="shared" ref="CT147" si="3881">+CT146/CO146-1</f>
        <v>8.4416666666666584E-2</v>
      </c>
      <c r="CU147" s="13">
        <f t="shared" ref="CU147" si="3882">+CU146/CP146-1</f>
        <v>8.271428571428574E-2</v>
      </c>
      <c r="CV147" s="13">
        <f t="shared" ref="CV147" si="3883">+CV146/CQ146-1</f>
        <v>8.1080000000000041E-2</v>
      </c>
      <c r="CW147" s="239">
        <f t="shared" ref="CW147" si="3884">+CW146/CR146-1</f>
        <v>8.3556701030927938E-2</v>
      </c>
      <c r="CX147" s="13">
        <f>+CX146/CS146-1</f>
        <v>7.9509803921568478E-2</v>
      </c>
      <c r="CY147" s="13">
        <f t="shared" ref="CY147" si="3885">+CY146/CT146-1</f>
        <v>7.7999999999999847E-2</v>
      </c>
      <c r="CZ147" s="13">
        <f t="shared" ref="CZ147" si="3886">+CZ146/CU146-1</f>
        <v>7.6547169811320481E-2</v>
      </c>
      <c r="DA147" s="13">
        <f t="shared" ref="DA147" si="3887">+DA146/CV146-1</f>
        <v>7.5148148148147964E-2</v>
      </c>
      <c r="DB147" s="239">
        <f t="shared" ref="DB147" si="3888">+DB146/CW146-1</f>
        <v>7.7266666666666595E-2</v>
      </c>
    </row>
    <row r="148" spans="1:106">
      <c r="A148" s="117" t="s">
        <v>288</v>
      </c>
      <c r="B148" s="119" t="s">
        <v>290</v>
      </c>
      <c r="C148" s="119" t="s">
        <v>290</v>
      </c>
      <c r="D148" s="119" t="s">
        <v>290</v>
      </c>
      <c r="E148" s="119" t="s">
        <v>290</v>
      </c>
      <c r="F148" s="235" t="s">
        <v>290</v>
      </c>
      <c r="G148" s="119" t="s">
        <v>290</v>
      </c>
      <c r="H148" s="119" t="s">
        <v>290</v>
      </c>
      <c r="I148" s="119" t="s">
        <v>290</v>
      </c>
      <c r="J148" s="119" t="s">
        <v>290</v>
      </c>
      <c r="K148" s="235" t="s">
        <v>290</v>
      </c>
      <c r="L148" s="13">
        <f>+L146/J146-1</f>
        <v>-0.77347493440326098</v>
      </c>
      <c r="M148" s="13">
        <f>+M146/L146-1</f>
        <v>4.6733136651638292</v>
      </c>
      <c r="N148" s="13">
        <f t="shared" ref="N148:O148" si="3889">+N146/M146-1</f>
        <v>0.13779845255915513</v>
      </c>
      <c r="O148" s="13">
        <f t="shared" si="3889"/>
        <v>0.23861145405325468</v>
      </c>
      <c r="P148" s="235" t="s">
        <v>290</v>
      </c>
      <c r="Q148" s="13">
        <f>+Q146/O146-1</f>
        <v>0.1017572025045812</v>
      </c>
      <c r="R148" s="13">
        <f>+R146/Q146-1</f>
        <v>0.26467496674826241</v>
      </c>
      <c r="S148" s="13">
        <f t="shared" ref="S148:T148" si="3890">+S146/R146-1</f>
        <v>-0.164607110540399</v>
      </c>
      <c r="T148" s="13">
        <f t="shared" si="3890"/>
        <v>0.10641460262976432</v>
      </c>
      <c r="U148" s="235" t="s">
        <v>290</v>
      </c>
      <c r="V148" s="13">
        <f>+V146/T146-1</f>
        <v>0.18786883289363532</v>
      </c>
      <c r="W148" s="13">
        <f>+W146/V146-1</f>
        <v>-0.13199353862884078</v>
      </c>
      <c r="X148" s="13">
        <f t="shared" ref="X148:Y148" si="3891">+X146/W146-1</f>
        <v>-0.81187644319815577</v>
      </c>
      <c r="Y148" s="13">
        <f t="shared" si="3891"/>
        <v>8.073615121030759</v>
      </c>
      <c r="Z148" s="235" t="s">
        <v>290</v>
      </c>
      <c r="AA148" s="13">
        <f>+AA146/Y146-1</f>
        <v>-8.6647953863392968E-2</v>
      </c>
      <c r="AB148" s="13">
        <f>+AB146/AA146-1</f>
        <v>-0.17461703556694663</v>
      </c>
      <c r="AC148" s="13">
        <f t="shared" ref="AC148:AD148" si="3892">+AC146/AB146-1</f>
        <v>8.1079894735882618E-3</v>
      </c>
      <c r="AD148" s="13">
        <f t="shared" si="3892"/>
        <v>0.21789624095916693</v>
      </c>
      <c r="AE148" s="235" t="s">
        <v>290</v>
      </c>
      <c r="AF148" s="13">
        <f>+AF146/AD146-1</f>
        <v>9.9999999999988987E-4</v>
      </c>
      <c r="AG148" s="13">
        <f>+AG146/AF146-1</f>
        <v>-0.1428571428571429</v>
      </c>
      <c r="AH148" s="13">
        <f t="shared" ref="AH148:AI148" si="3893">+AH146/AG146-1</f>
        <v>0.16666666666666674</v>
      </c>
      <c r="AI148" s="13">
        <f t="shared" si="3893"/>
        <v>0</v>
      </c>
      <c r="AJ148" s="235" t="s">
        <v>290</v>
      </c>
      <c r="AK148" s="13">
        <f>+AK146/AI146-1</f>
        <v>9.9999999999988987E-4</v>
      </c>
      <c r="AL148" s="13">
        <f>+AL146/AK146-1</f>
        <v>0.14285714285714279</v>
      </c>
      <c r="AM148" s="13">
        <f t="shared" ref="AM148:AN148" si="3894">+AM146/AL146-1</f>
        <v>0.125</v>
      </c>
      <c r="AN148" s="13">
        <f t="shared" si="3894"/>
        <v>0.11111111111111116</v>
      </c>
      <c r="AO148" s="235" t="s">
        <v>290</v>
      </c>
      <c r="AP148" s="13">
        <f>+AP146/AN146-1</f>
        <v>0.20119999999999982</v>
      </c>
      <c r="AQ148" s="13">
        <f>+AQ146/AP146-1</f>
        <v>0</v>
      </c>
      <c r="AR148" s="13">
        <f t="shared" ref="AR148:AS148" si="3895">+AR146/AQ146-1</f>
        <v>0</v>
      </c>
      <c r="AS148" s="13">
        <f t="shared" si="3895"/>
        <v>0</v>
      </c>
      <c r="AT148" s="235" t="s">
        <v>290</v>
      </c>
      <c r="AU148" s="13">
        <f>+AU146/AS146-1</f>
        <v>0.25124999999999997</v>
      </c>
      <c r="AV148" s="13">
        <f>+AV146/AU146-1</f>
        <v>0</v>
      </c>
      <c r="AW148" s="13">
        <f t="shared" ref="AW148:AX148" si="3896">+AW146/AV146-1</f>
        <v>0</v>
      </c>
      <c r="AX148" s="13">
        <f t="shared" si="3896"/>
        <v>0</v>
      </c>
      <c r="AY148" s="235" t="s">
        <v>290</v>
      </c>
      <c r="AZ148" s="13">
        <f>+AZ146/AX146-1</f>
        <v>0.20119999999999982</v>
      </c>
      <c r="BA148" s="13">
        <f>+BA146/AZ146-1</f>
        <v>0</v>
      </c>
      <c r="BB148" s="13">
        <f t="shared" ref="BB148:BC148" si="3897">+BB146/BA146-1</f>
        <v>0</v>
      </c>
      <c r="BC148" s="13">
        <f t="shared" si="3897"/>
        <v>0</v>
      </c>
      <c r="BD148" s="235" t="s">
        <v>290</v>
      </c>
      <c r="BE148" s="13">
        <f>+BE146/BC146-1</f>
        <v>5.6611111111110946E-2</v>
      </c>
      <c r="BF148" s="13">
        <f>+BF146/BE146-1</f>
        <v>5.2631578947368585E-2</v>
      </c>
      <c r="BG148" s="13">
        <f t="shared" ref="BG148" si="3898">+BG146/BF146-1</f>
        <v>4.9999999999999822E-2</v>
      </c>
      <c r="BH148" s="13">
        <f t="shared" ref="BH148" si="3899">+BH146/BG146-1</f>
        <v>4.7619047619047672E-2</v>
      </c>
      <c r="BI148" s="235" t="s">
        <v>290</v>
      </c>
      <c r="BJ148" s="13">
        <f>+BJ146/BH146-1</f>
        <v>4.6499999999999764E-2</v>
      </c>
      <c r="BK148" s="13">
        <f>+BK146/BJ146-1</f>
        <v>4.347826086956541E-2</v>
      </c>
      <c r="BL148" s="13">
        <f t="shared" ref="BL148" si="3900">+BL146/BK146-1</f>
        <v>4.1666666666666519E-2</v>
      </c>
      <c r="BM148" s="13">
        <f t="shared" ref="BM148" si="3901">+BM146/BL146-1</f>
        <v>4.0000000000000036E-2</v>
      </c>
      <c r="BN148" s="235" t="s">
        <v>290</v>
      </c>
      <c r="BO148" s="13">
        <f>+BO146/BM146-1</f>
        <v>3.9499999999999869E-2</v>
      </c>
      <c r="BP148" s="13">
        <f>+BP146/BO146-1</f>
        <v>3.7037037037036979E-2</v>
      </c>
      <c r="BQ148" s="13">
        <f t="shared" ref="BQ148" si="3902">+BQ146/BP146-1</f>
        <v>3.5714285714285809E-2</v>
      </c>
      <c r="BR148" s="13">
        <f t="shared" ref="BR148" si="3903">+BR146/BQ146-1</f>
        <v>3.4482758620689724E-2</v>
      </c>
      <c r="BS148" s="235" t="s">
        <v>290</v>
      </c>
      <c r="BT148" s="13">
        <f>+BT146/BR146-1</f>
        <v>3.4366666666666656E-2</v>
      </c>
      <c r="BU148" s="13">
        <f>+BU146/BT146-1</f>
        <v>3.2258064516129004E-2</v>
      </c>
      <c r="BV148" s="13">
        <f t="shared" ref="BV148" si="3904">+BV146/BU146-1</f>
        <v>3.125E-2</v>
      </c>
      <c r="BW148" s="13">
        <f t="shared" ref="BW148" si="3905">+BW146/BV146-1</f>
        <v>3.0303030303030276E-2</v>
      </c>
      <c r="BX148" s="235" t="s">
        <v>290</v>
      </c>
      <c r="BY148" s="13">
        <f>+BY146/BW146-1</f>
        <v>3.0441176470588083E-2</v>
      </c>
      <c r="BZ148" s="13">
        <f>+BZ146/BY146-1</f>
        <v>2.8571428571428692E-2</v>
      </c>
      <c r="CA148" s="13">
        <f t="shared" ref="CA148" si="3906">+CA146/BZ146-1</f>
        <v>2.7777777777777679E-2</v>
      </c>
      <c r="CB148" s="13">
        <f t="shared" ref="CB148" si="3907">+CB146/CA146-1</f>
        <v>2.7027027027026973E-2</v>
      </c>
      <c r="CC148" s="235" t="s">
        <v>290</v>
      </c>
      <c r="CD148" s="13">
        <f>+CD146/CB146-1</f>
        <v>2.7342105263157723E-2</v>
      </c>
      <c r="CE148" s="13">
        <f>+CE146/CD146-1</f>
        <v>2.5641025641025772E-2</v>
      </c>
      <c r="CF148" s="13">
        <f t="shared" ref="CF148" si="3908">+CF146/CE146-1</f>
        <v>2.4999999999999911E-2</v>
      </c>
      <c r="CG148" s="13">
        <f t="shared" ref="CG148" si="3909">+CG146/CF146-1</f>
        <v>2.4390243902439046E-2</v>
      </c>
      <c r="CH148" s="235" t="s">
        <v>290</v>
      </c>
      <c r="CI148" s="13">
        <f>+CI146/CG146-1</f>
        <v>2.4833333333333263E-2</v>
      </c>
      <c r="CJ148" s="13">
        <f>+CJ146/CI146-1</f>
        <v>2.3255813953488413E-2</v>
      </c>
      <c r="CK148" s="13">
        <f t="shared" ref="CK148" si="3910">+CK146/CJ146-1</f>
        <v>2.2727272727272707E-2</v>
      </c>
      <c r="CL148" s="13">
        <f t="shared" ref="CL148" si="3911">+CL146/CK146-1</f>
        <v>2.2222222222222143E-2</v>
      </c>
      <c r="CM148" s="235" t="s">
        <v>290</v>
      </c>
      <c r="CN148" s="13">
        <f>+CN146/CL146-1</f>
        <v>2.2760869565217279E-2</v>
      </c>
      <c r="CO148" s="13">
        <f>+CO146/CN146-1</f>
        <v>2.1276595744680993E-2</v>
      </c>
      <c r="CP148" s="13">
        <f t="shared" ref="CP148" si="3912">+CP146/CO146-1</f>
        <v>2.0833333333333259E-2</v>
      </c>
      <c r="CQ148" s="13">
        <f t="shared" ref="CQ148" si="3913">+CQ146/CP146-1</f>
        <v>2.0408163265306145E-2</v>
      </c>
      <c r="CR148" s="235" t="s">
        <v>290</v>
      </c>
      <c r="CS148" s="13">
        <f>+CS146/CQ146-1</f>
        <v>2.1020000000000039E-2</v>
      </c>
      <c r="CT148" s="13">
        <f>+CT146/CS146-1</f>
        <v>1.9607843137254832E-2</v>
      </c>
      <c r="CU148" s="13">
        <f t="shared" ref="CU148" si="3914">+CU146/CT146-1</f>
        <v>1.9230769230769384E-2</v>
      </c>
      <c r="CV148" s="13">
        <f t="shared" ref="CV148" si="3915">+CV146/CU146-1</f>
        <v>1.8867924528301883E-2</v>
      </c>
      <c r="CW148" s="235" t="s">
        <v>290</v>
      </c>
      <c r="CX148" s="13">
        <f>+CX146/CV146-1</f>
        <v>1.9537037037036908E-2</v>
      </c>
      <c r="CY148" s="13">
        <f>+CY146/CX146-1</f>
        <v>1.8181818181818299E-2</v>
      </c>
      <c r="CZ148" s="13">
        <f t="shared" ref="CZ148" si="3916">+CZ146/CY146-1</f>
        <v>1.7857142857142794E-2</v>
      </c>
      <c r="DA148" s="13">
        <f t="shared" ref="DA148" si="3917">+DA146/CZ146-1</f>
        <v>1.7543859649122862E-2</v>
      </c>
      <c r="DB148" s="235" t="s">
        <v>290</v>
      </c>
    </row>
    <row r="149" spans="1:106">
      <c r="A149" s="117" t="s">
        <v>295</v>
      </c>
      <c r="B149" s="118">
        <v>0</v>
      </c>
      <c r="C149" s="118">
        <v>0</v>
      </c>
      <c r="D149" s="118">
        <v>0</v>
      </c>
      <c r="E149" s="118">
        <v>0</v>
      </c>
      <c r="F149" s="239">
        <f>+F146/F143</f>
        <v>0</v>
      </c>
      <c r="G149" s="118">
        <v>0</v>
      </c>
      <c r="H149" s="118">
        <v>0</v>
      </c>
      <c r="I149" s="118">
        <v>0</v>
      </c>
      <c r="J149" s="13">
        <f>+J146/J137</f>
        <v>1.8496149669774654E-3</v>
      </c>
      <c r="K149" s="239">
        <f>+K146/K143</f>
        <v>4.6240374174436635E-4</v>
      </c>
      <c r="L149" s="13">
        <f>+L146/L137</f>
        <v>4.1856558613714357E-4</v>
      </c>
      <c r="M149" s="13">
        <f t="shared" ref="M149:Y149" si="3918">+M146/M137</f>
        <v>2.3746538595991649E-3</v>
      </c>
      <c r="N149" s="13">
        <f t="shared" si="3918"/>
        <v>2.7018774868155545E-3</v>
      </c>
      <c r="O149" s="13">
        <f t="shared" si="3918"/>
        <v>3.3465764026183674E-3</v>
      </c>
      <c r="P149" s="239">
        <f>+P146/P143</f>
        <v>2.2104183337925574E-3</v>
      </c>
      <c r="Q149" s="13">
        <f t="shared" si="3918"/>
        <v>3.6834312240925653E-3</v>
      </c>
      <c r="R149" s="13">
        <f t="shared" si="3918"/>
        <v>4.6583432608487763E-3</v>
      </c>
      <c r="S149" s="13">
        <f t="shared" si="3918"/>
        <v>3.8915468367751193E-3</v>
      </c>
      <c r="T149" s="13">
        <f t="shared" si="3918"/>
        <v>4.3056642470256602E-3</v>
      </c>
      <c r="U149" s="239">
        <f>+U146/U143</f>
        <v>4.1347463921855305E-3</v>
      </c>
      <c r="V149" s="13">
        <f t="shared" si="3918"/>
        <v>5.1094549090371878E-3</v>
      </c>
      <c r="W149" s="13">
        <f t="shared" si="3918"/>
        <v>4.4350398751288678E-3</v>
      </c>
      <c r="X149" s="13">
        <f t="shared" si="3918"/>
        <v>8.3433547586724964E-4</v>
      </c>
      <c r="Y149" s="13">
        <f t="shared" si="3918"/>
        <v>7.5704389898414706E-3</v>
      </c>
      <c r="Z149" s="239">
        <f>+Z146/Z143</f>
        <v>4.4873173124686935E-3</v>
      </c>
      <c r="AA149" s="13">
        <f t="shared" ref="AA149:AC149" si="3919">+AA146/AA143</f>
        <v>6.9075683731509045E-3</v>
      </c>
      <c r="AB149" s="13">
        <f t="shared" si="3919"/>
        <v>5.7013892608552977E-3</v>
      </c>
      <c r="AC149" s="13">
        <f t="shared" si="3919"/>
        <v>5.7476160649671407E-3</v>
      </c>
      <c r="AD149" s="118">
        <v>7.0000000000000001E-3</v>
      </c>
      <c r="AE149" s="239">
        <f>+AE146/AE143</f>
        <v>6.3391434247433353E-3</v>
      </c>
      <c r="AF149" s="118">
        <v>7.0000000000000001E-3</v>
      </c>
      <c r="AG149" s="118">
        <v>6.0000000000000001E-3</v>
      </c>
      <c r="AH149" s="118">
        <v>7.0000000000000001E-3</v>
      </c>
      <c r="AI149" s="118">
        <v>7.0000000000000001E-3</v>
      </c>
      <c r="AJ149" s="239">
        <f>+AJ146/AJ143</f>
        <v>6.7500000000000008E-3</v>
      </c>
      <c r="AK149" s="118">
        <v>7.0000000000000001E-3</v>
      </c>
      <c r="AL149" s="118">
        <v>8.0000000000000002E-3</v>
      </c>
      <c r="AM149" s="118">
        <v>8.9999999999999993E-3</v>
      </c>
      <c r="AN149" s="118">
        <v>0.01</v>
      </c>
      <c r="AO149" s="239">
        <f>+AO146/AO143</f>
        <v>8.5000000000000006E-3</v>
      </c>
      <c r="AP149" s="118">
        <v>1.2E-2</v>
      </c>
      <c r="AQ149" s="118">
        <v>1.2E-2</v>
      </c>
      <c r="AR149" s="118">
        <v>1.2E-2</v>
      </c>
      <c r="AS149" s="118">
        <v>1.2E-2</v>
      </c>
      <c r="AT149" s="239">
        <f>+AT146/AT143</f>
        <v>1.2E-2</v>
      </c>
      <c r="AU149" s="118">
        <v>1.4999999999999999E-2</v>
      </c>
      <c r="AV149" s="118">
        <v>1.4999999999999999E-2</v>
      </c>
      <c r="AW149" s="118">
        <v>1.4999999999999999E-2</v>
      </c>
      <c r="AX149" s="118">
        <v>1.4999999999999999E-2</v>
      </c>
      <c r="AY149" s="239">
        <f>+AY146/AY143</f>
        <v>1.4999999999999999E-2</v>
      </c>
      <c r="AZ149" s="118">
        <v>1.7999999999999999E-2</v>
      </c>
      <c r="BA149" s="118">
        <v>1.7999999999999999E-2</v>
      </c>
      <c r="BB149" s="118">
        <v>1.7999999999999999E-2</v>
      </c>
      <c r="BC149" s="118">
        <v>1.7999999999999999E-2</v>
      </c>
      <c r="BD149" s="239">
        <f>+BD146/BD143</f>
        <v>1.7999999999999999E-2</v>
      </c>
      <c r="BE149" s="118">
        <f>+BC149+0.001</f>
        <v>1.9E-2</v>
      </c>
      <c r="BF149" s="118">
        <f>+BE149+0.001</f>
        <v>0.02</v>
      </c>
      <c r="BG149" s="118">
        <f>+BF149+0.001</f>
        <v>2.1000000000000001E-2</v>
      </c>
      <c r="BH149" s="118">
        <f>+BG149+0.001</f>
        <v>2.2000000000000002E-2</v>
      </c>
      <c r="BI149" s="239">
        <f>+BI146/BI143</f>
        <v>2.0500000000000004E-2</v>
      </c>
      <c r="BJ149" s="118">
        <f>+BH149+0.001</f>
        <v>2.3000000000000003E-2</v>
      </c>
      <c r="BK149" s="118">
        <f>+BJ149+0.001</f>
        <v>2.4000000000000004E-2</v>
      </c>
      <c r="BL149" s="118">
        <f>+BK149+0.001</f>
        <v>2.5000000000000005E-2</v>
      </c>
      <c r="BM149" s="118">
        <f>+BL149+0.001</f>
        <v>2.6000000000000006E-2</v>
      </c>
      <c r="BN149" s="239">
        <f>+BN146/BN143</f>
        <v>2.4500000000000001E-2</v>
      </c>
      <c r="BO149" s="118">
        <f>+BM149+0.001</f>
        <v>2.7000000000000007E-2</v>
      </c>
      <c r="BP149" s="118">
        <f>+BO149+0.001</f>
        <v>2.8000000000000008E-2</v>
      </c>
      <c r="BQ149" s="118">
        <f>+BP149+0.001</f>
        <v>2.9000000000000008E-2</v>
      </c>
      <c r="BR149" s="118">
        <f>+BQ149+0.001</f>
        <v>3.0000000000000009E-2</v>
      </c>
      <c r="BS149" s="239">
        <f>+BS146/BS143</f>
        <v>2.8500000000000008E-2</v>
      </c>
      <c r="BT149" s="118">
        <f>+BR149+0.001</f>
        <v>3.100000000000001E-2</v>
      </c>
      <c r="BU149" s="118">
        <f>+BT149+0.001</f>
        <v>3.2000000000000008E-2</v>
      </c>
      <c r="BV149" s="118">
        <f>+BU149+0.001</f>
        <v>3.3000000000000008E-2</v>
      </c>
      <c r="BW149" s="118">
        <f>+BV149+0.001</f>
        <v>3.4000000000000009E-2</v>
      </c>
      <c r="BX149" s="239">
        <f>+BX146/BX143</f>
        <v>3.2500000000000008E-2</v>
      </c>
      <c r="BY149" s="118">
        <f>+BW149+0.001</f>
        <v>3.500000000000001E-2</v>
      </c>
      <c r="BZ149" s="118">
        <f>+BY149+0.001</f>
        <v>3.6000000000000011E-2</v>
      </c>
      <c r="CA149" s="118">
        <f>+BZ149+0.001</f>
        <v>3.7000000000000012E-2</v>
      </c>
      <c r="CB149" s="118">
        <f>+CA149+0.001</f>
        <v>3.8000000000000013E-2</v>
      </c>
      <c r="CC149" s="239">
        <f>+CC146/CC143</f>
        <v>3.6500000000000012E-2</v>
      </c>
      <c r="CD149" s="118">
        <f>+CB149+0.001</f>
        <v>3.9000000000000014E-2</v>
      </c>
      <c r="CE149" s="118">
        <f>+CD149+0.001</f>
        <v>4.0000000000000015E-2</v>
      </c>
      <c r="CF149" s="118">
        <f>+CE149+0.001</f>
        <v>4.1000000000000016E-2</v>
      </c>
      <c r="CG149" s="118">
        <f>+CF149+0.001</f>
        <v>4.2000000000000016E-2</v>
      </c>
      <c r="CH149" s="239">
        <f>+CH146/CH143</f>
        <v>4.0500000000000015E-2</v>
      </c>
      <c r="CI149" s="118">
        <f>+CG149+0.001</f>
        <v>4.3000000000000017E-2</v>
      </c>
      <c r="CJ149" s="118">
        <f>+CI149+0.001</f>
        <v>4.4000000000000018E-2</v>
      </c>
      <c r="CK149" s="118">
        <f>+CJ149+0.001</f>
        <v>4.5000000000000019E-2</v>
      </c>
      <c r="CL149" s="118">
        <f>+CK149+0.001</f>
        <v>4.600000000000002E-2</v>
      </c>
      <c r="CM149" s="239">
        <f>+CM146/CM143</f>
        <v>4.4500000000000026E-2</v>
      </c>
      <c r="CN149" s="118">
        <f>+CL149+0.001</f>
        <v>4.7000000000000021E-2</v>
      </c>
      <c r="CO149" s="118">
        <f>+CN149+0.001</f>
        <v>4.8000000000000022E-2</v>
      </c>
      <c r="CP149" s="118">
        <f>+CO149+0.001</f>
        <v>4.9000000000000023E-2</v>
      </c>
      <c r="CQ149" s="118">
        <f>+CP149+0.001</f>
        <v>5.0000000000000024E-2</v>
      </c>
      <c r="CR149" s="239">
        <f>+CR146/CR143</f>
        <v>4.8500000000000015E-2</v>
      </c>
      <c r="CS149" s="118">
        <f>+CQ149+0.001</f>
        <v>5.1000000000000024E-2</v>
      </c>
      <c r="CT149" s="118">
        <f>+CS149+0.001</f>
        <v>5.2000000000000025E-2</v>
      </c>
      <c r="CU149" s="118">
        <f>+CT149+0.001</f>
        <v>5.3000000000000026E-2</v>
      </c>
      <c r="CV149" s="118">
        <f>+CU149+0.001</f>
        <v>5.4000000000000027E-2</v>
      </c>
      <c r="CW149" s="239">
        <f>+CW146/CW143</f>
        <v>5.2500000000000026E-2</v>
      </c>
      <c r="CX149" s="118">
        <f>+CV149+0.001</f>
        <v>5.5000000000000028E-2</v>
      </c>
      <c r="CY149" s="118">
        <f>+CX149+0.001</f>
        <v>5.6000000000000029E-2</v>
      </c>
      <c r="CZ149" s="118">
        <f>+CY149+0.001</f>
        <v>5.700000000000003E-2</v>
      </c>
      <c r="DA149" s="118">
        <f>+CZ149+0.001</f>
        <v>5.8000000000000031E-2</v>
      </c>
      <c r="DB149" s="239">
        <f>+DB146/DB143</f>
        <v>5.6500000000000029E-2</v>
      </c>
    </row>
    <row r="150" spans="1:106">
      <c r="F150" s="217"/>
      <c r="K150" s="217"/>
      <c r="P150" s="217"/>
      <c r="U150" s="217"/>
      <c r="Z150" s="217"/>
      <c r="AE150" s="217"/>
      <c r="AJ150" s="217"/>
      <c r="AO150" s="217"/>
      <c r="AT150" s="217"/>
      <c r="AY150" s="217"/>
      <c r="BD150" s="217"/>
      <c r="BI150" s="217"/>
      <c r="BN150" s="217"/>
      <c r="BS150" s="217"/>
      <c r="BX150" s="217"/>
      <c r="CC150" s="217"/>
      <c r="CH150" s="217"/>
      <c r="CM150" s="217"/>
      <c r="CR150" s="217"/>
      <c r="CW150" s="217"/>
      <c r="DB150" s="217"/>
    </row>
    <row r="151" spans="1:106" s="51" customFormat="1">
      <c r="A151" s="51" t="s">
        <v>289</v>
      </c>
      <c r="B151" s="226">
        <v>0</v>
      </c>
      <c r="C151" s="226">
        <v>0</v>
      </c>
      <c r="D151" s="226">
        <v>0</v>
      </c>
      <c r="E151" s="226">
        <v>0</v>
      </c>
      <c r="F151" s="242" t="s">
        <v>290</v>
      </c>
      <c r="G151" s="226">
        <v>75</v>
      </c>
      <c r="H151" s="226">
        <v>75</v>
      </c>
      <c r="I151" s="226">
        <v>75</v>
      </c>
      <c r="J151" s="226">
        <v>75</v>
      </c>
      <c r="K151" s="236">
        <f>+K155/K146*1000000</f>
        <v>79.454716649209928</v>
      </c>
      <c r="L151" s="226">
        <v>75</v>
      </c>
      <c r="M151" s="226">
        <v>75</v>
      </c>
      <c r="N151" s="226">
        <v>75</v>
      </c>
      <c r="O151" s="226">
        <v>75</v>
      </c>
      <c r="P151" s="236">
        <f>+P155/P146*1000000</f>
        <v>128.37232387680612</v>
      </c>
      <c r="Q151" s="226">
        <v>75</v>
      </c>
      <c r="R151" s="226">
        <v>75</v>
      </c>
      <c r="S151" s="226">
        <v>70</v>
      </c>
      <c r="T151" s="226">
        <v>70</v>
      </c>
      <c r="U151" s="236">
        <f>+U155/U146*1000000</f>
        <v>76.723832382670338</v>
      </c>
      <c r="V151" s="226">
        <v>63</v>
      </c>
      <c r="W151" s="226">
        <v>63</v>
      </c>
      <c r="X151" s="226">
        <v>63</v>
      </c>
      <c r="Y151" s="226">
        <v>60</v>
      </c>
      <c r="Z151" s="236">
        <f>+Z155/Z146*1000000</f>
        <v>45.699476106119988</v>
      </c>
      <c r="AA151" s="226">
        <v>60</v>
      </c>
      <c r="AB151" s="226">
        <v>67</v>
      </c>
      <c r="AC151" s="226">
        <v>68.349999999999994</v>
      </c>
      <c r="AD151" s="226">
        <v>80</v>
      </c>
      <c r="AE151" s="236">
        <f>+AE155/AE146*1000000</f>
        <v>71.206467441034746</v>
      </c>
      <c r="AF151" s="226">
        <v>65</v>
      </c>
      <c r="AG151" s="226">
        <v>65</v>
      </c>
      <c r="AH151" s="226">
        <v>65</v>
      </c>
      <c r="AI151" s="226">
        <v>68</v>
      </c>
      <c r="AJ151" s="236">
        <f>+AJ155/AJ146*1000000</f>
        <v>65.777777777777771</v>
      </c>
      <c r="AK151" s="226">
        <v>71</v>
      </c>
      <c r="AL151" s="226">
        <v>72</v>
      </c>
      <c r="AM151" s="226">
        <v>72</v>
      </c>
      <c r="AN151" s="226">
        <v>70</v>
      </c>
      <c r="AO151" s="236">
        <f>+AO155/AO146*1000000</f>
        <v>71.20588235294116</v>
      </c>
      <c r="AP151" s="226">
        <v>70.290000000000006</v>
      </c>
      <c r="AQ151" s="226">
        <v>71.28</v>
      </c>
      <c r="AR151" s="226">
        <v>71.28</v>
      </c>
      <c r="AS151" s="226">
        <v>69.3</v>
      </c>
      <c r="AT151" s="236">
        <f>+AT155/AT146*1000000</f>
        <v>70.537499999999994</v>
      </c>
      <c r="AU151" s="226">
        <v>69.587100000000007</v>
      </c>
      <c r="AV151" s="226">
        <v>70.5672</v>
      </c>
      <c r="AW151" s="226">
        <v>70.5672</v>
      </c>
      <c r="AX151" s="226">
        <v>68.606999999999999</v>
      </c>
      <c r="AY151" s="236">
        <f>+AY155/AY146*1000000</f>
        <v>69.832124999999991</v>
      </c>
      <c r="AZ151" s="226">
        <v>68.89122900000001</v>
      </c>
      <c r="BA151" s="226">
        <v>65</v>
      </c>
      <c r="BB151" s="226">
        <v>69.861527999999993</v>
      </c>
      <c r="BC151" s="226">
        <v>70</v>
      </c>
      <c r="BD151" s="236">
        <f>+BD155/BD146*1000000</f>
        <v>68.438189249999994</v>
      </c>
      <c r="BE151" s="226">
        <v>68.202316710000005</v>
      </c>
      <c r="BF151" s="226">
        <v>64.349999999999994</v>
      </c>
      <c r="BG151" s="226">
        <v>69.162912719999994</v>
      </c>
      <c r="BH151" s="226">
        <v>69.3</v>
      </c>
      <c r="BI151" s="236">
        <f>+BI155/BI146*1000000</f>
        <v>67.803233958658538</v>
      </c>
      <c r="BJ151" s="226">
        <v>68</v>
      </c>
      <c r="BK151" s="226">
        <v>68</v>
      </c>
      <c r="BL151" s="226">
        <v>68</v>
      </c>
      <c r="BM151" s="226">
        <v>68</v>
      </c>
      <c r="BN151" s="236">
        <f>+BN155/BN146*1000000</f>
        <v>68</v>
      </c>
      <c r="BO151" s="226">
        <v>68</v>
      </c>
      <c r="BP151" s="226">
        <v>68</v>
      </c>
      <c r="BQ151" s="226">
        <v>68</v>
      </c>
      <c r="BR151" s="226">
        <v>68</v>
      </c>
      <c r="BS151" s="236">
        <f>+BS155/BS146*1000000</f>
        <v>68</v>
      </c>
      <c r="BT151" s="226">
        <v>68</v>
      </c>
      <c r="BU151" s="226">
        <v>68</v>
      </c>
      <c r="BV151" s="226">
        <v>68</v>
      </c>
      <c r="BW151" s="226">
        <v>68</v>
      </c>
      <c r="BX151" s="236">
        <f>+BX155/BX146*1000000</f>
        <v>68.000000000000014</v>
      </c>
      <c r="BY151" s="226">
        <v>68</v>
      </c>
      <c r="BZ151" s="226">
        <v>68</v>
      </c>
      <c r="CA151" s="226">
        <v>68</v>
      </c>
      <c r="CB151" s="226">
        <v>68</v>
      </c>
      <c r="CC151" s="236">
        <f>+CC155/CC146*1000000</f>
        <v>68.000000000000014</v>
      </c>
      <c r="CD151" s="226">
        <v>68</v>
      </c>
      <c r="CE151" s="226">
        <v>68</v>
      </c>
      <c r="CF151" s="226">
        <v>68</v>
      </c>
      <c r="CG151" s="226">
        <v>68</v>
      </c>
      <c r="CH151" s="236">
        <f>+CH155/CH146*1000000</f>
        <v>68</v>
      </c>
      <c r="CI151" s="226">
        <v>68</v>
      </c>
      <c r="CJ151" s="226">
        <v>68</v>
      </c>
      <c r="CK151" s="226">
        <v>68</v>
      </c>
      <c r="CL151" s="226">
        <v>68</v>
      </c>
      <c r="CM151" s="236">
        <f>+CM155/CM146*1000000</f>
        <v>67.999999999999986</v>
      </c>
      <c r="CN151" s="226">
        <v>68</v>
      </c>
      <c r="CO151" s="226">
        <v>68</v>
      </c>
      <c r="CP151" s="226">
        <v>68</v>
      </c>
      <c r="CQ151" s="226">
        <v>68</v>
      </c>
      <c r="CR151" s="236">
        <f>+CR155/CR146*1000000</f>
        <v>68</v>
      </c>
      <c r="CS151" s="226">
        <v>68</v>
      </c>
      <c r="CT151" s="226">
        <v>68</v>
      </c>
      <c r="CU151" s="226">
        <v>68</v>
      </c>
      <c r="CV151" s="226">
        <v>68</v>
      </c>
      <c r="CW151" s="236">
        <f>+CW155/CW146*1000000</f>
        <v>68</v>
      </c>
      <c r="CX151" s="226">
        <v>68</v>
      </c>
      <c r="CY151" s="226">
        <v>68</v>
      </c>
      <c r="CZ151" s="226">
        <v>68</v>
      </c>
      <c r="DA151" s="226">
        <v>68</v>
      </c>
      <c r="DB151" s="236">
        <f>+DB155/DB146*1000000</f>
        <v>67.999999999999986</v>
      </c>
    </row>
    <row r="152" spans="1:106">
      <c r="A152" s="117" t="s">
        <v>281</v>
      </c>
      <c r="B152" s="119" t="s">
        <v>290</v>
      </c>
      <c r="C152" s="119" t="s">
        <v>290</v>
      </c>
      <c r="D152" s="119" t="s">
        <v>290</v>
      </c>
      <c r="E152" s="119" t="s">
        <v>290</v>
      </c>
      <c r="F152" s="235" t="s">
        <v>290</v>
      </c>
      <c r="G152" s="119" t="s">
        <v>290</v>
      </c>
      <c r="H152" s="119" t="s">
        <v>290</v>
      </c>
      <c r="I152" s="119" t="s">
        <v>290</v>
      </c>
      <c r="J152" s="119" t="s">
        <v>290</v>
      </c>
      <c r="K152" s="235" t="s">
        <v>290</v>
      </c>
      <c r="L152" s="13">
        <f>+L151/G151-1</f>
        <v>0</v>
      </c>
      <c r="M152" s="13">
        <f t="shared" ref="M152" si="3920">+M151/H151-1</f>
        <v>0</v>
      </c>
      <c r="N152" s="13">
        <f t="shared" ref="N152" si="3921">+N151/I151-1</f>
        <v>0</v>
      </c>
      <c r="O152" s="13">
        <f t="shared" ref="O152" si="3922">+O151/J151-1</f>
        <v>0</v>
      </c>
      <c r="P152" s="239">
        <f t="shared" ref="P152" si="3923">+P151/K151-1</f>
        <v>0.61566649898917758</v>
      </c>
      <c r="Q152" s="13">
        <f>+Q151/L151-1</f>
        <v>0</v>
      </c>
      <c r="R152" s="13">
        <f t="shared" ref="R152" si="3924">+R151/M151-1</f>
        <v>0</v>
      </c>
      <c r="S152" s="13">
        <f t="shared" ref="S152" si="3925">+S151/N151-1</f>
        <v>-6.6666666666666652E-2</v>
      </c>
      <c r="T152" s="13">
        <f t="shared" ref="T152" si="3926">+T151/O151-1</f>
        <v>-6.6666666666666652E-2</v>
      </c>
      <c r="U152" s="239">
        <f t="shared" ref="U152" si="3927">+U151/P151-1</f>
        <v>-0.40233353992797394</v>
      </c>
      <c r="V152" s="13">
        <f>+V151/Q151-1</f>
        <v>-0.16000000000000003</v>
      </c>
      <c r="W152" s="13">
        <f t="shared" ref="W152" si="3928">+W151/R151-1</f>
        <v>-0.16000000000000003</v>
      </c>
      <c r="X152" s="13">
        <f t="shared" ref="X152" si="3929">+X151/S151-1</f>
        <v>-9.9999999999999978E-2</v>
      </c>
      <c r="Y152" s="13">
        <f t="shared" ref="Y152" si="3930">+Y151/T151-1</f>
        <v>-0.1428571428571429</v>
      </c>
      <c r="Z152" s="239">
        <f t="shared" ref="Z152" si="3931">+Z151/U151-1</f>
        <v>-0.40436400676405526</v>
      </c>
      <c r="AA152" s="13">
        <f>+AA151/V151-1</f>
        <v>-4.7619047619047672E-2</v>
      </c>
      <c r="AB152" s="13">
        <f t="shared" ref="AB152" si="3932">+AB151/W151-1</f>
        <v>6.3492063492063489E-2</v>
      </c>
      <c r="AC152" s="13">
        <f t="shared" ref="AC152" si="3933">+AC151/X151-1</f>
        <v>8.4920634920634841E-2</v>
      </c>
      <c r="AD152" s="13">
        <f t="shared" ref="AD152" si="3934">+AD151/Y151-1</f>
        <v>0.33333333333333326</v>
      </c>
      <c r="AE152" s="239">
        <f t="shared" ref="AE152" si="3935">+AE151/Z151-1</f>
        <v>0.5581462526109553</v>
      </c>
      <c r="AF152" s="13">
        <f>+AF151/AA151-1</f>
        <v>8.3333333333333259E-2</v>
      </c>
      <c r="AG152" s="13">
        <f t="shared" ref="AG152" si="3936">+AG151/AB151-1</f>
        <v>-2.9850746268656692E-2</v>
      </c>
      <c r="AH152" s="13">
        <f t="shared" ref="AH152" si="3937">+AH151/AC151-1</f>
        <v>-4.9012435991221626E-2</v>
      </c>
      <c r="AI152" s="13">
        <f t="shared" ref="AI152" si="3938">+AI151/AD151-1</f>
        <v>-0.15000000000000002</v>
      </c>
      <c r="AJ152" s="239">
        <f t="shared" ref="AJ152" si="3939">+AJ151/AE151-1</f>
        <v>-7.6238716205833557E-2</v>
      </c>
      <c r="AK152" s="13">
        <f>+AK151/AF151-1</f>
        <v>9.2307692307692202E-2</v>
      </c>
      <c r="AL152" s="13">
        <f t="shared" ref="AL152" si="3940">+AL151/AG151-1</f>
        <v>0.10769230769230775</v>
      </c>
      <c r="AM152" s="13">
        <f t="shared" ref="AM152" si="3941">+AM151/AH151-1</f>
        <v>0.10769230769230775</v>
      </c>
      <c r="AN152" s="13">
        <f t="shared" ref="AN152" si="3942">+AN151/AI151-1</f>
        <v>2.9411764705882248E-2</v>
      </c>
      <c r="AO152" s="239">
        <f t="shared" ref="AO152" si="3943">+AO151/AJ151-1</f>
        <v>8.2521860095389421E-2</v>
      </c>
      <c r="AP152" s="13">
        <f>+AP151/AK151-1</f>
        <v>-9.9999999999998979E-3</v>
      </c>
      <c r="AQ152" s="13">
        <f t="shared" ref="AQ152" si="3944">+AQ151/AL151-1</f>
        <v>-1.0000000000000009E-2</v>
      </c>
      <c r="AR152" s="13">
        <f t="shared" ref="AR152" si="3945">+AR151/AM151-1</f>
        <v>-1.0000000000000009E-2</v>
      </c>
      <c r="AS152" s="13">
        <f t="shared" ref="AS152" si="3946">+AS151/AN151-1</f>
        <v>-1.0000000000000009E-2</v>
      </c>
      <c r="AT152" s="239">
        <f t="shared" ref="AT152" si="3947">+AT151/AO151-1</f>
        <v>-9.3866171003715859E-3</v>
      </c>
      <c r="AU152" s="13">
        <f>+AU151/AP151-1</f>
        <v>-1.0000000000000009E-2</v>
      </c>
      <c r="AV152" s="13">
        <f t="shared" ref="AV152" si="3948">+AV151/AQ151-1</f>
        <v>-1.0000000000000009E-2</v>
      </c>
      <c r="AW152" s="13">
        <f t="shared" ref="AW152" si="3949">+AW151/AR151-1</f>
        <v>-1.0000000000000009E-2</v>
      </c>
      <c r="AX152" s="13">
        <f t="shared" ref="AX152" si="3950">+AX151/AS151-1</f>
        <v>-1.0000000000000009E-2</v>
      </c>
      <c r="AY152" s="239">
        <f t="shared" ref="AY152" si="3951">+AY151/AT151-1</f>
        <v>-1.0000000000000009E-2</v>
      </c>
      <c r="AZ152" s="13">
        <f>+AZ151/AU151-1</f>
        <v>-9.9999999999998979E-3</v>
      </c>
      <c r="BA152" s="13">
        <f t="shared" ref="BA152" si="3952">+BA151/AV151-1</f>
        <v>-7.8892176535274139E-2</v>
      </c>
      <c r="BB152" s="13">
        <f t="shared" ref="BB152" si="3953">+BB151/AW151-1</f>
        <v>-1.000000000000012E-2</v>
      </c>
      <c r="BC152" s="13">
        <f t="shared" ref="BC152" si="3954">+BC151/AX151-1</f>
        <v>2.0304050607080848E-2</v>
      </c>
      <c r="BD152" s="239">
        <f t="shared" ref="BD152" si="3955">+BD151/AY151-1</f>
        <v>-1.9961239186119584E-2</v>
      </c>
      <c r="BE152" s="13">
        <f>+BE151/AZ151-1</f>
        <v>-1.000000000000012E-2</v>
      </c>
      <c r="BF152" s="13">
        <f t="shared" ref="BF152" si="3956">+BF151/BA151-1</f>
        <v>-1.000000000000012E-2</v>
      </c>
      <c r="BG152" s="13">
        <f t="shared" ref="BG152" si="3957">+BG151/BB151-1</f>
        <v>-1.0000000000000009E-2</v>
      </c>
      <c r="BH152" s="13">
        <f t="shared" ref="BH152" si="3958">+BH151/BC151-1</f>
        <v>-1.0000000000000009E-2</v>
      </c>
      <c r="BI152" s="239">
        <f t="shared" ref="BI152" si="3959">+BI151/BD151-1</f>
        <v>-9.277792096778148E-3</v>
      </c>
      <c r="BJ152" s="13">
        <f>+BJ151/BE151-1</f>
        <v>-2.9664199071164354E-3</v>
      </c>
      <c r="BK152" s="13">
        <f t="shared" ref="BK152" si="3960">+BK151/BF151-1</f>
        <v>5.6721056721056762E-2</v>
      </c>
      <c r="BL152" s="13">
        <f t="shared" ref="BL152" si="3961">+BL151/BG151-1</f>
        <v>-1.6814108519517479E-2</v>
      </c>
      <c r="BM152" s="13">
        <f t="shared" ref="BM152" si="3962">+BM151/BH151-1</f>
        <v>-1.8759018759018753E-2</v>
      </c>
      <c r="BN152" s="239">
        <f t="shared" ref="BN152" si="3963">+BN151/BI151-1</f>
        <v>2.9020155802810255E-3</v>
      </c>
      <c r="BO152" s="13">
        <f>+BO151/BJ151-1</f>
        <v>0</v>
      </c>
      <c r="BP152" s="13">
        <f t="shared" ref="BP152" si="3964">+BP151/BK151-1</f>
        <v>0</v>
      </c>
      <c r="BQ152" s="13">
        <f t="shared" ref="BQ152" si="3965">+BQ151/BL151-1</f>
        <v>0</v>
      </c>
      <c r="BR152" s="13">
        <f t="shared" ref="BR152" si="3966">+BR151/BM151-1</f>
        <v>0</v>
      </c>
      <c r="BS152" s="239">
        <f t="shared" ref="BS152" si="3967">+BS151/BN151-1</f>
        <v>0</v>
      </c>
      <c r="BT152" s="13">
        <f>+BT151/BO151-1</f>
        <v>0</v>
      </c>
      <c r="BU152" s="13">
        <f t="shared" ref="BU152" si="3968">+BU151/BP151-1</f>
        <v>0</v>
      </c>
      <c r="BV152" s="13">
        <f t="shared" ref="BV152" si="3969">+BV151/BQ151-1</f>
        <v>0</v>
      </c>
      <c r="BW152" s="13">
        <f t="shared" ref="BW152" si="3970">+BW151/BR151-1</f>
        <v>0</v>
      </c>
      <c r="BX152" s="239">
        <f t="shared" ref="BX152" si="3971">+BX151/BS151-1</f>
        <v>0</v>
      </c>
      <c r="BY152" s="13">
        <f>+BY151/BT151-1</f>
        <v>0</v>
      </c>
      <c r="BZ152" s="13">
        <f t="shared" ref="BZ152" si="3972">+BZ151/BU151-1</f>
        <v>0</v>
      </c>
      <c r="CA152" s="13">
        <f t="shared" ref="CA152" si="3973">+CA151/BV151-1</f>
        <v>0</v>
      </c>
      <c r="CB152" s="13">
        <f t="shared" ref="CB152" si="3974">+CB151/BW151-1</f>
        <v>0</v>
      </c>
      <c r="CC152" s="239">
        <f t="shared" ref="CC152" si="3975">+CC151/BX151-1</f>
        <v>0</v>
      </c>
      <c r="CD152" s="13">
        <f>+CD151/BY151-1</f>
        <v>0</v>
      </c>
      <c r="CE152" s="13">
        <f t="shared" ref="CE152" si="3976">+CE151/BZ151-1</f>
        <v>0</v>
      </c>
      <c r="CF152" s="13">
        <f t="shared" ref="CF152" si="3977">+CF151/CA151-1</f>
        <v>0</v>
      </c>
      <c r="CG152" s="13">
        <f t="shared" ref="CG152" si="3978">+CG151/CB151-1</f>
        <v>0</v>
      </c>
      <c r="CH152" s="239">
        <f t="shared" ref="CH152" si="3979">+CH151/CC151-1</f>
        <v>0</v>
      </c>
      <c r="CI152" s="13">
        <f>+CI151/CD151-1</f>
        <v>0</v>
      </c>
      <c r="CJ152" s="13">
        <f t="shared" ref="CJ152" si="3980">+CJ151/CE151-1</f>
        <v>0</v>
      </c>
      <c r="CK152" s="13">
        <f t="shared" ref="CK152" si="3981">+CK151/CF151-1</f>
        <v>0</v>
      </c>
      <c r="CL152" s="13">
        <f t="shared" ref="CL152" si="3982">+CL151/CG151-1</f>
        <v>0</v>
      </c>
      <c r="CM152" s="239">
        <f t="shared" ref="CM152" si="3983">+CM151/CH151-1</f>
        <v>0</v>
      </c>
      <c r="CN152" s="13">
        <f>+CN151/CI151-1</f>
        <v>0</v>
      </c>
      <c r="CO152" s="13">
        <f t="shared" ref="CO152" si="3984">+CO151/CJ151-1</f>
        <v>0</v>
      </c>
      <c r="CP152" s="13">
        <f t="shared" ref="CP152" si="3985">+CP151/CK151-1</f>
        <v>0</v>
      </c>
      <c r="CQ152" s="13">
        <f t="shared" ref="CQ152" si="3986">+CQ151/CL151-1</f>
        <v>0</v>
      </c>
      <c r="CR152" s="239">
        <f t="shared" ref="CR152" si="3987">+CR151/CM151-1</f>
        <v>0</v>
      </c>
      <c r="CS152" s="13">
        <f>+CS151/CN151-1</f>
        <v>0</v>
      </c>
      <c r="CT152" s="13">
        <f t="shared" ref="CT152" si="3988">+CT151/CO151-1</f>
        <v>0</v>
      </c>
      <c r="CU152" s="13">
        <f t="shared" ref="CU152" si="3989">+CU151/CP151-1</f>
        <v>0</v>
      </c>
      <c r="CV152" s="13">
        <f t="shared" ref="CV152" si="3990">+CV151/CQ151-1</f>
        <v>0</v>
      </c>
      <c r="CW152" s="239">
        <f t="shared" ref="CW152" si="3991">+CW151/CR151-1</f>
        <v>0</v>
      </c>
      <c r="CX152" s="13">
        <f>+CX151/CS151-1</f>
        <v>0</v>
      </c>
      <c r="CY152" s="13">
        <f t="shared" ref="CY152" si="3992">+CY151/CT151-1</f>
        <v>0</v>
      </c>
      <c r="CZ152" s="13">
        <f t="shared" ref="CZ152" si="3993">+CZ151/CU151-1</f>
        <v>0</v>
      </c>
      <c r="DA152" s="13">
        <f t="shared" ref="DA152" si="3994">+DA151/CV151-1</f>
        <v>0</v>
      </c>
      <c r="DB152" s="239">
        <f t="shared" ref="DB152" si="3995">+DB151/CW151-1</f>
        <v>0</v>
      </c>
    </row>
    <row r="153" spans="1:106">
      <c r="A153" s="117" t="s">
        <v>288</v>
      </c>
      <c r="B153" s="119" t="s">
        <v>290</v>
      </c>
      <c r="C153" s="119" t="s">
        <v>290</v>
      </c>
      <c r="D153" s="119" t="s">
        <v>290</v>
      </c>
      <c r="E153" s="119" t="s">
        <v>290</v>
      </c>
      <c r="F153" s="235" t="s">
        <v>290</v>
      </c>
      <c r="G153" s="119" t="s">
        <v>290</v>
      </c>
      <c r="H153" s="13">
        <f>+H151/G151-1</f>
        <v>0</v>
      </c>
      <c r="I153" s="13">
        <f t="shared" ref="I153:J153" si="3996">+I151/H151-1</f>
        <v>0</v>
      </c>
      <c r="J153" s="13">
        <f t="shared" si="3996"/>
        <v>0</v>
      </c>
      <c r="K153" s="235" t="s">
        <v>290</v>
      </c>
      <c r="L153" s="13">
        <f>+L151/J151-1</f>
        <v>0</v>
      </c>
      <c r="M153" s="13">
        <f>+M151/L151-1</f>
        <v>0</v>
      </c>
      <c r="N153" s="13">
        <f t="shared" ref="N153:O153" si="3997">+N151/M151-1</f>
        <v>0</v>
      </c>
      <c r="O153" s="13">
        <f t="shared" si="3997"/>
        <v>0</v>
      </c>
      <c r="P153" s="235" t="s">
        <v>290</v>
      </c>
      <c r="Q153" s="13">
        <f>+Q151/O151-1</f>
        <v>0</v>
      </c>
      <c r="R153" s="13">
        <f>+R151/Q151-1</f>
        <v>0</v>
      </c>
      <c r="S153" s="13">
        <f t="shared" ref="S153:T153" si="3998">+S151/R151-1</f>
        <v>-6.6666666666666652E-2</v>
      </c>
      <c r="T153" s="13">
        <f t="shared" si="3998"/>
        <v>0</v>
      </c>
      <c r="U153" s="235" t="s">
        <v>290</v>
      </c>
      <c r="V153" s="13">
        <f>+V151/T151-1</f>
        <v>-9.9999999999999978E-2</v>
      </c>
      <c r="W153" s="13">
        <f>+W151/V151-1</f>
        <v>0</v>
      </c>
      <c r="X153" s="13">
        <f t="shared" ref="X153:Y153" si="3999">+X151/W151-1</f>
        <v>0</v>
      </c>
      <c r="Y153" s="13">
        <f t="shared" si="3999"/>
        <v>-4.7619047619047672E-2</v>
      </c>
      <c r="Z153" s="235" t="s">
        <v>290</v>
      </c>
      <c r="AA153" s="13">
        <f>+AA151/Y151-1</f>
        <v>0</v>
      </c>
      <c r="AB153" s="13">
        <f>+AB151/AA151-1</f>
        <v>0.1166666666666667</v>
      </c>
      <c r="AC153" s="13">
        <f t="shared" ref="AC153:AD153" si="4000">+AC151/AB151-1</f>
        <v>2.0149253731343242E-2</v>
      </c>
      <c r="AD153" s="13">
        <f t="shared" si="4000"/>
        <v>0.17044623262618885</v>
      </c>
      <c r="AE153" s="235" t="s">
        <v>290</v>
      </c>
      <c r="AF153" s="13">
        <f>+AF151/AD151-1</f>
        <v>-0.1875</v>
      </c>
      <c r="AG153" s="13">
        <f>+AG151/AF151-1</f>
        <v>0</v>
      </c>
      <c r="AH153" s="13">
        <f t="shared" ref="AH153:AI153" si="4001">+AH151/AG151-1</f>
        <v>0</v>
      </c>
      <c r="AI153" s="13">
        <f t="shared" si="4001"/>
        <v>4.6153846153846212E-2</v>
      </c>
      <c r="AJ153" s="235" t="s">
        <v>290</v>
      </c>
      <c r="AK153" s="13">
        <f>+AK151/AI151-1</f>
        <v>4.4117647058823595E-2</v>
      </c>
      <c r="AL153" s="13">
        <f>+AL151/AK151-1</f>
        <v>1.4084507042253502E-2</v>
      </c>
      <c r="AM153" s="13">
        <f t="shared" ref="AM153:AN153" si="4002">+AM151/AL151-1</f>
        <v>0</v>
      </c>
      <c r="AN153" s="13">
        <f t="shared" si="4002"/>
        <v>-2.777777777777779E-2</v>
      </c>
      <c r="AO153" s="235" t="s">
        <v>290</v>
      </c>
      <c r="AP153" s="13">
        <f>+AP151/AN151-1</f>
        <v>4.1428571428572258E-3</v>
      </c>
      <c r="AQ153" s="13">
        <f>+AQ151/AP151-1</f>
        <v>1.4084507042253502E-2</v>
      </c>
      <c r="AR153" s="13">
        <f t="shared" ref="AR153:AS153" si="4003">+AR151/AQ151-1</f>
        <v>0</v>
      </c>
      <c r="AS153" s="13">
        <f t="shared" si="4003"/>
        <v>-2.777777777777779E-2</v>
      </c>
      <c r="AT153" s="235" t="s">
        <v>290</v>
      </c>
      <c r="AU153" s="13">
        <f>+AU151/AS151-1</f>
        <v>4.1428571428572258E-3</v>
      </c>
      <c r="AV153" s="13">
        <f>+AV151/AU151-1</f>
        <v>1.4084507042253502E-2</v>
      </c>
      <c r="AW153" s="13">
        <f t="shared" ref="AW153:AX153" si="4004">+AW151/AV151-1</f>
        <v>0</v>
      </c>
      <c r="AX153" s="13">
        <f t="shared" si="4004"/>
        <v>-2.777777777777779E-2</v>
      </c>
      <c r="AY153" s="235" t="s">
        <v>290</v>
      </c>
      <c r="AZ153" s="13">
        <f>+AZ151/AX151-1</f>
        <v>4.1428571428572258E-3</v>
      </c>
      <c r="BA153" s="13">
        <f>+BA151/AZ151-1</f>
        <v>-5.6483663544455109E-2</v>
      </c>
      <c r="BB153" s="13">
        <f t="shared" ref="BB153:BC153" si="4005">+BB151/BA151-1</f>
        <v>7.4792738461538333E-2</v>
      </c>
      <c r="BC153" s="13">
        <f t="shared" si="4005"/>
        <v>1.9820923470212914E-3</v>
      </c>
      <c r="BD153" s="235" t="s">
        <v>290</v>
      </c>
      <c r="BE153" s="13">
        <f>+BE151/BC151-1</f>
        <v>-2.5681189857142739E-2</v>
      </c>
      <c r="BF153" s="13">
        <f>+BF151/BE151-1</f>
        <v>-5.6483663544455109E-2</v>
      </c>
      <c r="BG153" s="13">
        <f t="shared" ref="BG153" si="4006">+BG151/BF151-1</f>
        <v>7.4792738461538555E-2</v>
      </c>
      <c r="BH153" s="13">
        <f t="shared" ref="BH153" si="4007">+BH151/BG151-1</f>
        <v>1.9820923470210694E-3</v>
      </c>
      <c r="BI153" s="235" t="s">
        <v>290</v>
      </c>
      <c r="BJ153" s="13">
        <f>+BJ151/BH151-1</f>
        <v>-1.8759018759018753E-2</v>
      </c>
      <c r="BK153" s="13">
        <f>+BK151/BJ151-1</f>
        <v>0</v>
      </c>
      <c r="BL153" s="13">
        <f t="shared" ref="BL153" si="4008">+BL151/BK151-1</f>
        <v>0</v>
      </c>
      <c r="BM153" s="13">
        <f t="shared" ref="BM153" si="4009">+BM151/BL151-1</f>
        <v>0</v>
      </c>
      <c r="BN153" s="235" t="s">
        <v>290</v>
      </c>
      <c r="BO153" s="13">
        <f>+BO151/BM151-1</f>
        <v>0</v>
      </c>
      <c r="BP153" s="13">
        <f>+BP151/BO151-1</f>
        <v>0</v>
      </c>
      <c r="BQ153" s="13">
        <f t="shared" ref="BQ153" si="4010">+BQ151/BP151-1</f>
        <v>0</v>
      </c>
      <c r="BR153" s="13">
        <f t="shared" ref="BR153" si="4011">+BR151/BQ151-1</f>
        <v>0</v>
      </c>
      <c r="BS153" s="235" t="s">
        <v>290</v>
      </c>
      <c r="BT153" s="13">
        <f>+BT151/BR151-1</f>
        <v>0</v>
      </c>
      <c r="BU153" s="13">
        <f>+BU151/BT151-1</f>
        <v>0</v>
      </c>
      <c r="BV153" s="13">
        <f t="shared" ref="BV153" si="4012">+BV151/BU151-1</f>
        <v>0</v>
      </c>
      <c r="BW153" s="13">
        <f t="shared" ref="BW153" si="4013">+BW151/BV151-1</f>
        <v>0</v>
      </c>
      <c r="BX153" s="235" t="s">
        <v>290</v>
      </c>
      <c r="BY153" s="13">
        <f>+BY151/BW151-1</f>
        <v>0</v>
      </c>
      <c r="BZ153" s="13">
        <f>+BZ151/BY151-1</f>
        <v>0</v>
      </c>
      <c r="CA153" s="13">
        <f t="shared" ref="CA153" si="4014">+CA151/BZ151-1</f>
        <v>0</v>
      </c>
      <c r="CB153" s="13">
        <f t="shared" ref="CB153" si="4015">+CB151/CA151-1</f>
        <v>0</v>
      </c>
      <c r="CC153" s="235" t="s">
        <v>290</v>
      </c>
      <c r="CD153" s="13">
        <f>+CD151/CB151-1</f>
        <v>0</v>
      </c>
      <c r="CE153" s="13">
        <f>+CE151/CD151-1</f>
        <v>0</v>
      </c>
      <c r="CF153" s="13">
        <f t="shared" ref="CF153" si="4016">+CF151/CE151-1</f>
        <v>0</v>
      </c>
      <c r="CG153" s="13">
        <f t="shared" ref="CG153" si="4017">+CG151/CF151-1</f>
        <v>0</v>
      </c>
      <c r="CH153" s="235" t="s">
        <v>290</v>
      </c>
      <c r="CI153" s="13">
        <f>+CI151/CG151-1</f>
        <v>0</v>
      </c>
      <c r="CJ153" s="13">
        <f>+CJ151/CI151-1</f>
        <v>0</v>
      </c>
      <c r="CK153" s="13">
        <f t="shared" ref="CK153" si="4018">+CK151/CJ151-1</f>
        <v>0</v>
      </c>
      <c r="CL153" s="13">
        <f t="shared" ref="CL153" si="4019">+CL151/CK151-1</f>
        <v>0</v>
      </c>
      <c r="CM153" s="235" t="s">
        <v>290</v>
      </c>
      <c r="CN153" s="13">
        <f>+CN151/CL151-1</f>
        <v>0</v>
      </c>
      <c r="CO153" s="13">
        <f>+CO151/CN151-1</f>
        <v>0</v>
      </c>
      <c r="CP153" s="13">
        <f t="shared" ref="CP153" si="4020">+CP151/CO151-1</f>
        <v>0</v>
      </c>
      <c r="CQ153" s="13">
        <f t="shared" ref="CQ153" si="4021">+CQ151/CP151-1</f>
        <v>0</v>
      </c>
      <c r="CR153" s="235" t="s">
        <v>290</v>
      </c>
      <c r="CS153" s="13">
        <f>+CS151/CQ151-1</f>
        <v>0</v>
      </c>
      <c r="CT153" s="13">
        <f>+CT151/CS151-1</f>
        <v>0</v>
      </c>
      <c r="CU153" s="13">
        <f t="shared" ref="CU153" si="4022">+CU151/CT151-1</f>
        <v>0</v>
      </c>
      <c r="CV153" s="13">
        <f t="shared" ref="CV153" si="4023">+CV151/CU151-1</f>
        <v>0</v>
      </c>
      <c r="CW153" s="235" t="s">
        <v>290</v>
      </c>
      <c r="CX153" s="13">
        <f>+CX151/CV151-1</f>
        <v>0</v>
      </c>
      <c r="CY153" s="13">
        <f>+CY151/CX151-1</f>
        <v>0</v>
      </c>
      <c r="CZ153" s="13">
        <f t="shared" ref="CZ153" si="4024">+CZ151/CY151-1</f>
        <v>0</v>
      </c>
      <c r="DA153" s="13">
        <f t="shared" ref="DA153" si="4025">+DA151/CZ151-1</f>
        <v>0</v>
      </c>
      <c r="DB153" s="235" t="s">
        <v>290</v>
      </c>
    </row>
    <row r="154" spans="1:106">
      <c r="F154" s="217"/>
      <c r="K154" s="217"/>
      <c r="P154" s="217"/>
      <c r="U154" s="217"/>
      <c r="Z154" s="217"/>
      <c r="AE154" s="217"/>
      <c r="AJ154" s="217"/>
      <c r="AO154" s="217"/>
      <c r="AT154" s="217"/>
      <c r="AY154" s="217"/>
      <c r="BD154" s="217"/>
      <c r="BI154" s="217"/>
      <c r="BN154" s="217"/>
      <c r="BS154" s="217"/>
      <c r="BX154" s="217"/>
      <c r="CC154" s="217"/>
      <c r="CH154" s="217"/>
      <c r="CM154" s="217"/>
      <c r="CR154" s="217"/>
      <c r="CW154" s="217"/>
      <c r="DB154" s="217"/>
    </row>
    <row r="155" spans="1:106" s="51" customFormat="1">
      <c r="A155" s="51" t="s">
        <v>298</v>
      </c>
      <c r="B155" s="135">
        <f>+B146*B151/1000000</f>
        <v>0</v>
      </c>
      <c r="C155" s="135">
        <f>+C146*C151/1000000</f>
        <v>0</v>
      </c>
      <c r="D155" s="135">
        <f>+D146*D151/1000000</f>
        <v>0</v>
      </c>
      <c r="E155" s="135">
        <f>+E146*E151/1000000</f>
        <v>0</v>
      </c>
      <c r="F155" s="216">
        <f>+B155+C155+D155+E155</f>
        <v>0</v>
      </c>
      <c r="G155" s="135">
        <f>+G146*G151/1000000</f>
        <v>0</v>
      </c>
      <c r="H155" s="135">
        <f>+H146*H151/1000000</f>
        <v>0</v>
      </c>
      <c r="I155" s="135">
        <f>+I146*I151/1000000</f>
        <v>0</v>
      </c>
      <c r="J155" s="135">
        <f>+J75-J103-J132</f>
        <v>0.26479366873999854</v>
      </c>
      <c r="K155" s="216">
        <f>+G155+H155+I155+J155</f>
        <v>0.26479366873999854</v>
      </c>
      <c r="L155" s="135">
        <f>+L75-L103-L132</f>
        <v>0.11503931228750286</v>
      </c>
      <c r="M155" s="135">
        <f>+M75-M103-M132</f>
        <v>0.56922834182605353</v>
      </c>
      <c r="N155" s="135">
        <f>+N75-N103-N132</f>
        <v>0.37490103844600675</v>
      </c>
      <c r="O155" s="135">
        <f>+O75-O103-O132</f>
        <v>0.98796652003000318</v>
      </c>
      <c r="P155" s="216">
        <f>+L155+M155+N155+O155</f>
        <v>2.0471352125895663</v>
      </c>
      <c r="Q155" s="135">
        <f>+Q75-Q103-Q132</f>
        <v>0.74476757128352222</v>
      </c>
      <c r="R155" s="135">
        <f>+R75-R103-R132</f>
        <v>0.55429708461012517</v>
      </c>
      <c r="S155" s="135">
        <f>+S75-S103-S132</f>
        <v>0.48859708034118032</v>
      </c>
      <c r="T155" s="135">
        <f>+T75-T103-T132</f>
        <v>0.50327920562021244</v>
      </c>
      <c r="U155" s="216">
        <f>+Q155+R155+S155+T155</f>
        <v>2.2909409418550402</v>
      </c>
      <c r="V155" s="135">
        <f>+V75-V103-V132</f>
        <v>0.49386835950206365</v>
      </c>
      <c r="W155" s="135">
        <f>+W75-W103-W132</f>
        <v>7.3912010187913602E-2</v>
      </c>
      <c r="X155" s="135">
        <f>+X75-X103-X132</f>
        <v>0.47002018561671211</v>
      </c>
      <c r="Y155" s="135">
        <f>+Y75-Y103-Y132</f>
        <v>0.44460423156174933</v>
      </c>
      <c r="Z155" s="216">
        <f>+V155+W155+X155+Y155</f>
        <v>1.4824047868684387</v>
      </c>
      <c r="AA155" s="135">
        <f>+AA75-AA103-AA132</f>
        <v>1.0699795306810236</v>
      </c>
      <c r="AB155" s="135">
        <f>+AB75-AB103-AB132</f>
        <v>0.44261155520683637</v>
      </c>
      <c r="AC155" s="135">
        <f>+AC75-AC103-AC132</f>
        <v>0.74063499595746585</v>
      </c>
      <c r="AD155" s="135">
        <f>+AD146*AD151/1000000</f>
        <v>1.0130500900850405</v>
      </c>
      <c r="AE155" s="216">
        <f>+AA155+AB155+AC155+AD155</f>
        <v>3.2662761719303663</v>
      </c>
      <c r="AF155" s="135">
        <f>+AF146*AF151/1000000</f>
        <v>0.82392630139228962</v>
      </c>
      <c r="AG155" s="135">
        <f>+AG146*AG151/1000000</f>
        <v>0.70622254405053375</v>
      </c>
      <c r="AH155" s="135">
        <f>+AH146*AH151/1000000</f>
        <v>0.82392630139228962</v>
      </c>
      <c r="AI155" s="135">
        <f>+AI146*AI151/1000000</f>
        <v>0.86195366914885674</v>
      </c>
      <c r="AJ155" s="216">
        <f>+AF155+AG155+AH155+AI155</f>
        <v>3.2160288159839698</v>
      </c>
      <c r="AK155" s="135">
        <f>+AK146*AK151/1000000</f>
        <v>0.90088101794232933</v>
      </c>
      <c r="AL155" s="135">
        <f>+AL146*AL151/1000000</f>
        <v>1.0440794091243093</v>
      </c>
      <c r="AM155" s="135">
        <f>+AM146*AM151/1000000</f>
        <v>1.1745893352648475</v>
      </c>
      <c r="AN155" s="135">
        <f>+AN146*AN151/1000000</f>
        <v>1.2688465041441257</v>
      </c>
      <c r="AO155" s="216">
        <f>+AK155+AL155+AM155+AN155</f>
        <v>4.3883962664756115</v>
      </c>
      <c r="AP155" s="135">
        <f>+AP146*AP151/1000000</f>
        <v>1.5304527085211466</v>
      </c>
      <c r="AQ155" s="135">
        <f>+AQ146*AQ151/1000000</f>
        <v>1.5520083804721485</v>
      </c>
      <c r="AR155" s="135">
        <f>+AR146*AR151/1000000</f>
        <v>1.5520083804721485</v>
      </c>
      <c r="AS155" s="135">
        <f>+AS146*AS151/1000000</f>
        <v>1.5088970365701444</v>
      </c>
      <c r="AT155" s="216">
        <f>+AP155+AQ155+AR155+AS155</f>
        <v>6.143366506035588</v>
      </c>
      <c r="AU155" s="135">
        <f>+AU146*AU151/1000000</f>
        <v>1.8958291620217138</v>
      </c>
      <c r="AV155" s="135">
        <f>+AV146*AV151/1000000</f>
        <v>1.9225309812051179</v>
      </c>
      <c r="AW155" s="135">
        <f>+AW146*AW151/1000000</f>
        <v>1.9225309812051179</v>
      </c>
      <c r="AX155" s="135">
        <f>+AX146*AX151/1000000</f>
        <v>1.8691273428383091</v>
      </c>
      <c r="AY155" s="216">
        <f>+AU155+AV155+AW155+AX155</f>
        <v>7.6100184672702582</v>
      </c>
      <c r="AZ155" s="135">
        <f>+AZ146*AZ151/1000000</f>
        <v>2.2544972895262774</v>
      </c>
      <c r="BA155" s="135">
        <f>+BA146*BA151/1000000</f>
        <v>2.1271550231627891</v>
      </c>
      <c r="BB155" s="135">
        <f>+BB146*BB151/1000000</f>
        <v>2.2862507724773513</v>
      </c>
      <c r="BC155" s="135">
        <f>+BC146*BC151/1000000</f>
        <v>2.2907823326368493</v>
      </c>
      <c r="BD155" s="216">
        <f>+AZ155+BA155+BB155+BC155</f>
        <v>8.9586854178032667</v>
      </c>
      <c r="BE155" s="135">
        <f>+BE146*BE151/1000000</f>
        <v>2.3583056172225141</v>
      </c>
      <c r="BF155" s="135">
        <f>+BF146*BF151/1000000</f>
        <v>2.3422103960045471</v>
      </c>
      <c r="BG155" s="135">
        <f>+BG146*BG151/1000000</f>
        <v>2.6432602618535515</v>
      </c>
      <c r="BH155" s="135">
        <f>+BH146*BH151/1000000</f>
        <v>2.7746184691130789</v>
      </c>
      <c r="BI155" s="216">
        <f>+BE155+BF155+BG155+BH155</f>
        <v>10.118394744193692</v>
      </c>
      <c r="BJ155" s="135">
        <f>+BJ146*BJ151/1000000</f>
        <v>2.8491688239397526</v>
      </c>
      <c r="BK155" s="135">
        <f>+BK146*BK151/1000000</f>
        <v>2.973045729328438</v>
      </c>
      <c r="BL155" s="135">
        <f>+BL146*BL151/1000000</f>
        <v>3.096922634717123</v>
      </c>
      <c r="BM155" s="135">
        <f>+BM146*BM151/1000000</f>
        <v>3.220799540105808</v>
      </c>
      <c r="BN155" s="216">
        <f>+BJ155+BK155+BL155+BM155</f>
        <v>12.139936728091122</v>
      </c>
      <c r="BO155" s="135">
        <f>+BO146*BO151/1000000</f>
        <v>3.3480211219399871</v>
      </c>
      <c r="BP155" s="135">
        <f>+BP146*BP151/1000000</f>
        <v>3.4720219042340608</v>
      </c>
      <c r="BQ155" s="135">
        <f>+BQ146*BQ151/1000000</f>
        <v>3.5960226865281339</v>
      </c>
      <c r="BR155" s="135">
        <f>+BR146*BR151/1000000</f>
        <v>3.7200234688222076</v>
      </c>
      <c r="BS155" s="216">
        <f>+BO155+BP155+BQ155+BR155</f>
        <v>14.136089181524389</v>
      </c>
      <c r="BT155" s="135">
        <f>+BT146*BT151/1000000</f>
        <v>3.8478682753673974</v>
      </c>
      <c r="BU155" s="135">
        <f>+BU146*BU151/1000000</f>
        <v>3.9719930584437648</v>
      </c>
      <c r="BV155" s="135">
        <f>+BV146*BV151/1000000</f>
        <v>4.0961178415201323</v>
      </c>
      <c r="BW155" s="135">
        <f>+BW146*BW151/1000000</f>
        <v>4.2202426245965006</v>
      </c>
      <c r="BX155" s="216">
        <f>+BT155+BU155+BV155+BW155</f>
        <v>16.136221799927796</v>
      </c>
      <c r="BY155" s="135">
        <f>+BY146*BY151/1000000</f>
        <v>4.34871177508054</v>
      </c>
      <c r="BZ155" s="135">
        <f>+BZ146*BZ151/1000000</f>
        <v>4.4729606829399851</v>
      </c>
      <c r="CA155" s="135">
        <f>+CA146*CA151/1000000</f>
        <v>4.5972095907994284</v>
      </c>
      <c r="CB155" s="135">
        <f>+CB146*CB151/1000000</f>
        <v>4.7214584986588726</v>
      </c>
      <c r="CC155" s="216">
        <f>+BY155+BZ155+CA155+CB155</f>
        <v>18.140340547478829</v>
      </c>
      <c r="CD155" s="135">
        <f>+CD146*CD151/1000000</f>
        <v>4.8505531139248337</v>
      </c>
      <c r="CE155" s="135">
        <f>+CE146*CE151/1000000</f>
        <v>4.974926270692138</v>
      </c>
      <c r="CF155" s="135">
        <f>+CF146*CF151/1000000</f>
        <v>5.0992994274594414</v>
      </c>
      <c r="CG155" s="135">
        <f>+CG146*CG151/1000000</f>
        <v>5.2236725842267449</v>
      </c>
      <c r="CH155" s="216">
        <f>+CD155+CE155+CF155+CG155</f>
        <v>20.148451396303159</v>
      </c>
      <c r="CI155" s="135">
        <f>+CI146*CI151/1000000</f>
        <v>5.3533937867350421</v>
      </c>
      <c r="CJ155" s="135">
        <f>+CJ146*CJ151/1000000</f>
        <v>5.4778913166591137</v>
      </c>
      <c r="CK155" s="135">
        <f>+CK146*CK151/1000000</f>
        <v>5.6023888465831835</v>
      </c>
      <c r="CL155" s="135">
        <f>+CL146*CL151/1000000</f>
        <v>5.7268863765072542</v>
      </c>
      <c r="CM155" s="216">
        <f>+CI155+CJ155+CK155+CL155</f>
        <v>22.160560326484593</v>
      </c>
      <c r="CN155" s="135">
        <f>+CN146*CN151/1000000</f>
        <v>5.8572352903377549</v>
      </c>
      <c r="CO155" s="135">
        <f>+CO146*CO151/1000000</f>
        <v>5.9818573177917509</v>
      </c>
      <c r="CP155" s="135">
        <f>+CP146*CP151/1000000</f>
        <v>6.1064793452457451</v>
      </c>
      <c r="CQ155" s="135">
        <f>+CQ146*CQ151/1000000</f>
        <v>6.2311013726997402</v>
      </c>
      <c r="CR155" s="216">
        <f>+CN155+CO155+CP155+CQ155</f>
        <v>24.17667332607499</v>
      </c>
      <c r="CS155" s="135">
        <f>+CS146*CS151/1000000</f>
        <v>6.3620791235538876</v>
      </c>
      <c r="CT155" s="135">
        <f>+CT146*CT151/1000000</f>
        <v>6.4868257730353367</v>
      </c>
      <c r="CU155" s="135">
        <f>+CU146*CU151/1000000</f>
        <v>6.6115724225167867</v>
      </c>
      <c r="CV155" s="135">
        <f>+CV146*CV151/1000000</f>
        <v>6.7363190719982349</v>
      </c>
      <c r="CW155" s="216">
        <f>+CS155+CT155+CU155+CV155</f>
        <v>26.196796391104247</v>
      </c>
      <c r="CX155" s="135">
        <f>+CX146*CX151/1000000</f>
        <v>6.8679267872011618</v>
      </c>
      <c r="CY155" s="135">
        <f>+CY146*CY151/1000000</f>
        <v>6.9927981833320922</v>
      </c>
      <c r="CZ155" s="135">
        <f>+CZ146*CZ151/1000000</f>
        <v>7.1176695794630227</v>
      </c>
      <c r="DA155" s="135">
        <f>+DA146*DA151/1000000</f>
        <v>7.2425409755939523</v>
      </c>
      <c r="DB155" s="216">
        <f>+CX155+CY155+CZ155+DA155</f>
        <v>28.220935525590228</v>
      </c>
    </row>
    <row r="156" spans="1:106">
      <c r="A156" s="117" t="s">
        <v>281</v>
      </c>
      <c r="B156" s="119" t="s">
        <v>290</v>
      </c>
      <c r="C156" s="119" t="s">
        <v>290</v>
      </c>
      <c r="D156" s="119" t="s">
        <v>290</v>
      </c>
      <c r="E156" s="119" t="s">
        <v>290</v>
      </c>
      <c r="F156" s="235" t="s">
        <v>290</v>
      </c>
      <c r="G156" s="119" t="s">
        <v>290</v>
      </c>
      <c r="H156" s="119" t="s">
        <v>290</v>
      </c>
      <c r="I156" s="119" t="s">
        <v>290</v>
      </c>
      <c r="J156" s="119" t="s">
        <v>290</v>
      </c>
      <c r="K156" s="235" t="s">
        <v>290</v>
      </c>
      <c r="L156" s="119" t="s">
        <v>290</v>
      </c>
      <c r="M156" s="119" t="s">
        <v>290</v>
      </c>
      <c r="N156" s="119" t="s">
        <v>290</v>
      </c>
      <c r="O156" s="13">
        <f t="shared" ref="O156" si="4026">+O155/J155-1</f>
        <v>2.7310805984567916</v>
      </c>
      <c r="P156" s="239">
        <f t="shared" ref="P156" si="4027">+P155/K155-1</f>
        <v>6.7310580057699667</v>
      </c>
      <c r="Q156" s="13">
        <f>+Q155/L155-1</f>
        <v>5.4740266303246061</v>
      </c>
      <c r="R156" s="13">
        <f t="shared" ref="R156" si="4028">+R155/M155-1</f>
        <v>-2.6230698858088708E-2</v>
      </c>
      <c r="S156" s="13">
        <f t="shared" ref="S156" si="4029">+S155/N155-1</f>
        <v>0.30326947710375052</v>
      </c>
      <c r="T156" s="13">
        <f t="shared" ref="T156" si="4030">+T155/O155-1</f>
        <v>-0.49059082932797304</v>
      </c>
      <c r="U156" s="239">
        <f t="shared" ref="U156" si="4031">+U155/P155-1</f>
        <v>0.11909605568118131</v>
      </c>
      <c r="V156" s="13">
        <f>+V155/Q155-1</f>
        <v>-0.33688256773729064</v>
      </c>
      <c r="W156" s="13">
        <f t="shared" ref="W156" si="4032">+W155/R155-1</f>
        <v>-0.8666563252088888</v>
      </c>
      <c r="X156" s="13">
        <f t="shared" ref="X156" si="4033">+X155/S155-1</f>
        <v>-3.8020887704642514E-2</v>
      </c>
      <c r="Y156" s="13">
        <f t="shared" ref="Y156" si="4034">+Y155/T155-1</f>
        <v>-0.11658533355487133</v>
      </c>
      <c r="Z156" s="239">
        <f t="shared" ref="Z156" si="4035">+Z155/U155-1</f>
        <v>-0.35292754178634855</v>
      </c>
      <c r="AA156" s="13">
        <f>+AA155/V155-1</f>
        <v>1.1665278005657549</v>
      </c>
      <c r="AB156" s="13">
        <f t="shared" ref="AB156" si="4036">+AB155/W155-1</f>
        <v>4.9883576983164506</v>
      </c>
      <c r="AC156" s="13">
        <f t="shared" ref="AC156" si="4037">+AC155/X155-1</f>
        <v>0.57575146477098826</v>
      </c>
      <c r="AD156" s="13">
        <f t="shared" ref="AD156" si="4038">+AD155/Y155-1</f>
        <v>1.2785435184153031</v>
      </c>
      <c r="AE156" s="239">
        <f t="shared" ref="AE156" si="4039">+AE155/Z155-1</f>
        <v>1.2033632114952444</v>
      </c>
      <c r="AF156" s="13">
        <f>+AF155/AA155-1</f>
        <v>-0.22996068824991944</v>
      </c>
      <c r="AG156" s="13">
        <f t="shared" ref="AG156" si="4040">+AG155/AB155-1</f>
        <v>0.59558090100135219</v>
      </c>
      <c r="AH156" s="13">
        <f t="shared" ref="AH156" si="4041">+AH155/AC155-1</f>
        <v>0.11245931651818286</v>
      </c>
      <c r="AI156" s="13">
        <f t="shared" ref="AI156" si="4042">+AI155/AD155-1</f>
        <v>-0.14915</v>
      </c>
      <c r="AJ156" s="239">
        <f t="shared" ref="AJ156" si="4043">+AJ155/AE155-1</f>
        <v>-1.538368261024925E-2</v>
      </c>
      <c r="AK156" s="13">
        <f>+AK155/AF155-1</f>
        <v>9.3399999999999928E-2</v>
      </c>
      <c r="AL156" s="13">
        <f t="shared" ref="AL156" si="4044">+AL155/AG155-1</f>
        <v>0.47840000000000038</v>
      </c>
      <c r="AM156" s="13">
        <f t="shared" ref="AM156" si="4045">+AM155/AH155-1</f>
        <v>0.42559999999999931</v>
      </c>
      <c r="AN156" s="13">
        <f t="shared" ref="AN156" si="4046">+AN155/AI155-1</f>
        <v>0.47205882352941164</v>
      </c>
      <c r="AO156" s="239">
        <f t="shared" ref="AO156" si="4047">+AO155/AJ155-1</f>
        <v>0.364538851351351</v>
      </c>
      <c r="AP156" s="13">
        <f>+AP155/AK155-1</f>
        <v>0.69883999999999968</v>
      </c>
      <c r="AQ156" s="13">
        <f t="shared" ref="AQ156" si="4048">+AQ155/AL155-1</f>
        <v>0.48648499999999961</v>
      </c>
      <c r="AR156" s="13">
        <f t="shared" ref="AR156" si="4049">+AR155/AM155-1</f>
        <v>0.32132000000000005</v>
      </c>
      <c r="AS156" s="13">
        <f t="shared" ref="AS156" si="4050">+AS155/AN155-1</f>
        <v>0.18918799999999991</v>
      </c>
      <c r="AT156" s="239">
        <f t="shared" ref="AT156" si="4051">+AT155/AO155-1</f>
        <v>0.39991152416356868</v>
      </c>
      <c r="AU156" s="13">
        <f>+AU155/AP155-1</f>
        <v>0.23873750000000005</v>
      </c>
      <c r="AV156" s="13">
        <f t="shared" ref="AV156" si="4052">+AV155/AQ155-1</f>
        <v>0.23873749999999982</v>
      </c>
      <c r="AW156" s="13">
        <f t="shared" ref="AW156" si="4053">+AW155/AR155-1</f>
        <v>0.23873749999999982</v>
      </c>
      <c r="AX156" s="13">
        <f t="shared" ref="AX156" si="4054">+AX155/AS155-1</f>
        <v>0.23873749999999982</v>
      </c>
      <c r="AY156" s="239">
        <f t="shared" ref="AY156" si="4055">+AY155/AT155-1</f>
        <v>0.23873749999999982</v>
      </c>
      <c r="AZ156" s="13">
        <f>+AZ155/AU155-1</f>
        <v>0.18918799999999969</v>
      </c>
      <c r="BA156" s="13">
        <f t="shared" ref="BA156" si="4056">+BA155/AV155-1</f>
        <v>0.10643471754582845</v>
      </c>
      <c r="BB156" s="13">
        <f t="shared" ref="BB156" si="4057">+BB155/AW155-1</f>
        <v>0.18918799999999969</v>
      </c>
      <c r="BC156" s="13">
        <f t="shared" ref="BC156" si="4058">+BC155/AX155-1</f>
        <v>0.22558922558922512</v>
      </c>
      <c r="BD156" s="239">
        <f t="shared" ref="BD156" si="4059">+BD155/AY155-1</f>
        <v>0.17722255948963284</v>
      </c>
      <c r="BE156" s="13">
        <f>+BE155/AZ155-1</f>
        <v>4.604499999999967E-2</v>
      </c>
      <c r="BF156" s="13">
        <f t="shared" ref="BF156" si="4060">+BF155/BA155-1</f>
        <v>0.10109999999999997</v>
      </c>
      <c r="BG156" s="13">
        <f t="shared" ref="BG156" si="4061">+BG155/BB155-1</f>
        <v>0.15615499999999982</v>
      </c>
      <c r="BH156" s="13">
        <f t="shared" ref="BH156" si="4062">+BH155/BC155-1</f>
        <v>0.21121000000000034</v>
      </c>
      <c r="BI156" s="239">
        <f t="shared" ref="BI156" si="4063">+BI155/BD155-1</f>
        <v>0.12945083707100347</v>
      </c>
      <c r="BJ156" s="13">
        <f>+BJ155/BE155-1</f>
        <v>0.20814232181465564</v>
      </c>
      <c r="BK156" s="13">
        <f t="shared" ref="BK156" si="4064">+BK155/BF155-1</f>
        <v>0.2693333333333332</v>
      </c>
      <c r="BL156" s="13">
        <f t="shared" ref="BL156" si="4065">+BL155/BG155-1</f>
        <v>0.1716298540142418</v>
      </c>
      <c r="BM156" s="13">
        <f t="shared" ref="BM156" si="4066">+BM155/BH155-1</f>
        <v>0.16080808080808073</v>
      </c>
      <c r="BN156" s="239">
        <f t="shared" ref="BN156" si="4067">+BN155/BI155-1</f>
        <v>0.19978880395602916</v>
      </c>
      <c r="BO156" s="13">
        <f>+BO155/BJ155-1</f>
        <v>0.17508695652173922</v>
      </c>
      <c r="BP156" s="13">
        <f t="shared" ref="BP156" si="4068">+BP155/BK155-1</f>
        <v>0.16783333333333328</v>
      </c>
      <c r="BQ156" s="13">
        <f t="shared" ref="BQ156" si="4069">+BQ155/BL155-1</f>
        <v>0.16115999999999975</v>
      </c>
      <c r="BR156" s="13">
        <f t="shared" ref="BR156" si="4070">+BR155/BM155-1</f>
        <v>0.1549999999999998</v>
      </c>
      <c r="BS156" s="239">
        <f t="shared" ref="BS156" si="4071">+BS155/BN155-1</f>
        <v>0.16442857142857115</v>
      </c>
      <c r="BT156" s="13">
        <f>+BT155/BO155-1</f>
        <v>0.14929629629629626</v>
      </c>
      <c r="BU156" s="13">
        <f t="shared" ref="BU156" si="4072">+BU155/BP155-1</f>
        <v>0.14399999999999991</v>
      </c>
      <c r="BV156" s="13">
        <f t="shared" ref="BV156" si="4073">+BV155/BQ155-1</f>
        <v>0.13906896551724124</v>
      </c>
      <c r="BW156" s="13">
        <f t="shared" ref="BW156" si="4074">+BW155/BR155-1</f>
        <v>0.13446666666666673</v>
      </c>
      <c r="BX156" s="239">
        <f t="shared" ref="BX156" si="4075">+BX155/BS155-1</f>
        <v>0.14149122807017545</v>
      </c>
      <c r="BY156" s="13">
        <f>+BY155/BT155-1</f>
        <v>0.13016129032258039</v>
      </c>
      <c r="BZ156" s="13">
        <f t="shared" ref="BZ156" si="4076">+BZ155/BU155-1</f>
        <v>0.12612500000000004</v>
      </c>
      <c r="CA156" s="13">
        <f t="shared" ref="CA156" si="4077">+CA155/BV155-1</f>
        <v>0.1223333333333334</v>
      </c>
      <c r="CB156" s="13">
        <f t="shared" ref="CB156" si="4078">+CB155/BW155-1</f>
        <v>0.11876470588235288</v>
      </c>
      <c r="CC156" s="239">
        <f t="shared" ref="CC156" si="4079">+CC155/BX155-1</f>
        <v>0.12420000000000009</v>
      </c>
      <c r="CD156" s="13">
        <f>+CD155/BY155-1</f>
        <v>0.11539999999999995</v>
      </c>
      <c r="CE156" s="13">
        <f t="shared" ref="CE156" si="4080">+CE155/BZ155-1</f>
        <v>0.112222222222222</v>
      </c>
      <c r="CF156" s="13">
        <f t="shared" ref="CF156" si="4081">+CF155/CA155-1</f>
        <v>0.10921621621621624</v>
      </c>
      <c r="CG156" s="13">
        <f t="shared" ref="CG156" si="4082">+CG155/CB155-1</f>
        <v>0.10636842105263145</v>
      </c>
      <c r="CH156" s="239">
        <f t="shared" ref="CH156" si="4083">+CH155/CC155-1</f>
        <v>0.11069863013698611</v>
      </c>
      <c r="CI156" s="13">
        <f>+CI155/CD155-1</f>
        <v>0.1036666666666668</v>
      </c>
      <c r="CJ156" s="13">
        <f t="shared" ref="CJ156" si="4084">+CJ155/CE155-1</f>
        <v>0.10110000000000019</v>
      </c>
      <c r="CK156" s="13">
        <f t="shared" ref="CK156" si="4085">+CK155/CF155-1</f>
        <v>9.865853658536583E-2</v>
      </c>
      <c r="CL156" s="13">
        <f t="shared" ref="CL156" si="4086">+CL155/CG155-1</f>
        <v>9.633333333333316E-2</v>
      </c>
      <c r="CM156" s="239">
        <f t="shared" ref="CM156" si="4087">+CM155/CH155-1</f>
        <v>9.9864197530864063E-2</v>
      </c>
      <c r="CN156" s="13">
        <f>+CN155/CI155-1</f>
        <v>9.4116279069767161E-2</v>
      </c>
      <c r="CO156" s="13">
        <f t="shared" ref="CO156" si="4088">+CO155/CJ155-1</f>
        <v>9.199999999999986E-2</v>
      </c>
      <c r="CP156" s="13">
        <f t="shared" ref="CP156" si="4089">+CP155/CK155-1</f>
        <v>8.9977777777777712E-2</v>
      </c>
      <c r="CQ156" s="13">
        <f t="shared" ref="CQ156" si="4090">+CQ155/CL155-1</f>
        <v>8.8043478260869446E-2</v>
      </c>
      <c r="CR156" s="239">
        <f t="shared" ref="CR156" si="4091">+CR155/CM155-1</f>
        <v>9.0977528089887461E-2</v>
      </c>
      <c r="CS156" s="13">
        <f>+CS155/CN155-1</f>
        <v>8.6191489361702178E-2</v>
      </c>
      <c r="CT156" s="13">
        <f t="shared" ref="CT156" si="4092">+CT155/CO155-1</f>
        <v>8.4416666666666362E-2</v>
      </c>
      <c r="CU156" s="13">
        <f t="shared" ref="CU156" si="4093">+CU155/CP155-1</f>
        <v>8.271428571428574E-2</v>
      </c>
      <c r="CV156" s="13">
        <f t="shared" ref="CV156" si="4094">+CV155/CQ155-1</f>
        <v>8.1080000000000041E-2</v>
      </c>
      <c r="CW156" s="239">
        <f t="shared" ref="CW156" si="4095">+CW155/CR155-1</f>
        <v>8.3556701030927938E-2</v>
      </c>
      <c r="CX156" s="13">
        <f>+CX155/CS155-1</f>
        <v>7.9509803921568478E-2</v>
      </c>
      <c r="CY156" s="13">
        <f t="shared" ref="CY156" si="4096">+CY155/CT155-1</f>
        <v>7.7999999999999847E-2</v>
      </c>
      <c r="CZ156" s="13">
        <f t="shared" ref="CZ156" si="4097">+CZ155/CU155-1</f>
        <v>7.6547169811320481E-2</v>
      </c>
      <c r="DA156" s="13">
        <f t="shared" ref="DA156" si="4098">+DA155/CV155-1</f>
        <v>7.5148148148147964E-2</v>
      </c>
      <c r="DB156" s="239">
        <f t="shared" ref="DB156" si="4099">+DB155/CW155-1</f>
        <v>7.7266666666666373E-2</v>
      </c>
    </row>
    <row r="157" spans="1:106">
      <c r="A157" s="117" t="s">
        <v>288</v>
      </c>
      <c r="B157" s="119" t="s">
        <v>290</v>
      </c>
      <c r="C157" s="119" t="s">
        <v>290</v>
      </c>
      <c r="D157" s="119" t="s">
        <v>290</v>
      </c>
      <c r="E157" s="119" t="s">
        <v>290</v>
      </c>
      <c r="F157" s="235" t="s">
        <v>290</v>
      </c>
      <c r="G157" s="119" t="s">
        <v>290</v>
      </c>
      <c r="H157" s="119" t="s">
        <v>290</v>
      </c>
      <c r="I157" s="119" t="s">
        <v>290</v>
      </c>
      <c r="J157" s="119" t="s">
        <v>290</v>
      </c>
      <c r="K157" s="235" t="s">
        <v>290</v>
      </c>
      <c r="L157" s="13">
        <f>+L155/J155-1</f>
        <v>-0.56555112199279889</v>
      </c>
      <c r="M157" s="13">
        <f>+M155/L155-1</f>
        <v>3.9481201730714002</v>
      </c>
      <c r="N157" s="13">
        <f t="shared" ref="N157:O157" si="4100">+N155/M155-1</f>
        <v>-0.34138725903326483</v>
      </c>
      <c r="O157" s="13">
        <f t="shared" si="4100"/>
        <v>1.6352728285981799</v>
      </c>
      <c r="P157" s="235" t="s">
        <v>290</v>
      </c>
      <c r="Q157" s="13">
        <f>+Q155/O155-1</f>
        <v>-0.24616112369789145</v>
      </c>
      <c r="R157" s="13">
        <f>+R155/Q155-1</f>
        <v>-0.25574487130950507</v>
      </c>
      <c r="S157" s="13">
        <f t="shared" ref="S157:T157" si="4101">+S155/R155-1</f>
        <v>-0.11852850410562077</v>
      </c>
      <c r="T157" s="13">
        <f t="shared" si="4101"/>
        <v>3.0049555901520808E-2</v>
      </c>
      <c r="U157" s="235" t="s">
        <v>290</v>
      </c>
      <c r="V157" s="13">
        <f>+V155/T155-1</f>
        <v>-1.8699056136347592E-2</v>
      </c>
      <c r="W157" s="13">
        <f>+W155/V155-1</f>
        <v>-0.85034066514721773</v>
      </c>
      <c r="X157" s="13">
        <f t="shared" ref="X157:Y157" si="4102">+X155/W155-1</f>
        <v>5.3591855291411319</v>
      </c>
      <c r="Y157" s="13">
        <f t="shared" si="4102"/>
        <v>-5.4074175605063779E-2</v>
      </c>
      <c r="Z157" s="235" t="s">
        <v>290</v>
      </c>
      <c r="AA157" s="13">
        <f>+AA155/Y155-1</f>
        <v>1.4065887248138309</v>
      </c>
      <c r="AB157" s="13">
        <f>+AB155/AA155-1</f>
        <v>-0.58633642745939096</v>
      </c>
      <c r="AC157" s="13">
        <f t="shared" ref="AC157:AD157" si="4103">+AC155/AB155-1</f>
        <v>0.67332955329501165</v>
      </c>
      <c r="AD157" s="13">
        <f t="shared" si="4103"/>
        <v>0.36781288436877935</v>
      </c>
      <c r="AE157" s="235" t="s">
        <v>290</v>
      </c>
      <c r="AF157" s="13">
        <f>+AF155/AD155-1</f>
        <v>-0.1866874999999999</v>
      </c>
      <c r="AG157" s="13">
        <f>+AG155/AF155-1</f>
        <v>-0.14285714285714313</v>
      </c>
      <c r="AH157" s="13">
        <f t="shared" ref="AH157:AI157" si="4104">+AH155/AG155-1</f>
        <v>0.16666666666666696</v>
      </c>
      <c r="AI157" s="13">
        <f t="shared" si="4104"/>
        <v>4.615384615384599E-2</v>
      </c>
      <c r="AJ157" s="235" t="s">
        <v>290</v>
      </c>
      <c r="AK157" s="13">
        <f>+AK155/AI155-1</f>
        <v>4.5161764705882401E-2</v>
      </c>
      <c r="AL157" s="13">
        <f>+AL155/AK155-1</f>
        <v>0.15895372233400407</v>
      </c>
      <c r="AM157" s="13">
        <f t="shared" ref="AM157:AN157" si="4105">+AM155/AL155-1</f>
        <v>0.12499999999999956</v>
      </c>
      <c r="AN157" s="13">
        <f t="shared" si="4105"/>
        <v>8.0246913580247048E-2</v>
      </c>
      <c r="AO157" s="235" t="s">
        <v>290</v>
      </c>
      <c r="AP157" s="13">
        <f>+AP155/AN155-1</f>
        <v>0.20617639999999993</v>
      </c>
      <c r="AQ157" s="13">
        <f>+AQ155/AP155-1</f>
        <v>1.4084507042253502E-2</v>
      </c>
      <c r="AR157" s="13">
        <f t="shared" ref="AR157:AS157" si="4106">+AR155/AQ155-1</f>
        <v>0</v>
      </c>
      <c r="AS157" s="13">
        <f t="shared" si="4106"/>
        <v>-2.777777777777779E-2</v>
      </c>
      <c r="AT157" s="235" t="s">
        <v>290</v>
      </c>
      <c r="AU157" s="13">
        <f>+AU155/AS155-1</f>
        <v>0.25643375000000002</v>
      </c>
      <c r="AV157" s="13">
        <f>+AV155/AU155-1</f>
        <v>1.408450704225328E-2</v>
      </c>
      <c r="AW157" s="13">
        <f t="shared" ref="AW157:AX157" si="4107">+AW155/AV155-1</f>
        <v>0</v>
      </c>
      <c r="AX157" s="13">
        <f t="shared" si="4107"/>
        <v>-2.777777777777779E-2</v>
      </c>
      <c r="AY157" s="235" t="s">
        <v>290</v>
      </c>
      <c r="AZ157" s="13">
        <f>+AZ155/AX155-1</f>
        <v>0.20617639999999993</v>
      </c>
      <c r="BA157" s="13">
        <f>+BA155/AZ155-1</f>
        <v>-5.6483663544455109E-2</v>
      </c>
      <c r="BB157" s="13">
        <f t="shared" ref="BB157:BC157" si="4108">+BB155/BA155-1</f>
        <v>7.4792738461538333E-2</v>
      </c>
      <c r="BC157" s="13">
        <f t="shared" si="4108"/>
        <v>1.9820923470208474E-3</v>
      </c>
      <c r="BD157" s="235" t="s">
        <v>290</v>
      </c>
      <c r="BE157" s="13">
        <f>+BE155/BC155-1</f>
        <v>2.9476080561499973E-2</v>
      </c>
      <c r="BF157" s="13">
        <f>+BF155/BE155-1</f>
        <v>-6.8249089941629926E-3</v>
      </c>
      <c r="BG157" s="13">
        <f t="shared" ref="BG157" si="4109">+BG155/BF155-1</f>
        <v>0.12853237538461504</v>
      </c>
      <c r="BH157" s="13">
        <f t="shared" ref="BH157" si="4110">+BH155/BG155-1</f>
        <v>4.9695525315927247E-2</v>
      </c>
      <c r="BI157" s="235" t="s">
        <v>290</v>
      </c>
      <c r="BJ157" s="13">
        <f>+BJ155/BH155-1</f>
        <v>2.6868686868686487E-2</v>
      </c>
      <c r="BK157" s="13">
        <f>+BK155/BJ155-1</f>
        <v>4.347826086956541E-2</v>
      </c>
      <c r="BL157" s="13">
        <f t="shared" ref="BL157" si="4111">+BL155/BK155-1</f>
        <v>4.1666666666666741E-2</v>
      </c>
      <c r="BM157" s="13">
        <f t="shared" ref="BM157" si="4112">+BM155/BL155-1</f>
        <v>4.0000000000000036E-2</v>
      </c>
      <c r="BN157" s="235" t="s">
        <v>290</v>
      </c>
      <c r="BO157" s="13">
        <f>+BO155/BM155-1</f>
        <v>3.9499999999999869E-2</v>
      </c>
      <c r="BP157" s="13">
        <f>+BP155/BO155-1</f>
        <v>3.7037037037036979E-2</v>
      </c>
      <c r="BQ157" s="13">
        <f t="shared" ref="BQ157" si="4113">+BQ155/BP155-1</f>
        <v>3.5714285714285587E-2</v>
      </c>
      <c r="BR157" s="13">
        <f t="shared" ref="BR157" si="4114">+BR155/BQ155-1</f>
        <v>3.4482758620689724E-2</v>
      </c>
      <c r="BS157" s="235" t="s">
        <v>290</v>
      </c>
      <c r="BT157" s="13">
        <f>+BT155/BR155-1</f>
        <v>3.4366666666666656E-2</v>
      </c>
      <c r="BU157" s="13">
        <f>+BU155/BT155-1</f>
        <v>3.2258064516129004E-2</v>
      </c>
      <c r="BV157" s="13">
        <f t="shared" ref="BV157" si="4115">+BV155/BU155-1</f>
        <v>3.125E-2</v>
      </c>
      <c r="BW157" s="13">
        <f t="shared" ref="BW157" si="4116">+BW155/BV155-1</f>
        <v>3.0303030303030498E-2</v>
      </c>
      <c r="BX157" s="235" t="s">
        <v>290</v>
      </c>
      <c r="BY157" s="13">
        <f>+BY155/BW155-1</f>
        <v>3.0441176470587861E-2</v>
      </c>
      <c r="BZ157" s="13">
        <f>+BZ155/BY155-1</f>
        <v>2.8571428571428914E-2</v>
      </c>
      <c r="CA157" s="13">
        <f t="shared" ref="CA157" si="4117">+CA155/BZ155-1</f>
        <v>2.7777777777777679E-2</v>
      </c>
      <c r="CB157" s="13">
        <f t="shared" ref="CB157" si="4118">+CB155/CA155-1</f>
        <v>2.7027027027026973E-2</v>
      </c>
      <c r="CC157" s="235" t="s">
        <v>290</v>
      </c>
      <c r="CD157" s="13">
        <f>+CD155/CB155-1</f>
        <v>2.7342105263157723E-2</v>
      </c>
      <c r="CE157" s="13">
        <f>+CE155/CD155-1</f>
        <v>2.5641025641025772E-2</v>
      </c>
      <c r="CF157" s="13">
        <f t="shared" ref="CF157" si="4119">+CF155/CE155-1</f>
        <v>2.4999999999999911E-2</v>
      </c>
      <c r="CG157" s="13">
        <f t="shared" ref="CG157" si="4120">+CG155/CF155-1</f>
        <v>2.4390243902439046E-2</v>
      </c>
      <c r="CH157" s="235" t="s">
        <v>290</v>
      </c>
      <c r="CI157" s="13">
        <f>+CI155/CG155-1</f>
        <v>2.4833333333333263E-2</v>
      </c>
      <c r="CJ157" s="13">
        <f>+CJ155/CI155-1</f>
        <v>2.3255813953488635E-2</v>
      </c>
      <c r="CK157" s="13">
        <f t="shared" ref="CK157" si="4121">+CK155/CJ155-1</f>
        <v>2.2727272727272485E-2</v>
      </c>
      <c r="CL157" s="13">
        <f t="shared" ref="CL157" si="4122">+CL155/CK155-1</f>
        <v>2.2222222222222143E-2</v>
      </c>
      <c r="CM157" s="235" t="s">
        <v>290</v>
      </c>
      <c r="CN157" s="13">
        <f>+CN155/CL155-1</f>
        <v>2.2760869565217057E-2</v>
      </c>
      <c r="CO157" s="13">
        <f>+CO155/CN155-1</f>
        <v>2.1276595744680993E-2</v>
      </c>
      <c r="CP157" s="13">
        <f t="shared" ref="CP157" si="4123">+CP155/CO155-1</f>
        <v>2.0833333333333259E-2</v>
      </c>
      <c r="CQ157" s="13">
        <f t="shared" ref="CQ157" si="4124">+CQ155/CP155-1</f>
        <v>2.0408163265306145E-2</v>
      </c>
      <c r="CR157" s="235" t="s">
        <v>290</v>
      </c>
      <c r="CS157" s="13">
        <f>+CS155/CQ155-1</f>
        <v>2.1019999999999817E-2</v>
      </c>
      <c r="CT157" s="13">
        <f>+CT155/CS155-1</f>
        <v>1.9607843137255054E-2</v>
      </c>
      <c r="CU157" s="13">
        <f t="shared" ref="CU157" si="4125">+CU155/CT155-1</f>
        <v>1.9230769230769384E-2</v>
      </c>
      <c r="CV157" s="13">
        <f t="shared" ref="CV157" si="4126">+CV155/CU155-1</f>
        <v>1.8867924528301883E-2</v>
      </c>
      <c r="CW157" s="235" t="s">
        <v>290</v>
      </c>
      <c r="CX157" s="13">
        <f>+CX155/CV155-1</f>
        <v>1.9537037037036908E-2</v>
      </c>
      <c r="CY157" s="13">
        <f>+CY155/CX155-1</f>
        <v>1.8181818181818299E-2</v>
      </c>
      <c r="CZ157" s="13">
        <f t="shared" ref="CZ157" si="4127">+CZ155/CY155-1</f>
        <v>1.7857142857142794E-2</v>
      </c>
      <c r="DA157" s="13">
        <f t="shared" ref="DA157" si="4128">+DA155/CZ155-1</f>
        <v>1.754385964912264E-2</v>
      </c>
      <c r="DB157" s="235" t="s">
        <v>290</v>
      </c>
    </row>
    <row r="158" spans="1:106">
      <c r="F158" s="217"/>
      <c r="K158" s="217"/>
      <c r="P158" s="217"/>
      <c r="U158" s="217"/>
      <c r="Z158" s="217"/>
      <c r="AE158" s="217"/>
      <c r="AJ158" s="217"/>
      <c r="AO158" s="217"/>
      <c r="AT158" s="217"/>
      <c r="AY158" s="217"/>
      <c r="BD158" s="217"/>
      <c r="BI158" s="217"/>
      <c r="BN158" s="217"/>
      <c r="BS158" s="217"/>
      <c r="BX158" s="217"/>
      <c r="CC158" s="217"/>
      <c r="CH158" s="217"/>
      <c r="CM158" s="217"/>
      <c r="CR158" s="217"/>
      <c r="CW158" s="217"/>
      <c r="DB158" s="217"/>
    </row>
    <row r="159" spans="1:106" s="121" customFormat="1">
      <c r="A159" s="121" t="s">
        <v>280</v>
      </c>
      <c r="F159" s="237"/>
      <c r="K159" s="237"/>
      <c r="P159" s="237"/>
      <c r="U159" s="237"/>
      <c r="Z159" s="237"/>
      <c r="AE159" s="237"/>
      <c r="AJ159" s="237"/>
      <c r="AO159" s="237"/>
      <c r="AT159" s="237"/>
      <c r="AY159" s="237"/>
      <c r="BD159" s="237"/>
      <c r="BI159" s="237"/>
      <c r="BN159" s="237"/>
      <c r="BS159" s="237"/>
      <c r="BX159" s="237"/>
      <c r="CC159" s="237"/>
      <c r="CH159" s="237"/>
      <c r="CM159" s="237"/>
      <c r="CR159" s="237"/>
      <c r="CW159" s="237"/>
      <c r="DB159" s="237"/>
    </row>
    <row r="160" spans="1:106" s="51" customFormat="1">
      <c r="A160" s="51" t="s">
        <v>301</v>
      </c>
      <c r="B160" s="213">
        <v>2700</v>
      </c>
      <c r="C160" s="213">
        <v>3240</v>
      </c>
      <c r="D160" s="213">
        <v>4900</v>
      </c>
      <c r="E160" s="213">
        <v>6300</v>
      </c>
      <c r="F160" s="234">
        <f>+B160+C160+D160+E160</f>
        <v>17140</v>
      </c>
      <c r="G160" s="213">
        <v>6000</v>
      </c>
      <c r="H160" s="213">
        <v>7000</v>
      </c>
      <c r="I160" s="213">
        <v>13000</v>
      </c>
      <c r="J160" s="213">
        <v>16000</v>
      </c>
      <c r="K160" s="234">
        <f>+G160+H160+I160+J160</f>
        <v>42000</v>
      </c>
      <c r="L160" s="213">
        <v>19400</v>
      </c>
      <c r="M160" s="213">
        <v>18800</v>
      </c>
      <c r="N160" s="213">
        <v>22000</v>
      </c>
      <c r="O160" s="213">
        <v>21220</v>
      </c>
      <c r="P160" s="234">
        <f>+L160+M160+N160+O160</f>
        <v>81420</v>
      </c>
      <c r="Q160" s="213">
        <v>25324</v>
      </c>
      <c r="R160" s="213">
        <v>29556</v>
      </c>
      <c r="S160" s="213">
        <v>31089</v>
      </c>
      <c r="T160" s="213">
        <v>33649</v>
      </c>
      <c r="U160" s="234">
        <f>+Q160+R160+S160+T160</f>
        <v>119618</v>
      </c>
      <c r="V160" s="213">
        <v>37698</v>
      </c>
      <c r="W160" s="213">
        <v>39601</v>
      </c>
      <c r="X160" s="213">
        <v>41718</v>
      </c>
      <c r="Y160" s="213">
        <v>47200</v>
      </c>
      <c r="Z160" s="234">
        <f>+V160+W160+X160+Y160</f>
        <v>166217</v>
      </c>
      <c r="AA160" s="213">
        <v>49828</v>
      </c>
      <c r="AB160" s="213">
        <v>51077</v>
      </c>
      <c r="AC160" s="213">
        <v>52491</v>
      </c>
      <c r="AD160" s="213">
        <v>57012</v>
      </c>
      <c r="AE160" s="234">
        <f>+AA160+AB160+AC160+AD160</f>
        <v>210408</v>
      </c>
      <c r="AF160" s="213">
        <f>+AF67*AF163</f>
        <v>64706</v>
      </c>
      <c r="AG160" s="213">
        <f>+AG67*AG163</f>
        <v>64305</v>
      </c>
      <c r="AH160" s="213">
        <f>+AH67*AH163</f>
        <v>71700</v>
      </c>
      <c r="AI160" s="213">
        <f>+AI67*AI163</f>
        <v>81422</v>
      </c>
      <c r="AJ160" s="234">
        <f>+AF160+AG160+AH160+AI160</f>
        <v>282133</v>
      </c>
      <c r="AK160" s="213">
        <f>+AK67*AK163</f>
        <v>89714</v>
      </c>
      <c r="AL160" s="213">
        <v>90000</v>
      </c>
      <c r="AM160" s="213">
        <f>+AM67*AM163</f>
        <v>105000</v>
      </c>
      <c r="AN160" s="213">
        <f>+AN67*AN163</f>
        <v>107726</v>
      </c>
      <c r="AO160" s="234">
        <f>+AK160+AL160+AM160+AN160</f>
        <v>392440</v>
      </c>
      <c r="AP160" s="213">
        <f>+AP67*AP163</f>
        <v>120000</v>
      </c>
      <c r="AQ160" s="213">
        <f>+AQ67*AQ163</f>
        <v>121460</v>
      </c>
      <c r="AR160" s="213">
        <f>+AR67*AR163</f>
        <v>129353.99999999999</v>
      </c>
      <c r="AS160" s="213">
        <f>+AS67*AS163</f>
        <v>138890</v>
      </c>
      <c r="AT160" s="234">
        <f>+AP160+AQ160+AR160+AS160</f>
        <v>509704</v>
      </c>
      <c r="AU160" s="213">
        <f>+AU67*AU163</f>
        <v>159857</v>
      </c>
      <c r="AV160" s="213">
        <f>+AV67*AV163</f>
        <v>157558.00000000003</v>
      </c>
      <c r="AW160" s="213">
        <f>+AW67*AW163</f>
        <v>157042</v>
      </c>
      <c r="AX160" s="213">
        <f>+AX67*AX163</f>
        <v>159417</v>
      </c>
      <c r="AY160" s="234">
        <f>+AU160+AV160+AW160+AX160</f>
        <v>633874</v>
      </c>
      <c r="AZ160" s="213">
        <f>+AZ67*AZ163</f>
        <v>206696.90000151203</v>
      </c>
      <c r="BA160" s="213">
        <f>+BA67*BA163</f>
        <v>215652.60238183572</v>
      </c>
      <c r="BB160" s="213">
        <f>+BB67*BB163</f>
        <v>213975.35192246601</v>
      </c>
      <c r="BC160" s="213">
        <f>+BC67*BC163</f>
        <v>214018.48167888165</v>
      </c>
      <c r="BD160" s="234">
        <f>+AZ160+BA160+BB160+BC160</f>
        <v>850343.33598469547</v>
      </c>
      <c r="BE160" s="213">
        <f>+BE67*BE163</f>
        <v>231871.06279808647</v>
      </c>
      <c r="BF160" s="213">
        <f>+BF67*BF163</f>
        <v>216058.24445271876</v>
      </c>
      <c r="BG160" s="213">
        <f>+BG67*BG163</f>
        <v>231033.97860207135</v>
      </c>
      <c r="BH160" s="213">
        <f>+BH67*BH163</f>
        <v>234940.96191051623</v>
      </c>
      <c r="BI160" s="234">
        <f>+BE160+BF160+BG160+BH160</f>
        <v>913904.24776339275</v>
      </c>
      <c r="BJ160" s="213">
        <f>+BJ67*BJ163</f>
        <v>243126.7059103772</v>
      </c>
      <c r="BK160" s="213">
        <f>+BK67*BK163</f>
        <v>230965.39220719665</v>
      </c>
      <c r="BL160" s="213">
        <f>+BL67*BL163</f>
        <v>246018.89682877113</v>
      </c>
      <c r="BM160" s="213">
        <f>+BM67*BM163</f>
        <v>251261.97050329697</v>
      </c>
      <c r="BN160" s="234">
        <f>+BJ160+BK160+BL160+BM160</f>
        <v>971372.96544964192</v>
      </c>
      <c r="BO160" s="213">
        <f>+BO67*BO163</f>
        <v>291246.82196536072</v>
      </c>
      <c r="BP160" s="213">
        <f>+BP67*BP163</f>
        <v>264781.21720250929</v>
      </c>
      <c r="BQ160" s="213">
        <f>+BQ67*BQ163</f>
        <v>288922.4262223884</v>
      </c>
      <c r="BR160" s="213">
        <f>+BR67*BR163</f>
        <v>288772.4453886596</v>
      </c>
      <c r="BS160" s="234">
        <f>+BO160+BP160+BQ160+BR160</f>
        <v>1133722.9107789181</v>
      </c>
      <c r="BT160" s="213">
        <f>+BT67*BT163</f>
        <v>322429.97579445213</v>
      </c>
      <c r="BU160" s="213">
        <f>+BU67*BU163</f>
        <v>298231.36915294855</v>
      </c>
      <c r="BV160" s="213">
        <f>+BV67*BV163</f>
        <v>320351.63665956224</v>
      </c>
      <c r="BW160" s="213">
        <f>+BW67*BW163</f>
        <v>320311.08096872491</v>
      </c>
      <c r="BX160" s="234">
        <f>+BT160+BU160+BV160+BW160</f>
        <v>1261324.0625756879</v>
      </c>
      <c r="BY160" s="213">
        <f>+BY67*BY163</f>
        <v>355762.10229325428</v>
      </c>
      <c r="BZ160" s="213">
        <f>+BZ67*BZ163</f>
        <v>326582.65605197271</v>
      </c>
      <c r="CA160" s="213">
        <f>+CA67*CA163</f>
        <v>353948.45020668185</v>
      </c>
      <c r="CB160" s="213">
        <f>+CB67*CB163</f>
        <v>352416.25496062712</v>
      </c>
      <c r="CC160" s="234">
        <f>+BY160+BZ160+CA160+CB160</f>
        <v>1388709.4635125359</v>
      </c>
      <c r="CD160" s="213">
        <f>+CD67*CD163</f>
        <v>388850.88105012994</v>
      </c>
      <c r="CE160" s="213">
        <f>+CE67*CE163</f>
        <v>358368.47644440364</v>
      </c>
      <c r="CF160" s="213">
        <f>+CF67*CF163</f>
        <v>387283.40853487107</v>
      </c>
      <c r="CG160" s="213">
        <f>+CG67*CG163</f>
        <v>386109.16803615901</v>
      </c>
      <c r="CH160" s="234">
        <f>+CD160+CE160+CF160+CG160</f>
        <v>1520611.9340655636</v>
      </c>
      <c r="CI160" s="213">
        <f>+CI67*CI163</f>
        <v>423551.31502541533</v>
      </c>
      <c r="CJ160" s="213">
        <f>+CJ67*CJ163</f>
        <v>391324.69386376068</v>
      </c>
      <c r="CK160" s="213">
        <f>+CK67*CK163</f>
        <v>422239.99074726837</v>
      </c>
      <c r="CL160" s="213">
        <f>+CL67*CL163</f>
        <v>420995.84774023772</v>
      </c>
      <c r="CM160" s="234">
        <f>+CI160+CJ160+CK160+CL160</f>
        <v>1658111.8473766819</v>
      </c>
      <c r="CN160" s="213">
        <f>+CN67*CN163</f>
        <v>459468.21635859756</v>
      </c>
      <c r="CO160" s="213">
        <f>+CO67*CO163</f>
        <v>425684.32865662302</v>
      </c>
      <c r="CP160" s="213">
        <f>+CP67*CP163</f>
        <v>458416.72317047458</v>
      </c>
      <c r="CQ160" s="213">
        <f>+CQ67*CQ163</f>
        <v>457324.06798340351</v>
      </c>
      <c r="CR160" s="234">
        <f>+CN160+CO160+CP160+CQ160</f>
        <v>1800893.3361690987</v>
      </c>
      <c r="CS160" s="213">
        <f>+CS67*CS163</f>
        <v>496850.68213319755</v>
      </c>
      <c r="CT160" s="213">
        <f>+CT67*CT163</f>
        <v>461373.77786107938</v>
      </c>
      <c r="CU160" s="213">
        <f>+CU67*CU163</f>
        <v>496066.12325787696</v>
      </c>
      <c r="CV160" s="213">
        <f>+CV67*CV163</f>
        <v>495013.64561480901</v>
      </c>
      <c r="CW160" s="234">
        <f>+CS160+CT160+CU160+CV160</f>
        <v>1949304.2288669627</v>
      </c>
      <c r="CX160" s="213">
        <f>+CX67*CX163</f>
        <v>535618.53440739051</v>
      </c>
      <c r="CY160" s="213">
        <f>+CY67*CY163</f>
        <v>498477.71378093457</v>
      </c>
      <c r="CZ160" s="213">
        <f>+CZ67*CZ163</f>
        <v>535106.53855927847</v>
      </c>
      <c r="DA160" s="213">
        <f>+DA67*DA163</f>
        <v>534153.46177987568</v>
      </c>
      <c r="DB160" s="234">
        <f>+CX160+CY160+CZ160+DA160</f>
        <v>2103356.2485274794</v>
      </c>
    </row>
    <row r="161" spans="1:106">
      <c r="A161" s="117" t="s">
        <v>281</v>
      </c>
      <c r="B161" s="119" t="s">
        <v>290</v>
      </c>
      <c r="C161" s="119" t="s">
        <v>290</v>
      </c>
      <c r="D161" s="119" t="s">
        <v>290</v>
      </c>
      <c r="E161" s="119" t="s">
        <v>290</v>
      </c>
      <c r="F161" s="235" t="s">
        <v>290</v>
      </c>
      <c r="G161" s="13">
        <f>+G160/B160-1</f>
        <v>1.2222222222222223</v>
      </c>
      <c r="H161" s="13">
        <f t="shared" ref="H161" si="4129">+H160/C160-1</f>
        <v>1.1604938271604937</v>
      </c>
      <c r="I161" s="13">
        <f t="shared" ref="I161" si="4130">+I160/D160-1</f>
        <v>1.6530612244897958</v>
      </c>
      <c r="J161" s="13">
        <f t="shared" ref="J161" si="4131">+J160/E160-1</f>
        <v>1.5396825396825395</v>
      </c>
      <c r="K161" s="239">
        <f t="shared" ref="K161" si="4132">+K160/F160-1</f>
        <v>1.4504084014002334</v>
      </c>
      <c r="L161" s="13">
        <f>+L160/G160-1</f>
        <v>2.2333333333333334</v>
      </c>
      <c r="M161" s="13">
        <f t="shared" ref="M161" si="4133">+M160/H160-1</f>
        <v>1.6857142857142855</v>
      </c>
      <c r="N161" s="13">
        <f t="shared" ref="N161" si="4134">+N160/I160-1</f>
        <v>0.69230769230769229</v>
      </c>
      <c r="O161" s="13">
        <f t="shared" ref="O161" si="4135">+O160/J160-1</f>
        <v>0.32624999999999993</v>
      </c>
      <c r="P161" s="239">
        <f t="shared" ref="P161" si="4136">+P160/K160-1</f>
        <v>0.93857142857142861</v>
      </c>
      <c r="Q161" s="13">
        <f>+Q160/L160-1</f>
        <v>0.30536082474226811</v>
      </c>
      <c r="R161" s="13">
        <f t="shared" ref="R161" si="4137">+R160/M160-1</f>
        <v>0.57212765957446798</v>
      </c>
      <c r="S161" s="13">
        <f t="shared" ref="S161" si="4138">+S160/N160-1</f>
        <v>0.41313636363636363</v>
      </c>
      <c r="T161" s="13">
        <f t="shared" ref="T161" si="4139">+T160/O160-1</f>
        <v>0.5857210179076342</v>
      </c>
      <c r="U161" s="239">
        <f t="shared" ref="U161" si="4140">+U160/P160-1</f>
        <v>0.46914762957504297</v>
      </c>
      <c r="V161" s="13">
        <f>+V160/Q160-1</f>
        <v>0.48862738903806657</v>
      </c>
      <c r="W161" s="13">
        <f>+W160/R160-1</f>
        <v>0.33986331032616057</v>
      </c>
      <c r="X161" s="13">
        <f t="shared" ref="X161" si="4141">+X160/S160-1</f>
        <v>0.34188941426227926</v>
      </c>
      <c r="Y161" s="13">
        <f t="shared" ref="Y161" si="4142">+Y160/T160-1</f>
        <v>0.40271627685815337</v>
      </c>
      <c r="Z161" s="239">
        <f t="shared" ref="Z161" si="4143">+Z160/U160-1</f>
        <v>0.38956511561805085</v>
      </c>
      <c r="AA161" s="13">
        <f>+AA160/V160-1</f>
        <v>0.3217677330362354</v>
      </c>
      <c r="AB161" s="13">
        <f t="shared" ref="AB161" si="4144">+AB160/W160-1</f>
        <v>0.28979066185197344</v>
      </c>
      <c r="AC161" s="13">
        <f t="shared" ref="AC161" si="4145">+AC160/X160-1</f>
        <v>0.25823385588954406</v>
      </c>
      <c r="AD161" s="13">
        <f t="shared" ref="AD161" si="4146">+AD160/Y160-1</f>
        <v>0.20788135593220347</v>
      </c>
      <c r="AE161" s="239">
        <f t="shared" ref="AE161" si="4147">+AE160/Z160-1</f>
        <v>0.26586329918119089</v>
      </c>
      <c r="AF161" s="13">
        <f>+AF160/AA160-1</f>
        <v>0.29858713976077711</v>
      </c>
      <c r="AG161" s="13">
        <f t="shared" ref="AG161" si="4148">+AG160/AB160-1</f>
        <v>0.25898153767840704</v>
      </c>
      <c r="AH161" s="13">
        <f t="shared" ref="AH161" si="4149">+AH160/AC160-1</f>
        <v>0.36594844830542383</v>
      </c>
      <c r="AI161" s="13">
        <f t="shared" ref="AI161:AJ161" si="4150">+AI160/AD160-1</f>
        <v>0.42815547604013182</v>
      </c>
      <c r="AJ161" s="239">
        <f t="shared" si="4150"/>
        <v>0.34088532755408529</v>
      </c>
      <c r="AK161" s="13">
        <f>+AK160/AF160-1</f>
        <v>0.38648657002441822</v>
      </c>
      <c r="AL161" s="13">
        <f t="shared" ref="AL161" si="4151">+AL160/AG160-1</f>
        <v>0.39958012596221137</v>
      </c>
      <c r="AM161" s="13">
        <f t="shared" ref="AM161" si="4152">+AM160/AH160-1</f>
        <v>0.46443514644351458</v>
      </c>
      <c r="AN161" s="13">
        <f t="shared" ref="AN161" si="4153">+AN160/AI160-1</f>
        <v>0.32305765026651279</v>
      </c>
      <c r="AO161" s="239">
        <f t="shared" ref="AO161" si="4154">+AO160/AJ160-1</f>
        <v>0.39097517837332041</v>
      </c>
      <c r="AP161" s="13">
        <f>+AP160/AK160-1</f>
        <v>0.33758387765566122</v>
      </c>
      <c r="AQ161" s="13">
        <f t="shared" ref="AQ161" si="4155">+AQ160/AL160-1</f>
        <v>0.34955555555555562</v>
      </c>
      <c r="AR161" s="13">
        <f t="shared" ref="AR161" si="4156">+AR160/AM160-1</f>
        <v>0.23194285714285701</v>
      </c>
      <c r="AS161" s="13">
        <f t="shared" ref="AS161" si="4157">+AS160/AN160-1</f>
        <v>0.28928949371553747</v>
      </c>
      <c r="AT161" s="239">
        <f t="shared" ref="AT161" si="4158">+AT160/AO160-1</f>
        <v>0.29880746101314859</v>
      </c>
      <c r="AU161" s="13">
        <f>+AU160/AP160-1</f>
        <v>0.33214166666666656</v>
      </c>
      <c r="AV161" s="13">
        <f t="shared" ref="AV161" si="4159">+AV160/AQ160-1</f>
        <v>0.2972007245183601</v>
      </c>
      <c r="AW161" s="13">
        <f t="shared" ref="AW161" si="4160">+AW160/AR160-1</f>
        <v>0.21404827063716647</v>
      </c>
      <c r="AX161" s="13">
        <f t="shared" ref="AX161" si="4161">+AX160/AS160-1</f>
        <v>0.14779321765425868</v>
      </c>
      <c r="AY161" s="239">
        <f t="shared" ref="AY161" si="4162">+AY160/AT160-1</f>
        <v>0.24361197871705942</v>
      </c>
      <c r="AZ161" s="13">
        <f>+AZ160/AU160-1</f>
        <v>0.29301125381754956</v>
      </c>
      <c r="BA161" s="13">
        <f t="shared" ref="BA161" si="4163">+BA160/AV160-1</f>
        <v>0.3687188361227971</v>
      </c>
      <c r="BB161" s="13">
        <f t="shared" ref="BB161" si="4164">+BB160/AW160-1</f>
        <v>0.36253583068520534</v>
      </c>
      <c r="BC161" s="13">
        <f t="shared" ref="BC161" si="4165">+BC160/AX160-1</f>
        <v>0.34250727136303949</v>
      </c>
      <c r="BD161" s="239">
        <f t="shared" ref="BD161" si="4166">+BD160/AY160-1</f>
        <v>0.34150215340066881</v>
      </c>
      <c r="BE161" s="13">
        <f>+BE160/AZ160-1</f>
        <v>0.12179264805805157</v>
      </c>
      <c r="BF161" s="13">
        <f t="shared" ref="BF161" si="4167">+BF160/BA160-1</f>
        <v>1.8809978011060657E-3</v>
      </c>
      <c r="BG161" s="13">
        <f t="shared" ref="BG161" si="4168">+BG160/BB160-1</f>
        <v>7.972239104336909E-2</v>
      </c>
      <c r="BH161" s="13">
        <f t="shared" ref="BH161" si="4169">+BH160/BC160-1</f>
        <v>9.776015635428692E-2</v>
      </c>
      <c r="BI161" s="239">
        <f t="shared" ref="BI161" si="4170">+BI160/BD160-1</f>
        <v>7.4747350968646042E-2</v>
      </c>
      <c r="BJ161" s="13">
        <f>+BJ160/BE160-1</f>
        <v>4.8542681335325355E-2</v>
      </c>
      <c r="BK161" s="13">
        <f t="shared" ref="BK161" si="4171">+BK160/BF160-1</f>
        <v>6.8995968157744114E-2</v>
      </c>
      <c r="BL161" s="13">
        <f t="shared" ref="BL161" si="4172">+BL160/BG160-1</f>
        <v>6.4860235353127571E-2</v>
      </c>
      <c r="BM161" s="13">
        <f t="shared" ref="BM161" si="4173">+BM160/BH160-1</f>
        <v>6.9468552695366226E-2</v>
      </c>
      <c r="BN161" s="239">
        <f t="shared" ref="BN161" si="4174">+BN160/BI160-1</f>
        <v>6.288264643357655E-2</v>
      </c>
      <c r="BO161" s="13">
        <f>+BO160/BJ160-1</f>
        <v>0.19792196778547999</v>
      </c>
      <c r="BP161" s="13">
        <f t="shared" ref="BP161" si="4175">+BP160/BK160-1</f>
        <v>0.14641078766024318</v>
      </c>
      <c r="BQ161" s="13">
        <f t="shared" ref="BQ161" si="4176">+BQ160/BL160-1</f>
        <v>0.1743911949311685</v>
      </c>
      <c r="BR161" s="13">
        <f t="shared" ref="BR161" si="4177">+BR160/BM160-1</f>
        <v>0.14928830976779439</v>
      </c>
      <c r="BS161" s="239">
        <f t="shared" ref="BS161" si="4178">+BS160/BN160-1</f>
        <v>0.16713451074286945</v>
      </c>
      <c r="BT161" s="13">
        <f>+BT160/BO160-1</f>
        <v>0.10706779088150919</v>
      </c>
      <c r="BU161" s="13">
        <f t="shared" ref="BU161" si="4179">+BU160/BP160-1</f>
        <v>0.12633128702953278</v>
      </c>
      <c r="BV161" s="13">
        <f t="shared" ref="BV161" si="4180">+BV160/BQ160-1</f>
        <v>0.10878079229814519</v>
      </c>
      <c r="BW161" s="13">
        <f t="shared" ref="BW161" si="4181">+BW160/BR160-1</f>
        <v>0.10921622226669636</v>
      </c>
      <c r="BX161" s="239">
        <f t="shared" ref="BX161" si="4182">+BX160/BS160-1</f>
        <v>0.11255056291409171</v>
      </c>
      <c r="BY161" s="13">
        <f>+BY160/BT160-1</f>
        <v>0.10337787737220583</v>
      </c>
      <c r="BZ161" s="13">
        <f t="shared" ref="BZ161" si="4183">+BZ160/BU160-1</f>
        <v>9.5064737755618633E-2</v>
      </c>
      <c r="CA161" s="13">
        <f t="shared" ref="CA161" si="4184">+CA160/BV160-1</f>
        <v>0.10487479913462394</v>
      </c>
      <c r="CB161" s="13">
        <f t="shared" ref="CB161" si="4185">+CB160/BW160-1</f>
        <v>0.10023123113570009</v>
      </c>
      <c r="CC161" s="239">
        <f t="shared" ref="CC161" si="4186">+CC160/BX160-1</f>
        <v>0.10099339631777138</v>
      </c>
      <c r="CD161" s="13">
        <f>+CD160/BY160-1</f>
        <v>9.3008160632018777E-2</v>
      </c>
      <c r="CE161" s="13">
        <f t="shared" ref="CE161" si="4187">+CE160/BZ160-1</f>
        <v>9.7328562320751377E-2</v>
      </c>
      <c r="CF161" s="13">
        <f t="shared" ref="CF161" si="4188">+CF160/CA160-1</f>
        <v>9.4180263563024003E-2</v>
      </c>
      <c r="CG161" s="13">
        <f t="shared" ref="CG161" si="4189">+CG160/CB160-1</f>
        <v>9.5605445552720436E-2</v>
      </c>
      <c r="CH161" s="239">
        <f t="shared" ref="CH161" si="4190">+CH160/CC160-1</f>
        <v>9.4982049174922256E-2</v>
      </c>
      <c r="CI161" s="13">
        <f>+CI160/CD160-1</f>
        <v>8.9238409031177968E-2</v>
      </c>
      <c r="CJ161" s="13">
        <f t="shared" ref="CJ161" si="4191">+CJ160/CE160-1</f>
        <v>9.196182026481825E-2</v>
      </c>
      <c r="CK161" s="13">
        <f t="shared" ref="CK161" si="4192">+CK160/CF160-1</f>
        <v>9.0260985733009447E-2</v>
      </c>
      <c r="CL161" s="13">
        <f t="shared" ref="CL161" si="4193">+CL160/CG160-1</f>
        <v>9.0354445302400999E-2</v>
      </c>
      <c r="CM161" s="239">
        <f t="shared" ref="CM161" si="4194">+CM160/CH160-1</f>
        <v>9.0424065621722116E-2</v>
      </c>
      <c r="CN161" s="13">
        <f>+CN160/CI160-1</f>
        <v>8.4799409325472253E-2</v>
      </c>
      <c r="CO161" s="13">
        <f t="shared" ref="CO161" si="4195">+CO160/CJ160-1</f>
        <v>8.7803390206764309E-2</v>
      </c>
      <c r="CP161" s="13">
        <f t="shared" ref="CP161" si="4196">+CP160/CK160-1</f>
        <v>8.5678129063951669E-2</v>
      </c>
      <c r="CQ161" s="13">
        <f t="shared" ref="CQ161" si="4197">+CQ160/CL160-1</f>
        <v>8.6291160442943271E-2</v>
      </c>
      <c r="CR161" s="239">
        <f t="shared" ref="CR161" si="4198">+CR160/CM160-1</f>
        <v>8.6110891143027057E-2</v>
      </c>
      <c r="CS161" s="13">
        <f>+CS160/CN160-1</f>
        <v>8.1360286617571775E-2</v>
      </c>
      <c r="CT161" s="13">
        <f t="shared" ref="CT161" si="4199">+CT160/CO160-1</f>
        <v>8.3840176398048971E-2</v>
      </c>
      <c r="CU161" s="13">
        <f t="shared" ref="CU161" si="4200">+CU160/CP160-1</f>
        <v>8.2129202937915924E-2</v>
      </c>
      <c r="CV161" s="13">
        <f t="shared" ref="CV161" si="4201">+CV160/CQ160-1</f>
        <v>8.2413282549505418E-2</v>
      </c>
      <c r="CW161" s="239">
        <f t="shared" ref="CW161" si="4202">+CW160/CR160-1</f>
        <v>8.2409596236036498E-2</v>
      </c>
      <c r="CX161" s="13">
        <f>+CX160/CS160-1</f>
        <v>7.8027169264909935E-2</v>
      </c>
      <c r="CY161" s="13">
        <f t="shared" ref="CY161" si="4203">+CY160/CT160-1</f>
        <v>8.0420556391107345E-2</v>
      </c>
      <c r="CZ161" s="13">
        <f t="shared" ref="CZ161" si="4204">+CZ160/CU160-1</f>
        <v>7.8700022982836515E-2</v>
      </c>
      <c r="DA161" s="13">
        <f t="shared" ref="DA161" si="4205">+DA160/CV160-1</f>
        <v>7.9068156023163416E-2</v>
      </c>
      <c r="DB161" s="239">
        <f t="shared" ref="DB161" si="4206">+DB160/CW160-1</f>
        <v>7.9029233805161248E-2</v>
      </c>
    </row>
    <row r="162" spans="1:106">
      <c r="A162" s="117" t="s">
        <v>288</v>
      </c>
      <c r="B162" s="119" t="s">
        <v>290</v>
      </c>
      <c r="C162" s="13">
        <f>+C160/B160-1</f>
        <v>0.19999999999999996</v>
      </c>
      <c r="D162" s="13">
        <f t="shared" ref="D162:E162" si="4207">+D160/C160-1</f>
        <v>0.51234567901234573</v>
      </c>
      <c r="E162" s="13">
        <f t="shared" si="4207"/>
        <v>0.28571428571428581</v>
      </c>
      <c r="F162" s="235" t="s">
        <v>290</v>
      </c>
      <c r="G162" s="13">
        <f>+G160/E160-1</f>
        <v>-4.7619047619047672E-2</v>
      </c>
      <c r="H162" s="13">
        <f>+H160/G160-1</f>
        <v>0.16666666666666674</v>
      </c>
      <c r="I162" s="13">
        <f t="shared" ref="I162:J162" si="4208">+I160/H160-1</f>
        <v>0.85714285714285721</v>
      </c>
      <c r="J162" s="13">
        <f t="shared" si="4208"/>
        <v>0.23076923076923084</v>
      </c>
      <c r="K162" s="235" t="s">
        <v>290</v>
      </c>
      <c r="L162" s="13">
        <f>+L160/J160-1</f>
        <v>0.21249999999999991</v>
      </c>
      <c r="M162" s="13">
        <f>+M160/L160-1</f>
        <v>-3.0927835051546393E-2</v>
      </c>
      <c r="N162" s="13">
        <f t="shared" ref="N162:O162" si="4209">+N160/M160-1</f>
        <v>0.17021276595744683</v>
      </c>
      <c r="O162" s="13">
        <f t="shared" si="4209"/>
        <v>-3.5454545454545405E-2</v>
      </c>
      <c r="P162" s="235" t="s">
        <v>290</v>
      </c>
      <c r="Q162" s="13">
        <f>+Q160/O160-1</f>
        <v>0.1934024505183789</v>
      </c>
      <c r="R162" s="13">
        <f>+R160/Q160-1</f>
        <v>0.16711419996840937</v>
      </c>
      <c r="S162" s="13">
        <f t="shared" ref="S162:T162" si="4210">+S160/R160-1</f>
        <v>5.1867641088104044E-2</v>
      </c>
      <c r="T162" s="13">
        <f t="shared" si="4210"/>
        <v>8.234423751166009E-2</v>
      </c>
      <c r="U162" s="235" t="s">
        <v>290</v>
      </c>
      <c r="V162" s="13">
        <f>+V160/T160-1</f>
        <v>0.12033047044488687</v>
      </c>
      <c r="W162" s="13">
        <f>+W160/V160-1</f>
        <v>5.0480131571966735E-2</v>
      </c>
      <c r="X162" s="13">
        <f t="shared" ref="X162:Y162" si="4211">+X160/W160-1</f>
        <v>5.3458246003888821E-2</v>
      </c>
      <c r="Y162" s="13">
        <f t="shared" si="4211"/>
        <v>0.13140610767534389</v>
      </c>
      <c r="Z162" s="235" t="s">
        <v>290</v>
      </c>
      <c r="AA162" s="13">
        <f>+AA160/Y160-1</f>
        <v>5.5677966101694842E-2</v>
      </c>
      <c r="AB162" s="13">
        <f>+AB160/AA160-1</f>
        <v>2.5066227823713483E-2</v>
      </c>
      <c r="AC162" s="13">
        <f t="shared" ref="AC162:AD162" si="4212">+AC160/AB160-1</f>
        <v>2.7683693247450014E-2</v>
      </c>
      <c r="AD162" s="13">
        <f t="shared" si="4212"/>
        <v>8.6129050694404796E-2</v>
      </c>
      <c r="AE162" s="235" t="s">
        <v>290</v>
      </c>
      <c r="AF162" s="13">
        <f>+AF160/AD160-1</f>
        <v>0.13495404476250616</v>
      </c>
      <c r="AG162" s="13">
        <f>+AG160/AF160-1</f>
        <v>-6.1972614595245945E-3</v>
      </c>
      <c r="AH162" s="13">
        <f t="shared" ref="AH162:AI162" si="4213">+AH160/AG160-1</f>
        <v>0.11499883368322839</v>
      </c>
      <c r="AI162" s="13">
        <f t="shared" si="4213"/>
        <v>0.13559274755927486</v>
      </c>
      <c r="AJ162" s="235" t="s">
        <v>290</v>
      </c>
      <c r="AK162" s="13">
        <f>+AK160/AI160-1</f>
        <v>0.10183979759770079</v>
      </c>
      <c r="AL162" s="13">
        <f>+AL160/AK160-1</f>
        <v>3.1879082417460847E-3</v>
      </c>
      <c r="AM162" s="13">
        <f t="shared" ref="AM162:AN162" si="4214">+AM160/AL160-1</f>
        <v>0.16666666666666674</v>
      </c>
      <c r="AN162" s="13">
        <f t="shared" si="4214"/>
        <v>2.5961904761904853E-2</v>
      </c>
      <c r="AO162" s="235" t="s">
        <v>290</v>
      </c>
      <c r="AP162" s="13">
        <f>+AP160/AN160-1</f>
        <v>0.11393721107253585</v>
      </c>
      <c r="AQ162" s="13">
        <f>+AQ160/AP160-1</f>
        <v>1.2166666666666659E-2</v>
      </c>
      <c r="AR162" s="13">
        <f t="shared" ref="AR162:AS162" si="4215">+AR160/AQ160-1</f>
        <v>6.4992590153136742E-2</v>
      </c>
      <c r="AS162" s="13">
        <f t="shared" si="4215"/>
        <v>7.3720178734326014E-2</v>
      </c>
      <c r="AT162" s="235" t="s">
        <v>290</v>
      </c>
      <c r="AU162" s="13">
        <f>+AU160/AS160-1</f>
        <v>0.15096119231046146</v>
      </c>
      <c r="AV162" s="13">
        <f>+AV160/AU160-1</f>
        <v>-1.4381603558179967E-2</v>
      </c>
      <c r="AW162" s="13">
        <f t="shared" ref="AW162:AX162" si="4216">+AW160/AV160-1</f>
        <v>-3.2749844501709369E-3</v>
      </c>
      <c r="AX162" s="13">
        <f t="shared" si="4216"/>
        <v>1.512334280001526E-2</v>
      </c>
      <c r="AY162" s="235" t="s">
        <v>290</v>
      </c>
      <c r="AZ162" s="13">
        <f>+AZ160/AX160-1</f>
        <v>0.29658003852482495</v>
      </c>
      <c r="BA162" s="13">
        <f>+BA160/AZ160-1</f>
        <v>4.3327705351450252E-2</v>
      </c>
      <c r="BB162" s="13">
        <f t="shared" ref="BB162:BC162" si="4217">+BB160/BA160-1</f>
        <v>-7.7775572418085082E-3</v>
      </c>
      <c r="BC162" s="13">
        <f t="shared" si="4217"/>
        <v>2.0156413357019787E-4</v>
      </c>
      <c r="BD162" s="235" t="s">
        <v>290</v>
      </c>
      <c r="BE162" s="13">
        <f>+BE160/BC160-1</f>
        <v>8.3416072196938806E-2</v>
      </c>
      <c r="BF162" s="13">
        <f>+BF160/BE160-1</f>
        <v>-6.8196600966708432E-2</v>
      </c>
      <c r="BG162" s="13">
        <f t="shared" ref="BG162" si="4218">+BG160/BF160-1</f>
        <v>6.9313412164791588E-2</v>
      </c>
      <c r="BH162" s="13">
        <f t="shared" ref="BH162" si="4219">+BH160/BG160-1</f>
        <v>1.6910860177732578E-2</v>
      </c>
      <c r="BI162" s="235" t="s">
        <v>290</v>
      </c>
      <c r="BJ162" s="13">
        <f>+BJ160/BH160-1</f>
        <v>3.4841706330370537E-2</v>
      </c>
      <c r="BK162" s="13">
        <f>+BK160/BJ160-1</f>
        <v>-5.0020476597348873E-2</v>
      </c>
      <c r="BL162" s="13">
        <f t="shared" ref="BL162" si="4220">+BL160/BK160-1</f>
        <v>6.5176451232443311E-2</v>
      </c>
      <c r="BM162" s="13">
        <f t="shared" ref="BM162" si="4221">+BM160/BL160-1</f>
        <v>2.1311670534702953E-2</v>
      </c>
      <c r="BN162" s="235" t="s">
        <v>290</v>
      </c>
      <c r="BO162" s="13">
        <f>+BO160/BM160-1</f>
        <v>0.15913610556333313</v>
      </c>
      <c r="BP162" s="13">
        <f>+BP160/BO160-1</f>
        <v>-9.0870020775708604E-2</v>
      </c>
      <c r="BQ162" s="13">
        <f t="shared" ref="BQ162" si="4222">+BQ160/BP160-1</f>
        <v>9.1174174946916597E-2</v>
      </c>
      <c r="BR162" s="13">
        <f t="shared" ref="BR162" si="4223">+BR160/BQ160-1</f>
        <v>-5.1910416124412162E-4</v>
      </c>
      <c r="BS162" s="235" t="s">
        <v>290</v>
      </c>
      <c r="BT162" s="13">
        <f>+BT160/BR160-1</f>
        <v>0.11655381579254476</v>
      </c>
      <c r="BU162" s="13">
        <f>+BU160/BT160-1</f>
        <v>-7.5050734913462591E-2</v>
      </c>
      <c r="BV162" s="13">
        <f t="shared" ref="BV162" si="4224">+BV160/BU160-1</f>
        <v>7.417149835525616E-2</v>
      </c>
      <c r="BW162" s="13">
        <f t="shared" ref="BW162" si="4225">+BW160/BV160-1</f>
        <v>-1.2659742044773825E-4</v>
      </c>
      <c r="BX162" s="235" t="s">
        <v>290</v>
      </c>
      <c r="BY162" s="13">
        <f>+BY160/BW160-1</f>
        <v>0.11067684957171608</v>
      </c>
      <c r="BZ162" s="13">
        <f>+BZ160/BY160-1</f>
        <v>-8.201954635749531E-2</v>
      </c>
      <c r="CA162" s="13">
        <f t="shared" ref="CA162" si="4226">+CA160/BZ160-1</f>
        <v>8.379438910054704E-2</v>
      </c>
      <c r="CB162" s="13">
        <f t="shared" ref="CB162" si="4227">+CB160/CA160-1</f>
        <v>-4.3288655315768532E-3</v>
      </c>
      <c r="CC162" s="235" t="s">
        <v>290</v>
      </c>
      <c r="CD162" s="13">
        <f>+CD160/CB160-1</f>
        <v>0.10338520308483901</v>
      </c>
      <c r="CE162" s="13">
        <f>+CE160/CD160-1</f>
        <v>-7.8390987628485176E-2</v>
      </c>
      <c r="CF162" s="13">
        <f t="shared" ref="CF162" si="4228">+CF160/CE160-1</f>
        <v>8.0684920664201298E-2</v>
      </c>
      <c r="CG162" s="13">
        <f t="shared" ref="CG162" si="4229">+CG160/CF160-1</f>
        <v>-3.0319927805694258E-3</v>
      </c>
      <c r="CH162" s="235" t="s">
        <v>290</v>
      </c>
      <c r="CI162" s="13">
        <f>+CI160/CG160-1</f>
        <v>9.69729550315932E-2</v>
      </c>
      <c r="CJ162" s="13">
        <f>+CJ160/CI160-1</f>
        <v>-7.6086698396204633E-2</v>
      </c>
      <c r="CK162" s="13">
        <f t="shared" ref="CK162" si="4230">+CK160/CJ160-1</f>
        <v>7.9001650977514881E-2</v>
      </c>
      <c r="CL162" s="13">
        <f t="shared" ref="CL162" si="4231">+CL160/CK160-1</f>
        <v>-2.9465304904654488E-3</v>
      </c>
      <c r="CM162" s="235" t="s">
        <v>290</v>
      </c>
      <c r="CN162" s="13">
        <f>+CN160/CL160-1</f>
        <v>9.1384199689537038E-2</v>
      </c>
      <c r="CO162" s="13">
        <f>+CO160/CN160-1</f>
        <v>-7.3528236555121085E-2</v>
      </c>
      <c r="CP162" s="13">
        <f t="shared" ref="CP162" si="4232">+CP160/CO160-1</f>
        <v>7.6893585951704146E-2</v>
      </c>
      <c r="CQ162" s="13">
        <f t="shared" ref="CQ162" si="4233">+CQ160/CP160-1</f>
        <v>-2.3835412886207274E-3</v>
      </c>
      <c r="CR162" s="235" t="s">
        <v>290</v>
      </c>
      <c r="CS162" s="13">
        <f>+CS160/CQ160-1</f>
        <v>8.6430207629545786E-2</v>
      </c>
      <c r="CT162" s="13">
        <f>+CT160/CS160-1</f>
        <v>-7.1403553517930707E-2</v>
      </c>
      <c r="CU162" s="13">
        <f t="shared" ref="CU162" si="4234">+CU160/CT160-1</f>
        <v>7.5193578528954808E-2</v>
      </c>
      <c r="CV162" s="13">
        <f t="shared" ref="CV162" si="4235">+CV160/CU160-1</f>
        <v>-2.1216478887046142E-3</v>
      </c>
      <c r="CW162" s="235" t="s">
        <v>290</v>
      </c>
      <c r="CX162" s="13">
        <f>+CX160/CV160-1</f>
        <v>8.2027817116334445E-2</v>
      </c>
      <c r="CY162" s="13">
        <f>+CY160/CX160-1</f>
        <v>-6.9341925718736763E-2</v>
      </c>
      <c r="CZ162" s="13">
        <f t="shared" ref="CZ162" si="4236">+CZ160/CY160-1</f>
        <v>7.3481368907178712E-2</v>
      </c>
      <c r="DA162" s="13">
        <f t="shared" ref="DA162" si="4237">+DA160/CZ160-1</f>
        <v>-1.7810972408762726E-3</v>
      </c>
      <c r="DB162" s="235" t="s">
        <v>290</v>
      </c>
    </row>
    <row r="163" spans="1:106">
      <c r="A163" s="117" t="s">
        <v>302</v>
      </c>
      <c r="B163" s="13">
        <f t="shared" ref="B163:AC163" si="4238">+B160/B67</f>
        <v>6.8181818181818177E-2</v>
      </c>
      <c r="C163" s="13">
        <f t="shared" si="4238"/>
        <v>6.9230769230769235E-2</v>
      </c>
      <c r="D163" s="13">
        <f t="shared" si="4238"/>
        <v>0.1</v>
      </c>
      <c r="E163" s="13">
        <f t="shared" si="4238"/>
        <v>0.126</v>
      </c>
      <c r="F163" s="239">
        <f t="shared" si="4238"/>
        <v>9.2448759439050704E-2</v>
      </c>
      <c r="G163" s="13">
        <f t="shared" si="4238"/>
        <v>0.10909090909090909</v>
      </c>
      <c r="H163" s="13">
        <f t="shared" si="4238"/>
        <v>0.1206896551724138</v>
      </c>
      <c r="I163" s="13">
        <f t="shared" si="4238"/>
        <v>0.19402985074626866</v>
      </c>
      <c r="J163" s="13">
        <f t="shared" si="4238"/>
        <v>0.21917808219178081</v>
      </c>
      <c r="K163" s="239">
        <f t="shared" si="4238"/>
        <v>0.16600790513833993</v>
      </c>
      <c r="L163" s="13">
        <f t="shared" si="4238"/>
        <v>0.23950617283950618</v>
      </c>
      <c r="M163" s="13">
        <f t="shared" si="4238"/>
        <v>0.23499999999999999</v>
      </c>
      <c r="N163" s="13">
        <f t="shared" si="4238"/>
        <v>0.26190476190476192</v>
      </c>
      <c r="O163" s="13">
        <f t="shared" si="4238"/>
        <v>0.25261904761904763</v>
      </c>
      <c r="P163" s="239">
        <f t="shared" si="4238"/>
        <v>0.2474772036474164</v>
      </c>
      <c r="Q163" s="13">
        <f>+Q160/Q67</f>
        <v>0.30111771700356721</v>
      </c>
      <c r="R163" s="13">
        <f>+R160/R67</f>
        <v>0.35227651966626938</v>
      </c>
      <c r="S163" s="13">
        <f t="shared" si="4238"/>
        <v>0.37232335329341315</v>
      </c>
      <c r="T163" s="13">
        <f t="shared" si="4238"/>
        <v>0.37140176600441499</v>
      </c>
      <c r="U163" s="239">
        <f t="shared" si="4238"/>
        <v>0.34965799473838061</v>
      </c>
      <c r="V163" s="13">
        <f t="shared" si="4238"/>
        <v>0.35166044776119404</v>
      </c>
      <c r="W163" s="13">
        <f t="shared" si="4238"/>
        <v>0.3746546830652791</v>
      </c>
      <c r="X163" s="13">
        <f t="shared" si="4238"/>
        <v>0.42482688391038698</v>
      </c>
      <c r="Y163" s="13">
        <f t="shared" si="4238"/>
        <v>0.42407906558849956</v>
      </c>
      <c r="Z163" s="239">
        <f t="shared" si="4238"/>
        <v>0.39350615530303029</v>
      </c>
      <c r="AA163" s="13">
        <f>+AA160/AA67</f>
        <v>0.3923464566929134</v>
      </c>
      <c r="AB163" s="13">
        <f t="shared" si="4238"/>
        <v>0.41357894736842105</v>
      </c>
      <c r="AC163" s="13">
        <f t="shared" si="4238"/>
        <v>0.4162648691514671</v>
      </c>
      <c r="AD163" s="13">
        <f>+AD160/AD67</f>
        <v>0.43712784512807068</v>
      </c>
      <c r="AE163" s="239">
        <f>+AE160/AE67</f>
        <v>0.41498620182493112</v>
      </c>
      <c r="AF163" s="118">
        <f>64706/AF67</f>
        <v>0.43828142141714632</v>
      </c>
      <c r="AG163" s="118">
        <f>64305/AG67</f>
        <v>0.43673966300769318</v>
      </c>
      <c r="AH163" s="118">
        <f>71700/AH67</f>
        <v>0.43615374057539485</v>
      </c>
      <c r="AI163" s="118">
        <f>81422/AI67</f>
        <v>0.46512194300663334</v>
      </c>
      <c r="AJ163" s="239">
        <f>+AJ160/AJ67</f>
        <v>0.44477937938497508</v>
      </c>
      <c r="AK163" s="118">
        <f>89714/AK67</f>
        <v>0.42762728577759468</v>
      </c>
      <c r="AL163" s="118">
        <f>93000/AL67</f>
        <v>0.41389667946131564</v>
      </c>
      <c r="AM163" s="118">
        <f>105000/AM67</f>
        <v>0.43142488606167739</v>
      </c>
      <c r="AN163" s="118">
        <f>107726/AN67</f>
        <v>0.42795882485332437</v>
      </c>
      <c r="AO163" s="239">
        <f>+AO160/AO67</f>
        <v>0.42216522673350976</v>
      </c>
      <c r="AP163" s="118">
        <f>120000/AP67</f>
        <v>0.41774361474561816</v>
      </c>
      <c r="AQ163" s="118">
        <f>121460/AQ67</f>
        <v>0.42634737593265243</v>
      </c>
      <c r="AR163" s="118">
        <f>129354/AR67</f>
        <v>0.44814986700818765</v>
      </c>
      <c r="AS163" s="118">
        <f>138890/AS67</f>
        <v>0.45948399130802736</v>
      </c>
      <c r="AT163" s="239">
        <f>+AT160/AT67</f>
        <v>0.43824525833563843</v>
      </c>
      <c r="AU163" s="118">
        <f>159857/AU67</f>
        <v>0.50991119412882813</v>
      </c>
      <c r="AV163" s="118">
        <f>157558/AV67</f>
        <v>0.51260623389004301</v>
      </c>
      <c r="AW163" s="118">
        <f>157042/AW67</f>
        <v>0.50741115150823579</v>
      </c>
      <c r="AX163" s="118">
        <f>159417/AX67</f>
        <v>0.50703667084311044</v>
      </c>
      <c r="AY163" s="239">
        <f>+AY160/AY67</f>
        <v>0.50922900803069404</v>
      </c>
      <c r="AZ163" s="118">
        <v>0.59699999999999998</v>
      </c>
      <c r="BA163" s="118">
        <v>0.61799999999999999</v>
      </c>
      <c r="BB163" s="118">
        <v>0.61299999999999999</v>
      </c>
      <c r="BC163" s="118">
        <v>0.61399999999999999</v>
      </c>
      <c r="BD163" s="239">
        <f>+BD160/BD67</f>
        <v>0.61052564909858686</v>
      </c>
      <c r="BE163" s="118">
        <v>0.61</v>
      </c>
      <c r="BF163" s="118">
        <v>0.57999999999999996</v>
      </c>
      <c r="BG163" s="118">
        <v>0.62</v>
      </c>
      <c r="BH163" s="118">
        <v>0.63500000000000001</v>
      </c>
      <c r="BI163" s="239">
        <f>+BI160/BI67</f>
        <v>0.61120419321549191</v>
      </c>
      <c r="BJ163" s="118">
        <f>+BE163+0</f>
        <v>0.61</v>
      </c>
      <c r="BK163" s="118">
        <f>+BF163+0</f>
        <v>0.57999999999999996</v>
      </c>
      <c r="BL163" s="118">
        <f>+BG163+0.005</f>
        <v>0.625</v>
      </c>
      <c r="BM163" s="118">
        <f>+BH163-0.005</f>
        <v>0.63</v>
      </c>
      <c r="BN163" s="239">
        <f>+BN160/BN67</f>
        <v>0.61121726999498882</v>
      </c>
      <c r="BO163" s="118">
        <v>0.63</v>
      </c>
      <c r="BP163" s="118">
        <v>0.6</v>
      </c>
      <c r="BQ163" s="118">
        <v>0.64</v>
      </c>
      <c r="BR163" s="118">
        <v>0.64400000000000002</v>
      </c>
      <c r="BS163" s="239">
        <f>+BS160/BS67</f>
        <v>0.62864315958067374</v>
      </c>
      <c r="BT163" s="118">
        <f>+BO163+0.01</f>
        <v>0.64</v>
      </c>
      <c r="BU163" s="118">
        <f t="shared" ref="BU163" si="4239">+BP163+0.01</f>
        <v>0.61</v>
      </c>
      <c r="BV163" s="118">
        <f t="shared" ref="BV163" si="4240">+BQ163+0.01</f>
        <v>0.65</v>
      </c>
      <c r="BW163" s="118">
        <f t="shared" ref="BW163" si="4241">+BR163+0.01</f>
        <v>0.65400000000000003</v>
      </c>
      <c r="BX163" s="239">
        <f>+BX160/BX67</f>
        <v>0.6385410894414143</v>
      </c>
      <c r="BY163" s="118">
        <f>+BT163+0.01</f>
        <v>0.65</v>
      </c>
      <c r="BZ163" s="118">
        <f t="shared" ref="BZ163" si="4242">+BU163+0.01</f>
        <v>0.62</v>
      </c>
      <c r="CA163" s="118">
        <f t="shared" ref="CA163" si="4243">+BV163+0.01</f>
        <v>0.66</v>
      </c>
      <c r="CB163" s="118">
        <f t="shared" ref="CB163" si="4244">+BW163+0.01</f>
        <v>0.66400000000000003</v>
      </c>
      <c r="CC163" s="239">
        <f>+CC160/CC67</f>
        <v>0.64859461938523311</v>
      </c>
      <c r="CD163" s="118">
        <f>+BY163+0.01</f>
        <v>0.66</v>
      </c>
      <c r="CE163" s="118">
        <f t="shared" ref="CE163" si="4245">+BZ163+0.01</f>
        <v>0.63</v>
      </c>
      <c r="CF163" s="118">
        <f t="shared" ref="CF163" si="4246">+CA163+0.01</f>
        <v>0.67</v>
      </c>
      <c r="CG163" s="118">
        <f t="shared" ref="CG163" si="4247">+CB163+0.01</f>
        <v>0.67400000000000004</v>
      </c>
      <c r="CH163" s="239">
        <f>+CH160/CH67</f>
        <v>0.65858601988572496</v>
      </c>
      <c r="CI163" s="118">
        <f>+CD163+0.01</f>
        <v>0.67</v>
      </c>
      <c r="CJ163" s="118">
        <f t="shared" ref="CJ163" si="4248">+CE163+0.01</f>
        <v>0.64</v>
      </c>
      <c r="CK163" s="118">
        <f t="shared" ref="CK163" si="4249">+CF163+0.01</f>
        <v>0.68</v>
      </c>
      <c r="CL163" s="118">
        <f t="shared" ref="CL163" si="4250">+CG163+0.01</f>
        <v>0.68400000000000005</v>
      </c>
      <c r="CM163" s="239">
        <f>+CM160/CM67</f>
        <v>0.6685818555908094</v>
      </c>
      <c r="CN163" s="118">
        <f>+CI163+0.01</f>
        <v>0.68</v>
      </c>
      <c r="CO163" s="118">
        <f t="shared" ref="CO163" si="4251">+CJ163+0.01</f>
        <v>0.65</v>
      </c>
      <c r="CP163" s="118">
        <f t="shared" ref="CP163" si="4252">+CK163+0.01</f>
        <v>0.69000000000000006</v>
      </c>
      <c r="CQ163" s="118">
        <f t="shared" ref="CQ163" si="4253">+CL163+0.01</f>
        <v>0.69400000000000006</v>
      </c>
      <c r="CR163" s="239">
        <f>+CR160/CR67</f>
        <v>0.67857656618826701</v>
      </c>
      <c r="CS163" s="118">
        <f>+CN163+0.01</f>
        <v>0.69000000000000006</v>
      </c>
      <c r="CT163" s="118">
        <f t="shared" ref="CT163" si="4254">+CO163+0.01</f>
        <v>0.66</v>
      </c>
      <c r="CU163" s="118">
        <f t="shared" ref="CU163" si="4255">+CP163+0.01</f>
        <v>0.70000000000000007</v>
      </c>
      <c r="CV163" s="118">
        <f t="shared" ref="CV163" si="4256">+CQ163+0.01</f>
        <v>0.70400000000000007</v>
      </c>
      <c r="CW163" s="239">
        <f>+CW160/CW67</f>
        <v>0.68857260755594951</v>
      </c>
      <c r="CX163" s="118">
        <f>+CS163+0.01</f>
        <v>0.70000000000000007</v>
      </c>
      <c r="CY163" s="118">
        <f t="shared" ref="CY163" si="4257">+CT163+0.01</f>
        <v>0.67</v>
      </c>
      <c r="CZ163" s="118">
        <f t="shared" ref="CZ163" si="4258">+CU163+0.01</f>
        <v>0.71000000000000008</v>
      </c>
      <c r="DA163" s="118">
        <f t="shared" ref="DA163" si="4259">+CV163+0.01</f>
        <v>0.71400000000000008</v>
      </c>
      <c r="DB163" s="239">
        <f>+DB160/DB67</f>
        <v>0.69856869532209631</v>
      </c>
    </row>
    <row r="164" spans="1:106">
      <c r="F164" s="217"/>
      <c r="K164" s="217"/>
      <c r="P164" s="217"/>
      <c r="U164" s="217"/>
      <c r="Z164" s="217"/>
      <c r="AE164" s="217"/>
      <c r="AJ164" s="217"/>
      <c r="AO164" s="217"/>
      <c r="AT164" s="217"/>
      <c r="AY164" s="217"/>
      <c r="BD164" s="217"/>
      <c r="BI164" s="217"/>
      <c r="BN164" s="217"/>
      <c r="BS164" s="217"/>
      <c r="BX164" s="217"/>
      <c r="CC164" s="217"/>
      <c r="CH164" s="217"/>
      <c r="CM164" s="217"/>
      <c r="CR164" s="217"/>
      <c r="CW164" s="217"/>
      <c r="DB164" s="217"/>
    </row>
    <row r="165" spans="1:106" s="51" customFormat="1">
      <c r="A165" s="51" t="s">
        <v>289</v>
      </c>
      <c r="B165" s="226">
        <f>+B169/B160*1000000</f>
        <v>1259.2592592592591</v>
      </c>
      <c r="C165" s="226">
        <f>+C169/C160*1000000</f>
        <v>1388.8888888888889</v>
      </c>
      <c r="D165" s="226">
        <f>+D169/D160*1000000</f>
        <v>1163.2653061224489</v>
      </c>
      <c r="E165" s="226">
        <f>+E169/E160*1000000</f>
        <v>968.2539682539682</v>
      </c>
      <c r="F165" s="236">
        <f t="shared" ref="F165" si="4260">+F169/F160*1000000</f>
        <v>1149.3582263710618</v>
      </c>
      <c r="G165" s="226">
        <f>+G169/G160*1000000</f>
        <v>1116.6666666666667</v>
      </c>
      <c r="H165" s="226">
        <f>+H169/H160*1000000</f>
        <v>771.42857142857144</v>
      </c>
      <c r="I165" s="226">
        <f>+I169/I160*1000000</f>
        <v>453.84615384615387</v>
      </c>
      <c r="J165" s="226">
        <f>+J169/J160*1000000</f>
        <v>506.25</v>
      </c>
      <c r="K165" s="236">
        <f t="shared" ref="K165:O165" si="4261">+K169/K160*1000000</f>
        <v>621.42857142857144</v>
      </c>
      <c r="L165" s="226">
        <f t="shared" si="4261"/>
        <v>969.07216494845363</v>
      </c>
      <c r="M165" s="226">
        <f t="shared" si="4261"/>
        <v>845.74468085106389</v>
      </c>
      <c r="N165" s="226">
        <f t="shared" si="4261"/>
        <v>554.5454545454545</v>
      </c>
      <c r="O165" s="226">
        <f t="shared" si="4261"/>
        <v>532.51649387370412</v>
      </c>
      <c r="P165" s="236">
        <f t="shared" ref="P165" si="4262">+P169/P160*1000000</f>
        <v>714.81208548268251</v>
      </c>
      <c r="Q165" s="226">
        <v>495</v>
      </c>
      <c r="R165" s="226">
        <v>542</v>
      </c>
      <c r="S165" s="226">
        <v>569</v>
      </c>
      <c r="T165" s="226">
        <v>474</v>
      </c>
      <c r="U165" s="236">
        <f t="shared" ref="U165" si="4263">+U169/U160*1000000</f>
        <v>519.93846243876339</v>
      </c>
      <c r="V165" s="226">
        <v>492</v>
      </c>
      <c r="W165" s="226">
        <v>540</v>
      </c>
      <c r="X165" s="226">
        <v>554</v>
      </c>
      <c r="Y165" s="226">
        <v>520</v>
      </c>
      <c r="Z165" s="236">
        <f t="shared" ref="Z165" si="4264">+Z169/Z160*1000000</f>
        <v>526.94807390339145</v>
      </c>
      <c r="AA165" s="226">
        <v>456</v>
      </c>
      <c r="AB165" s="226">
        <v>469</v>
      </c>
      <c r="AC165" s="226">
        <v>478</v>
      </c>
      <c r="AD165" s="226">
        <v>486</v>
      </c>
      <c r="AE165" s="236">
        <f t="shared" ref="AE165" si="4265">+AE169/AE160*1000000</f>
        <v>472.77295064826433</v>
      </c>
      <c r="AF165" s="226">
        <v>500</v>
      </c>
      <c r="AG165" s="226">
        <v>430</v>
      </c>
      <c r="AH165" s="226">
        <v>450</v>
      </c>
      <c r="AI165" s="226">
        <v>490</v>
      </c>
      <c r="AJ165" s="236">
        <f t="shared" ref="AJ165" si="4266">+AJ169/AJ160*1000000</f>
        <v>468.45257378612212</v>
      </c>
      <c r="AK165" s="226">
        <v>455</v>
      </c>
      <c r="AL165" s="226">
        <v>460</v>
      </c>
      <c r="AM165" s="226">
        <v>485</v>
      </c>
      <c r="AN165" s="226">
        <v>475</v>
      </c>
      <c r="AO165" s="236">
        <f t="shared" ref="AO165" si="4267">+AO169/AO160*1000000</f>
        <v>469.66343899704412</v>
      </c>
      <c r="AP165" s="226">
        <v>475</v>
      </c>
      <c r="AQ165" s="226">
        <v>445</v>
      </c>
      <c r="AR165" s="226">
        <v>410</v>
      </c>
      <c r="AS165" s="226">
        <v>360</v>
      </c>
      <c r="AT165" s="236">
        <f t="shared" ref="AT165" si="4268">+AT169/AT160*1000000</f>
        <v>420.01875598386516</v>
      </c>
      <c r="AU165" s="226">
        <v>380</v>
      </c>
      <c r="AV165" s="226">
        <v>380</v>
      </c>
      <c r="AW165" s="226">
        <v>416</v>
      </c>
      <c r="AX165" s="226">
        <v>432</v>
      </c>
      <c r="AY165" s="236">
        <f t="shared" ref="AY165" si="4269">+AY169/AY160*1000000</f>
        <v>401.99679431558957</v>
      </c>
      <c r="AZ165" s="226">
        <v>470</v>
      </c>
      <c r="BA165" s="226">
        <v>445</v>
      </c>
      <c r="BB165" s="226">
        <v>445</v>
      </c>
      <c r="BC165" s="226">
        <v>480</v>
      </c>
      <c r="BD165" s="236">
        <f t="shared" ref="BD165" si="4270">+BD169/BD160*1000000</f>
        <v>459.88583354879898</v>
      </c>
      <c r="BE165" s="226">
        <v>435</v>
      </c>
      <c r="BF165" s="226">
        <v>435</v>
      </c>
      <c r="BG165" s="226">
        <v>440</v>
      </c>
      <c r="BH165" s="226">
        <v>480</v>
      </c>
      <c r="BI165" s="236">
        <f t="shared" ref="BI165" si="4271">+BI169/BI160*1000000</f>
        <v>447.83232155631669</v>
      </c>
      <c r="BJ165" s="226">
        <v>400</v>
      </c>
      <c r="BK165" s="226">
        <v>450</v>
      </c>
      <c r="BL165" s="226">
        <v>450</v>
      </c>
      <c r="BM165" s="226">
        <v>450</v>
      </c>
      <c r="BN165" s="236">
        <f t="shared" ref="BN165" si="4272">+BN169/BN160*1000000</f>
        <v>437.48540907776669</v>
      </c>
      <c r="BO165" s="226">
        <v>427</v>
      </c>
      <c r="BP165" s="226">
        <v>427</v>
      </c>
      <c r="BQ165" s="226">
        <v>427</v>
      </c>
      <c r="BR165" s="226">
        <v>427</v>
      </c>
      <c r="BS165" s="236">
        <f t="shared" ref="BS165" si="4273">+BS169/BS160*1000000</f>
        <v>426.99999999999994</v>
      </c>
      <c r="BT165" s="226">
        <f>+BO165+2</f>
        <v>429</v>
      </c>
      <c r="BU165" s="226">
        <f t="shared" ref="BU165" si="4274">+BP165+2</f>
        <v>429</v>
      </c>
      <c r="BV165" s="226">
        <f t="shared" ref="BV165" si="4275">+BQ165+2</f>
        <v>429</v>
      </c>
      <c r="BW165" s="226">
        <f t="shared" ref="BW165" si="4276">+BR165+2</f>
        <v>429</v>
      </c>
      <c r="BX165" s="236">
        <f t="shared" ref="BX165" si="4277">+BX169/BX160*1000000</f>
        <v>428.99999999999994</v>
      </c>
      <c r="BY165" s="226">
        <f>+BT165+2</f>
        <v>431</v>
      </c>
      <c r="BZ165" s="226">
        <f t="shared" ref="BZ165" si="4278">+BU165+2</f>
        <v>431</v>
      </c>
      <c r="CA165" s="226">
        <f t="shared" ref="CA165" si="4279">+BV165+2</f>
        <v>431</v>
      </c>
      <c r="CB165" s="226">
        <f t="shared" ref="CB165" si="4280">+BW165+2</f>
        <v>431</v>
      </c>
      <c r="CC165" s="236">
        <f t="shared" ref="CC165" si="4281">+CC169/CC160*1000000</f>
        <v>430.99999999999994</v>
      </c>
      <c r="CD165" s="226">
        <f>+BY165+2</f>
        <v>433</v>
      </c>
      <c r="CE165" s="226">
        <f t="shared" ref="CE165" si="4282">+BZ165+2</f>
        <v>433</v>
      </c>
      <c r="CF165" s="226">
        <f t="shared" ref="CF165" si="4283">+CA165+2</f>
        <v>433</v>
      </c>
      <c r="CG165" s="226">
        <f t="shared" ref="CG165" si="4284">+CB165+2</f>
        <v>433</v>
      </c>
      <c r="CH165" s="236">
        <f t="shared" ref="CH165" si="4285">+CH169/CH160*1000000</f>
        <v>432.99999999999994</v>
      </c>
      <c r="CI165" s="226">
        <f>+CD165+2</f>
        <v>435</v>
      </c>
      <c r="CJ165" s="226">
        <f t="shared" ref="CJ165" si="4286">+CE165+2</f>
        <v>435</v>
      </c>
      <c r="CK165" s="226">
        <f t="shared" ref="CK165" si="4287">+CF165+2</f>
        <v>435</v>
      </c>
      <c r="CL165" s="226">
        <f t="shared" ref="CL165" si="4288">+CG165+2</f>
        <v>435</v>
      </c>
      <c r="CM165" s="236">
        <f t="shared" ref="CM165" si="4289">+CM169/CM160*1000000</f>
        <v>435</v>
      </c>
      <c r="CN165" s="226">
        <f>+CI165+2</f>
        <v>437</v>
      </c>
      <c r="CO165" s="226">
        <f t="shared" ref="CO165" si="4290">+CJ165+2</f>
        <v>437</v>
      </c>
      <c r="CP165" s="226">
        <f t="shared" ref="CP165" si="4291">+CK165+2</f>
        <v>437</v>
      </c>
      <c r="CQ165" s="226">
        <f t="shared" ref="CQ165" si="4292">+CL165+2</f>
        <v>437</v>
      </c>
      <c r="CR165" s="236">
        <f t="shared" ref="CR165" si="4293">+CR169/CR160*1000000</f>
        <v>437</v>
      </c>
      <c r="CS165" s="226">
        <f>+CN165+2</f>
        <v>439</v>
      </c>
      <c r="CT165" s="226">
        <f t="shared" ref="CT165" si="4294">+CO165+2</f>
        <v>439</v>
      </c>
      <c r="CU165" s="226">
        <f t="shared" ref="CU165" si="4295">+CP165+2</f>
        <v>439</v>
      </c>
      <c r="CV165" s="226">
        <f t="shared" ref="CV165" si="4296">+CQ165+2</f>
        <v>439</v>
      </c>
      <c r="CW165" s="236">
        <f t="shared" ref="CW165" si="4297">+CW169/CW160*1000000</f>
        <v>439.00000000000006</v>
      </c>
      <c r="CX165" s="226">
        <f>+CS165+2</f>
        <v>441</v>
      </c>
      <c r="CY165" s="226">
        <f t="shared" ref="CY165" si="4298">+CT165+2</f>
        <v>441</v>
      </c>
      <c r="CZ165" s="226">
        <f t="shared" ref="CZ165" si="4299">+CU165+2</f>
        <v>441</v>
      </c>
      <c r="DA165" s="226">
        <f t="shared" ref="DA165" si="4300">+CV165+2</f>
        <v>441</v>
      </c>
      <c r="DB165" s="236">
        <f t="shared" ref="DB165" si="4301">+DB169/DB160*1000000</f>
        <v>440.99999999999994</v>
      </c>
    </row>
    <row r="166" spans="1:106">
      <c r="A166" s="117" t="s">
        <v>281</v>
      </c>
      <c r="B166" s="119" t="s">
        <v>290</v>
      </c>
      <c r="C166" s="119" t="s">
        <v>290</v>
      </c>
      <c r="D166" s="119" t="s">
        <v>290</v>
      </c>
      <c r="E166" s="119" t="s">
        <v>290</v>
      </c>
      <c r="F166" s="235" t="s">
        <v>290</v>
      </c>
      <c r="G166" s="13">
        <f>+G165/B165-1</f>
        <v>-0.11323529411764688</v>
      </c>
      <c r="H166" s="13">
        <f t="shared" ref="H166" si="4302">+H165/C165-1</f>
        <v>-0.44457142857142862</v>
      </c>
      <c r="I166" s="13">
        <f t="shared" ref="I166" si="4303">+I165/D165-1</f>
        <v>-0.60985155195681506</v>
      </c>
      <c r="J166" s="13">
        <f t="shared" ref="J166" si="4304">+J165/E165-1</f>
        <v>-0.4771516393442623</v>
      </c>
      <c r="K166" s="239">
        <f t="shared" ref="K166" si="4305">+K165/F165-1</f>
        <v>-0.45932559825960839</v>
      </c>
      <c r="L166" s="13">
        <f>+L165/G165-1</f>
        <v>-0.13217418064317588</v>
      </c>
      <c r="M166" s="13">
        <f t="shared" ref="M166" si="4306">+M165/H165-1</f>
        <v>9.6335697399527298E-2</v>
      </c>
      <c r="N166" s="13">
        <f t="shared" ref="N166" si="4307">+N165/I165-1</f>
        <v>0.22187981510015398</v>
      </c>
      <c r="O166" s="13">
        <f t="shared" ref="O166" si="4308">+O165/J165-1</f>
        <v>5.1884432343119347E-2</v>
      </c>
      <c r="P166" s="239">
        <f t="shared" ref="P166" si="4309">+P165/K165-1</f>
        <v>0.15027232146638569</v>
      </c>
      <c r="Q166" s="13">
        <f>+Q165/L165-1</f>
        <v>-0.48920212765957449</v>
      </c>
      <c r="R166" s="13">
        <f t="shared" ref="R166" si="4310">+R165/M165-1</f>
        <v>-0.35914465408805041</v>
      </c>
      <c r="S166" s="13">
        <f t="shared" ref="S166" si="4311">+S165/N165-1</f>
        <v>2.606557377049179E-2</v>
      </c>
      <c r="T166" s="13">
        <f t="shared" ref="T166" si="4312">+T165/O165-1</f>
        <v>-0.10988672566371693</v>
      </c>
      <c r="U166" s="239">
        <f t="shared" ref="U166" si="4313">+U165/P165-1</f>
        <v>-0.27262217161917335</v>
      </c>
      <c r="V166" s="13">
        <f>+V165/Q165-1</f>
        <v>-6.0606060606060996E-3</v>
      </c>
      <c r="W166" s="13">
        <f t="shared" ref="W166" si="4314">+W165/R165-1</f>
        <v>-3.6900369003689537E-3</v>
      </c>
      <c r="X166" s="13">
        <f t="shared" ref="X166" si="4315">+X165/S165-1</f>
        <v>-2.6362038664323406E-2</v>
      </c>
      <c r="Y166" s="13">
        <f t="shared" ref="Y166" si="4316">+Y165/T165-1</f>
        <v>9.704641350210963E-2</v>
      </c>
      <c r="Z166" s="239">
        <f t="shared" ref="Z166" si="4317">+Z165/U165-1</f>
        <v>1.3481617481710284E-2</v>
      </c>
      <c r="AA166" s="13">
        <f>+AA165/V165-1</f>
        <v>-7.3170731707317027E-2</v>
      </c>
      <c r="AB166" s="13">
        <f t="shared" ref="AB166" si="4318">+AB165/W165-1</f>
        <v>-0.13148148148148153</v>
      </c>
      <c r="AC166" s="13">
        <f t="shared" ref="AC166:AF166" si="4319">+AC165/X165-1</f>
        <v>-0.13718411552346566</v>
      </c>
      <c r="AD166" s="13">
        <f t="shared" si="4319"/>
        <v>-6.5384615384615374E-2</v>
      </c>
      <c r="AE166" s="239">
        <f t="shared" si="4319"/>
        <v>-0.10280922530719672</v>
      </c>
      <c r="AF166" s="13">
        <f t="shared" si="4319"/>
        <v>9.6491228070175517E-2</v>
      </c>
      <c r="AG166" s="13">
        <f t="shared" ref="AG166" si="4320">+AG165/AB165-1</f>
        <v>-8.3155650319829411E-2</v>
      </c>
      <c r="AH166" s="13">
        <f t="shared" ref="AH166" si="4321">+AH165/AC165-1</f>
        <v>-5.8577405857740628E-2</v>
      </c>
      <c r="AI166" s="13">
        <f t="shared" ref="AI166:AJ166" si="4322">+AI165/AD165-1</f>
        <v>8.2304526748970819E-3</v>
      </c>
      <c r="AJ166" s="239">
        <f t="shared" si="4322"/>
        <v>-9.1383757387518694E-3</v>
      </c>
      <c r="AK166" s="13">
        <f t="shared" ref="AK166" si="4323">+AK165/AF165-1</f>
        <v>-8.9999999999999969E-2</v>
      </c>
      <c r="AL166" s="13">
        <f t="shared" ref="AL166" si="4324">+AL165/AG165-1</f>
        <v>6.9767441860465018E-2</v>
      </c>
      <c r="AM166" s="13">
        <f t="shared" ref="AM166" si="4325">+AM165/AH165-1</f>
        <v>7.7777777777777724E-2</v>
      </c>
      <c r="AN166" s="13">
        <f t="shared" ref="AN166" si="4326">+AN165/AI165-1</f>
        <v>-3.0612244897959218E-2</v>
      </c>
      <c r="AO166" s="239">
        <f t="shared" ref="AO166" si="4327">+AO165/AJ165-1</f>
        <v>2.5848192083470778E-3</v>
      </c>
      <c r="AP166" s="13">
        <f t="shared" ref="AP166" si="4328">+AP165/AK165-1</f>
        <v>4.3956043956044022E-2</v>
      </c>
      <c r="AQ166" s="13">
        <f t="shared" ref="AQ166" si="4329">+AQ165/AL165-1</f>
        <v>-3.2608695652173947E-2</v>
      </c>
      <c r="AR166" s="13">
        <f t="shared" ref="AR166" si="4330">+AR165/AM165-1</f>
        <v>-0.15463917525773196</v>
      </c>
      <c r="AS166" s="13">
        <f t="shared" ref="AS166" si="4331">+AS165/AN165-1</f>
        <v>-0.24210526315789471</v>
      </c>
      <c r="AT166" s="239">
        <f t="shared" ref="AT166" si="4332">+AT165/AO165-1</f>
        <v>-0.10570267747303064</v>
      </c>
      <c r="AU166" s="13">
        <f t="shared" ref="AU166" si="4333">+AU165/AP165-1</f>
        <v>-0.19999999999999996</v>
      </c>
      <c r="AV166" s="13">
        <f t="shared" ref="AV166" si="4334">+AV165/AQ165-1</f>
        <v>-0.1460674157303371</v>
      </c>
      <c r="AW166" s="13">
        <f t="shared" ref="AW166" si="4335">+AW165/AR165-1</f>
        <v>1.4634146341463428E-2</v>
      </c>
      <c r="AX166" s="13">
        <f t="shared" ref="AX166" si="4336">+AX165/AS165-1</f>
        <v>0.19999999999999996</v>
      </c>
      <c r="AY166" s="239">
        <f t="shared" ref="AY166" si="4337">+AY165/AT165-1</f>
        <v>-4.2907516418071334E-2</v>
      </c>
      <c r="AZ166" s="13">
        <f t="shared" ref="AZ166" si="4338">+AZ165/AU165-1</f>
        <v>0.23684210526315796</v>
      </c>
      <c r="BA166" s="13">
        <f t="shared" ref="BA166" si="4339">+BA165/AV165-1</f>
        <v>0.17105263157894735</v>
      </c>
      <c r="BB166" s="13">
        <f t="shared" ref="BB166" si="4340">+BB165/AW165-1</f>
        <v>6.9711538461538547E-2</v>
      </c>
      <c r="BC166" s="13">
        <f t="shared" ref="BC166" si="4341">+BC165/AX165-1</f>
        <v>0.11111111111111116</v>
      </c>
      <c r="BD166" s="239">
        <f t="shared" ref="BD166" si="4342">+BD165/AY165-1</f>
        <v>0.1440037334918729</v>
      </c>
      <c r="BE166" s="13">
        <f t="shared" ref="BE166" si="4343">+BE165/AZ165-1</f>
        <v>-7.4468085106383031E-2</v>
      </c>
      <c r="BF166" s="13">
        <f t="shared" ref="BF166" si="4344">+BF165/BA165-1</f>
        <v>-2.2471910112359605E-2</v>
      </c>
      <c r="BG166" s="13">
        <f t="shared" ref="BG166" si="4345">+BG165/BB165-1</f>
        <v>-1.1235955056179803E-2</v>
      </c>
      <c r="BH166" s="13">
        <f t="shared" ref="BH166" si="4346">+BH165/BC165-1</f>
        <v>0</v>
      </c>
      <c r="BI166" s="239">
        <f t="shared" ref="BI166" si="4347">+BI165/BD165-1</f>
        <v>-2.6209791894368673E-2</v>
      </c>
      <c r="BJ166" s="13">
        <f t="shared" ref="BJ166" si="4348">+BJ165/BE165-1</f>
        <v>-8.0459770114942541E-2</v>
      </c>
      <c r="BK166" s="13">
        <f t="shared" ref="BK166" si="4349">+BK165/BF165-1</f>
        <v>3.4482758620689724E-2</v>
      </c>
      <c r="BL166" s="13">
        <f t="shared" ref="BL166" si="4350">+BL165/BG165-1</f>
        <v>2.2727272727272707E-2</v>
      </c>
      <c r="BM166" s="13">
        <f t="shared" ref="BM166" si="4351">+BM165/BH165-1</f>
        <v>-6.25E-2</v>
      </c>
      <c r="BN166" s="239">
        <f t="shared" ref="BN166" si="4352">+BN165/BI165-1</f>
        <v>-2.3104434361932991E-2</v>
      </c>
      <c r="BO166" s="13">
        <f t="shared" ref="BO166" si="4353">+BO165/BJ165-1</f>
        <v>6.7499999999999893E-2</v>
      </c>
      <c r="BP166" s="13">
        <f t="shared" ref="BP166" si="4354">+BP165/BK165-1</f>
        <v>-5.1111111111111107E-2</v>
      </c>
      <c r="BQ166" s="13">
        <f t="shared" ref="BQ166" si="4355">+BQ165/BL165-1</f>
        <v>-5.1111111111111107E-2</v>
      </c>
      <c r="BR166" s="13">
        <f t="shared" ref="BR166" si="4356">+BR165/BM165-1</f>
        <v>-5.1111111111111107E-2</v>
      </c>
      <c r="BS166" s="239">
        <f t="shared" ref="BS166" si="4357">+BS165/BN165-1</f>
        <v>-2.3967448651305512E-2</v>
      </c>
      <c r="BT166" s="13">
        <f t="shared" ref="BT166" si="4358">+BT165/BO165-1</f>
        <v>4.6838407494145251E-3</v>
      </c>
      <c r="BU166" s="13">
        <f t="shared" ref="BU166" si="4359">+BU165/BP165-1</f>
        <v>4.6838407494145251E-3</v>
      </c>
      <c r="BV166" s="13">
        <f t="shared" ref="BV166" si="4360">+BV165/BQ165-1</f>
        <v>4.6838407494145251E-3</v>
      </c>
      <c r="BW166" s="13">
        <f t="shared" ref="BW166" si="4361">+BW165/BR165-1</f>
        <v>4.6838407494145251E-3</v>
      </c>
      <c r="BX166" s="239">
        <f t="shared" ref="BX166" si="4362">+BX165/BS165-1</f>
        <v>4.6838407494145251E-3</v>
      </c>
      <c r="BY166" s="13">
        <f t="shared" ref="BY166" si="4363">+BY165/BT165-1</f>
        <v>4.6620046620047262E-3</v>
      </c>
      <c r="BZ166" s="13">
        <f t="shared" ref="BZ166" si="4364">+BZ165/BU165-1</f>
        <v>4.6620046620047262E-3</v>
      </c>
      <c r="CA166" s="13">
        <f t="shared" ref="CA166" si="4365">+CA165/BV165-1</f>
        <v>4.6620046620047262E-3</v>
      </c>
      <c r="CB166" s="13">
        <f t="shared" ref="CB166" si="4366">+CB165/BW165-1</f>
        <v>4.6620046620047262E-3</v>
      </c>
      <c r="CC166" s="239">
        <f t="shared" ref="CC166" si="4367">+CC165/BX165-1</f>
        <v>4.6620046620047262E-3</v>
      </c>
      <c r="CD166" s="13">
        <f t="shared" ref="CD166" si="4368">+CD165/BY165-1</f>
        <v>4.6403712296982924E-3</v>
      </c>
      <c r="CE166" s="13">
        <f t="shared" ref="CE166" si="4369">+CE165/BZ165-1</f>
        <v>4.6403712296982924E-3</v>
      </c>
      <c r="CF166" s="13">
        <f t="shared" ref="CF166" si="4370">+CF165/CA165-1</f>
        <v>4.6403712296982924E-3</v>
      </c>
      <c r="CG166" s="13">
        <f t="shared" ref="CG166" si="4371">+CG165/CB165-1</f>
        <v>4.6403712296982924E-3</v>
      </c>
      <c r="CH166" s="239">
        <f t="shared" ref="CH166" si="4372">+CH165/CC165-1</f>
        <v>4.6403712296982924E-3</v>
      </c>
      <c r="CI166" s="13">
        <f t="shared" ref="CI166" si="4373">+CI165/CD165-1</f>
        <v>4.6189376443417363E-3</v>
      </c>
      <c r="CJ166" s="13">
        <f t="shared" ref="CJ166" si="4374">+CJ165/CE165-1</f>
        <v>4.6189376443417363E-3</v>
      </c>
      <c r="CK166" s="13">
        <f t="shared" ref="CK166" si="4375">+CK165/CF165-1</f>
        <v>4.6189376443417363E-3</v>
      </c>
      <c r="CL166" s="13">
        <f t="shared" ref="CL166" si="4376">+CL165/CG165-1</f>
        <v>4.6189376443417363E-3</v>
      </c>
      <c r="CM166" s="239">
        <f t="shared" ref="CM166" si="4377">+CM165/CH165-1</f>
        <v>4.6189376443419583E-3</v>
      </c>
      <c r="CN166" s="13">
        <f t="shared" ref="CN166" si="4378">+CN165/CI165-1</f>
        <v>4.5977011494253706E-3</v>
      </c>
      <c r="CO166" s="13">
        <f t="shared" ref="CO166" si="4379">+CO165/CJ165-1</f>
        <v>4.5977011494253706E-3</v>
      </c>
      <c r="CP166" s="13">
        <f t="shared" ref="CP166" si="4380">+CP165/CK165-1</f>
        <v>4.5977011494253706E-3</v>
      </c>
      <c r="CQ166" s="13">
        <f t="shared" ref="CQ166" si="4381">+CQ165/CL165-1</f>
        <v>4.5977011494253706E-3</v>
      </c>
      <c r="CR166" s="239">
        <f t="shared" ref="CR166" si="4382">+CR165/CM165-1</f>
        <v>4.5977011494253706E-3</v>
      </c>
      <c r="CS166" s="13">
        <f t="shared" ref="CS166" si="4383">+CS165/CN165-1</f>
        <v>4.5766590389015871E-3</v>
      </c>
      <c r="CT166" s="13">
        <f t="shared" ref="CT166" si="4384">+CT165/CO165-1</f>
        <v>4.5766590389015871E-3</v>
      </c>
      <c r="CU166" s="13">
        <f t="shared" ref="CU166" si="4385">+CU165/CP165-1</f>
        <v>4.5766590389015871E-3</v>
      </c>
      <c r="CV166" s="13">
        <f t="shared" ref="CV166" si="4386">+CV165/CQ165-1</f>
        <v>4.5766590389015871E-3</v>
      </c>
      <c r="CW166" s="239">
        <f t="shared" ref="CW166" si="4387">+CW165/CR165-1</f>
        <v>4.5766590389018091E-3</v>
      </c>
      <c r="CX166" s="13">
        <f t="shared" ref="CX166" si="4388">+CX165/CS165-1</f>
        <v>4.5558086560364419E-3</v>
      </c>
      <c r="CY166" s="13">
        <f t="shared" ref="CY166" si="4389">+CY165/CT165-1</f>
        <v>4.5558086560364419E-3</v>
      </c>
      <c r="CZ166" s="13">
        <f t="shared" ref="CZ166" si="4390">+CZ165/CU165-1</f>
        <v>4.5558086560364419E-3</v>
      </c>
      <c r="DA166" s="13">
        <f t="shared" ref="DA166" si="4391">+DA165/CV165-1</f>
        <v>4.5558086560364419E-3</v>
      </c>
      <c r="DB166" s="239">
        <f t="shared" ref="DB166" si="4392">+DB165/CW165-1</f>
        <v>4.5558086560362199E-3</v>
      </c>
    </row>
    <row r="167" spans="1:106">
      <c r="A167" s="117" t="s">
        <v>288</v>
      </c>
      <c r="B167" s="119" t="s">
        <v>290</v>
      </c>
      <c r="C167" s="13">
        <f>+C165/B165-1</f>
        <v>0.10294117647058831</v>
      </c>
      <c r="D167" s="13">
        <f t="shared" ref="D167" si="4393">+D165/C165-1</f>
        <v>-0.1624489795918368</v>
      </c>
      <c r="E167" s="13">
        <f t="shared" ref="E167" si="4394">+E165/D165-1</f>
        <v>-0.16764132553606237</v>
      </c>
      <c r="F167" s="235" t="s">
        <v>290</v>
      </c>
      <c r="G167" s="13">
        <f>+G165/E165-1</f>
        <v>0.15327868852459026</v>
      </c>
      <c r="H167" s="13">
        <f>+H165/G165-1</f>
        <v>-0.30916844349680173</v>
      </c>
      <c r="I167" s="13">
        <f t="shared" ref="I167" si="4395">+I165/H165-1</f>
        <v>-0.4116809116809117</v>
      </c>
      <c r="J167" s="13">
        <f t="shared" ref="J167" si="4396">+J165/I165-1</f>
        <v>0.11546610169491522</v>
      </c>
      <c r="K167" s="235" t="s">
        <v>290</v>
      </c>
      <c r="L167" s="13">
        <f>+L165/J165-1</f>
        <v>0.91421662212040222</v>
      </c>
      <c r="M167" s="13">
        <f>+M165/L165-1</f>
        <v>-0.12726346763241281</v>
      </c>
      <c r="N167" s="13">
        <f t="shared" ref="N167" si="4397">+N165/M165-1</f>
        <v>-0.34431103487707271</v>
      </c>
      <c r="O167" s="13">
        <f t="shared" ref="O167" si="4398">+O165/N165-1</f>
        <v>-3.9724355309713855E-2</v>
      </c>
      <c r="P167" s="235" t="s">
        <v>290</v>
      </c>
      <c r="Q167" s="13">
        <f>+Q165/O165-1</f>
        <v>-7.0451327433628474E-2</v>
      </c>
      <c r="R167" s="13">
        <f>+R165/Q165-1</f>
        <v>9.4949494949494895E-2</v>
      </c>
      <c r="S167" s="13">
        <f t="shared" ref="S167" si="4399">+S165/R165-1</f>
        <v>4.9815498154981652E-2</v>
      </c>
      <c r="T167" s="13">
        <f t="shared" ref="T167" si="4400">+T165/S165-1</f>
        <v>-0.16695957820738139</v>
      </c>
      <c r="U167" s="235" t="s">
        <v>290</v>
      </c>
      <c r="V167" s="13">
        <f>+V165/T165-1</f>
        <v>3.7974683544303778E-2</v>
      </c>
      <c r="W167" s="13">
        <f>+W165/V165-1</f>
        <v>9.7560975609756184E-2</v>
      </c>
      <c r="X167" s="13">
        <f t="shared" ref="X167" si="4401">+X165/W165-1</f>
        <v>2.5925925925925908E-2</v>
      </c>
      <c r="Y167" s="13">
        <f t="shared" ref="Y167" si="4402">+Y165/X165-1</f>
        <v>-6.1371841155234641E-2</v>
      </c>
      <c r="Z167" s="235" t="s">
        <v>290</v>
      </c>
      <c r="AA167" s="13">
        <f>+AA165/Y165-1</f>
        <v>-0.12307692307692308</v>
      </c>
      <c r="AB167" s="13">
        <f>+AB165/AA165-1</f>
        <v>2.8508771929824483E-2</v>
      </c>
      <c r="AC167" s="13">
        <f t="shared" ref="AC167" si="4403">+AC165/AB165-1</f>
        <v>1.9189765458422103E-2</v>
      </c>
      <c r="AD167" s="13">
        <f t="shared" ref="AD167" si="4404">+AD165/AC165-1</f>
        <v>1.6736401673640211E-2</v>
      </c>
      <c r="AE167" s="235" t="s">
        <v>290</v>
      </c>
      <c r="AF167" s="13">
        <f>+AF165/AD165-1</f>
        <v>2.8806584362139898E-2</v>
      </c>
      <c r="AG167" s="13">
        <f>+AG165/AF165-1</f>
        <v>-0.14000000000000001</v>
      </c>
      <c r="AH167" s="13">
        <f t="shared" ref="AH167" si="4405">+AH165/AG165-1</f>
        <v>4.6511627906976827E-2</v>
      </c>
      <c r="AI167" s="13">
        <f t="shared" ref="AI167" si="4406">+AI165/AH165-1</f>
        <v>8.8888888888888795E-2</v>
      </c>
      <c r="AJ167" s="235" t="s">
        <v>290</v>
      </c>
      <c r="AK167" s="13">
        <f>+AK165/AI165-1</f>
        <v>-7.1428571428571397E-2</v>
      </c>
      <c r="AL167" s="13">
        <f>+AL165/AK165-1</f>
        <v>1.098901098901095E-2</v>
      </c>
      <c r="AM167" s="13">
        <f t="shared" ref="AM167" si="4407">+AM165/AL165-1</f>
        <v>5.4347826086956541E-2</v>
      </c>
      <c r="AN167" s="13">
        <f t="shared" ref="AN167" si="4408">+AN165/AM165-1</f>
        <v>-2.0618556701030966E-2</v>
      </c>
      <c r="AO167" s="235" t="s">
        <v>290</v>
      </c>
      <c r="AP167" s="13">
        <f>+AP165/AN165-1</f>
        <v>0</v>
      </c>
      <c r="AQ167" s="13">
        <f>+AQ165/AP165-1</f>
        <v>-6.315789473684208E-2</v>
      </c>
      <c r="AR167" s="13">
        <f t="shared" ref="AR167" si="4409">+AR165/AQ165-1</f>
        <v>-7.8651685393258397E-2</v>
      </c>
      <c r="AS167" s="13">
        <f t="shared" ref="AS167" si="4410">+AS165/AR165-1</f>
        <v>-0.12195121951219512</v>
      </c>
      <c r="AT167" s="235" t="s">
        <v>290</v>
      </c>
      <c r="AU167" s="13">
        <f>+AU165/AS165-1</f>
        <v>5.555555555555558E-2</v>
      </c>
      <c r="AV167" s="13">
        <f>+AV165/AU165-1</f>
        <v>0</v>
      </c>
      <c r="AW167" s="13">
        <f t="shared" ref="AW167" si="4411">+AW165/AV165-1</f>
        <v>9.473684210526323E-2</v>
      </c>
      <c r="AX167" s="13">
        <f t="shared" ref="AX167" si="4412">+AX165/AW165-1</f>
        <v>3.8461538461538547E-2</v>
      </c>
      <c r="AY167" s="235" t="s">
        <v>290</v>
      </c>
      <c r="AZ167" s="13">
        <f>+AZ165/AX165-1</f>
        <v>8.7962962962963021E-2</v>
      </c>
      <c r="BA167" s="13">
        <f>+BA165/AZ165-1</f>
        <v>-5.3191489361702149E-2</v>
      </c>
      <c r="BB167" s="13">
        <f t="shared" ref="BB167" si="4413">+BB165/BA165-1</f>
        <v>0</v>
      </c>
      <c r="BC167" s="13">
        <f t="shared" ref="BC167" si="4414">+BC165/BB165-1</f>
        <v>7.8651685393258397E-2</v>
      </c>
      <c r="BD167" s="235" t="s">
        <v>290</v>
      </c>
      <c r="BE167" s="13">
        <f>+BE165/BC165-1</f>
        <v>-9.375E-2</v>
      </c>
      <c r="BF167" s="13">
        <f>+BF165/BE165-1</f>
        <v>0</v>
      </c>
      <c r="BG167" s="13">
        <f t="shared" ref="BG167" si="4415">+BG165/BF165-1</f>
        <v>1.1494252873563315E-2</v>
      </c>
      <c r="BH167" s="13">
        <f t="shared" ref="BH167" si="4416">+BH165/BG165-1</f>
        <v>9.0909090909090828E-2</v>
      </c>
      <c r="BI167" s="235" t="s">
        <v>290</v>
      </c>
      <c r="BJ167" s="13">
        <f>+BJ165/BH165-1</f>
        <v>-0.16666666666666663</v>
      </c>
      <c r="BK167" s="13">
        <f>+BK165/BJ165-1</f>
        <v>0.125</v>
      </c>
      <c r="BL167" s="13">
        <f t="shared" ref="BL167" si="4417">+BL165/BK165-1</f>
        <v>0</v>
      </c>
      <c r="BM167" s="13">
        <f t="shared" ref="BM167" si="4418">+BM165/BL165-1</f>
        <v>0</v>
      </c>
      <c r="BN167" s="235" t="s">
        <v>290</v>
      </c>
      <c r="BO167" s="13">
        <f>+BO165/BM165-1</f>
        <v>-5.1111111111111107E-2</v>
      </c>
      <c r="BP167" s="13">
        <f>+BP165/BO165-1</f>
        <v>0</v>
      </c>
      <c r="BQ167" s="13">
        <f t="shared" ref="BQ167" si="4419">+BQ165/BP165-1</f>
        <v>0</v>
      </c>
      <c r="BR167" s="13">
        <f t="shared" ref="BR167" si="4420">+BR165/BQ165-1</f>
        <v>0</v>
      </c>
      <c r="BS167" s="235" t="s">
        <v>290</v>
      </c>
      <c r="BT167" s="13">
        <f>+BT165/BR165-1</f>
        <v>4.6838407494145251E-3</v>
      </c>
      <c r="BU167" s="13">
        <f>+BU165/BT165-1</f>
        <v>0</v>
      </c>
      <c r="BV167" s="13">
        <f t="shared" ref="BV167" si="4421">+BV165/BU165-1</f>
        <v>0</v>
      </c>
      <c r="BW167" s="13">
        <f t="shared" ref="BW167" si="4422">+BW165/BV165-1</f>
        <v>0</v>
      </c>
      <c r="BX167" s="235" t="s">
        <v>290</v>
      </c>
      <c r="BY167" s="13">
        <f>+BY165/BW165-1</f>
        <v>4.6620046620047262E-3</v>
      </c>
      <c r="BZ167" s="13">
        <f>+BZ165/BY165-1</f>
        <v>0</v>
      </c>
      <c r="CA167" s="13">
        <f t="shared" ref="CA167" si="4423">+CA165/BZ165-1</f>
        <v>0</v>
      </c>
      <c r="CB167" s="13">
        <f t="shared" ref="CB167" si="4424">+CB165/CA165-1</f>
        <v>0</v>
      </c>
      <c r="CC167" s="235" t="s">
        <v>290</v>
      </c>
      <c r="CD167" s="13">
        <f>+CD165/CB165-1</f>
        <v>4.6403712296982924E-3</v>
      </c>
      <c r="CE167" s="13">
        <f>+CE165/CD165-1</f>
        <v>0</v>
      </c>
      <c r="CF167" s="13">
        <f t="shared" ref="CF167" si="4425">+CF165/CE165-1</f>
        <v>0</v>
      </c>
      <c r="CG167" s="13">
        <f t="shared" ref="CG167" si="4426">+CG165/CF165-1</f>
        <v>0</v>
      </c>
      <c r="CH167" s="235" t="s">
        <v>290</v>
      </c>
      <c r="CI167" s="13">
        <f>+CI165/CG165-1</f>
        <v>4.6189376443417363E-3</v>
      </c>
      <c r="CJ167" s="13">
        <f>+CJ165/CI165-1</f>
        <v>0</v>
      </c>
      <c r="CK167" s="13">
        <f t="shared" ref="CK167" si="4427">+CK165/CJ165-1</f>
        <v>0</v>
      </c>
      <c r="CL167" s="13">
        <f t="shared" ref="CL167" si="4428">+CL165/CK165-1</f>
        <v>0</v>
      </c>
      <c r="CM167" s="235" t="s">
        <v>290</v>
      </c>
      <c r="CN167" s="13">
        <f>+CN165/CL165-1</f>
        <v>4.5977011494253706E-3</v>
      </c>
      <c r="CO167" s="13">
        <f>+CO165/CN165-1</f>
        <v>0</v>
      </c>
      <c r="CP167" s="13">
        <f t="shared" ref="CP167" si="4429">+CP165/CO165-1</f>
        <v>0</v>
      </c>
      <c r="CQ167" s="13">
        <f t="shared" ref="CQ167" si="4430">+CQ165/CP165-1</f>
        <v>0</v>
      </c>
      <c r="CR167" s="235" t="s">
        <v>290</v>
      </c>
      <c r="CS167" s="13">
        <f>+CS165/CQ165-1</f>
        <v>4.5766590389015871E-3</v>
      </c>
      <c r="CT167" s="13">
        <f>+CT165/CS165-1</f>
        <v>0</v>
      </c>
      <c r="CU167" s="13">
        <f t="shared" ref="CU167" si="4431">+CU165/CT165-1</f>
        <v>0</v>
      </c>
      <c r="CV167" s="13">
        <f t="shared" ref="CV167" si="4432">+CV165/CU165-1</f>
        <v>0</v>
      </c>
      <c r="CW167" s="235" t="s">
        <v>290</v>
      </c>
      <c r="CX167" s="13">
        <f>+CX165/CV165-1</f>
        <v>4.5558086560364419E-3</v>
      </c>
      <c r="CY167" s="13">
        <f>+CY165/CX165-1</f>
        <v>0</v>
      </c>
      <c r="CZ167" s="13">
        <f t="shared" ref="CZ167" si="4433">+CZ165/CY165-1</f>
        <v>0</v>
      </c>
      <c r="DA167" s="13">
        <f t="shared" ref="DA167" si="4434">+DA165/CZ165-1</f>
        <v>0</v>
      </c>
      <c r="DB167" s="235" t="s">
        <v>290</v>
      </c>
    </row>
    <row r="168" spans="1:106">
      <c r="F168" s="217"/>
      <c r="K168" s="217"/>
      <c r="P168" s="217"/>
      <c r="U168" s="217"/>
      <c r="Z168" s="217"/>
      <c r="AE168" s="217"/>
      <c r="AJ168" s="217"/>
      <c r="AO168" s="217"/>
      <c r="AT168" s="217"/>
      <c r="AY168" s="217"/>
      <c r="BD168" s="217"/>
      <c r="BI168" s="217"/>
      <c r="BN168" s="217"/>
      <c r="BS168" s="217"/>
      <c r="BX168" s="217"/>
      <c r="CC168" s="217"/>
      <c r="CH168" s="217"/>
      <c r="CM168" s="217"/>
      <c r="CR168" s="217"/>
      <c r="CW168" s="217"/>
      <c r="DB168" s="217"/>
    </row>
    <row r="169" spans="1:106" s="51" customFormat="1">
      <c r="A169" s="51" t="s">
        <v>303</v>
      </c>
      <c r="B169" s="135">
        <v>3.4</v>
      </c>
      <c r="C169" s="135">
        <v>4.5</v>
      </c>
      <c r="D169" s="135">
        <v>5.7</v>
      </c>
      <c r="E169" s="135">
        <v>6.1</v>
      </c>
      <c r="F169" s="216">
        <f>+B169+C169+D169+E169</f>
        <v>19.700000000000003</v>
      </c>
      <c r="G169" s="135">
        <v>6.7</v>
      </c>
      <c r="H169" s="135">
        <v>5.4</v>
      </c>
      <c r="I169" s="135">
        <v>5.9</v>
      </c>
      <c r="J169" s="135">
        <v>8.1</v>
      </c>
      <c r="K169" s="216">
        <f>+G169+H169+I169+J169</f>
        <v>26.1</v>
      </c>
      <c r="L169" s="135">
        <v>18.8</v>
      </c>
      <c r="M169" s="135">
        <v>15.9</v>
      </c>
      <c r="N169" s="135">
        <v>12.2</v>
      </c>
      <c r="O169" s="135">
        <v>11.3</v>
      </c>
      <c r="P169" s="216">
        <f>+L169+M169+N169+O169</f>
        <v>58.2</v>
      </c>
      <c r="Q169" s="135">
        <f>+Q160*Q165/1000000</f>
        <v>12.53538</v>
      </c>
      <c r="R169" s="135">
        <f>+R160*R165/1000000</f>
        <v>16.019352000000001</v>
      </c>
      <c r="S169" s="135">
        <f>+S160*S165/1000000</f>
        <v>17.689641000000002</v>
      </c>
      <c r="T169" s="135">
        <f>+T160*T165/1000000</f>
        <v>15.949626</v>
      </c>
      <c r="U169" s="216">
        <f>+Q169+R169+S169+T169</f>
        <v>62.193999000000005</v>
      </c>
      <c r="V169" s="135">
        <f>+V160*V165/1000000</f>
        <v>18.547415999999998</v>
      </c>
      <c r="W169" s="135">
        <f t="shared" ref="W169:Y169" si="4435">+W160*W165/1000000</f>
        <v>21.384540000000001</v>
      </c>
      <c r="X169" s="135">
        <f t="shared" si="4435"/>
        <v>23.111771999999998</v>
      </c>
      <c r="Y169" s="135">
        <f t="shared" si="4435"/>
        <v>24.544</v>
      </c>
      <c r="Z169" s="216">
        <f>+V169+W169+X169+Y169</f>
        <v>87.587727999999998</v>
      </c>
      <c r="AA169" s="135">
        <f>+AA160*AA165/1000000</f>
        <v>22.721568000000001</v>
      </c>
      <c r="AB169" s="135">
        <f t="shared" ref="AB169:AC169" si="4436">+AB160*AB165/1000000</f>
        <v>23.955113000000001</v>
      </c>
      <c r="AC169" s="135">
        <f t="shared" si="4436"/>
        <v>25.090698</v>
      </c>
      <c r="AD169" s="135">
        <f>+AD160*AD165/1000000</f>
        <v>27.707832</v>
      </c>
      <c r="AE169" s="216">
        <f>+AA169+AB169+AC169+AD169</f>
        <v>99.475211000000002</v>
      </c>
      <c r="AF169" s="135">
        <f>+AF160*AF165/1000000</f>
        <v>32.353000000000002</v>
      </c>
      <c r="AG169" s="135">
        <f t="shared" ref="AG169:AI169" si="4437">+AG160*AG165/1000000</f>
        <v>27.651150000000001</v>
      </c>
      <c r="AH169" s="135">
        <f t="shared" si="4437"/>
        <v>32.265000000000001</v>
      </c>
      <c r="AI169" s="135">
        <f t="shared" si="4437"/>
        <v>39.89678</v>
      </c>
      <c r="AJ169" s="216">
        <f>+AF169+AG169+AH169+AI169</f>
        <v>132.16593</v>
      </c>
      <c r="AK169" s="135">
        <f>+AK160*AK165/1000000</f>
        <v>40.819870000000002</v>
      </c>
      <c r="AL169" s="135">
        <f t="shared" ref="AL169:AN169" si="4438">+AL160*AL165/1000000</f>
        <v>41.4</v>
      </c>
      <c r="AM169" s="135">
        <f t="shared" si="4438"/>
        <v>50.924999999999997</v>
      </c>
      <c r="AN169" s="135">
        <f t="shared" si="4438"/>
        <v>51.169849999999997</v>
      </c>
      <c r="AO169" s="216">
        <f>+AK169+AL169+AM169+AN169</f>
        <v>184.31471999999999</v>
      </c>
      <c r="AP169" s="135">
        <f>+AP160*AP165/1000000</f>
        <v>57</v>
      </c>
      <c r="AQ169" s="135">
        <f t="shared" ref="AQ169:AS169" si="4439">+AQ160*AQ165/1000000</f>
        <v>54.049700000000001</v>
      </c>
      <c r="AR169" s="135">
        <f t="shared" si="4439"/>
        <v>53.035139999999991</v>
      </c>
      <c r="AS169" s="135">
        <f t="shared" si="4439"/>
        <v>50.000399999999999</v>
      </c>
      <c r="AT169" s="216">
        <f>+AP169+AQ169+AR169+AS169</f>
        <v>214.08524</v>
      </c>
      <c r="AU169" s="135">
        <f>+AU160*AU165/1000000</f>
        <v>60.745660000000001</v>
      </c>
      <c r="AV169" s="135">
        <f t="shared" ref="AV169:AX169" si="4440">+AV160*AV165/1000000</f>
        <v>59.872040000000005</v>
      </c>
      <c r="AW169" s="135">
        <f t="shared" si="4440"/>
        <v>65.329471999999996</v>
      </c>
      <c r="AX169" s="135">
        <f t="shared" si="4440"/>
        <v>68.868144000000001</v>
      </c>
      <c r="AY169" s="216">
        <f>+AU169+AV169+AW169+AX169</f>
        <v>254.81531600000002</v>
      </c>
      <c r="AZ169" s="135">
        <f>+AZ160*AZ165/1000000</f>
        <v>97.147543000710655</v>
      </c>
      <c r="BA169" s="135">
        <f t="shared" ref="BA169:BC169" si="4441">+BA160*BA165/1000000</f>
        <v>95.965408059916896</v>
      </c>
      <c r="BB169" s="135">
        <f t="shared" si="4441"/>
        <v>95.219031605497378</v>
      </c>
      <c r="BC169" s="135">
        <f t="shared" si="4441"/>
        <v>102.72887120586319</v>
      </c>
      <c r="BD169" s="216">
        <f>+AZ169+BA169+BB169+BC169</f>
        <v>391.06085387198812</v>
      </c>
      <c r="BE169" s="135">
        <f>+BE160*BE165/1000000</f>
        <v>100.8639123171676</v>
      </c>
      <c r="BF169" s="135">
        <f t="shared" ref="BF169:BH169" si="4442">+BF160*BF165/1000000</f>
        <v>93.985336336932662</v>
      </c>
      <c r="BG169" s="135">
        <f t="shared" si="4442"/>
        <v>101.65495058491139</v>
      </c>
      <c r="BH169" s="135">
        <f t="shared" si="4442"/>
        <v>112.77166171704779</v>
      </c>
      <c r="BI169" s="216">
        <f>+BE169+BF169+BG169+BH169</f>
        <v>409.27586095605943</v>
      </c>
      <c r="BJ169" s="135">
        <f>+BJ160*BJ165/1000000</f>
        <v>97.250682364150876</v>
      </c>
      <c r="BK169" s="135">
        <f t="shared" ref="BK169:BM169" si="4443">+BK160*BK165/1000000</f>
        <v>103.93442649323849</v>
      </c>
      <c r="BL169" s="135">
        <f t="shared" si="4443"/>
        <v>110.70850357294701</v>
      </c>
      <c r="BM169" s="135">
        <f t="shared" si="4443"/>
        <v>113.06788672648362</v>
      </c>
      <c r="BN169" s="216">
        <f>+BJ169+BK169+BL169+BM169</f>
        <v>424.96149915681997</v>
      </c>
      <c r="BO169" s="135">
        <f>+BO160*BO165/1000000</f>
        <v>124.36239297920903</v>
      </c>
      <c r="BP169" s="135">
        <f t="shared" ref="BP169:BR169" si="4444">+BP160*BP165/1000000</f>
        <v>113.06157974547146</v>
      </c>
      <c r="BQ169" s="135">
        <f t="shared" si="4444"/>
        <v>123.36987599695985</v>
      </c>
      <c r="BR169" s="135">
        <f t="shared" si="4444"/>
        <v>123.30583418095765</v>
      </c>
      <c r="BS169" s="216">
        <f>+BO169+BP169+BQ169+BR169</f>
        <v>484.09968290259792</v>
      </c>
      <c r="BT169" s="135">
        <f>+BT160*BT165/1000000</f>
        <v>138.32245961581995</v>
      </c>
      <c r="BU169" s="135">
        <f t="shared" ref="BU169:BW169" si="4445">+BU160*BU165/1000000</f>
        <v>127.94125736661492</v>
      </c>
      <c r="BV169" s="135">
        <f t="shared" si="4445"/>
        <v>137.4308521269522</v>
      </c>
      <c r="BW169" s="135">
        <f t="shared" si="4445"/>
        <v>137.41345373558298</v>
      </c>
      <c r="BX169" s="216">
        <f>+BT169+BU169+BV169+BW169</f>
        <v>541.10802284497004</v>
      </c>
      <c r="BY169" s="135">
        <f>+BY160*BY165/1000000</f>
        <v>153.33346608839258</v>
      </c>
      <c r="BZ169" s="135">
        <f t="shared" ref="BZ169:CB169" si="4446">+BZ160*BZ165/1000000</f>
        <v>140.75712475840024</v>
      </c>
      <c r="CA169" s="135">
        <f t="shared" si="4446"/>
        <v>152.55178203907988</v>
      </c>
      <c r="CB169" s="135">
        <f t="shared" si="4446"/>
        <v>151.89140588803028</v>
      </c>
      <c r="CC169" s="216">
        <f>+BY169+BZ169+CA169+CB169</f>
        <v>598.5337787739029</v>
      </c>
      <c r="CD169" s="135">
        <f>+CD160*CD165/1000000</f>
        <v>168.37243149470626</v>
      </c>
      <c r="CE169" s="135">
        <f t="shared" ref="CE169:CG169" si="4447">+CE160*CE165/1000000</f>
        <v>155.17355030042677</v>
      </c>
      <c r="CF169" s="135">
        <f t="shared" si="4447"/>
        <v>167.69371589559915</v>
      </c>
      <c r="CG169" s="135">
        <f t="shared" si="4447"/>
        <v>167.18526975965685</v>
      </c>
      <c r="CH169" s="216">
        <f>+CD169+CE169+CF169+CG169</f>
        <v>658.42496745038898</v>
      </c>
      <c r="CI169" s="135">
        <f>+CI160*CI165/1000000</f>
        <v>184.24482203605567</v>
      </c>
      <c r="CJ169" s="135">
        <f t="shared" ref="CJ169:CL169" si="4448">+CJ160*CJ165/1000000</f>
        <v>170.22624183073589</v>
      </c>
      <c r="CK169" s="135">
        <f t="shared" si="4448"/>
        <v>183.67439597506174</v>
      </c>
      <c r="CL169" s="135">
        <f t="shared" si="4448"/>
        <v>183.13319376700341</v>
      </c>
      <c r="CM169" s="216">
        <f>+CI169+CJ169+CK169+CL169</f>
        <v>721.27865360885664</v>
      </c>
      <c r="CN169" s="135">
        <f>+CN160*CN165/1000000</f>
        <v>200.78761054870714</v>
      </c>
      <c r="CO169" s="135">
        <f t="shared" ref="CO169:CQ169" si="4449">+CO160*CO165/1000000</f>
        <v>186.02405162294426</v>
      </c>
      <c r="CP169" s="135">
        <f t="shared" si="4449"/>
        <v>200.32810802549739</v>
      </c>
      <c r="CQ169" s="135">
        <f t="shared" si="4449"/>
        <v>199.85061770874734</v>
      </c>
      <c r="CR169" s="216">
        <f>+CN169+CO169+CP169+CQ169</f>
        <v>786.99038790589611</v>
      </c>
      <c r="CS169" s="135">
        <f>+CS160*CS165/1000000</f>
        <v>218.11744945647374</v>
      </c>
      <c r="CT169" s="135">
        <f t="shared" ref="CT169:CV169" si="4450">+CT160*CT165/1000000</f>
        <v>202.54308848101383</v>
      </c>
      <c r="CU169" s="135">
        <f t="shared" si="4450"/>
        <v>217.77302811020797</v>
      </c>
      <c r="CV169" s="135">
        <f t="shared" si="4450"/>
        <v>217.31099042490115</v>
      </c>
      <c r="CW169" s="216">
        <f>+CS169+CT169+CU169+CV169</f>
        <v>855.74455647259674</v>
      </c>
      <c r="CX169" s="135">
        <f>+CX160*CX165/1000000</f>
        <v>236.2077736736592</v>
      </c>
      <c r="CY169" s="135">
        <f t="shared" ref="CY169:DA169" si="4451">+CY160*CY165/1000000</f>
        <v>219.82867177739215</v>
      </c>
      <c r="CZ169" s="135">
        <f t="shared" si="4451"/>
        <v>235.98198350464179</v>
      </c>
      <c r="DA169" s="135">
        <f t="shared" si="4451"/>
        <v>235.56167664492517</v>
      </c>
      <c r="DB169" s="216">
        <f>+CX169+CY169+CZ169+DA169</f>
        <v>927.58010560061825</v>
      </c>
    </row>
    <row r="170" spans="1:106">
      <c r="A170" s="117" t="s">
        <v>281</v>
      </c>
      <c r="B170" s="119" t="s">
        <v>290</v>
      </c>
      <c r="C170" s="119" t="s">
        <v>290</v>
      </c>
      <c r="D170" s="119" t="s">
        <v>290</v>
      </c>
      <c r="E170" s="119" t="s">
        <v>290</v>
      </c>
      <c r="F170" s="235" t="s">
        <v>290</v>
      </c>
      <c r="G170" s="13">
        <f>+G169/B169-1</f>
        <v>0.97058823529411775</v>
      </c>
      <c r="H170" s="13">
        <f t="shared" ref="H170" si="4452">+H169/C169-1</f>
        <v>0.20000000000000018</v>
      </c>
      <c r="I170" s="13">
        <f t="shared" ref="I170" si="4453">+I169/D169-1</f>
        <v>3.5087719298245723E-2</v>
      </c>
      <c r="J170" s="13">
        <f t="shared" ref="J170" si="4454">+J169/E169-1</f>
        <v>0.32786885245901631</v>
      </c>
      <c r="K170" s="239">
        <f t="shared" ref="K170" si="4455">+K169/F169-1</f>
        <v>0.32487309644670037</v>
      </c>
      <c r="L170" s="13">
        <f>+L169/G169-1</f>
        <v>1.8059701492537314</v>
      </c>
      <c r="M170" s="13">
        <f t="shared" ref="M170" si="4456">+M169/H169-1</f>
        <v>1.9444444444444442</v>
      </c>
      <c r="N170" s="13">
        <f t="shared" ref="N170" si="4457">+N169/I169-1</f>
        <v>1.0677966101694913</v>
      </c>
      <c r="O170" s="13">
        <f t="shared" ref="O170" si="4458">+O169/J169-1</f>
        <v>0.39506172839506193</v>
      </c>
      <c r="P170" s="239">
        <f t="shared" ref="P170" si="4459">+P169/K169-1</f>
        <v>1.2298850574712645</v>
      </c>
      <c r="Q170" s="13">
        <f>+Q169/L169-1</f>
        <v>-0.33322446808510642</v>
      </c>
      <c r="R170" s="13">
        <f t="shared" ref="R170" si="4460">+R169/M169-1</f>
        <v>7.5064150943395802E-3</v>
      </c>
      <c r="S170" s="13">
        <f t="shared" ref="S170" si="4461">+S169/N169-1</f>
        <v>0.44997057377049199</v>
      </c>
      <c r="T170" s="13">
        <f t="shared" ref="T170" si="4462">+T169/O169-1</f>
        <v>0.41147132743362835</v>
      </c>
      <c r="U170" s="239">
        <f t="shared" ref="U170" si="4463">+U169/P169-1</f>
        <v>6.8625412371134065E-2</v>
      </c>
      <c r="V170" s="13">
        <f>+V169/Q169-1</f>
        <v>0.47960540486207814</v>
      </c>
      <c r="W170" s="13">
        <f t="shared" ref="W170" si="4464">+W169/R169-1</f>
        <v>0.33491916526960641</v>
      </c>
      <c r="X170" s="13">
        <f t="shared" ref="X170" si="4465">+X169/S169-1</f>
        <v>0.30651447364025053</v>
      </c>
      <c r="Y170" s="13">
        <f t="shared" ref="Y170" si="4466">+Y169/T169-1</f>
        <v>0.53884486068826942</v>
      </c>
      <c r="Z170" s="239">
        <f t="shared" ref="Z170" si="4467">+Z169/U169-1</f>
        <v>0.40829870097274168</v>
      </c>
      <c r="AA170" s="13">
        <f>+AA169/V169-1</f>
        <v>0.2250530208628525</v>
      </c>
      <c r="AB170" s="13">
        <f t="shared" ref="AB170" si="4468">+AB169/W169-1</f>
        <v>0.12020707483069537</v>
      </c>
      <c r="AC170" s="13">
        <f t="shared" ref="AC170" si="4469">+AC169/X169-1</f>
        <v>8.5624157247657262E-2</v>
      </c>
      <c r="AD170" s="13">
        <f t="shared" ref="AD170:AF170" si="4470">+AD169/Y169-1</f>
        <v>0.12890449804432857</v>
      </c>
      <c r="AE170" s="239">
        <f t="shared" ref="AE170" si="4471">+AE169/Z169-1</f>
        <v>0.13572087404756061</v>
      </c>
      <c r="AF170" s="13">
        <f t="shared" si="4470"/>
        <v>0.42388940763243088</v>
      </c>
      <c r="AG170" s="13">
        <f t="shared" ref="AG170" si="4472">+AG169/AB169-1</f>
        <v>0.15429010917210029</v>
      </c>
      <c r="AH170" s="13">
        <f t="shared" ref="AH170" si="4473">+AH169/AC169-1</f>
        <v>0.28593473166828609</v>
      </c>
      <c r="AI170" s="13">
        <f t="shared" ref="AI170:AJ170" si="4474">+AI169/AD169-1</f>
        <v>0.43990984209807538</v>
      </c>
      <c r="AJ170" s="239">
        <f t="shared" si="4474"/>
        <v>0.32863181360831706</v>
      </c>
      <c r="AK170" s="13">
        <f t="shared" ref="AK170" si="4475">+AK169/AF169-1</f>
        <v>0.26170277872222059</v>
      </c>
      <c r="AL170" s="13">
        <f t="shared" ref="AL170" si="4476">+AL169/AG169-1</f>
        <v>0.49722525102934223</v>
      </c>
      <c r="AM170" s="13">
        <f t="shared" ref="AM170" si="4477">+AM169/AH169-1</f>
        <v>0.57833565783356566</v>
      </c>
      <c r="AN170" s="13">
        <f t="shared" ref="AN170" si="4478">+AN169/AI169-1</f>
        <v>0.28255588546243571</v>
      </c>
      <c r="AO170" s="239">
        <f t="shared" ref="AO170" si="4479">+AO169/AJ169-1</f>
        <v>0.39457059773271363</v>
      </c>
      <c r="AP170" s="13">
        <f t="shared" ref="AP170" si="4480">+AP169/AK169-1</f>
        <v>0.39637877337678917</v>
      </c>
      <c r="AQ170" s="13">
        <f t="shared" ref="AQ170" si="4481">+AQ169/AL169-1</f>
        <v>0.30554830917874409</v>
      </c>
      <c r="AR170" s="13">
        <f t="shared" ref="AR170" si="4482">+AR169/AM169-1</f>
        <v>4.1436229749631792E-2</v>
      </c>
      <c r="AS170" s="13">
        <f t="shared" ref="AS170" si="4483">+AS169/AN169-1</f>
        <v>-2.2854278447171472E-2</v>
      </c>
      <c r="AT170" s="239">
        <f t="shared" ref="AT170" si="4484">+AT169/AO169-1</f>
        <v>0.16152003486210975</v>
      </c>
      <c r="AU170" s="13">
        <f t="shared" ref="AU170" si="4485">+AU169/AP169-1</f>
        <v>6.571333333333329E-2</v>
      </c>
      <c r="AV170" s="13">
        <f t="shared" ref="AV170" si="4486">+AV169/AQ169-1</f>
        <v>0.10772196700444225</v>
      </c>
      <c r="AW170" s="13">
        <f t="shared" ref="AW170" si="4487">+AW169/AR169-1</f>
        <v>0.2318148306952712</v>
      </c>
      <c r="AX170" s="13">
        <f t="shared" ref="AX170" si="4488">+AX169/AS169-1</f>
        <v>0.37735186118511055</v>
      </c>
      <c r="AY170" s="239">
        <f t="shared" ref="AY170" si="4489">+AY169/AT169-1</f>
        <v>0.19025167732254689</v>
      </c>
      <c r="AZ170" s="13">
        <f t="shared" ref="AZ170" si="4490">+AZ169/AU169-1</f>
        <v>0.59925076130065347</v>
      </c>
      <c r="BA170" s="13">
        <f t="shared" ref="BA170" si="4491">+BA169/AV169-1</f>
        <v>0.60284179493327583</v>
      </c>
      <c r="BB170" s="13">
        <f t="shared" ref="BB170" si="4492">+BB169/AW169-1</f>
        <v>0.4575202996512413</v>
      </c>
      <c r="BC170" s="13">
        <f t="shared" ref="BC170" si="4493">+BC169/AX169-1</f>
        <v>0.49167474595893257</v>
      </c>
      <c r="BD170" s="239">
        <f t="shared" ref="BD170" si="4494">+BD169/AY169-1</f>
        <v>0.53468347197775223</v>
      </c>
      <c r="BE170" s="13">
        <f t="shared" ref="BE170" si="4495">+BE169/AZ169-1</f>
        <v>3.8254897670749743E-2</v>
      </c>
      <c r="BF170" s="13">
        <f t="shared" ref="BF170" si="4496">+BF169/BA169-1</f>
        <v>-2.063318192476149E-2</v>
      </c>
      <c r="BG170" s="13">
        <f t="shared" ref="BG170" si="4497">+BG169/BB169-1</f>
        <v>6.7590678784454683E-2</v>
      </c>
      <c r="BH170" s="13">
        <f t="shared" ref="BH170" si="4498">+BH169/BC169-1</f>
        <v>9.7760156354287142E-2</v>
      </c>
      <c r="BI170" s="239">
        <f t="shared" ref="BI170" si="4499">+BI169/BD169-1</f>
        <v>4.6578446560733733E-2</v>
      </c>
      <c r="BJ170" s="13">
        <f t="shared" ref="BJ170" si="4500">+BJ169/BE169-1</f>
        <v>-3.5822821760620238E-2</v>
      </c>
      <c r="BK170" s="13">
        <f t="shared" ref="BK170" si="4501">+BK169/BF169-1</f>
        <v>0.10585789809421797</v>
      </c>
      <c r="BL170" s="13">
        <f t="shared" ref="BL170" si="4502">+BL169/BG169-1</f>
        <v>8.9061604338426026E-2</v>
      </c>
      <c r="BM170" s="13">
        <f t="shared" ref="BM170" si="4503">+BM169/BH169-1</f>
        <v>2.6267681519056563E-3</v>
      </c>
      <c r="BN170" s="239">
        <f t="shared" ref="BN170" si="4504">+BN169/BI169-1</f>
        <v>3.83253440946143E-2</v>
      </c>
      <c r="BO170" s="13">
        <f t="shared" ref="BO170" si="4505">+BO169/BJ169-1</f>
        <v>0.27878170061099983</v>
      </c>
      <c r="BP170" s="13">
        <f t="shared" ref="BP170" si="4506">+BP169/BK169-1</f>
        <v>8.7816458513163997E-2</v>
      </c>
      <c r="BQ170" s="13">
        <f t="shared" ref="BQ170" si="4507">+BQ169/BL169-1</f>
        <v>0.11436675607913105</v>
      </c>
      <c r="BR170" s="13">
        <f t="shared" ref="BR170" si="4508">+BR169/BM169-1</f>
        <v>9.0546907268551635E-2</v>
      </c>
      <c r="BS170" s="239">
        <f t="shared" ref="BS170" si="4509">+BS169/BN169-1</f>
        <v>0.13916127428747305</v>
      </c>
      <c r="BT170" s="13">
        <f t="shared" ref="BT170" si="4510">+BT169/BO169-1</f>
        <v>0.11225312011280431</v>
      </c>
      <c r="BU170" s="13">
        <f t="shared" ref="BU170" si="4511">+BU169/BP169-1</f>
        <v>0.13160684340906226</v>
      </c>
      <c r="BV170" s="13">
        <f t="shared" ref="BV170" si="4512">+BV169/BQ169-1</f>
        <v>0.11397414495527958</v>
      </c>
      <c r="BW170" s="13">
        <f t="shared" ref="BW170" si="4513">+BW169/BR169-1</f>
        <v>0.11441161440846082</v>
      </c>
      <c r="BX170" s="239">
        <f t="shared" ref="BX170" si="4514">+BX169/BS169-1</f>
        <v>0.11776157257645292</v>
      </c>
      <c r="BY170" s="13">
        <f t="shared" ref="BY170" si="4515">+BY169/BT169-1</f>
        <v>0.10852183018046779</v>
      </c>
      <c r="BZ170" s="13">
        <f t="shared" ref="BZ170" si="4516">+BZ169/BU169-1</f>
        <v>0.10016993466823232</v>
      </c>
      <c r="CA170" s="13">
        <f t="shared" ref="CA170" si="4517">+CA169/BV169-1</f>
        <v>0.11002573059912102</v>
      </c>
      <c r="CB170" s="13">
        <f t="shared" ref="CB170" si="4518">+CB169/BW169-1</f>
        <v>0.10536051426453774</v>
      </c>
      <c r="CC170" s="239">
        <f t="shared" ref="CC170" si="4519">+CC169/BX169-1</f>
        <v>0.10612623266424115</v>
      </c>
      <c r="CD170" s="13">
        <f t="shared" ref="CD170" si="4520">+CD169/BY169-1</f>
        <v>9.8080124254441126E-2</v>
      </c>
      <c r="CE170" s="13">
        <f t="shared" ref="CE170" si="4521">+CE169/BZ169-1</f>
        <v>0.10242057421087081</v>
      </c>
      <c r="CF170" s="13">
        <f t="shared" ref="CF170" si="4522">+CF169/CA169-1</f>
        <v>9.9257666178165671E-2</v>
      </c>
      <c r="CG170" s="13">
        <f t="shared" ref="CG170" si="4523">+CG169/CB169-1</f>
        <v>0.10068946154136427</v>
      </c>
      <c r="CH170" s="239">
        <f t="shared" ref="CH170" si="4524">+CH169/CC169-1</f>
        <v>0.10006317237294993</v>
      </c>
      <c r="CI170" s="13">
        <f t="shared" ref="CI170" si="4525">+CI169/CD169-1</f>
        <v>9.4269533322314913E-2</v>
      </c>
      <c r="CJ170" s="13">
        <f t="shared" ref="CJ170" si="4526">+CJ169/CE169-1</f>
        <v>9.7005523822623507E-2</v>
      </c>
      <c r="CK170" s="13">
        <f t="shared" ref="CK170" si="4527">+CK169/CF169-1</f>
        <v>9.5296833242169088E-2</v>
      </c>
      <c r="CL170" s="13">
        <f t="shared" ref="CL170" si="4528">+CL169/CG169-1</f>
        <v>9.5390724495483692E-2</v>
      </c>
      <c r="CM170" s="239">
        <f t="shared" ref="CM170" si="4529">+CM169/CH169-1</f>
        <v>9.5460666386718573E-2</v>
      </c>
      <c r="CN170" s="13">
        <f t="shared" ref="CN170" si="4530">+CN169/CI169-1</f>
        <v>8.9786992816623945E-2</v>
      </c>
      <c r="CO170" s="13">
        <f t="shared" ref="CO170" si="4531">+CO169/CJ169-1</f>
        <v>9.2804785104266596E-2</v>
      </c>
      <c r="CP170" s="13">
        <f t="shared" ref="CP170" si="4532">+CP169/CK169-1</f>
        <v>9.0669752645854862E-2</v>
      </c>
      <c r="CQ170" s="13">
        <f t="shared" ref="CQ170" si="4533">+CQ169/CL169-1</f>
        <v>9.1285602559922463E-2</v>
      </c>
      <c r="CR170" s="239">
        <f t="shared" ref="CR170" si="4534">+CR169/CM169-1</f>
        <v>9.1104504435638445E-2</v>
      </c>
      <c r="CS170" s="13">
        <f t="shared" ref="CS170" si="4535">+CS169/CN169-1</f>
        <v>8.6309303947629479E-2</v>
      </c>
      <c r="CT170" s="13">
        <f t="shared" ref="CT170" si="4536">+CT169/CO169-1</f>
        <v>8.8800543338085847E-2</v>
      </c>
      <c r="CU170" s="13">
        <f t="shared" ref="CU170" si="4537">+CU169/CP169-1</f>
        <v>8.7081739335801212E-2</v>
      </c>
      <c r="CV170" s="13">
        <f t="shared" ref="CV170" si="4538">+CV169/CQ169-1</f>
        <v>8.7367119082912836E-2</v>
      </c>
      <c r="CW170" s="239">
        <f t="shared" ref="CW170" si="4539">+CW169/CR169-1</f>
        <v>8.7363415898443986E-2</v>
      </c>
      <c r="CX170" s="13">
        <f t="shared" ref="CX170" si="4540">+CX169/CS169-1</f>
        <v>8.2938454774089454E-2</v>
      </c>
      <c r="CY170" s="13">
        <f t="shared" ref="CY170" si="4541">+CY169/CT169-1</f>
        <v>8.5342745714073853E-2</v>
      </c>
      <c r="CZ170" s="13">
        <f t="shared" ref="CZ170" si="4542">+CZ169/CU169-1</f>
        <v>8.3614373884808302E-2</v>
      </c>
      <c r="DA170" s="13">
        <f t="shared" ref="DA170" si="4543">+DA169/CV169-1</f>
        <v>8.3984184068827128E-2</v>
      </c>
      <c r="DB170" s="239">
        <f t="shared" ref="DB170" si="4544">+DB169/CW169-1</f>
        <v>8.3945084528646907E-2</v>
      </c>
    </row>
    <row r="171" spans="1:106">
      <c r="A171" s="117" t="s">
        <v>288</v>
      </c>
      <c r="B171" s="119" t="s">
        <v>290</v>
      </c>
      <c r="C171" s="13">
        <f>+C169/B169-1</f>
        <v>0.32352941176470584</v>
      </c>
      <c r="D171" s="13">
        <f t="shared" ref="D171" si="4545">+D169/C169-1</f>
        <v>0.26666666666666661</v>
      </c>
      <c r="E171" s="13">
        <f t="shared" ref="E171" si="4546">+E169/D169-1</f>
        <v>7.0175438596491224E-2</v>
      </c>
      <c r="F171" s="235" t="s">
        <v>290</v>
      </c>
      <c r="G171" s="13">
        <f>+G169/E169-1</f>
        <v>9.8360655737705027E-2</v>
      </c>
      <c r="H171" s="13">
        <f>+H169/G169-1</f>
        <v>-0.19402985074626866</v>
      </c>
      <c r="I171" s="13">
        <f t="shared" ref="I171" si="4547">+I169/H169-1</f>
        <v>9.259259259259256E-2</v>
      </c>
      <c r="J171" s="13">
        <f t="shared" ref="J171" si="4548">+J169/I169-1</f>
        <v>0.37288135593220328</v>
      </c>
      <c r="K171" s="235" t="s">
        <v>290</v>
      </c>
      <c r="L171" s="13">
        <f>+L169/J169-1</f>
        <v>1.3209876543209877</v>
      </c>
      <c r="M171" s="13">
        <f>+M169/L169-1</f>
        <v>-0.1542553191489362</v>
      </c>
      <c r="N171" s="13">
        <f t="shared" ref="N171" si="4549">+N169/M169-1</f>
        <v>-0.23270440251572333</v>
      </c>
      <c r="O171" s="13">
        <f t="shared" ref="O171" si="4550">+O169/N169-1</f>
        <v>-7.3770491803278548E-2</v>
      </c>
      <c r="P171" s="235" t="s">
        <v>290</v>
      </c>
      <c r="Q171" s="13">
        <f>+Q169/O169-1</f>
        <v>0.10932566371681407</v>
      </c>
      <c r="R171" s="13">
        <f>+R169/Q169-1</f>
        <v>0.27793110380379393</v>
      </c>
      <c r="S171" s="13">
        <f t="shared" ref="S171" si="4551">+S169/R169-1</f>
        <v>0.10426695162201316</v>
      </c>
      <c r="T171" s="13">
        <f t="shared" ref="T171" si="4552">+T169/S169-1</f>
        <v>-9.8363499858476588E-2</v>
      </c>
      <c r="U171" s="235" t="s">
        <v>290</v>
      </c>
      <c r="V171" s="13">
        <f>+V169/T169-1</f>
        <v>0.16287466552507235</v>
      </c>
      <c r="W171" s="13">
        <f>+W169/V169-1</f>
        <v>0.15296599806679279</v>
      </c>
      <c r="X171" s="13">
        <f t="shared" ref="X171" si="4553">+X169/W169-1</f>
        <v>8.0770126455841362E-2</v>
      </c>
      <c r="Y171" s="13">
        <f t="shared" ref="Y171" si="4554">+Y169/X169-1</f>
        <v>6.1969631753030496E-2</v>
      </c>
      <c r="Z171" s="235" t="s">
        <v>290</v>
      </c>
      <c r="AA171" s="13">
        <f>+AA169/Y169-1</f>
        <v>-7.4251629726205914E-2</v>
      </c>
      <c r="AB171" s="13">
        <f>+AB169/AA169-1</f>
        <v>5.4289607125705297E-2</v>
      </c>
      <c r="AC171" s="13">
        <f t="shared" ref="AC171" si="4555">+AC169/AB169-1</f>
        <v>4.7404702286313549E-2</v>
      </c>
      <c r="AD171" s="13">
        <f t="shared" ref="AD171" si="4556">+AD169/AC169-1</f>
        <v>0.10430694275623575</v>
      </c>
      <c r="AE171" s="235" t="s">
        <v>290</v>
      </c>
      <c r="AF171" s="13">
        <f>+AF169/AD169-1</f>
        <v>0.16764819420010935</v>
      </c>
      <c r="AG171" s="13">
        <f>+AG169/AF169-1</f>
        <v>-0.14532964485519118</v>
      </c>
      <c r="AH171" s="13">
        <f t="shared" ref="AH171" si="4557">+AH169/AG169-1</f>
        <v>0.16685924455221568</v>
      </c>
      <c r="AI171" s="13">
        <f t="shared" ref="AI171" si="4558">+AI169/AH169-1</f>
        <v>0.23653432512009909</v>
      </c>
      <c r="AJ171" s="235" t="s">
        <v>290</v>
      </c>
      <c r="AK171" s="13">
        <f>+AK169/AI169-1</f>
        <v>2.3136954912150953E-2</v>
      </c>
      <c r="AL171" s="13">
        <f>+AL169/AK169-1</f>
        <v>1.4211951189457395E-2</v>
      </c>
      <c r="AM171" s="13">
        <f t="shared" ref="AM171" si="4559">+AM169/AL169-1</f>
        <v>0.23007246376811596</v>
      </c>
      <c r="AN171" s="13">
        <f t="shared" ref="AN171" si="4560">+AN169/AM169-1</f>
        <v>4.8080510554737721E-3</v>
      </c>
      <c r="AO171" s="235" t="s">
        <v>290</v>
      </c>
      <c r="AP171" s="13">
        <f>+AP169/AN169-1</f>
        <v>0.11393721107253585</v>
      </c>
      <c r="AQ171" s="13">
        <f>+AQ169/AP169-1</f>
        <v>-5.175964912280695E-2</v>
      </c>
      <c r="AR171" s="13">
        <f t="shared" ref="AR171" si="4561">+AR169/AQ169-1</f>
        <v>-1.877087199373928E-2</v>
      </c>
      <c r="AS171" s="13">
        <f t="shared" ref="AS171" si="4562">+AS169/AR169-1</f>
        <v>-5.7221306477177047E-2</v>
      </c>
      <c r="AT171" s="235" t="s">
        <v>290</v>
      </c>
      <c r="AU171" s="13">
        <f>+AU169/AS169-1</f>
        <v>0.21490348077215393</v>
      </c>
      <c r="AV171" s="13">
        <f>+AV169/AU169-1</f>
        <v>-1.4381603558180078E-2</v>
      </c>
      <c r="AW171" s="13">
        <f t="shared" ref="AW171" si="4563">+AW169/AV169-1</f>
        <v>9.1151595970339283E-2</v>
      </c>
      <c r="AX171" s="13">
        <f t="shared" ref="AX171" si="4564">+AX169/AW169-1</f>
        <v>5.4166548292323702E-2</v>
      </c>
      <c r="AY171" s="235" t="s">
        <v>290</v>
      </c>
      <c r="AZ171" s="13">
        <f>+AZ169/AX169-1</f>
        <v>0.41063106043210129</v>
      </c>
      <c r="BA171" s="13">
        <f>+BA169/AZ169-1</f>
        <v>-1.2168449188520558E-2</v>
      </c>
      <c r="BB171" s="13">
        <f t="shared" ref="BB171" si="4565">+BB169/BA169-1</f>
        <v>-7.7775572418085082E-3</v>
      </c>
      <c r="BC171" s="13">
        <f t="shared" ref="BC171" si="4566">+BC169/BB169-1</f>
        <v>7.8869102885648745E-2</v>
      </c>
      <c r="BD171" s="235" t="s">
        <v>290</v>
      </c>
      <c r="BE171" s="13">
        <f>+BE169/BC169-1</f>
        <v>-1.815418457152429E-2</v>
      </c>
      <c r="BF171" s="13">
        <f>+BF169/BE169-1</f>
        <v>-6.8196600966708432E-2</v>
      </c>
      <c r="BG171" s="13">
        <f t="shared" ref="BG171" si="4567">+BG169/BF169-1</f>
        <v>8.160437092530648E-2</v>
      </c>
      <c r="BH171" s="13">
        <f t="shared" ref="BH171" si="4568">+BH169/BG169-1</f>
        <v>0.10935730201207194</v>
      </c>
      <c r="BI171" s="235" t="s">
        <v>290</v>
      </c>
      <c r="BJ171" s="13">
        <f>+BJ169/BH169-1</f>
        <v>-0.137631911391358</v>
      </c>
      <c r="BK171" s="13">
        <f>+BK169/BJ169-1</f>
        <v>6.8726963827982601E-2</v>
      </c>
      <c r="BL171" s="13">
        <f t="shared" ref="BL171" si="4569">+BL169/BK169-1</f>
        <v>6.5176451232443311E-2</v>
      </c>
      <c r="BM171" s="13">
        <f t="shared" ref="BM171" si="4570">+BM169/BL169-1</f>
        <v>2.1311670534702731E-2</v>
      </c>
      <c r="BN171" s="235" t="s">
        <v>290</v>
      </c>
      <c r="BO171" s="13">
        <f>+BO169/BM169-1</f>
        <v>9.9891371278985064E-2</v>
      </c>
      <c r="BP171" s="13">
        <f>+BP169/BO169-1</f>
        <v>-9.0870020775708715E-2</v>
      </c>
      <c r="BQ171" s="13">
        <f t="shared" ref="BQ171" si="4571">+BQ169/BP169-1</f>
        <v>9.1174174946916597E-2</v>
      </c>
      <c r="BR171" s="13">
        <f t="shared" ref="BR171" si="4572">+BR169/BQ169-1</f>
        <v>-5.1910416124423264E-4</v>
      </c>
      <c r="BS171" s="235" t="s">
        <v>290</v>
      </c>
      <c r="BT171" s="13">
        <f>+BT169/BR169-1</f>
        <v>0.12178357605386814</v>
      </c>
      <c r="BU171" s="13">
        <f>+BU169/BT169-1</f>
        <v>-7.5050734913462591E-2</v>
      </c>
      <c r="BV171" s="13">
        <f t="shared" ref="BV171" si="4573">+BV169/BU169-1</f>
        <v>7.417149835525616E-2</v>
      </c>
      <c r="BW171" s="13">
        <f t="shared" ref="BW171" si="4574">+BW169/BV169-1</f>
        <v>-1.2659742044784927E-4</v>
      </c>
      <c r="BX171" s="235" t="s">
        <v>290</v>
      </c>
      <c r="BY171" s="13">
        <f>+BY169/BW169-1</f>
        <v>0.11585483022240028</v>
      </c>
      <c r="BZ171" s="13">
        <f>+BZ169/BY169-1</f>
        <v>-8.201954635749531E-2</v>
      </c>
      <c r="CA171" s="13">
        <f t="shared" ref="CA171" si="4575">+CA169/BZ169-1</f>
        <v>8.379438910054704E-2</v>
      </c>
      <c r="CB171" s="13">
        <f t="shared" ref="CB171" si="4576">+CB169/CA169-1</f>
        <v>-4.3288655315768532E-3</v>
      </c>
      <c r="CC171" s="235" t="s">
        <v>290</v>
      </c>
      <c r="CD171" s="13">
        <f>+CD169/CB169-1</f>
        <v>0.10850532003650892</v>
      </c>
      <c r="CE171" s="13">
        <f>+CE169/CD169-1</f>
        <v>-7.8390987628485176E-2</v>
      </c>
      <c r="CF171" s="13">
        <f t="shared" ref="CF171" si="4577">+CF169/CE169-1</f>
        <v>8.0684920664201298E-2</v>
      </c>
      <c r="CG171" s="13">
        <f t="shared" ref="CG171" si="4578">+CG169/CF169-1</f>
        <v>-3.0319927805693148E-3</v>
      </c>
      <c r="CH171" s="235" t="s">
        <v>290</v>
      </c>
      <c r="CI171" s="13">
        <f>+CI169/CG169-1</f>
        <v>0.10203980470841345</v>
      </c>
      <c r="CJ171" s="13">
        <f>+CJ169/CI169-1</f>
        <v>-7.6086698396204744E-2</v>
      </c>
      <c r="CK171" s="13">
        <f t="shared" ref="CK171" si="4579">+CK169/CJ169-1</f>
        <v>7.9001650977514881E-2</v>
      </c>
      <c r="CL171" s="13">
        <f t="shared" ref="CL171" si="4580">+CL169/CK169-1</f>
        <v>-2.9465304904654488E-3</v>
      </c>
      <c r="CM171" s="235" t="s">
        <v>290</v>
      </c>
      <c r="CN171" s="13">
        <f>+CN169/CL169-1</f>
        <v>9.6402058078914221E-2</v>
      </c>
      <c r="CO171" s="13">
        <f>+CO169/CN169-1</f>
        <v>-7.3528236555121196E-2</v>
      </c>
      <c r="CP171" s="13">
        <f t="shared" ref="CP171" si="4581">+CP169/CO169-1</f>
        <v>7.6893585951704146E-2</v>
      </c>
      <c r="CQ171" s="13">
        <f t="shared" ref="CQ171" si="4582">+CQ169/CP169-1</f>
        <v>-2.3835412886207274E-3</v>
      </c>
      <c r="CR171" s="235" t="s">
        <v>290</v>
      </c>
      <c r="CS171" s="13">
        <f>+CS169/CQ169-1</f>
        <v>9.1402428259429236E-2</v>
      </c>
      <c r="CT171" s="13">
        <f>+CT169/CS169-1</f>
        <v>-7.1403553517930929E-2</v>
      </c>
      <c r="CU171" s="13">
        <f t="shared" ref="CU171" si="4583">+CU169/CT169-1</f>
        <v>7.5193578528954808E-2</v>
      </c>
      <c r="CV171" s="13">
        <f t="shared" ref="CV171" si="4584">+CV169/CU169-1</f>
        <v>-2.1216478887046142E-3</v>
      </c>
      <c r="CW171" s="235" t="s">
        <v>290</v>
      </c>
      <c r="CX171" s="13">
        <f>+CX169/CV169-1</f>
        <v>8.6957328811625212E-2</v>
      </c>
      <c r="CY171" s="13">
        <f>+CY169/CX169-1</f>
        <v>-6.9341925718736763E-2</v>
      </c>
      <c r="CZ171" s="13">
        <f t="shared" ref="CZ171" si="4585">+CZ169/CY169-1</f>
        <v>7.3481368907178712E-2</v>
      </c>
      <c r="DA171" s="13">
        <f t="shared" ref="DA171" si="4586">+DA169/CZ169-1</f>
        <v>-1.7810972408762726E-3</v>
      </c>
      <c r="DB171" s="235" t="s">
        <v>290</v>
      </c>
    </row>
    <row r="172" spans="1:106">
      <c r="F172" s="217"/>
      <c r="K172" s="217"/>
      <c r="P172" s="217"/>
      <c r="U172" s="217"/>
      <c r="Z172" s="217"/>
      <c r="AE172" s="217"/>
      <c r="AJ172" s="217"/>
      <c r="AO172" s="217"/>
      <c r="AT172" s="217"/>
      <c r="AY172" s="217"/>
      <c r="BD172" s="217"/>
      <c r="BI172" s="217"/>
      <c r="BN172" s="217"/>
      <c r="BS172" s="217"/>
      <c r="BX172" s="217"/>
      <c r="CC172" s="217"/>
      <c r="CH172" s="217"/>
      <c r="CM172" s="217"/>
      <c r="CR172" s="217"/>
      <c r="CW172" s="217"/>
      <c r="DB172" s="217"/>
    </row>
    <row r="173" spans="1:106" s="121" customFormat="1">
      <c r="A173" s="121" t="s">
        <v>383</v>
      </c>
      <c r="F173" s="237"/>
      <c r="K173" s="237"/>
      <c r="P173" s="237"/>
      <c r="U173" s="237"/>
      <c r="Z173" s="237"/>
      <c r="AE173" s="237"/>
      <c r="AJ173" s="237"/>
      <c r="AO173" s="237"/>
      <c r="AT173" s="237"/>
      <c r="AY173" s="237"/>
      <c r="BD173" s="237"/>
      <c r="BI173" s="237"/>
      <c r="BN173" s="237"/>
      <c r="BS173" s="237"/>
      <c r="BX173" s="237"/>
      <c r="CC173" s="237"/>
      <c r="CH173" s="237"/>
      <c r="CM173" s="237"/>
      <c r="CR173" s="237"/>
      <c r="CW173" s="237"/>
      <c r="DB173" s="237"/>
    </row>
    <row r="174" spans="1:106" s="51" customFormat="1">
      <c r="A174" s="51" t="s">
        <v>304</v>
      </c>
      <c r="B174" s="213">
        <f>+B52-B67-B160</f>
        <v>1700</v>
      </c>
      <c r="C174" s="213">
        <f t="shared" ref="C174:AG174" si="4587">+C52-C67-C160</f>
        <v>3960</v>
      </c>
      <c r="D174" s="213">
        <f>+D52-D67-D160</f>
        <v>3100</v>
      </c>
      <c r="E174" s="213">
        <f>+E52-E67-E160</f>
        <v>3700</v>
      </c>
      <c r="F174" s="234">
        <f t="shared" si="4587"/>
        <v>12460</v>
      </c>
      <c r="G174" s="213">
        <f t="shared" si="4587"/>
        <v>3000</v>
      </c>
      <c r="H174" s="213">
        <f>+H52-H67-H160</f>
        <v>4000</v>
      </c>
      <c r="I174" s="213">
        <f>+I52-I67-I160</f>
        <v>4000</v>
      </c>
      <c r="J174" s="213">
        <f t="shared" si="4587"/>
        <v>7000</v>
      </c>
      <c r="K174" s="234">
        <f t="shared" si="4587"/>
        <v>18000</v>
      </c>
      <c r="L174" s="213">
        <f t="shared" si="4587"/>
        <v>4600</v>
      </c>
      <c r="M174" s="213">
        <f t="shared" si="4587"/>
        <v>4200</v>
      </c>
      <c r="N174" s="213">
        <f t="shared" si="4587"/>
        <v>3000</v>
      </c>
      <c r="O174" s="213">
        <f>+O52-O67-O160</f>
        <v>11780</v>
      </c>
      <c r="P174" s="234">
        <f t="shared" si="4587"/>
        <v>23580</v>
      </c>
      <c r="Q174" s="213">
        <f>+Q52-Q67-Q160</f>
        <v>11876</v>
      </c>
      <c r="R174" s="213">
        <f t="shared" si="4587"/>
        <v>12244</v>
      </c>
      <c r="S174" s="213">
        <f t="shared" si="4587"/>
        <v>15811</v>
      </c>
      <c r="T174" s="213">
        <f t="shared" si="4587"/>
        <v>13551</v>
      </c>
      <c r="U174" s="234">
        <f t="shared" si="4587"/>
        <v>53482</v>
      </c>
      <c r="V174" s="213">
        <f t="shared" si="4587"/>
        <v>18707</v>
      </c>
      <c r="W174" s="213">
        <f t="shared" si="4587"/>
        <v>16606</v>
      </c>
      <c r="X174" s="213">
        <f t="shared" si="4587"/>
        <v>26504</v>
      </c>
      <c r="Y174" s="213">
        <f t="shared" si="4587"/>
        <v>14900</v>
      </c>
      <c r="Z174" s="234">
        <f t="shared" si="4587"/>
        <v>76717</v>
      </c>
      <c r="AA174" s="213">
        <f>+AA52-AA67-AA160</f>
        <v>21572</v>
      </c>
      <c r="AB174" s="213">
        <f t="shared" si="4587"/>
        <v>18543</v>
      </c>
      <c r="AC174" s="213">
        <f t="shared" si="4587"/>
        <v>20559</v>
      </c>
      <c r="AD174" s="213">
        <f t="shared" si="4587"/>
        <v>20883.913235871543</v>
      </c>
      <c r="AE174" s="234">
        <f t="shared" si="4587"/>
        <v>81557.913235871529</v>
      </c>
      <c r="AF174" s="213">
        <f>+AF52-AF67-AF160</f>
        <v>20945.264515756659</v>
      </c>
      <c r="AG174" s="213">
        <f t="shared" si="4587"/>
        <v>17373.254709153203</v>
      </c>
      <c r="AH174" s="213">
        <f t="shared" ref="AH174:AY174" si="4588">+AH52-AH67-AH160</f>
        <v>16392.093614691083</v>
      </c>
      <c r="AI174" s="213">
        <f t="shared" si="4588"/>
        <v>25127.167328055453</v>
      </c>
      <c r="AJ174" s="234">
        <f t="shared" si="4588"/>
        <v>79837.780167656485</v>
      </c>
      <c r="AK174" s="213">
        <f t="shared" si="4588"/>
        <v>29079.087029297691</v>
      </c>
      <c r="AL174" s="213">
        <f t="shared" si="4588"/>
        <v>31847.879875893326</v>
      </c>
      <c r="AM174" s="213">
        <f t="shared" si="4588"/>
        <v>25502.184693459159</v>
      </c>
      <c r="AN174" s="213">
        <f t="shared" si="4588"/>
        <v>37665.743169314228</v>
      </c>
      <c r="AO174" s="234">
        <f t="shared" si="4588"/>
        <v>124094.89476796438</v>
      </c>
      <c r="AP174" s="213">
        <f>+AP52-AP67-AP160</f>
        <v>37243.97956621577</v>
      </c>
      <c r="AQ174" s="213">
        <f t="shared" si="4588"/>
        <v>31020.934777536138</v>
      </c>
      <c r="AR174" s="213">
        <f t="shared" si="4588"/>
        <v>27294.950046271682</v>
      </c>
      <c r="AS174" s="213">
        <f t="shared" si="4588"/>
        <v>34821.139261963137</v>
      </c>
      <c r="AT174" s="234">
        <f t="shared" si="4588"/>
        <v>130381.00365198683</v>
      </c>
      <c r="AU174" s="213">
        <f t="shared" si="4588"/>
        <v>64365.312523806992</v>
      </c>
      <c r="AV174" s="213">
        <f t="shared" si="4588"/>
        <v>48631.468765428377</v>
      </c>
      <c r="AW174" s="213">
        <f t="shared" si="4588"/>
        <v>48688.451622601831</v>
      </c>
      <c r="AX174" s="213">
        <f t="shared" si="4588"/>
        <v>31289.788266027579</v>
      </c>
      <c r="AY174" s="234">
        <f t="shared" si="4588"/>
        <v>192975.02117786487</v>
      </c>
      <c r="AZ174" s="213">
        <f t="shared" ref="AZ174:BD174" si="4589">+AZ52-AZ67-AZ160</f>
        <v>46910.936846876575</v>
      </c>
      <c r="BA174" s="213">
        <f t="shared" si="4589"/>
        <v>41864.366579595167</v>
      </c>
      <c r="BB174" s="213">
        <f t="shared" si="4589"/>
        <v>43596.63376682275</v>
      </c>
      <c r="BC174" s="213">
        <f t="shared" si="4589"/>
        <v>42766.615912516339</v>
      </c>
      <c r="BD174" s="234">
        <f t="shared" si="4589"/>
        <v>175138.55310581042</v>
      </c>
      <c r="BE174" s="213">
        <f>+BE52-BE67-BE160</f>
        <v>45637.45184076982</v>
      </c>
      <c r="BF174" s="213">
        <f>+BF52-BF67-BF160</f>
        <v>37539.752002790105</v>
      </c>
      <c r="BG174" s="213">
        <f>+BG52-BG67-BG160</f>
        <v>38178.323068911035</v>
      </c>
      <c r="BH174" s="213">
        <f>+BH52-BH67-BH160</f>
        <v>39337.451186914201</v>
      </c>
      <c r="BI174" s="234">
        <f>+BE174+BF174+BG174+BH174</f>
        <v>160692.97809938516</v>
      </c>
      <c r="BJ174" s="213">
        <f>+BE174*(1+BJ175)</f>
        <v>46550.200877585215</v>
      </c>
      <c r="BK174" s="213">
        <f t="shared" ref="BK174" si="4590">+BF174*(1+BK175)</f>
        <v>38290.547042845908</v>
      </c>
      <c r="BL174" s="213">
        <f t="shared" ref="BL174" si="4591">+BG174*(1+BL175)</f>
        <v>38941.889530289256</v>
      </c>
      <c r="BM174" s="213">
        <f t="shared" ref="BM174" si="4592">+BH174*(1+BM175)</f>
        <v>40124.200210652489</v>
      </c>
      <c r="BN174" s="234">
        <f>+BJ174+BK174+BL174+BM174</f>
        <v>163906.83766137288</v>
      </c>
      <c r="BO174" s="213">
        <f>+BJ174*(1+BO175)</f>
        <v>47481.204895136922</v>
      </c>
      <c r="BP174" s="213">
        <f t="shared" ref="BP174" si="4593">+BK174*(1+BP175)</f>
        <v>39056.35798370283</v>
      </c>
      <c r="BQ174" s="213">
        <f t="shared" ref="BQ174" si="4594">+BL174*(1+BQ175)</f>
        <v>39720.727320895043</v>
      </c>
      <c r="BR174" s="213">
        <f t="shared" ref="BR174" si="4595">+BM174*(1+BR175)</f>
        <v>40926.684214865541</v>
      </c>
      <c r="BS174" s="234">
        <f>+BO174+BP174+BQ174+BR174</f>
        <v>167184.97441460035</v>
      </c>
      <c r="BT174" s="213">
        <f>+BO174*(1+BT175)</f>
        <v>48430.828993039664</v>
      </c>
      <c r="BU174" s="213">
        <f t="shared" ref="BU174" si="4596">+BP174*(1+BU175)</f>
        <v>39837.485143376885</v>
      </c>
      <c r="BV174" s="213">
        <f t="shared" ref="BV174" si="4597">+BQ174*(1+BV175)</f>
        <v>40515.141867312945</v>
      </c>
      <c r="BW174" s="213">
        <f t="shared" ref="BW174" si="4598">+BR174*(1+BW175)</f>
        <v>41745.217899162853</v>
      </c>
      <c r="BX174" s="234">
        <f>+BT174+BU174+BV174+BW174</f>
        <v>170528.67390289233</v>
      </c>
      <c r="BY174" s="213">
        <f>+BT174*(1+BY175)</f>
        <v>49399.445572900455</v>
      </c>
      <c r="BZ174" s="213">
        <f t="shared" ref="BZ174" si="4599">+BU174*(1+BZ175)</f>
        <v>40634.234846244421</v>
      </c>
      <c r="CA174" s="213">
        <f t="shared" ref="CA174" si="4600">+BV174*(1+CA175)</f>
        <v>41325.444704659203</v>
      </c>
      <c r="CB174" s="213">
        <f t="shared" ref="CB174" si="4601">+BW174*(1+CB175)</f>
        <v>42580.122257146111</v>
      </c>
      <c r="CC174" s="234">
        <f>+BY174+BZ174+CA174+CB174</f>
        <v>173939.2473809502</v>
      </c>
      <c r="CD174" s="213">
        <f>+BY174*(1+CD175)</f>
        <v>50387.434484358462</v>
      </c>
      <c r="CE174" s="213">
        <f t="shared" ref="CE174" si="4602">+BZ174*(1+CE175)</f>
        <v>41446.919543169308</v>
      </c>
      <c r="CF174" s="213">
        <f t="shared" ref="CF174" si="4603">+CA174*(1+CF175)</f>
        <v>42151.953598752385</v>
      </c>
      <c r="CG174" s="213">
        <f t="shared" ref="CG174" si="4604">+CB174*(1+CG175)</f>
        <v>43431.724702289037</v>
      </c>
      <c r="CH174" s="234">
        <f>+CD174+CE174+CF174+CG174</f>
        <v>177418.03232856918</v>
      </c>
      <c r="CI174" s="213">
        <f>+CD174*(1+CI175)</f>
        <v>51395.183174045633</v>
      </c>
      <c r="CJ174" s="213">
        <f t="shared" ref="CJ174" si="4605">+CE174*(1+CJ175)</f>
        <v>42275.857934032698</v>
      </c>
      <c r="CK174" s="213">
        <f t="shared" ref="CK174" si="4606">+CF174*(1+CK175)</f>
        <v>42994.992670727435</v>
      </c>
      <c r="CL174" s="213">
        <f t="shared" ref="CL174" si="4607">+CG174*(1+CL175)</f>
        <v>44300.359196334815</v>
      </c>
      <c r="CM174" s="234">
        <f>+CI174+CJ174+CK174+CL174</f>
        <v>180966.39297514057</v>
      </c>
      <c r="CN174" s="213">
        <f>+CI174*(1+CN175)</f>
        <v>52423.086837526549</v>
      </c>
      <c r="CO174" s="213">
        <f t="shared" ref="CO174" si="4608">+CJ174*(1+CO175)</f>
        <v>43121.375092713351</v>
      </c>
      <c r="CP174" s="213">
        <f t="shared" ref="CP174" si="4609">+CK174*(1+CP175)</f>
        <v>43854.892524141986</v>
      </c>
      <c r="CQ174" s="213">
        <f t="shared" ref="CQ174" si="4610">+CL174*(1+CQ175)</f>
        <v>45186.366380261512</v>
      </c>
      <c r="CR174" s="234">
        <f>+CN174+CO174+CP174+CQ174</f>
        <v>184585.72083464341</v>
      </c>
      <c r="CS174" s="213">
        <f>+CN174*(1+CS175)</f>
        <v>53471.548574277083</v>
      </c>
      <c r="CT174" s="213">
        <f t="shared" ref="CT174" si="4611">+CO174*(1+CT175)</f>
        <v>43983.80259456762</v>
      </c>
      <c r="CU174" s="213">
        <f t="shared" ref="CU174" si="4612">+CP174*(1+CU175)</f>
        <v>44731.990374624824</v>
      </c>
      <c r="CV174" s="213">
        <f t="shared" ref="CV174" si="4613">+CQ174*(1+CV175)</f>
        <v>46090.093707866741</v>
      </c>
      <c r="CW174" s="234">
        <f>+CS174+CT174+CU174+CV174</f>
        <v>188277.43525133625</v>
      </c>
      <c r="CX174" s="213">
        <f>+CS174*(1+CX175)</f>
        <v>54540.979545762624</v>
      </c>
      <c r="CY174" s="213">
        <f t="shared" ref="CY174" si="4614">+CT174*(1+CY175)</f>
        <v>44863.478646458971</v>
      </c>
      <c r="CZ174" s="213">
        <f t="shared" ref="CZ174" si="4615">+CU174*(1+CZ175)</f>
        <v>45626.630182117318</v>
      </c>
      <c r="DA174" s="213">
        <f t="shared" ref="DA174" si="4616">+CV174*(1+DA175)</f>
        <v>47011.895582024074</v>
      </c>
      <c r="DB174" s="234">
        <f>+CX174+CY174+CZ174+DA174</f>
        <v>192042.98395636296</v>
      </c>
    </row>
    <row r="175" spans="1:106">
      <c r="A175" s="117" t="s">
        <v>281</v>
      </c>
      <c r="B175" s="119" t="s">
        <v>290</v>
      </c>
      <c r="C175" s="119" t="s">
        <v>290</v>
      </c>
      <c r="D175" s="119" t="s">
        <v>290</v>
      </c>
      <c r="E175" s="119" t="s">
        <v>290</v>
      </c>
      <c r="F175" s="235" t="s">
        <v>290</v>
      </c>
      <c r="G175" s="13">
        <f>+G174/B174-1</f>
        <v>0.76470588235294112</v>
      </c>
      <c r="H175" s="13">
        <f t="shared" ref="H175" si="4617">+H174/C174-1</f>
        <v>1.0101010101010166E-2</v>
      </c>
      <c r="I175" s="13">
        <f t="shared" ref="I175" si="4618">+I174/D174-1</f>
        <v>0.29032258064516125</v>
      </c>
      <c r="J175" s="13">
        <f t="shared" ref="J175" si="4619">+J174/E174-1</f>
        <v>0.89189189189189189</v>
      </c>
      <c r="K175" s="239">
        <f t="shared" ref="K175" si="4620">+K174/F174-1</f>
        <v>0.44462279293739959</v>
      </c>
      <c r="L175" s="13">
        <f>+L174/G174-1</f>
        <v>0.53333333333333344</v>
      </c>
      <c r="M175" s="13">
        <f t="shared" ref="M175" si="4621">+M174/H174-1</f>
        <v>5.0000000000000044E-2</v>
      </c>
      <c r="N175" s="13">
        <f t="shared" ref="N175" si="4622">+N174/I174-1</f>
        <v>-0.25</v>
      </c>
      <c r="O175" s="13">
        <f t="shared" ref="O175" si="4623">+O174/J174-1</f>
        <v>0.68285714285714283</v>
      </c>
      <c r="P175" s="239">
        <f t="shared" ref="P175" si="4624">+P174/K174-1</f>
        <v>0.31000000000000005</v>
      </c>
      <c r="Q175" s="13">
        <f>+Q174/L174-1</f>
        <v>1.5817391304347828</v>
      </c>
      <c r="R175" s="13">
        <f t="shared" ref="R175" si="4625">+R174/M174-1</f>
        <v>1.9152380952380952</v>
      </c>
      <c r="S175" s="13">
        <f t="shared" ref="S175" si="4626">+S174/N174-1</f>
        <v>4.2703333333333333</v>
      </c>
      <c r="T175" s="13">
        <f t="shared" ref="T175" si="4627">+T174/O174-1</f>
        <v>0.15033955857385406</v>
      </c>
      <c r="U175" s="239">
        <f t="shared" ref="U175" si="4628">+U174/P174-1</f>
        <v>1.2681085665818492</v>
      </c>
      <c r="V175" s="13">
        <f>+V174/Q174-1</f>
        <v>0.5751936679016505</v>
      </c>
      <c r="W175" s="13">
        <f t="shared" ref="W175" si="4629">+W174/R174-1</f>
        <v>0.3562561254491996</v>
      </c>
      <c r="X175" s="13">
        <f t="shared" ref="X175" si="4630">+X174/S174-1</f>
        <v>0.67630130921510334</v>
      </c>
      <c r="Y175" s="13">
        <f t="shared" ref="Y175" si="4631">+Y174/T174-1</f>
        <v>9.9549848719651779E-2</v>
      </c>
      <c r="Z175" s="239">
        <f t="shared" ref="Z175" si="4632">+Z174/U174-1</f>
        <v>0.43444523391047452</v>
      </c>
      <c r="AA175" s="13">
        <f>+AA174/V174-1</f>
        <v>0.15315122681349225</v>
      </c>
      <c r="AB175" s="13">
        <f t="shared" ref="AB175" si="4633">+AB174/W174-1</f>
        <v>0.11664458629411056</v>
      </c>
      <c r="AC175" s="13">
        <f t="shared" ref="AC175" si="4634">+AC174/X174-1</f>
        <v>-0.22430576516752188</v>
      </c>
      <c r="AD175" s="13">
        <f t="shared" ref="AD175" si="4635">+AD174/Y174-1</f>
        <v>0.40160491515916408</v>
      </c>
      <c r="AE175" s="239">
        <f t="shared" ref="AE175" si="4636">+AE174/Z174-1</f>
        <v>6.3100919429481372E-2</v>
      </c>
      <c r="AF175" s="13">
        <f>+AF174/AA174-1</f>
        <v>-2.9053193224705232E-2</v>
      </c>
      <c r="AG175" s="13">
        <f t="shared" ref="AG175" si="4637">+AG174/AB174-1</f>
        <v>-6.3082850177792027E-2</v>
      </c>
      <c r="AH175" s="13">
        <f t="shared" ref="AH175" si="4638">+AH174/AC174-1</f>
        <v>-0.20268040202874249</v>
      </c>
      <c r="AI175" s="13">
        <f t="shared" ref="AI175" si="4639">+AI174/AD174-1</f>
        <v>0.20318290179904719</v>
      </c>
      <c r="AJ175" s="239">
        <f t="shared" ref="AJ175" si="4640">+AJ174/AE174-1</f>
        <v>-2.1090940167145855E-2</v>
      </c>
      <c r="AK175" s="13">
        <f>+AK174/AF174-1</f>
        <v>0.38833706336924689</v>
      </c>
      <c r="AL175" s="13">
        <f t="shared" ref="AL175" si="4641">+AL174/AG174-1</f>
        <v>0.83315564118875662</v>
      </c>
      <c r="AM175" s="13">
        <f t="shared" ref="AM175" si="4642">+AM174/AH174-1</f>
        <v>0.55576128912559053</v>
      </c>
      <c r="AN175" s="13">
        <f t="shared" ref="AN175" si="4643">+AN174/AI174-1</f>
        <v>0.49900474962249208</v>
      </c>
      <c r="AO175" s="239">
        <f t="shared" ref="AO175" si="4644">+AO174/AJ174-1</f>
        <v>0.55433799020175067</v>
      </c>
      <c r="AP175" s="13">
        <f>+AP174/AK174-1</f>
        <v>0.28078228620767254</v>
      </c>
      <c r="AQ175" s="13">
        <f t="shared" ref="AQ175" si="4645">+AQ174/AL174-1</f>
        <v>-2.5965467766761119E-2</v>
      </c>
      <c r="AR175" s="13">
        <f t="shared" ref="AR175" si="4646">+AR174/AM174-1</f>
        <v>7.0298500868136715E-2</v>
      </c>
      <c r="AS175" s="13">
        <f t="shared" ref="AS175" si="4647">+AS174/AN174-1</f>
        <v>-7.5522309345234184E-2</v>
      </c>
      <c r="AT175" s="239">
        <f t="shared" ref="AT175" si="4648">+AT174/AO174-1</f>
        <v>5.0655660700437144E-2</v>
      </c>
      <c r="AU175" s="13">
        <f>+AU174/AP174-1</f>
        <v>0.7282071699500432</v>
      </c>
      <c r="AV175" s="13">
        <f t="shared" ref="AV175" si="4649">+AV174/AQ174-1</f>
        <v>0.5676983660932402</v>
      </c>
      <c r="AW175" s="13">
        <f t="shared" ref="AW175" si="4650">+AW174/AR174-1</f>
        <v>0.78378973180250844</v>
      </c>
      <c r="AX175" s="13">
        <f t="shared" ref="AX175" si="4651">+AX174/AS174-1</f>
        <v>-0.10141399939183005</v>
      </c>
      <c r="AY175" s="239">
        <f t="shared" ref="AY175" si="4652">+AY174/AT174-1</f>
        <v>0.48008540947386846</v>
      </c>
      <c r="AZ175" s="13">
        <f>+AZ174/AU174-1</f>
        <v>-0.27117674089556409</v>
      </c>
      <c r="BA175" s="13">
        <f t="shared" ref="BA175" si="4653">+BA174/AV174-1</f>
        <v>-0.13915068488829752</v>
      </c>
      <c r="BB175" s="13">
        <f t="shared" ref="BB175" si="4654">+BB174/AW174-1</f>
        <v>-0.10457958070318651</v>
      </c>
      <c r="BC175" s="13">
        <f t="shared" ref="BC175" si="4655">+BC174/AX174-1</f>
        <v>0.36679147678827717</v>
      </c>
      <c r="BD175" s="239">
        <f t="shared" ref="BD175" si="4656">+BD174/AY174-1</f>
        <v>-9.2428895528476662E-2</v>
      </c>
      <c r="BE175" s="13">
        <f>+BE174/AZ174-1</f>
        <v>-2.7146867909792038E-2</v>
      </c>
      <c r="BF175" s="13">
        <f>+BF174/BA174-1</f>
        <v>-0.10330060932805074</v>
      </c>
      <c r="BG175" s="13">
        <f>+BG174/BB174-1</f>
        <v>-0.1242827766678416</v>
      </c>
      <c r="BH175" s="13">
        <f>+BH174/BC174-1</f>
        <v>-8.0183214229923139E-2</v>
      </c>
      <c r="BI175" s="239">
        <f t="shared" ref="BI175" si="4657">+BI174/BD174-1</f>
        <v>-8.2480840170570113E-2</v>
      </c>
      <c r="BJ175" s="118">
        <v>0.02</v>
      </c>
      <c r="BK175" s="118">
        <v>0.02</v>
      </c>
      <c r="BL175" s="118">
        <v>0.02</v>
      </c>
      <c r="BM175" s="118">
        <v>0.02</v>
      </c>
      <c r="BN175" s="239">
        <f t="shared" ref="BN175" si="4658">+BN174/BI174-1</f>
        <v>2.0000000000000018E-2</v>
      </c>
      <c r="BO175" s="118">
        <v>0.02</v>
      </c>
      <c r="BP175" s="118">
        <v>0.02</v>
      </c>
      <c r="BQ175" s="118">
        <v>0.02</v>
      </c>
      <c r="BR175" s="118">
        <v>0.02</v>
      </c>
      <c r="BS175" s="239">
        <f t="shared" ref="BS175" si="4659">+BS174/BN174-1</f>
        <v>2.0000000000000018E-2</v>
      </c>
      <c r="BT175" s="118">
        <v>0.02</v>
      </c>
      <c r="BU175" s="118">
        <v>0.02</v>
      </c>
      <c r="BV175" s="118">
        <v>0.02</v>
      </c>
      <c r="BW175" s="118">
        <v>0.02</v>
      </c>
      <c r="BX175" s="239">
        <f t="shared" ref="BX175" si="4660">+BX174/BS174-1</f>
        <v>1.9999999999999796E-2</v>
      </c>
      <c r="BY175" s="118">
        <v>0.02</v>
      </c>
      <c r="BZ175" s="118">
        <v>0.02</v>
      </c>
      <c r="CA175" s="118">
        <v>0.02</v>
      </c>
      <c r="CB175" s="118">
        <v>0.02</v>
      </c>
      <c r="CC175" s="239">
        <f t="shared" ref="CC175" si="4661">+CC174/BX174-1</f>
        <v>2.0000000000000018E-2</v>
      </c>
      <c r="CD175" s="118">
        <v>0.02</v>
      </c>
      <c r="CE175" s="118">
        <v>0.02</v>
      </c>
      <c r="CF175" s="118">
        <v>0.02</v>
      </c>
      <c r="CG175" s="118">
        <v>0.02</v>
      </c>
      <c r="CH175" s="239">
        <f t="shared" ref="CH175" si="4662">+CH174/CC174-1</f>
        <v>1.9999999999999796E-2</v>
      </c>
      <c r="CI175" s="118">
        <v>0.02</v>
      </c>
      <c r="CJ175" s="118">
        <v>0.02</v>
      </c>
      <c r="CK175" s="118">
        <v>0.02</v>
      </c>
      <c r="CL175" s="118">
        <v>0.02</v>
      </c>
      <c r="CM175" s="239">
        <f t="shared" ref="CM175" si="4663">+CM174/CH174-1</f>
        <v>2.0000000000000018E-2</v>
      </c>
      <c r="CN175" s="118">
        <v>0.02</v>
      </c>
      <c r="CO175" s="118">
        <v>0.02</v>
      </c>
      <c r="CP175" s="118">
        <v>0.02</v>
      </c>
      <c r="CQ175" s="118">
        <v>0.02</v>
      </c>
      <c r="CR175" s="239">
        <f t="shared" ref="CR175" si="4664">+CR174/CM174-1</f>
        <v>2.000000000000024E-2</v>
      </c>
      <c r="CS175" s="118">
        <v>0.02</v>
      </c>
      <c r="CT175" s="118">
        <v>0.02</v>
      </c>
      <c r="CU175" s="118">
        <v>0.02</v>
      </c>
      <c r="CV175" s="118">
        <v>0.02</v>
      </c>
      <c r="CW175" s="239">
        <f t="shared" ref="CW175" si="4665">+CW174/CR174-1</f>
        <v>1.9999999999999796E-2</v>
      </c>
      <c r="CX175" s="118">
        <v>0.02</v>
      </c>
      <c r="CY175" s="118">
        <v>0.02</v>
      </c>
      <c r="CZ175" s="118">
        <v>0.02</v>
      </c>
      <c r="DA175" s="118">
        <v>0.02</v>
      </c>
      <c r="DB175" s="239">
        <f t="shared" ref="DB175" si="4666">+DB174/CW174-1</f>
        <v>2.0000000000000018E-2</v>
      </c>
    </row>
    <row r="176" spans="1:106">
      <c r="A176" s="117" t="s">
        <v>288</v>
      </c>
      <c r="B176" s="119" t="s">
        <v>290</v>
      </c>
      <c r="C176" s="13">
        <f>+C174/B174-1</f>
        <v>1.3294117647058825</v>
      </c>
      <c r="D176" s="13">
        <f t="shared" ref="D176:E176" si="4667">+D174/C174-1</f>
        <v>-0.21717171717171713</v>
      </c>
      <c r="E176" s="13">
        <f t="shared" si="4667"/>
        <v>0.19354838709677424</v>
      </c>
      <c r="F176" s="235" t="s">
        <v>290</v>
      </c>
      <c r="G176" s="13">
        <f>+G174/E174-1</f>
        <v>-0.18918918918918914</v>
      </c>
      <c r="H176" s="13">
        <f>+H174/G174-1</f>
        <v>0.33333333333333326</v>
      </c>
      <c r="I176" s="13">
        <f t="shared" ref="I176:J176" si="4668">+I174/H174-1</f>
        <v>0</v>
      </c>
      <c r="J176" s="13">
        <f t="shared" si="4668"/>
        <v>0.75</v>
      </c>
      <c r="K176" s="235" t="s">
        <v>290</v>
      </c>
      <c r="L176" s="13">
        <f>+L174/J174-1</f>
        <v>-0.34285714285714286</v>
      </c>
      <c r="M176" s="13">
        <f>+M174/L174-1</f>
        <v>-8.6956521739130488E-2</v>
      </c>
      <c r="N176" s="13">
        <f t="shared" ref="N176:O176" si="4669">+N174/M174-1</f>
        <v>-0.2857142857142857</v>
      </c>
      <c r="O176" s="13">
        <f t="shared" si="4669"/>
        <v>2.9266666666666667</v>
      </c>
      <c r="P176" s="235" t="s">
        <v>290</v>
      </c>
      <c r="Q176" s="13">
        <f>+Q174/O174-1</f>
        <v>8.149405772495788E-3</v>
      </c>
      <c r="R176" s="13">
        <f>+R174/Q174-1</f>
        <v>3.0986864264062053E-2</v>
      </c>
      <c r="S176" s="13">
        <f t="shared" ref="S176:T176" si="4670">+S174/R174-1</f>
        <v>0.2913263639333552</v>
      </c>
      <c r="T176" s="13">
        <f t="shared" si="4670"/>
        <v>-0.14293846056542914</v>
      </c>
      <c r="U176" s="235" t="s">
        <v>290</v>
      </c>
      <c r="V176" s="13">
        <f>+V174/T174-1</f>
        <v>0.3804885248321157</v>
      </c>
      <c r="W176" s="13">
        <f>+W174/V174-1</f>
        <v>-0.11231089966322771</v>
      </c>
      <c r="X176" s="13">
        <f t="shared" ref="X176:Y176" si="4671">+X174/W174-1</f>
        <v>0.59604962061905331</v>
      </c>
      <c r="Y176" s="13">
        <f t="shared" si="4671"/>
        <v>-0.43782070630848169</v>
      </c>
      <c r="Z176" s="235" t="s">
        <v>290</v>
      </c>
      <c r="AA176" s="13">
        <f>+AA174/Y174-1</f>
        <v>0.44778523489932875</v>
      </c>
      <c r="AB176" s="13">
        <f>+AB174/AA174-1</f>
        <v>-0.14041349898015942</v>
      </c>
      <c r="AC176" s="13">
        <f t="shared" ref="AC176:AD176" si="4672">+AC174/AB174-1</f>
        <v>0.10872027180067945</v>
      </c>
      <c r="AD176" s="13">
        <f t="shared" si="4672"/>
        <v>1.5803941625154083E-2</v>
      </c>
      <c r="AE176" s="235" t="s">
        <v>290</v>
      </c>
      <c r="AF176" s="13">
        <f>+AF174/AD174-1</f>
        <v>2.9377291119814242E-3</v>
      </c>
      <c r="AG176" s="13">
        <f>+AG174/AF174-1</f>
        <v>-0.17054020988449736</v>
      </c>
      <c r="AH176" s="13">
        <f t="shared" ref="AH176" si="4673">+AH174/AG174-1</f>
        <v>-5.6475376139232591E-2</v>
      </c>
      <c r="AI176" s="13">
        <f t="shared" ref="AI176" si="4674">+AI174/AH174-1</f>
        <v>0.53288334722147623</v>
      </c>
      <c r="AJ176" s="235" t="s">
        <v>290</v>
      </c>
      <c r="AK176" s="13">
        <f>+AK174/AI174-1</f>
        <v>0.15727676938855595</v>
      </c>
      <c r="AL176" s="13">
        <f>+AL174/AK174-1</f>
        <v>9.5215948279463891E-2</v>
      </c>
      <c r="AM176" s="13">
        <f t="shared" ref="AM176" si="4675">+AM174/AL174-1</f>
        <v>-0.19925016067513568</v>
      </c>
      <c r="AN176" s="13">
        <f t="shared" ref="AN176" si="4676">+AN174/AM174-1</f>
        <v>0.47696142985643109</v>
      </c>
      <c r="AO176" s="235" t="s">
        <v>290</v>
      </c>
      <c r="AP176" s="13">
        <f>+AP174/AN174-1</f>
        <v>-1.1197538336162771E-2</v>
      </c>
      <c r="AQ176" s="13">
        <f>+AQ174/AP174-1</f>
        <v>-0.16708861032467626</v>
      </c>
      <c r="AR176" s="13">
        <f t="shared" ref="AR176" si="4677">+AR174/AQ174-1</f>
        <v>-0.12011194240228484</v>
      </c>
      <c r="AS176" s="13">
        <f t="shared" ref="AS176" si="4678">+AS174/AR174-1</f>
        <v>0.27573559222246979</v>
      </c>
      <c r="AT176" s="235" t="s">
        <v>290</v>
      </c>
      <c r="AU176" s="13">
        <f>+AU174/AS174-1</f>
        <v>0.84845510193046514</v>
      </c>
      <c r="AV176" s="13">
        <f>+AV174/AU174-1</f>
        <v>-0.24444600890517065</v>
      </c>
      <c r="AW176" s="13">
        <f t="shared" ref="AW176" si="4679">+AW174/AV174-1</f>
        <v>1.1717280727898682E-3</v>
      </c>
      <c r="AX176" s="13">
        <f t="shared" ref="AX176" si="4680">+AX174/AW174-1</f>
        <v>-0.35734681996947215</v>
      </c>
      <c r="AY176" s="235" t="s">
        <v>290</v>
      </c>
      <c r="AZ176" s="13">
        <f>+AZ174/AX174-1</f>
        <v>0.49924110856989801</v>
      </c>
      <c r="BA176" s="13">
        <f>+BA174/AZ174-1</f>
        <v>-0.10757769097117098</v>
      </c>
      <c r="BB176" s="13">
        <f>+BB174/BA174-1</f>
        <v>4.1378081857134763E-2</v>
      </c>
      <c r="BC176" s="13">
        <f>+BC174/BB174-1</f>
        <v>-1.9038576665018958E-2</v>
      </c>
      <c r="BD176" s="235" t="s">
        <v>290</v>
      </c>
      <c r="BE176" s="62">
        <f>+BE174/BC174-1</f>
        <v>6.7127965750810814E-2</v>
      </c>
      <c r="BF176" s="13">
        <f>+BF174/BE174-1</f>
        <v>-0.17743540691607385</v>
      </c>
      <c r="BG176" s="13">
        <f t="shared" ref="BG176" si="4681">+BG174/BF174-1</f>
        <v>1.7010529693256116E-2</v>
      </c>
      <c r="BH176" s="13">
        <f t="shared" ref="BH176" si="4682">+BH174/BG174-1</f>
        <v>3.036089657240737E-2</v>
      </c>
      <c r="BI176" s="235" t="s">
        <v>290</v>
      </c>
      <c r="BJ176" s="13">
        <f>+BJ174/BH174-1</f>
        <v>0.18335579639868405</v>
      </c>
      <c r="BK176" s="13">
        <f>+BK174/BJ174-1</f>
        <v>-0.17743540691607373</v>
      </c>
      <c r="BL176" s="13">
        <f t="shared" ref="BL176" si="4683">+BL174/BK174-1</f>
        <v>1.7010529693256116E-2</v>
      </c>
      <c r="BM176" s="13">
        <f t="shared" ref="BM176" si="4684">+BM174/BL174-1</f>
        <v>3.0360896572407592E-2</v>
      </c>
      <c r="BN176" s="235" t="s">
        <v>290</v>
      </c>
      <c r="BO176" s="13">
        <f>+BO174/BM174-1</f>
        <v>0.18335579639868405</v>
      </c>
      <c r="BP176" s="13">
        <f>+BP174/BO174-1</f>
        <v>-0.17743540691607373</v>
      </c>
      <c r="BQ176" s="13">
        <f t="shared" ref="BQ176" si="4685">+BQ174/BP174-1</f>
        <v>1.7010529693255894E-2</v>
      </c>
      <c r="BR176" s="13">
        <f t="shared" ref="BR176" si="4686">+BR174/BQ174-1</f>
        <v>3.0360896572407592E-2</v>
      </c>
      <c r="BS176" s="235" t="s">
        <v>290</v>
      </c>
      <c r="BT176" s="13">
        <f>+BT174/BR174-1</f>
        <v>0.18335579639868405</v>
      </c>
      <c r="BU176" s="13">
        <f>+BU174/BT174-1</f>
        <v>-0.17743540691607385</v>
      </c>
      <c r="BV176" s="13">
        <f t="shared" ref="BV176" si="4687">+BV174/BU174-1</f>
        <v>1.7010529693256116E-2</v>
      </c>
      <c r="BW176" s="13">
        <f t="shared" ref="BW176" si="4688">+BW174/BV174-1</f>
        <v>3.0360896572407592E-2</v>
      </c>
      <c r="BX176" s="235" t="s">
        <v>290</v>
      </c>
      <c r="BY176" s="13">
        <f>+BY174/BW174-1</f>
        <v>0.18335579639868405</v>
      </c>
      <c r="BZ176" s="13">
        <f>+BZ174/BY174-1</f>
        <v>-0.17743540691607385</v>
      </c>
      <c r="CA176" s="13">
        <f t="shared" ref="CA176" si="4689">+CA174/BZ174-1</f>
        <v>1.7010529693256116E-2</v>
      </c>
      <c r="CB176" s="13">
        <f t="shared" ref="CB176" si="4690">+CB174/CA174-1</f>
        <v>3.0360896572407592E-2</v>
      </c>
      <c r="CC176" s="235" t="s">
        <v>290</v>
      </c>
      <c r="CD176" s="13">
        <f>+CD174/CB174-1</f>
        <v>0.18335579639868382</v>
      </c>
      <c r="CE176" s="13">
        <f>+CE174/CD174-1</f>
        <v>-0.17743540691607385</v>
      </c>
      <c r="CF176" s="13">
        <f t="shared" ref="CF176" si="4691">+CF174/CE174-1</f>
        <v>1.7010529693256116E-2</v>
      </c>
      <c r="CG176" s="13">
        <f t="shared" ref="CG176" si="4692">+CG174/CF174-1</f>
        <v>3.0360896572407814E-2</v>
      </c>
      <c r="CH176" s="235" t="s">
        <v>290</v>
      </c>
      <c r="CI176" s="13">
        <f>+CI174/CG174-1</f>
        <v>0.18335579639868382</v>
      </c>
      <c r="CJ176" s="13">
        <f>+CJ174/CI174-1</f>
        <v>-0.17743540691607373</v>
      </c>
      <c r="CK176" s="13">
        <f t="shared" ref="CK176" si="4693">+CK174/CJ174-1</f>
        <v>1.7010529693256116E-2</v>
      </c>
      <c r="CL176" s="13">
        <f t="shared" ref="CL176" si="4694">+CL174/CK174-1</f>
        <v>3.0360896572407592E-2</v>
      </c>
      <c r="CM176" s="235" t="s">
        <v>290</v>
      </c>
      <c r="CN176" s="13">
        <f>+CN174/CL174-1</f>
        <v>0.18335579639868405</v>
      </c>
      <c r="CO176" s="13">
        <f>+CO174/CN174-1</f>
        <v>-0.17743540691607385</v>
      </c>
      <c r="CP176" s="13">
        <f t="shared" ref="CP176" si="4695">+CP174/CO174-1</f>
        <v>1.7010529693256116E-2</v>
      </c>
      <c r="CQ176" s="13">
        <f t="shared" ref="CQ176" si="4696">+CQ174/CP174-1</f>
        <v>3.0360896572407592E-2</v>
      </c>
      <c r="CR176" s="235" t="s">
        <v>290</v>
      </c>
      <c r="CS176" s="13">
        <f>+CS174/CQ174-1</f>
        <v>0.18335579639868405</v>
      </c>
      <c r="CT176" s="13">
        <f>+CT174/CS174-1</f>
        <v>-0.17743540691607385</v>
      </c>
      <c r="CU176" s="13">
        <f t="shared" ref="CU176" si="4697">+CU174/CT174-1</f>
        <v>1.7010529693256116E-2</v>
      </c>
      <c r="CV176" s="13">
        <f t="shared" ref="CV176" si="4698">+CV174/CU174-1</f>
        <v>3.0360896572407592E-2</v>
      </c>
      <c r="CW176" s="235" t="s">
        <v>290</v>
      </c>
      <c r="CX176" s="13">
        <f>+CX174/CV174-1</f>
        <v>0.18335579639868405</v>
      </c>
      <c r="CY176" s="13">
        <f>+CY174/CX174-1</f>
        <v>-0.17743540691607385</v>
      </c>
      <c r="CZ176" s="13">
        <f t="shared" ref="CZ176" si="4699">+CZ174/CY174-1</f>
        <v>1.7010529693256116E-2</v>
      </c>
      <c r="DA176" s="13">
        <f t="shared" ref="DA176" si="4700">+DA174/CZ174-1</f>
        <v>3.0360896572407592E-2</v>
      </c>
      <c r="DB176" s="235" t="s">
        <v>290</v>
      </c>
    </row>
    <row r="177" spans="1:106">
      <c r="F177" s="217"/>
      <c r="K177" s="217"/>
      <c r="P177" s="217"/>
      <c r="U177" s="217"/>
      <c r="Z177" s="217"/>
      <c r="AE177" s="217"/>
      <c r="AJ177" s="217"/>
      <c r="AO177" s="217"/>
      <c r="AT177" s="217"/>
      <c r="AY177" s="217"/>
      <c r="BD177" s="217"/>
      <c r="BI177" s="217"/>
      <c r="BN177" s="217"/>
      <c r="BS177" s="217"/>
      <c r="BX177" s="217"/>
      <c r="CC177" s="217"/>
      <c r="CH177" s="217"/>
      <c r="CM177" s="217"/>
      <c r="CR177" s="217"/>
      <c r="CW177" s="217"/>
      <c r="DB177" s="217"/>
    </row>
    <row r="178" spans="1:106" s="51" customFormat="1">
      <c r="A178" s="51" t="s">
        <v>305</v>
      </c>
      <c r="B178" s="225">
        <f>+B182/B174*1000000</f>
        <v>2005.2941176470595</v>
      </c>
      <c r="C178" s="225">
        <f>+C182/C174*1000000</f>
        <v>1120.2020202020194</v>
      </c>
      <c r="D178" s="225">
        <f>+D182/D174*1000000</f>
        <v>1840.0000000000011</v>
      </c>
      <c r="E178" s="225">
        <f>+E182/E174*1000000</f>
        <v>1637.5675675675673</v>
      </c>
      <c r="F178" s="236">
        <f t="shared" ref="F178" si="4701">+F182/F174*1000000</f>
        <v>1573.6757624398072</v>
      </c>
      <c r="G178" s="225">
        <f>+G182/G174*1000000</f>
        <v>1733.0000000000002</v>
      </c>
      <c r="H178" s="225">
        <f t="shared" ref="H178:J178" si="4702">+H182/H174*1000000</f>
        <v>1179.7499999999998</v>
      </c>
      <c r="I178" s="225">
        <f t="shared" si="4702"/>
        <v>1180.7500000000011</v>
      </c>
      <c r="J178" s="225">
        <f t="shared" si="4702"/>
        <v>1318.1428571428569</v>
      </c>
      <c r="K178" s="236">
        <f>+K182/K174*1000000</f>
        <v>1326.0000000000002</v>
      </c>
      <c r="L178" s="225">
        <f>+L182/L174*1000000</f>
        <v>812.17391304347836</v>
      </c>
      <c r="M178" s="225">
        <f t="shared" ref="M178:O178" si="4703">+M182/M174*1000000</f>
        <v>769.28571428571422</v>
      </c>
      <c r="N178" s="225">
        <f t="shared" si="4703"/>
        <v>896.66666666666708</v>
      </c>
      <c r="O178" s="225">
        <f t="shared" si="4703"/>
        <v>238.62478777589163</v>
      </c>
      <c r="P178" s="236">
        <f>+P182/P174*1000000</f>
        <v>528.75318066157774</v>
      </c>
      <c r="Q178" s="225">
        <f>+Q182/Q174*1000000</f>
        <v>166.52239811384288</v>
      </c>
      <c r="R178" s="225">
        <f t="shared" ref="R178:T178" si="4704">+R182/R174*1000000</f>
        <v>274.14635739954292</v>
      </c>
      <c r="S178" s="225">
        <f t="shared" si="4704"/>
        <v>122.78533932072598</v>
      </c>
      <c r="T178" s="225">
        <f t="shared" si="4704"/>
        <v>296.61087742602029</v>
      </c>
      <c r="U178" s="236">
        <f>+U182/U174*1000000</f>
        <v>211.19256946262297</v>
      </c>
      <c r="V178" s="225">
        <f>+V182/V174*1000000</f>
        <v>69.31009782434397</v>
      </c>
      <c r="W178" s="225">
        <f>+W182/W174*1000000</f>
        <v>115.52812236540986</v>
      </c>
      <c r="X178" s="225">
        <f>+X182/X174*1000000</f>
        <v>91.504225777241189</v>
      </c>
      <c r="Y178" s="225">
        <f t="shared" ref="Y178" si="4705">+Y182/Y174*1000000</f>
        <v>89.798657718120637</v>
      </c>
      <c r="Z178" s="236">
        <f>+Z182/Z174*1000000</f>
        <v>90.96122111135729</v>
      </c>
      <c r="AA178" s="225">
        <f>+AA182/AA174*1000000</f>
        <v>34.416465788985263</v>
      </c>
      <c r="AB178" s="225">
        <f t="shared" ref="AB178:AD178" si="4706">+AB182/AB174*1000000</f>
        <v>163.07431375721328</v>
      </c>
      <c r="AC178" s="225">
        <f t="shared" si="4706"/>
        <v>129.88481930054979</v>
      </c>
      <c r="AD178" s="225">
        <f t="shared" si="4706"/>
        <v>123.20726043240214</v>
      </c>
      <c r="AE178" s="236">
        <f>+AE182/AE174*1000000</f>
        <v>110.46960839769255</v>
      </c>
      <c r="AF178" s="225">
        <f>+AF182/AF174*1000000</f>
        <v>226.81890012442892</v>
      </c>
      <c r="AG178" s="225">
        <f t="shared" ref="AG178:AI178" si="4707">+AG182/AG174*1000000</f>
        <v>318.23748254595762</v>
      </c>
      <c r="AH178" s="225">
        <f t="shared" si="4707"/>
        <v>205.14726404211223</v>
      </c>
      <c r="AI178" s="225">
        <f t="shared" si="4707"/>
        <v>143.39019149171853</v>
      </c>
      <c r="AJ178" s="236">
        <f>+AJ182/AJ174*1000000</f>
        <v>216.00531926270318</v>
      </c>
      <c r="AK178" s="225">
        <f>+AK182/AK174*1000000</f>
        <v>25.125138825382688</v>
      </c>
      <c r="AL178" s="225">
        <f t="shared" ref="AL178:AN178" si="4708">+AL182/AL174*1000000</f>
        <v>104.27422378791832</v>
      </c>
      <c r="AM178" s="225">
        <f t="shared" si="4708"/>
        <v>118.76641070537865</v>
      </c>
      <c r="AN178" s="225">
        <f t="shared" si="4708"/>
        <v>120.02627382365324</v>
      </c>
      <c r="AO178" s="236">
        <f>+AO182/AO174*1000000</f>
        <v>93.486608116858079</v>
      </c>
      <c r="AP178" s="225">
        <f>+AP182/AP174*1000000</f>
        <v>143.40873061169484</v>
      </c>
      <c r="AQ178" s="225">
        <f t="shared" ref="AQ178:AS178" si="4709">+AQ182/AQ174*1000000</f>
        <v>56.932417726293671</v>
      </c>
      <c r="AR178" s="225">
        <f t="shared" si="4709"/>
        <v>15.898625560721442</v>
      </c>
      <c r="AS178" s="225">
        <f t="shared" si="4709"/>
        <v>43.264986470459718</v>
      </c>
      <c r="AT178" s="236">
        <f>+AT182/AT174*1000000</f>
        <v>69.394288321502174</v>
      </c>
      <c r="AU178" s="225">
        <f>+AU182/AU174*1000000</f>
        <v>62.755603022916219</v>
      </c>
      <c r="AV178" s="225">
        <f t="shared" ref="AV178:AX178" si="4710">+AV182/AV174*1000000</f>
        <v>89.669471656329918</v>
      </c>
      <c r="AW178" s="225">
        <f t="shared" si="4710"/>
        <v>63.901834005479365</v>
      </c>
      <c r="AX178" s="225">
        <f t="shared" si="4710"/>
        <v>145.0451111573864</v>
      </c>
      <c r="AY178" s="236">
        <f>+AY182/AY174*1000000</f>
        <v>83.170112815650754</v>
      </c>
      <c r="AZ178" s="225">
        <f>+AZ182/AZ174*1000000</f>
        <v>197.67118316890773</v>
      </c>
      <c r="BA178" s="225">
        <f t="shared" ref="BA178:BC178" si="4711">+BA182/BA174*1000000</f>
        <v>225.55487871093047</v>
      </c>
      <c r="BB178" s="225">
        <f t="shared" si="4711"/>
        <v>278.47383938873617</v>
      </c>
      <c r="BC178" s="225">
        <f t="shared" si="4711"/>
        <v>284.21878989602192</v>
      </c>
      <c r="BD178" s="236">
        <f t="shared" ref="BD178:BI178" si="4712">+BD182/BD174*1000000</f>
        <v>245.58413647704546</v>
      </c>
      <c r="BE178" s="225">
        <f t="shared" si="4712"/>
        <v>256.93456521601956</v>
      </c>
      <c r="BF178" s="225">
        <f t="shared" si="4712"/>
        <v>608.91333213891812</v>
      </c>
      <c r="BG178" s="225">
        <f t="shared" si="4712"/>
        <v>719.25531264821495</v>
      </c>
      <c r="BH178" s="225">
        <f t="shared" si="4712"/>
        <v>987.10928569606824</v>
      </c>
      <c r="BI178" s="236">
        <f t="shared" si="4712"/>
        <v>627.74752547747903</v>
      </c>
      <c r="BJ178" s="226">
        <v>350</v>
      </c>
      <c r="BK178" s="226">
        <v>550</v>
      </c>
      <c r="BL178" s="226">
        <v>550</v>
      </c>
      <c r="BM178" s="226">
        <v>550</v>
      </c>
      <c r="BN178" s="236">
        <f>+BN182/BN174*1000000</f>
        <v>493.1991959069374</v>
      </c>
      <c r="BO178" s="226">
        <v>200</v>
      </c>
      <c r="BP178" s="226">
        <v>200</v>
      </c>
      <c r="BQ178" s="226">
        <v>200</v>
      </c>
      <c r="BR178" s="226">
        <v>200</v>
      </c>
      <c r="BS178" s="236">
        <f>+BS182/BS174*1000000</f>
        <v>199.99999999999997</v>
      </c>
      <c r="BT178" s="226">
        <v>200</v>
      </c>
      <c r="BU178" s="226">
        <v>200</v>
      </c>
      <c r="BV178" s="226">
        <v>200</v>
      </c>
      <c r="BW178" s="226">
        <v>200</v>
      </c>
      <c r="BX178" s="236">
        <f>+BX182/BX174*1000000</f>
        <v>200.00000000000003</v>
      </c>
      <c r="BY178" s="226">
        <v>200</v>
      </c>
      <c r="BZ178" s="226">
        <v>200</v>
      </c>
      <c r="CA178" s="226">
        <v>200</v>
      </c>
      <c r="CB178" s="226">
        <v>200</v>
      </c>
      <c r="CC178" s="236">
        <f>+CC182/CC174*1000000</f>
        <v>199.99999999999994</v>
      </c>
      <c r="CD178" s="226">
        <v>200</v>
      </c>
      <c r="CE178" s="226">
        <v>200</v>
      </c>
      <c r="CF178" s="226">
        <v>200</v>
      </c>
      <c r="CG178" s="226">
        <v>200</v>
      </c>
      <c r="CH178" s="236">
        <f>+CH182/CH174*1000000</f>
        <v>200</v>
      </c>
      <c r="CI178" s="226">
        <v>200</v>
      </c>
      <c r="CJ178" s="226">
        <v>200</v>
      </c>
      <c r="CK178" s="226">
        <v>200</v>
      </c>
      <c r="CL178" s="226">
        <v>200</v>
      </c>
      <c r="CM178" s="236">
        <f>+CM182/CM174*1000000</f>
        <v>200.00000000000003</v>
      </c>
      <c r="CN178" s="226">
        <v>200</v>
      </c>
      <c r="CO178" s="226">
        <v>200</v>
      </c>
      <c r="CP178" s="226">
        <v>200</v>
      </c>
      <c r="CQ178" s="226">
        <v>200</v>
      </c>
      <c r="CR178" s="236">
        <f>+CR182/CR174*1000000</f>
        <v>199.99999999999997</v>
      </c>
      <c r="CS178" s="226">
        <v>200</v>
      </c>
      <c r="CT178" s="226">
        <v>200</v>
      </c>
      <c r="CU178" s="226">
        <v>200</v>
      </c>
      <c r="CV178" s="226">
        <v>200</v>
      </c>
      <c r="CW178" s="236">
        <f>+CW182/CW174*1000000</f>
        <v>200</v>
      </c>
      <c r="CX178" s="226">
        <v>200</v>
      </c>
      <c r="CY178" s="226">
        <v>200</v>
      </c>
      <c r="CZ178" s="226">
        <v>200</v>
      </c>
      <c r="DA178" s="226">
        <v>200</v>
      </c>
      <c r="DB178" s="236">
        <f>+DB182/DB174*1000000</f>
        <v>200</v>
      </c>
    </row>
    <row r="179" spans="1:106">
      <c r="A179" s="117" t="s">
        <v>281</v>
      </c>
      <c r="B179" s="119" t="s">
        <v>290</v>
      </c>
      <c r="C179" s="119" t="s">
        <v>290</v>
      </c>
      <c r="D179" s="119" t="s">
        <v>290</v>
      </c>
      <c r="E179" s="119" t="s">
        <v>290</v>
      </c>
      <c r="F179" s="235" t="s">
        <v>290</v>
      </c>
      <c r="G179" s="13">
        <f>+G178/B178-1</f>
        <v>-0.13578762100322694</v>
      </c>
      <c r="H179" s="13">
        <f t="shared" ref="H179" si="4713">+H178/C178-1</f>
        <v>5.3158250676285546E-2</v>
      </c>
      <c r="I179" s="13">
        <f t="shared" ref="I179" si="4714">+I178/D178-1</f>
        <v>-0.3582880434782606</v>
      </c>
      <c r="J179" s="13">
        <f t="shared" ref="J179" si="4715">+J178/E178-1</f>
        <v>-0.19506047674062199</v>
      </c>
      <c r="K179" s="239">
        <f t="shared" ref="K179" si="4716">+K178/F178-1</f>
        <v>-0.15738678090575253</v>
      </c>
      <c r="L179" s="13">
        <f>+L178/G178-1</f>
        <v>-0.53134800170601371</v>
      </c>
      <c r="M179" s="13">
        <f t="shared" ref="M179" si="4717">+M178/H178-1</f>
        <v>-0.34792480247025692</v>
      </c>
      <c r="N179" s="13">
        <f t="shared" ref="N179" si="4718">+N178/I178-1</f>
        <v>-0.24059566659609044</v>
      </c>
      <c r="O179" s="13">
        <f t="shared" ref="O179" si="4719">+O178/J178-1</f>
        <v>-0.81896894825715383</v>
      </c>
      <c r="P179" s="239">
        <f t="shared" ref="P179" si="4720">+P178/K178-1</f>
        <v>-0.60124194520243013</v>
      </c>
      <c r="Q179" s="13">
        <f>+Q178/L178-1</f>
        <v>-0.79496706870351252</v>
      </c>
      <c r="R179" s="13">
        <f t="shared" ref="R179" si="4721">+R178/M178-1</f>
        <v>-0.64363519000987912</v>
      </c>
      <c r="S179" s="13">
        <f t="shared" ref="S179" si="4722">+S178/N178-1</f>
        <v>-0.86306467733748038</v>
      </c>
      <c r="T179" s="13">
        <f t="shared" ref="T179" si="4723">+T178/O178-1</f>
        <v>0.24300111564514926</v>
      </c>
      <c r="U179" s="239">
        <f t="shared" ref="U179" si="4724">+U178/P178-1</f>
        <v>-0.60058383157453887</v>
      </c>
      <c r="V179" s="13">
        <f>+V178/Q178-1</f>
        <v>-0.58377912755640127</v>
      </c>
      <c r="W179" s="13">
        <f t="shared" ref="W179" si="4725">+W178/R178-1</f>
        <v>-0.57858961373308226</v>
      </c>
      <c r="X179" s="13">
        <f t="shared" ref="X179" si="4726">+X178/S178-1</f>
        <v>-0.2547626102313062</v>
      </c>
      <c r="Y179" s="13">
        <f t="shared" ref="Y179" si="4727">+Y178/T178-1</f>
        <v>-0.69725096227963546</v>
      </c>
      <c r="Z179" s="239">
        <f t="shared" ref="Z179" si="4728">+Z178/U178-1</f>
        <v>-0.56929724685481564</v>
      </c>
      <c r="AA179" s="13">
        <f>+AA178/V178-1</f>
        <v>-0.50344225633314466</v>
      </c>
      <c r="AB179" s="13">
        <f t="shared" ref="AB179" si="4729">+AB178/W178-1</f>
        <v>0.41155512976673436</v>
      </c>
      <c r="AC179" s="13">
        <f t="shared" ref="AC179" si="4730">+AC178/X178-1</f>
        <v>0.41944066732767848</v>
      </c>
      <c r="AD179" s="13">
        <f t="shared" ref="AD179" si="4731">+AD178/Y178-1</f>
        <v>0.37203899883616987</v>
      </c>
      <c r="AE179" s="239">
        <f t="shared" ref="AE179" si="4732">+AE178/Z178-1</f>
        <v>0.21446927655525361</v>
      </c>
      <c r="AF179" s="13">
        <f>+AF178/AA178-1</f>
        <v>5.5904181305281107</v>
      </c>
      <c r="AG179" s="13">
        <f t="shared" ref="AG179" si="4733">+AG178/AB178-1</f>
        <v>0.95148748575911757</v>
      </c>
      <c r="AH179" s="13">
        <f t="shared" ref="AH179" si="4734">+AH178/AC178-1</f>
        <v>0.57945528312594607</v>
      </c>
      <c r="AI179" s="13">
        <f t="shared" ref="AI179" si="4735">+AI178/AD178-1</f>
        <v>0.16381283853308126</v>
      </c>
      <c r="AJ179" s="239">
        <f t="shared" ref="AJ179" si="4736">+AJ178/AE178-1</f>
        <v>0.95533705962892701</v>
      </c>
      <c r="AK179" s="13">
        <f>+AK178/AF178-1</f>
        <v>-0.88922819565918243</v>
      </c>
      <c r="AL179" s="13">
        <f t="shared" ref="AL179" si="4737">+AL178/AG178-1</f>
        <v>-0.67233833376978225</v>
      </c>
      <c r="AM179" s="13">
        <f t="shared" ref="AM179" si="4738">+AM178/AH178-1</f>
        <v>-0.42106753770306915</v>
      </c>
      <c r="AN179" s="13">
        <f t="shared" ref="AN179" si="4739">+AN178/AI178-1</f>
        <v>-0.16293944115009196</v>
      </c>
      <c r="AO179" s="239">
        <f t="shared" ref="AO179" si="4740">+AO178/AJ178-1</f>
        <v>-0.56720228725867283</v>
      </c>
      <c r="AP179" s="13">
        <f>+AP178/AK178-1</f>
        <v>4.7077786359061253</v>
      </c>
      <c r="AQ179" s="13">
        <f t="shared" ref="AQ179" si="4741">+AQ178/AL178-1</f>
        <v>-0.45401254827762982</v>
      </c>
      <c r="AR179" s="13">
        <f t="shared" ref="AR179" si="4742">+AR178/AM178-1</f>
        <v>-0.86613533686590205</v>
      </c>
      <c r="AS179" s="13">
        <f t="shared" ref="AS179" si="4743">+AS178/AN178-1</f>
        <v>-0.63953736884287404</v>
      </c>
      <c r="AT179" s="239">
        <f t="shared" ref="AT179" si="4744">+AT178/AO178-1</f>
        <v>-0.25770878076184511</v>
      </c>
      <c r="AU179" s="13">
        <f>+AU178/AP178-1</f>
        <v>-0.56240040090140397</v>
      </c>
      <c r="AV179" s="13">
        <f t="shared" ref="AV179" si="4745">+AV178/AQ178-1</f>
        <v>0.57501604951017149</v>
      </c>
      <c r="AW179" s="13">
        <f t="shared" ref="AW179" si="4746">+AW178/AR178-1</f>
        <v>3.0193307126719731</v>
      </c>
      <c r="AX179" s="13">
        <f t="shared" ref="AX179" si="4747">+AX178/AS178-1</f>
        <v>2.35248252663663</v>
      </c>
      <c r="AY179" s="239">
        <f t="shared" ref="AY179" si="4748">+AY178/AT178-1</f>
        <v>0.19851524999183634</v>
      </c>
      <c r="AZ179" s="13">
        <f>+AZ178/AU178-1</f>
        <v>2.1498571226656034</v>
      </c>
      <c r="BA179" s="13">
        <f t="shared" ref="BA179" si="4749">+BA178/AV178-1</f>
        <v>1.5154032308275363</v>
      </c>
      <c r="BB179" s="13">
        <f t="shared" ref="BB179" si="4750">+BB178/AW178-1</f>
        <v>3.3578379826290741</v>
      </c>
      <c r="BC179" s="13">
        <f t="shared" ref="BC179" si="4751">+BC178/AX178-1</f>
        <v>0.95951995643355481</v>
      </c>
      <c r="BD179" s="239">
        <f t="shared" ref="BD179" si="4752">+BD178/AY178-1</f>
        <v>1.9527931147741815</v>
      </c>
      <c r="BE179" s="62">
        <f>+BE178/AZ178-1</f>
        <v>0.29980789863776947</v>
      </c>
      <c r="BF179" s="13">
        <f t="shared" ref="BF179" si="4753">+BF178/BA178-1</f>
        <v>1.6996238592528834</v>
      </c>
      <c r="BG179" s="13">
        <f t="shared" ref="BG179" si="4754">+BG178/BB178-1</f>
        <v>1.5828469712882756</v>
      </c>
      <c r="BH179" s="13">
        <f t="shared" ref="BH179" si="4755">+BH178/BC178-1</f>
        <v>2.4730613203201326</v>
      </c>
      <c r="BI179" s="239">
        <f t="shared" ref="BI179" si="4756">+BI178/BD178-1</f>
        <v>1.5561403699874323</v>
      </c>
      <c r="BJ179" s="13">
        <f>+BJ178/BE178-1</f>
        <v>0.36221453779772683</v>
      </c>
      <c r="BK179" s="13">
        <f t="shared" ref="BK179" si="4757">+BK178/BF178-1</f>
        <v>-9.6751588492855589E-2</v>
      </c>
      <c r="BL179" s="13">
        <f t="shared" ref="BL179" si="4758">+BL178/BG178-1</f>
        <v>-0.23532021199125586</v>
      </c>
      <c r="BM179" s="13">
        <f t="shared" ref="BM179" si="4759">+BM178/BH178-1</f>
        <v>-0.44281751983301121</v>
      </c>
      <c r="BN179" s="239">
        <f t="shared" ref="BN179" si="4760">+BN178/BI178-1</f>
        <v>-0.21433510146965706</v>
      </c>
      <c r="BO179" s="13">
        <f>+BO178/BJ178-1</f>
        <v>-0.4285714285714286</v>
      </c>
      <c r="BP179" s="13">
        <f t="shared" ref="BP179" si="4761">+BP178/BK178-1</f>
        <v>-0.63636363636363635</v>
      </c>
      <c r="BQ179" s="13">
        <f t="shared" ref="BQ179" si="4762">+BQ178/BL178-1</f>
        <v>-0.63636363636363635</v>
      </c>
      <c r="BR179" s="13">
        <f t="shared" ref="BR179" si="4763">+BR178/BM178-1</f>
        <v>-0.63636363636363635</v>
      </c>
      <c r="BS179" s="239">
        <f t="shared" ref="BS179" si="4764">+BS178/BN178-1</f>
        <v>-0.59448433480873253</v>
      </c>
      <c r="BT179" s="13">
        <f>+BT178/BO178-1</f>
        <v>0</v>
      </c>
      <c r="BU179" s="13">
        <f t="shared" ref="BU179" si="4765">+BU178/BP178-1</f>
        <v>0</v>
      </c>
      <c r="BV179" s="13">
        <f t="shared" ref="BV179" si="4766">+BV178/BQ178-1</f>
        <v>0</v>
      </c>
      <c r="BW179" s="13">
        <f t="shared" ref="BW179" si="4767">+BW178/BR178-1</f>
        <v>0</v>
      </c>
      <c r="BX179" s="239">
        <f t="shared" ref="BX179" si="4768">+BX178/BS178-1</f>
        <v>0</v>
      </c>
      <c r="BY179" s="13">
        <f>+BY178/BT178-1</f>
        <v>0</v>
      </c>
      <c r="BZ179" s="13">
        <f t="shared" ref="BZ179" si="4769">+BZ178/BU178-1</f>
        <v>0</v>
      </c>
      <c r="CA179" s="13">
        <f t="shared" ref="CA179" si="4770">+CA178/BV178-1</f>
        <v>0</v>
      </c>
      <c r="CB179" s="13">
        <f t="shared" ref="CB179" si="4771">+CB178/BW178-1</f>
        <v>0</v>
      </c>
      <c r="CC179" s="239">
        <f t="shared" ref="CC179" si="4772">+CC178/BX178-1</f>
        <v>0</v>
      </c>
      <c r="CD179" s="13">
        <f>+CD178/BY178-1</f>
        <v>0</v>
      </c>
      <c r="CE179" s="13">
        <f t="shared" ref="CE179" si="4773">+CE178/BZ178-1</f>
        <v>0</v>
      </c>
      <c r="CF179" s="13">
        <f t="shared" ref="CF179" si="4774">+CF178/CA178-1</f>
        <v>0</v>
      </c>
      <c r="CG179" s="13">
        <f t="shared" ref="CG179" si="4775">+CG178/CB178-1</f>
        <v>0</v>
      </c>
      <c r="CH179" s="239">
        <f t="shared" ref="CH179" si="4776">+CH178/CC178-1</f>
        <v>0</v>
      </c>
      <c r="CI179" s="13">
        <f>+CI178/CD178-1</f>
        <v>0</v>
      </c>
      <c r="CJ179" s="13">
        <f t="shared" ref="CJ179" si="4777">+CJ178/CE178-1</f>
        <v>0</v>
      </c>
      <c r="CK179" s="13">
        <f t="shared" ref="CK179" si="4778">+CK178/CF178-1</f>
        <v>0</v>
      </c>
      <c r="CL179" s="13">
        <f t="shared" ref="CL179" si="4779">+CL178/CG178-1</f>
        <v>0</v>
      </c>
      <c r="CM179" s="239">
        <f t="shared" ref="CM179" si="4780">+CM178/CH178-1</f>
        <v>0</v>
      </c>
      <c r="CN179" s="13">
        <f>+CN178/CI178-1</f>
        <v>0</v>
      </c>
      <c r="CO179" s="13">
        <f t="shared" ref="CO179" si="4781">+CO178/CJ178-1</f>
        <v>0</v>
      </c>
      <c r="CP179" s="13">
        <f t="shared" ref="CP179" si="4782">+CP178/CK178-1</f>
        <v>0</v>
      </c>
      <c r="CQ179" s="13">
        <f t="shared" ref="CQ179" si="4783">+CQ178/CL178-1</f>
        <v>0</v>
      </c>
      <c r="CR179" s="239">
        <f t="shared" ref="CR179" si="4784">+CR178/CM178-1</f>
        <v>0</v>
      </c>
      <c r="CS179" s="13">
        <f>+CS178/CN178-1</f>
        <v>0</v>
      </c>
      <c r="CT179" s="13">
        <f t="shared" ref="CT179" si="4785">+CT178/CO178-1</f>
        <v>0</v>
      </c>
      <c r="CU179" s="13">
        <f t="shared" ref="CU179" si="4786">+CU178/CP178-1</f>
        <v>0</v>
      </c>
      <c r="CV179" s="13">
        <f t="shared" ref="CV179" si="4787">+CV178/CQ178-1</f>
        <v>0</v>
      </c>
      <c r="CW179" s="239">
        <f t="shared" ref="CW179" si="4788">+CW178/CR178-1</f>
        <v>0</v>
      </c>
      <c r="CX179" s="13">
        <f>+CX178/CS178-1</f>
        <v>0</v>
      </c>
      <c r="CY179" s="13">
        <f t="shared" ref="CY179" si="4789">+CY178/CT178-1</f>
        <v>0</v>
      </c>
      <c r="CZ179" s="13">
        <f t="shared" ref="CZ179" si="4790">+CZ178/CU178-1</f>
        <v>0</v>
      </c>
      <c r="DA179" s="13">
        <f t="shared" ref="DA179" si="4791">+DA178/CV178-1</f>
        <v>0</v>
      </c>
      <c r="DB179" s="239">
        <f t="shared" ref="DB179" si="4792">+DB178/CW178-1</f>
        <v>0</v>
      </c>
    </row>
    <row r="180" spans="1:106">
      <c r="A180" s="117" t="s">
        <v>288</v>
      </c>
      <c r="B180" s="119" t="s">
        <v>290</v>
      </c>
      <c r="C180" s="13">
        <f>+C178/B178-1</f>
        <v>-0.44137769599781973</v>
      </c>
      <c r="D180" s="13">
        <f t="shared" ref="D180:E180" si="4793">+D178/C178-1</f>
        <v>0.64256086564472725</v>
      </c>
      <c r="E180" s="13">
        <f t="shared" si="4793"/>
        <v>-0.11001762632197487</v>
      </c>
      <c r="F180" s="235" t="s">
        <v>290</v>
      </c>
      <c r="G180" s="13">
        <f>+G178/E178-1</f>
        <v>5.8276943389998781E-2</v>
      </c>
      <c r="H180" s="13">
        <f>+H178/G178-1</f>
        <v>-0.31924408540103888</v>
      </c>
      <c r="I180" s="13">
        <f t="shared" ref="I180:J180" si="4794">+I178/H178-1</f>
        <v>8.4763721127467662E-4</v>
      </c>
      <c r="J180" s="13">
        <f t="shared" si="4794"/>
        <v>0.11636066664650069</v>
      </c>
      <c r="K180" s="235" t="s">
        <v>290</v>
      </c>
      <c r="L180" s="13">
        <f>+L178/J178-1</f>
        <v>-0.38384985463267041</v>
      </c>
      <c r="M180" s="13">
        <f>+M178/L178-1</f>
        <v>-5.2806668706026461E-2</v>
      </c>
      <c r="N180" s="13">
        <f t="shared" ref="N180:O180" si="4795">+N178/M178-1</f>
        <v>0.16558341070875948</v>
      </c>
      <c r="O180" s="13">
        <f t="shared" si="4795"/>
        <v>-0.73387570136517666</v>
      </c>
      <c r="P180" s="235" t="s">
        <v>290</v>
      </c>
      <c r="Q180" s="13">
        <f>+Q178/O178-1</f>
        <v>-0.30215800434682794</v>
      </c>
      <c r="R180" s="13">
        <f>+R178/Q178-1</f>
        <v>0.64630320308096345</v>
      </c>
      <c r="S180" s="13">
        <f t="shared" ref="S180:T180" si="4796">+S178/R178-1</f>
        <v>-0.55211756054165728</v>
      </c>
      <c r="T180" s="13">
        <f t="shared" si="4796"/>
        <v>1.4156864253251515</v>
      </c>
      <c r="U180" s="235" t="s">
        <v>290</v>
      </c>
      <c r="V180" s="13">
        <f>+V178/T178-1</f>
        <v>-0.76632651362682724</v>
      </c>
      <c r="W180" s="13">
        <f>+W178/V178-1</f>
        <v>0.6668295961462718</v>
      </c>
      <c r="X180" s="13">
        <f t="shared" ref="X180:Y180" si="4797">+X178/W178-1</f>
        <v>-0.20794847259944416</v>
      </c>
      <c r="Y180" s="13">
        <f t="shared" si="4797"/>
        <v>-1.8639227255718316E-2</v>
      </c>
      <c r="Z180" s="235" t="s">
        <v>290</v>
      </c>
      <c r="AA180" s="13">
        <f>+AA178/Y178-1</f>
        <v>-0.61673741385958047</v>
      </c>
      <c r="AB180" s="13">
        <f>+AB178/AA178-1</f>
        <v>3.7382643748796545</v>
      </c>
      <c r="AC180" s="13">
        <f t="shared" ref="AC180:AD180" si="4798">+AC178/AB178-1</f>
        <v>-0.20352374136662832</v>
      </c>
      <c r="AD180" s="13">
        <f t="shared" si="4798"/>
        <v>-5.1411388213860265E-2</v>
      </c>
      <c r="AE180" s="235" t="s">
        <v>290</v>
      </c>
      <c r="AF180" s="13">
        <f>+AF178/AD178-1</f>
        <v>0.84095400975881196</v>
      </c>
      <c r="AG180" s="13">
        <f>+AG178/AF178-1</f>
        <v>0.40304658197080601</v>
      </c>
      <c r="AH180" s="13">
        <f t="shared" ref="AH180:AI180" si="4799">+AH178/AG178-1</f>
        <v>-0.35536423176523113</v>
      </c>
      <c r="AI180" s="13">
        <f t="shared" si="4799"/>
        <v>-0.30103775860114002</v>
      </c>
      <c r="AJ180" s="235" t="s">
        <v>290</v>
      </c>
      <c r="AK180" s="13">
        <f>+AK178/AI178-1</f>
        <v>-0.8247778417477476</v>
      </c>
      <c r="AL180" s="13">
        <f>+AL178/AK178-1</f>
        <v>3.1501949307669186</v>
      </c>
      <c r="AM180" s="13">
        <f t="shared" ref="AM180:AN180" si="4800">+AM178/AL178-1</f>
        <v>0.13898148929821574</v>
      </c>
      <c r="AN180" s="13">
        <f t="shared" si="4800"/>
        <v>1.0607907663387373E-2</v>
      </c>
      <c r="AO180" s="235" t="s">
        <v>290</v>
      </c>
      <c r="AP180" s="13">
        <f>+AP178/AN178-1</f>
        <v>0.19481115295136053</v>
      </c>
      <c r="AQ180" s="13">
        <f>+AQ178/AP178-1</f>
        <v>-0.60300591544563265</v>
      </c>
      <c r="AR180" s="13">
        <f t="shared" ref="AR180" si="4801">+AR178/AQ178-1</f>
        <v>-0.72074564552738429</v>
      </c>
      <c r="AS180" s="13">
        <f>+AS178/AR178-1</f>
        <v>1.7213035683630791</v>
      </c>
      <c r="AT180" s="235" t="s">
        <v>290</v>
      </c>
      <c r="AU180" s="13">
        <f>+AU178/AS178-1</f>
        <v>0.45049399393119471</v>
      </c>
      <c r="AV180" s="13">
        <f>+AV178/AU178-1</f>
        <v>0.42886797890517703</v>
      </c>
      <c r="AW180" s="13">
        <f t="shared" ref="AW180:AX180" si="4802">+AW178/AV178-1</f>
        <v>-0.28736243422520014</v>
      </c>
      <c r="AX180" s="13">
        <f t="shared" si="4802"/>
        <v>1.269811397665821</v>
      </c>
      <c r="AY180" s="235" t="s">
        <v>290</v>
      </c>
      <c r="AZ180" s="13">
        <f>+AZ178/AX178-1</f>
        <v>0.36282554849034199</v>
      </c>
      <c r="BA180" s="13">
        <f>+BA178/AZ178-1</f>
        <v>0.14106100391070386</v>
      </c>
      <c r="BB180" s="13">
        <f t="shared" ref="BB180:BC180" si="4803">+BB178/BA178-1</f>
        <v>0.23461678585824908</v>
      </c>
      <c r="BC180" s="13">
        <f t="shared" si="4803"/>
        <v>2.0630126405755789E-2</v>
      </c>
      <c r="BD180" s="235" t="s">
        <v>290</v>
      </c>
      <c r="BE180" s="62">
        <f>+BE178/BC178-1</f>
        <v>-9.5997258625947879E-2</v>
      </c>
      <c r="BF180" s="13">
        <f>+BF178/BE178-1</f>
        <v>1.369915980852829</v>
      </c>
      <c r="BG180" s="13">
        <f t="shared" ref="BG180" si="4804">+BG178/BF178-1</f>
        <v>0.18121130657740836</v>
      </c>
      <c r="BH180" s="13">
        <f t="shared" ref="BH180" si="4805">+BH178/BG178-1</f>
        <v>0.3724045805955134</v>
      </c>
      <c r="BI180" s="235" t="s">
        <v>290</v>
      </c>
      <c r="BJ180" s="13">
        <f>+BJ178/BH178-1</f>
        <v>-0.64542933080282539</v>
      </c>
      <c r="BK180" s="13">
        <f>+BK178/BJ178-1</f>
        <v>0.5714285714285714</v>
      </c>
      <c r="BL180" s="13">
        <f t="shared" ref="BL180" si="4806">+BL178/BK178-1</f>
        <v>0</v>
      </c>
      <c r="BM180" s="13">
        <f t="shared" ref="BM180" si="4807">+BM178/BL178-1</f>
        <v>0</v>
      </c>
      <c r="BN180" s="235" t="s">
        <v>290</v>
      </c>
      <c r="BO180" s="13">
        <f>+BO178/BM178-1</f>
        <v>-0.63636363636363635</v>
      </c>
      <c r="BP180" s="13">
        <f>+BP178/BO178-1</f>
        <v>0</v>
      </c>
      <c r="BQ180" s="13">
        <f t="shared" ref="BQ180" si="4808">+BQ178/BP178-1</f>
        <v>0</v>
      </c>
      <c r="BR180" s="13">
        <f t="shared" ref="BR180" si="4809">+BR178/BQ178-1</f>
        <v>0</v>
      </c>
      <c r="BS180" s="235" t="s">
        <v>290</v>
      </c>
      <c r="BT180" s="13">
        <f>+BT178/BR178-1</f>
        <v>0</v>
      </c>
      <c r="BU180" s="13">
        <f>+BU178/BT178-1</f>
        <v>0</v>
      </c>
      <c r="BV180" s="13">
        <f t="shared" ref="BV180" si="4810">+BV178/BU178-1</f>
        <v>0</v>
      </c>
      <c r="BW180" s="13">
        <f t="shared" ref="BW180" si="4811">+BW178/BV178-1</f>
        <v>0</v>
      </c>
      <c r="BX180" s="235" t="s">
        <v>290</v>
      </c>
      <c r="BY180" s="13">
        <f>+BY178/BW178-1</f>
        <v>0</v>
      </c>
      <c r="BZ180" s="13">
        <f>+BZ178/BY178-1</f>
        <v>0</v>
      </c>
      <c r="CA180" s="13">
        <f t="shared" ref="CA180" si="4812">+CA178/BZ178-1</f>
        <v>0</v>
      </c>
      <c r="CB180" s="13">
        <f t="shared" ref="CB180" si="4813">+CB178/CA178-1</f>
        <v>0</v>
      </c>
      <c r="CC180" s="235" t="s">
        <v>290</v>
      </c>
      <c r="CD180" s="13">
        <f>+CD178/CB178-1</f>
        <v>0</v>
      </c>
      <c r="CE180" s="13">
        <f>+CE178/CD178-1</f>
        <v>0</v>
      </c>
      <c r="CF180" s="13">
        <f t="shared" ref="CF180" si="4814">+CF178/CE178-1</f>
        <v>0</v>
      </c>
      <c r="CG180" s="13">
        <f t="shared" ref="CG180" si="4815">+CG178/CF178-1</f>
        <v>0</v>
      </c>
      <c r="CH180" s="235" t="s">
        <v>290</v>
      </c>
      <c r="CI180" s="13">
        <f>+CI178/CG178-1</f>
        <v>0</v>
      </c>
      <c r="CJ180" s="13">
        <f>+CJ178/CI178-1</f>
        <v>0</v>
      </c>
      <c r="CK180" s="13">
        <f t="shared" ref="CK180" si="4816">+CK178/CJ178-1</f>
        <v>0</v>
      </c>
      <c r="CL180" s="13">
        <f t="shared" ref="CL180" si="4817">+CL178/CK178-1</f>
        <v>0</v>
      </c>
      <c r="CM180" s="235" t="s">
        <v>290</v>
      </c>
      <c r="CN180" s="13">
        <f>+CN178/CL178-1</f>
        <v>0</v>
      </c>
      <c r="CO180" s="13">
        <f>+CO178/CN178-1</f>
        <v>0</v>
      </c>
      <c r="CP180" s="13">
        <f t="shared" ref="CP180" si="4818">+CP178/CO178-1</f>
        <v>0</v>
      </c>
      <c r="CQ180" s="13">
        <f t="shared" ref="CQ180" si="4819">+CQ178/CP178-1</f>
        <v>0</v>
      </c>
      <c r="CR180" s="235" t="s">
        <v>290</v>
      </c>
      <c r="CS180" s="13">
        <f>+CS178/CQ178-1</f>
        <v>0</v>
      </c>
      <c r="CT180" s="13">
        <f>+CT178/CS178-1</f>
        <v>0</v>
      </c>
      <c r="CU180" s="13">
        <f t="shared" ref="CU180" si="4820">+CU178/CT178-1</f>
        <v>0</v>
      </c>
      <c r="CV180" s="13">
        <f t="shared" ref="CV180" si="4821">+CV178/CU178-1</f>
        <v>0</v>
      </c>
      <c r="CW180" s="235" t="s">
        <v>290</v>
      </c>
      <c r="CX180" s="13">
        <f>+CX178/CV178-1</f>
        <v>0</v>
      </c>
      <c r="CY180" s="13">
        <f>+CY178/CX178-1</f>
        <v>0</v>
      </c>
      <c r="CZ180" s="13">
        <f t="shared" ref="CZ180" si="4822">+CZ178/CY178-1</f>
        <v>0</v>
      </c>
      <c r="DA180" s="13">
        <f t="shared" ref="DA180" si="4823">+DA178/CZ178-1</f>
        <v>0</v>
      </c>
      <c r="DB180" s="235" t="s">
        <v>290</v>
      </c>
    </row>
    <row r="181" spans="1:106">
      <c r="F181" s="217"/>
      <c r="K181" s="217"/>
      <c r="P181" s="217"/>
      <c r="U181" s="217"/>
      <c r="Z181" s="217"/>
      <c r="AE181" s="217"/>
      <c r="AJ181" s="217"/>
      <c r="AO181" s="217"/>
      <c r="AT181" s="217"/>
      <c r="AY181" s="217"/>
      <c r="BD181" s="217"/>
      <c r="BI181" s="217"/>
      <c r="BN181" s="217"/>
      <c r="BS181" s="217"/>
      <c r="BX181" s="217"/>
      <c r="CC181" s="217"/>
      <c r="CH181" s="217"/>
      <c r="CM181" s="217"/>
      <c r="CR181" s="217"/>
      <c r="CW181" s="217"/>
      <c r="DB181" s="217"/>
    </row>
    <row r="182" spans="1:106" s="51" customFormat="1">
      <c r="A182" s="51" t="s">
        <v>306</v>
      </c>
      <c r="B182" s="135">
        <f>+B61-B75-B169</f>
        <v>3.4090000000000011</v>
      </c>
      <c r="C182" s="135">
        <f>+C61-C75-C169</f>
        <v>4.4359999999999964</v>
      </c>
      <c r="D182" s="135">
        <f>+D61-D75-D169</f>
        <v>5.7040000000000033</v>
      </c>
      <c r="E182" s="135">
        <f>+E61-E75-E169</f>
        <v>6.0589999999999993</v>
      </c>
      <c r="F182" s="216">
        <f>+B182+C182+D182+E182</f>
        <v>19.607999999999997</v>
      </c>
      <c r="G182" s="135">
        <f>+G61-G75-G169</f>
        <v>5.1990000000000007</v>
      </c>
      <c r="H182" s="135">
        <f>+H61-H75-H169</f>
        <v>4.7189999999999994</v>
      </c>
      <c r="I182" s="135">
        <f>+I61-I75-I169</f>
        <v>4.7230000000000043</v>
      </c>
      <c r="J182" s="135">
        <f>+J61-J75-J169</f>
        <v>9.2269999999999985</v>
      </c>
      <c r="K182" s="216">
        <f>+G182+H182+I182+J182</f>
        <v>23.868000000000002</v>
      </c>
      <c r="L182" s="135">
        <f>+L61-L75-L169</f>
        <v>3.7360000000000007</v>
      </c>
      <c r="M182" s="135">
        <f>+M61-M75-M169</f>
        <v>3.2309999999999999</v>
      </c>
      <c r="N182" s="135">
        <f>+N61-N75-N169</f>
        <v>2.6900000000000013</v>
      </c>
      <c r="O182" s="135">
        <f>+O61-O75-O169</f>
        <v>2.8110000000000035</v>
      </c>
      <c r="P182" s="216">
        <f>+L182+M182+N182+O182</f>
        <v>12.468000000000005</v>
      </c>
      <c r="Q182" s="135">
        <f>+Q61-Q75-Q169</f>
        <v>1.9776199999999982</v>
      </c>
      <c r="R182" s="135">
        <f>+R61-R75-R169</f>
        <v>3.3566480000000034</v>
      </c>
      <c r="S182" s="135">
        <f>+S61-S75-S169</f>
        <v>1.9413589999999985</v>
      </c>
      <c r="T182" s="135">
        <f>+T61-T75-T169</f>
        <v>4.0193740000000009</v>
      </c>
      <c r="U182" s="216">
        <f>+Q182+R182+S182+T182</f>
        <v>11.295001000000001</v>
      </c>
      <c r="V182" s="135">
        <f>+V61-V75-V169</f>
        <v>1.2965840000000028</v>
      </c>
      <c r="W182" s="135">
        <f>+W61-W75-W169</f>
        <v>1.9184599999999961</v>
      </c>
      <c r="X182" s="135">
        <f>+X61-X75-X169</f>
        <v>2.4252280000000006</v>
      </c>
      <c r="Y182" s="135">
        <f>+Y61-Y75-Y169</f>
        <v>1.3379999999999974</v>
      </c>
      <c r="Z182" s="216">
        <f>+V182+W182+X182+Y182</f>
        <v>6.9782719999999969</v>
      </c>
      <c r="AA182" s="135">
        <f>+AA61-AA75-AA169</f>
        <v>0.74243199999999021</v>
      </c>
      <c r="AB182" s="135">
        <f>+AB61-AB75-AB169</f>
        <v>3.0238870000000055</v>
      </c>
      <c r="AC182" s="135">
        <f>+AC61-AC75-AC169</f>
        <v>2.6703020000000031</v>
      </c>
      <c r="AD182" s="135">
        <f>+AD61-AD75-AD169</f>
        <v>2.5730497368997156</v>
      </c>
      <c r="AE182" s="216">
        <f>+AA182+AB182+AC182+AD182</f>
        <v>9.0096707368997144</v>
      </c>
      <c r="AF182" s="135">
        <f>+AF61-AF75-AF169</f>
        <v>4.7507818602791545</v>
      </c>
      <c r="AG182" s="135">
        <f>+AG61-AG75-AG169</f>
        <v>5.5288208422706191</v>
      </c>
      <c r="AH182" s="135">
        <f>+AH61-AH75-AH169</f>
        <v>3.3627931569760534</v>
      </c>
      <c r="AI182" s="135">
        <f>+AI61-AI75-AI169</f>
        <v>3.6029893348143247</v>
      </c>
      <c r="AJ182" s="216">
        <f>+AF182+AG182+AH182+AI182</f>
        <v>17.245385194340152</v>
      </c>
      <c r="AK182" s="135">
        <f>+AK61-AK75-AK169</f>
        <v>0.73061609852648957</v>
      </c>
      <c r="AL182" s="135">
        <f>+AL61-AL75-AL169</f>
        <v>3.3209129533496409</v>
      </c>
      <c r="AM182" s="135">
        <f>+AM61-AM75-AM169</f>
        <v>3.0288029411877915</v>
      </c>
      <c r="AN182" s="135">
        <f>+AN61-AN75-AN169</f>
        <v>4.5208788034115059</v>
      </c>
      <c r="AO182" s="216">
        <f>+AK182+AL182+AM182+AN182</f>
        <v>11.601210796475428</v>
      </c>
      <c r="AP182" s="135">
        <f>+AP61-AP75-AP169</f>
        <v>5.3411118325189051</v>
      </c>
      <c r="AQ182" s="135">
        <f>+AQ61-AQ75-AQ169</f>
        <v>1.7660968170147981</v>
      </c>
      <c r="AR182" s="135">
        <f>+AR61-AR75-AR169</f>
        <v>0.43395219048426981</v>
      </c>
      <c r="AS182" s="135">
        <f>+AS61-AS75-AS169</f>
        <v>1.5065361190548288</v>
      </c>
      <c r="AT182" s="216">
        <f>+AP182+AQ182+AR182+AS182</f>
        <v>9.0476969590728018</v>
      </c>
      <c r="AU182" s="135">
        <f>+AU61-AU75-AU169</f>
        <v>4.0392840011899693</v>
      </c>
      <c r="AV182" s="135">
        <f>+AV61-AV75-AV169</f>
        <v>4.3607581100672732</v>
      </c>
      <c r="AW182" s="135">
        <f>+AW61-AW75-AW169</f>
        <v>3.1112813535713144</v>
      </c>
      <c r="AX182" s="135">
        <f>+AX61-AX75-AX169</f>
        <v>4.5384308171370549</v>
      </c>
      <c r="AY182" s="216">
        <f>+AU182+AV182+AW182+AX182</f>
        <v>16.049754281965612</v>
      </c>
      <c r="AZ182" s="135">
        <f>+AZ61-AZ75-AZ169</f>
        <v>9.2729403900840026</v>
      </c>
      <c r="BA182" s="135">
        <f>+BA61-BA75-BA169</f>
        <v>9.4427121261705196</v>
      </c>
      <c r="BB182" s="135">
        <f>+BB61-BB75-BB169</f>
        <v>12.14052198947175</v>
      </c>
      <c r="BC182" s="135">
        <f>+BC61-BC75-BC169</f>
        <v>12.155075822603351</v>
      </c>
      <c r="BD182" s="216">
        <f>+AZ182+BA182+BB182+BC182</f>
        <v>43.011250328329623</v>
      </c>
      <c r="BE182" s="135">
        <f>+BE61-BE75-BE169</f>
        <v>11.725838846275224</v>
      </c>
      <c r="BF182" s="135">
        <f>+BF61-BF75-BF169</f>
        <v>22.858455479687549</v>
      </c>
      <c r="BG182" s="135">
        <f>+BG61-BG75-BG169</f>
        <v>27.459961695314163</v>
      </c>
      <c r="BH182" s="135">
        <f>+BH61-BH75-BH169</f>
        <v>38.830363342218831</v>
      </c>
      <c r="BI182" s="216">
        <f>+BE182+BF182+BG182+BH182</f>
        <v>100.87461936349577</v>
      </c>
      <c r="BJ182" s="135">
        <f>+BJ174*BJ178/1000000</f>
        <v>16.292570307154826</v>
      </c>
      <c r="BK182" s="135">
        <f t="shared" ref="BK182:BM182" si="4824">+BK174*BK178/1000000</f>
        <v>21.059800873565248</v>
      </c>
      <c r="BL182" s="135">
        <f t="shared" si="4824"/>
        <v>21.418039241659091</v>
      </c>
      <c r="BM182" s="135">
        <f t="shared" si="4824"/>
        <v>22.068310115858868</v>
      </c>
      <c r="BN182" s="216">
        <f>+BJ182+BK182+BL182+BM182</f>
        <v>80.838720538238022</v>
      </c>
      <c r="BO182" s="135">
        <f>+BO174*BO178/1000000</f>
        <v>9.4962409790273856</v>
      </c>
      <c r="BP182" s="135">
        <f t="shared" ref="BP182:BR182" si="4825">+BP174*BP178/1000000</f>
        <v>7.8112715967405659</v>
      </c>
      <c r="BQ182" s="135">
        <f t="shared" si="4825"/>
        <v>7.9441454641790079</v>
      </c>
      <c r="BR182" s="135">
        <f t="shared" si="4825"/>
        <v>8.1853368429731077</v>
      </c>
      <c r="BS182" s="216">
        <f>+BO182+BP182+BQ182+BR182</f>
        <v>33.436994882920068</v>
      </c>
      <c r="BT182" s="135">
        <f>+BT174*BT178/1000000</f>
        <v>9.6861657986079326</v>
      </c>
      <c r="BU182" s="135">
        <f t="shared" ref="BU182:BW182" si="4826">+BU174*BU178/1000000</f>
        <v>7.9674970286753775</v>
      </c>
      <c r="BV182" s="135">
        <f t="shared" si="4826"/>
        <v>8.103028373462589</v>
      </c>
      <c r="BW182" s="135">
        <f t="shared" si="4826"/>
        <v>8.3490435798325713</v>
      </c>
      <c r="BX182" s="216">
        <f>+BT182+BU182+BV182+BW182</f>
        <v>34.105734780578473</v>
      </c>
      <c r="BY182" s="135">
        <f>+BY174*BY178/1000000</f>
        <v>9.8798891145800916</v>
      </c>
      <c r="BZ182" s="135">
        <f t="shared" ref="BZ182:CB182" si="4827">+BZ174*BZ178/1000000</f>
        <v>8.1268469692488843</v>
      </c>
      <c r="CA182" s="135">
        <f t="shared" si="4827"/>
        <v>8.2650889409318413</v>
      </c>
      <c r="CB182" s="135">
        <f t="shared" si="4827"/>
        <v>8.5160244514292209</v>
      </c>
      <c r="CC182" s="216">
        <f>+BY182+BZ182+CA182+CB182</f>
        <v>34.787849476190033</v>
      </c>
      <c r="CD182" s="135">
        <f>+CD174*CD178/1000000</f>
        <v>10.077486896871692</v>
      </c>
      <c r="CE182" s="135">
        <f t="shared" ref="CE182:CG182" si="4828">+CE174*CE178/1000000</f>
        <v>8.2893839086338623</v>
      </c>
      <c r="CF182" s="135">
        <f t="shared" si="4828"/>
        <v>8.430390719750477</v>
      </c>
      <c r="CG182" s="135">
        <f t="shared" si="4828"/>
        <v>8.6863449404578077</v>
      </c>
      <c r="CH182" s="216">
        <f>+CD182+CE182+CF182+CG182</f>
        <v>35.483606465713841</v>
      </c>
      <c r="CI182" s="135">
        <f>+CI174*CI178/1000000</f>
        <v>10.279036634809128</v>
      </c>
      <c r="CJ182" s="135">
        <f t="shared" ref="CJ182:CL182" si="4829">+CJ174*CJ178/1000000</f>
        <v>8.4551715868065394</v>
      </c>
      <c r="CK182" s="135">
        <f t="shared" si="4829"/>
        <v>8.5989985341454869</v>
      </c>
      <c r="CL182" s="135">
        <f t="shared" si="4829"/>
        <v>8.8600718392669631</v>
      </c>
      <c r="CM182" s="216">
        <f>+CI182+CJ182+CK182+CL182</f>
        <v>36.193278595028119</v>
      </c>
      <c r="CN182" s="135">
        <f>+CN174*CN178/1000000</f>
        <v>10.48461736750531</v>
      </c>
      <c r="CO182" s="135">
        <f t="shared" ref="CO182:CQ182" si="4830">+CO174*CO178/1000000</f>
        <v>8.6242750185426704</v>
      </c>
      <c r="CP182" s="135">
        <f t="shared" si="4830"/>
        <v>8.7709785048283972</v>
      </c>
      <c r="CQ182" s="135">
        <f t="shared" si="4830"/>
        <v>9.0372732760523018</v>
      </c>
      <c r="CR182" s="216">
        <f>+CN182+CO182+CP182+CQ182</f>
        <v>36.917144166928679</v>
      </c>
      <c r="CS182" s="135">
        <f>+CS174*CS178/1000000</f>
        <v>10.694309714855418</v>
      </c>
      <c r="CT182" s="135">
        <f t="shared" ref="CT182:CV182" si="4831">+CT174*CT178/1000000</f>
        <v>8.7967605189135245</v>
      </c>
      <c r="CU182" s="135">
        <f t="shared" si="4831"/>
        <v>8.9463980749249643</v>
      </c>
      <c r="CV182" s="135">
        <f t="shared" si="4831"/>
        <v>9.2180187415733492</v>
      </c>
      <c r="CW182" s="216">
        <f>+CS182+CT182+CU182+CV182</f>
        <v>37.655487050267254</v>
      </c>
      <c r="CX182" s="135">
        <f>+CX174*CX178/1000000</f>
        <v>10.908195909152525</v>
      </c>
      <c r="CY182" s="135">
        <f t="shared" ref="CY182:DA182" si="4832">+CY174*CY178/1000000</f>
        <v>8.9726957292917948</v>
      </c>
      <c r="CZ182" s="135">
        <f t="shared" si="4832"/>
        <v>9.1253260364234627</v>
      </c>
      <c r="DA182" s="135">
        <f t="shared" si="4832"/>
        <v>9.4023791164048145</v>
      </c>
      <c r="DB182" s="216">
        <f>+CX182+CY182+CZ182+DA182</f>
        <v>38.408596791272593</v>
      </c>
    </row>
    <row r="183" spans="1:106">
      <c r="A183" s="117" t="s">
        <v>281</v>
      </c>
      <c r="B183" s="119" t="s">
        <v>290</v>
      </c>
      <c r="C183" s="119" t="s">
        <v>290</v>
      </c>
      <c r="D183" s="119" t="s">
        <v>290</v>
      </c>
      <c r="E183" s="119" t="s">
        <v>290</v>
      </c>
      <c r="F183" s="235" t="s">
        <v>290</v>
      </c>
      <c r="G183" s="13">
        <f>+G182/B182-1</f>
        <v>0.52508066881783488</v>
      </c>
      <c r="H183" s="13">
        <f t="shared" ref="H183" si="4833">+H182/C182-1</f>
        <v>6.3796212804329011E-2</v>
      </c>
      <c r="I183" s="13">
        <f t="shared" ref="I183" si="4834">+I182/D182-1</f>
        <v>-0.17198457223001373</v>
      </c>
      <c r="J183" s="13">
        <f t="shared" ref="J183" si="4835">+J182/E182-1</f>
        <v>0.52285855751774224</v>
      </c>
      <c r="K183" s="239">
        <f t="shared" ref="K183" si="4836">+K182/F182-1</f>
        <v>0.21725826193390474</v>
      </c>
      <c r="L183" s="13">
        <f>+L182/G182-1</f>
        <v>-0.28140026928255435</v>
      </c>
      <c r="M183" s="13">
        <f t="shared" ref="M183" si="4837">+M182/H182-1</f>
        <v>-0.31532104259376981</v>
      </c>
      <c r="N183" s="13">
        <f t="shared" ref="N183" si="4838">+N182/I182-1</f>
        <v>-0.43044674994706777</v>
      </c>
      <c r="O183" s="13">
        <f t="shared" ref="O183" si="4839">+O182/J182-1</f>
        <v>-0.69535060149561034</v>
      </c>
      <c r="P183" s="239">
        <f t="shared" ref="P183" si="4840">+P182/K182-1</f>
        <v>-0.47762694821518337</v>
      </c>
      <c r="Q183" s="13">
        <f>+Q182/L182-1</f>
        <v>-0.4706584582441119</v>
      </c>
      <c r="R183" s="13">
        <f t="shared" ref="R183" si="4841">+R182/M182-1</f>
        <v>3.8888269885485549E-2</v>
      </c>
      <c r="S183" s="13">
        <f t="shared" ref="S183" si="4842">+S182/N182-1</f>
        <v>-0.2783052044609674</v>
      </c>
      <c r="T183" s="13">
        <f t="shared" ref="T183" si="4843">+T182/O182-1</f>
        <v>0.4298733546780491</v>
      </c>
      <c r="U183" s="239">
        <f t="shared" ref="U183" si="4844">+U182/P182-1</f>
        <v>-9.4080766762913326E-2</v>
      </c>
      <c r="V183" s="13">
        <f>+V182/Q182-1</f>
        <v>-0.34437151727834259</v>
      </c>
      <c r="W183" s="13">
        <f t="shared" ref="W183" si="4845">+W182/R182-1</f>
        <v>-0.42845958229757952</v>
      </c>
      <c r="X183" s="13">
        <f t="shared" ref="X183" si="4846">+X182/S182-1</f>
        <v>0.24924241214530762</v>
      </c>
      <c r="Y183" s="13">
        <f t="shared" ref="Y183" si="4847">+Y182/T182-1</f>
        <v>-0.667112341374553</v>
      </c>
      <c r="Z183" s="239">
        <f t="shared" ref="Z183" si="4848">+Z182/U182-1</f>
        <v>-0.38218048851877073</v>
      </c>
      <c r="AA183" s="13">
        <f>+AA182/V182-1</f>
        <v>-0.42739382870682607</v>
      </c>
      <c r="AB183" s="13">
        <f t="shared" ref="AB183" si="4849">+AB182/W182-1</f>
        <v>0.57620539390970449</v>
      </c>
      <c r="AC183" s="13">
        <f t="shared" ref="AC183" si="4850">+AC182/X182-1</f>
        <v>0.10105194233284553</v>
      </c>
      <c r="AD183" s="13">
        <f t="shared" ref="AD183" si="4851">+AD182/Y182-1</f>
        <v>0.92305660455883443</v>
      </c>
      <c r="AE183" s="239">
        <f t="shared" ref="AE183" si="4852">+AE182/Z182-1</f>
        <v>0.29110340452474737</v>
      </c>
      <c r="AF183" s="13">
        <f>+AF182/AA182-1</f>
        <v>5.3989454391502756</v>
      </c>
      <c r="AG183" s="13">
        <f t="shared" ref="AG183" si="4853">+AG182/AB182-1</f>
        <v>0.82838209307113964</v>
      </c>
      <c r="AH183" s="13">
        <f t="shared" ref="AH183" si="4854">+AH182/AC182-1</f>
        <v>0.25933065135555822</v>
      </c>
      <c r="AI183" s="13">
        <f t="shared" ref="AI183" si="4855">+AI182/AD182-1</f>
        <v>0.40027970821721848</v>
      </c>
      <c r="AJ183" s="239">
        <f t="shared" ref="AJ183" si="4856">+AJ182/AE182-1</f>
        <v>0.91409716269769037</v>
      </c>
      <c r="AK183" s="13">
        <f>+AK182/AF182-1</f>
        <v>-0.84621139845735649</v>
      </c>
      <c r="AL183" s="13">
        <f t="shared" ref="AL183" si="4857">+AL182/AG182-1</f>
        <v>-0.39934516814876886</v>
      </c>
      <c r="AM183" s="13">
        <f t="shared" ref="AM183" si="4858">+AM182/AH182-1</f>
        <v>-9.9319286140274632E-2</v>
      </c>
      <c r="AN183" s="13">
        <f t="shared" ref="AN183" si="4859">+AN182/AI182-1</f>
        <v>0.25475775343766971</v>
      </c>
      <c r="AO183" s="239">
        <f t="shared" ref="AO183" si="4860">+AO182/AJ182-1</f>
        <v>-0.3272860730137308</v>
      </c>
      <c r="AP183" s="13">
        <f>+AP182/AK182-1</f>
        <v>6.310421770463158</v>
      </c>
      <c r="AQ183" s="13">
        <f t="shared" ref="AQ183" si="4861">+AQ182/AL182-1</f>
        <v>-0.4681893678563831</v>
      </c>
      <c r="AR183" s="13">
        <f t="shared" ref="AR183" si="4862">+AR182/AM182-1</f>
        <v>-0.85672485172835677</v>
      </c>
      <c r="AS183" s="13">
        <f t="shared" ref="AS183" si="4863">+AS182/AN182-1</f>
        <v>-0.66676033918051958</v>
      </c>
      <c r="AT183" s="239">
        <f t="shared" ref="AT183" si="4864">+AT182/AO182-1</f>
        <v>-0.22010752861920335</v>
      </c>
      <c r="AU183" s="13">
        <f>+AU182/AP182-1</f>
        <v>-0.24373723527054192</v>
      </c>
      <c r="AV183" s="13">
        <f t="shared" ref="AV183" si="4865">+AV182/AQ182-1</f>
        <v>1.4691500873877259</v>
      </c>
      <c r="AW183" s="13">
        <f t="shared" ref="AW183" si="4866">+AW182/AR182-1</f>
        <v>6.1696408539827248</v>
      </c>
      <c r="AX183" s="13">
        <f t="shared" ref="AX183" si="4867">+AX182/AS182-1</f>
        <v>2.0124938657191822</v>
      </c>
      <c r="AY183" s="239">
        <f t="shared" ref="AY183" si="4868">+AY182/AT182-1</f>
        <v>0.77390493454484277</v>
      </c>
      <c r="AZ183" s="13">
        <f>+AZ182/AU182-1</f>
        <v>1.295689133854466</v>
      </c>
      <c r="BA183" s="13">
        <f t="shared" ref="BA183" si="4869">+BA182/AV182-1</f>
        <v>1.1653831484876487</v>
      </c>
      <c r="BB183" s="13">
        <f t="shared" ref="BB183" si="4870">+BB182/AW182-1</f>
        <v>2.9020971136333058</v>
      </c>
      <c r="BC183" s="13">
        <f t="shared" ref="BC183" si="4871">+BC182/AX182-1</f>
        <v>1.6782551750499191</v>
      </c>
      <c r="BD183" s="239">
        <f t="shared" ref="BD183" si="4872">+BD182/AY182-1</f>
        <v>1.679869708451514</v>
      </c>
      <c r="BE183" s="62">
        <f>+BE182/AZ182-1</f>
        <v>0.26452218530534521</v>
      </c>
      <c r="BF183" s="13">
        <f t="shared" ref="BF183" si="4873">+BF182/BA182-1</f>
        <v>1.4207510696355166</v>
      </c>
      <c r="BG183" s="13">
        <f t="shared" ref="BG183" si="4874">+BG182/BB182-1</f>
        <v>1.2618435779884436</v>
      </c>
      <c r="BH183" s="13">
        <f t="shared" ref="BH183" si="4875">+BH182/BC182-1</f>
        <v>2.1945801004392433</v>
      </c>
      <c r="BI183" s="239">
        <f t="shared" ref="BI183" si="4876">+BI182/BD182-1</f>
        <v>1.3453077646769565</v>
      </c>
      <c r="BJ183" s="13">
        <f>+BJ182/BE182-1</f>
        <v>0.38945882855368152</v>
      </c>
      <c r="BK183" s="13">
        <f t="shared" ref="BK183" si="4877">+BK182/BF182-1</f>
        <v>-7.8686620262712892E-2</v>
      </c>
      <c r="BL183" s="13">
        <f t="shared" ref="BL183" si="4878">+BL182/BG182-1</f>
        <v>-0.22002661623108088</v>
      </c>
      <c r="BM183" s="13">
        <f t="shared" ref="BM183" si="4879">+BM182/BH182-1</f>
        <v>-0.43167387022967141</v>
      </c>
      <c r="BN183" s="239">
        <f t="shared" ref="BN183" si="4880">+BN182/BI182-1</f>
        <v>-0.19862180349905023</v>
      </c>
      <c r="BO183" s="13">
        <f>+BO182/BJ182-1</f>
        <v>-0.41714285714285704</v>
      </c>
      <c r="BP183" s="13">
        <f t="shared" ref="BP183" si="4881">+BP182/BK182-1</f>
        <v>-0.62909090909090903</v>
      </c>
      <c r="BQ183" s="13">
        <f t="shared" ref="BQ183" si="4882">+BQ182/BL182-1</f>
        <v>-0.62909090909090915</v>
      </c>
      <c r="BR183" s="13">
        <f t="shared" ref="BR183" si="4883">+BR182/BM182-1</f>
        <v>-0.62909090909090915</v>
      </c>
      <c r="BS183" s="239">
        <f t="shared" ref="BS183" si="4884">+BS182/BN182-1</f>
        <v>-0.58637402150490714</v>
      </c>
      <c r="BT183" s="13">
        <f>+BT182/BO182-1</f>
        <v>2.0000000000000018E-2</v>
      </c>
      <c r="BU183" s="13">
        <f t="shared" ref="BU183" si="4885">+BU182/BP182-1</f>
        <v>2.0000000000000018E-2</v>
      </c>
      <c r="BV183" s="13">
        <f t="shared" ref="BV183" si="4886">+BV182/BQ182-1</f>
        <v>2.0000000000000018E-2</v>
      </c>
      <c r="BW183" s="13">
        <f t="shared" ref="BW183" si="4887">+BW182/BR182-1</f>
        <v>2.000000000000024E-2</v>
      </c>
      <c r="BX183" s="239">
        <f t="shared" ref="BX183" si="4888">+BX182/BS182-1</f>
        <v>2.0000000000000018E-2</v>
      </c>
      <c r="BY183" s="13">
        <f>+BY182/BT182-1</f>
        <v>2.0000000000000018E-2</v>
      </c>
      <c r="BZ183" s="13">
        <f t="shared" ref="BZ183" si="4889">+BZ182/BU182-1</f>
        <v>2.0000000000000018E-2</v>
      </c>
      <c r="CA183" s="13">
        <f t="shared" ref="CA183" si="4890">+CA182/BV182-1</f>
        <v>2.0000000000000018E-2</v>
      </c>
      <c r="CB183" s="13">
        <f t="shared" ref="CB183" si="4891">+CB182/BW182-1</f>
        <v>1.9999999999999796E-2</v>
      </c>
      <c r="CC183" s="239">
        <f t="shared" ref="CC183" si="4892">+CC182/BX182-1</f>
        <v>1.9999999999999796E-2</v>
      </c>
      <c r="CD183" s="13">
        <f>+CD182/BY182-1</f>
        <v>1.9999999999999796E-2</v>
      </c>
      <c r="CE183" s="13">
        <f t="shared" ref="CE183" si="4893">+CE182/BZ182-1</f>
        <v>2.0000000000000018E-2</v>
      </c>
      <c r="CF183" s="13">
        <f t="shared" ref="CF183" si="4894">+CF182/CA182-1</f>
        <v>1.9999999999999796E-2</v>
      </c>
      <c r="CG183" s="13">
        <f t="shared" ref="CG183" si="4895">+CG182/CB182-1</f>
        <v>2.000000000000024E-2</v>
      </c>
      <c r="CH183" s="239">
        <f t="shared" ref="CH183" si="4896">+CH182/CC182-1</f>
        <v>2.000000000000024E-2</v>
      </c>
      <c r="CI183" s="13">
        <f>+CI182/CD182-1</f>
        <v>2.000000000000024E-2</v>
      </c>
      <c r="CJ183" s="13">
        <f t="shared" ref="CJ183" si="4897">+CJ182/CE182-1</f>
        <v>2.0000000000000018E-2</v>
      </c>
      <c r="CK183" s="13">
        <f t="shared" ref="CK183" si="4898">+CK182/CF182-1</f>
        <v>2.0000000000000018E-2</v>
      </c>
      <c r="CL183" s="13">
        <f t="shared" ref="CL183" si="4899">+CL182/CG182-1</f>
        <v>2.0000000000000018E-2</v>
      </c>
      <c r="CM183" s="239">
        <f t="shared" ref="CM183" si="4900">+CM182/CH182-1</f>
        <v>2.0000000000000018E-2</v>
      </c>
      <c r="CN183" s="13">
        <f>+CN182/CI182-1</f>
        <v>2.0000000000000018E-2</v>
      </c>
      <c r="CO183" s="13">
        <f t="shared" ref="CO183" si="4901">+CO182/CJ182-1</f>
        <v>2.0000000000000018E-2</v>
      </c>
      <c r="CP183" s="13">
        <f t="shared" ref="CP183" si="4902">+CP182/CK182-1</f>
        <v>2.0000000000000018E-2</v>
      </c>
      <c r="CQ183" s="13">
        <f t="shared" ref="CQ183" si="4903">+CQ182/CL182-1</f>
        <v>2.0000000000000018E-2</v>
      </c>
      <c r="CR183" s="239">
        <f t="shared" ref="CR183" si="4904">+CR182/CM182-1</f>
        <v>2.0000000000000018E-2</v>
      </c>
      <c r="CS183" s="13">
        <f>+CS182/CN182-1</f>
        <v>2.000000000000024E-2</v>
      </c>
      <c r="CT183" s="13">
        <f t="shared" ref="CT183" si="4905">+CT182/CO182-1</f>
        <v>2.0000000000000018E-2</v>
      </c>
      <c r="CU183" s="13">
        <f t="shared" ref="CU183" si="4906">+CU182/CP182-1</f>
        <v>1.9999999999999796E-2</v>
      </c>
      <c r="CV183" s="13">
        <f t="shared" ref="CV183" si="4907">+CV182/CQ182-1</f>
        <v>2.000000000000024E-2</v>
      </c>
      <c r="CW183" s="239">
        <f t="shared" ref="CW183" si="4908">+CW182/CR182-1</f>
        <v>2.0000000000000018E-2</v>
      </c>
      <c r="CX183" s="13">
        <f>+CX182/CS182-1</f>
        <v>1.9999999999999796E-2</v>
      </c>
      <c r="CY183" s="13">
        <f t="shared" ref="CY183" si="4909">+CY182/CT182-1</f>
        <v>2.0000000000000018E-2</v>
      </c>
      <c r="CZ183" s="13">
        <f t="shared" ref="CZ183" si="4910">+CZ182/CU182-1</f>
        <v>1.9999999999999796E-2</v>
      </c>
      <c r="DA183" s="13">
        <f t="shared" ref="DA183" si="4911">+DA182/CV182-1</f>
        <v>1.9999999999999796E-2</v>
      </c>
      <c r="DB183" s="239">
        <f t="shared" ref="DB183" si="4912">+DB182/CW182-1</f>
        <v>1.9999999999999796E-2</v>
      </c>
    </row>
    <row r="184" spans="1:106">
      <c r="A184" s="117" t="s">
        <v>288</v>
      </c>
      <c r="B184" s="119" t="s">
        <v>290</v>
      </c>
      <c r="C184" s="13">
        <f>+C182/B182-1</f>
        <v>0.30126136696978434</v>
      </c>
      <c r="D184" s="13">
        <f t="shared" ref="D184:E184" si="4913">+D182/C182-1</f>
        <v>0.28584310189359963</v>
      </c>
      <c r="E184" s="13">
        <f t="shared" si="4913"/>
        <v>6.223702664796571E-2</v>
      </c>
      <c r="F184" s="235" t="s">
        <v>290</v>
      </c>
      <c r="G184" s="13">
        <f>+G182/E182-1</f>
        <v>-0.14193761346756872</v>
      </c>
      <c r="H184" s="13">
        <f>+H182/G182-1</f>
        <v>-9.2325447201385136E-2</v>
      </c>
      <c r="I184" s="13">
        <f t="shared" ref="I184:J184" si="4914">+I182/H182-1</f>
        <v>8.4763721127467662E-4</v>
      </c>
      <c r="J184" s="13">
        <f t="shared" si="4914"/>
        <v>0.95363116663137637</v>
      </c>
      <c r="K184" s="235" t="s">
        <v>290</v>
      </c>
      <c r="L184" s="13">
        <f>+L182/J182-1</f>
        <v>-0.59510133304432622</v>
      </c>
      <c r="M184" s="13">
        <f>+M182/L182-1</f>
        <v>-0.13517130620985029</v>
      </c>
      <c r="N184" s="13">
        <f t="shared" ref="N184:O184" si="4915">+N182/M182-1</f>
        <v>-0.16744042092231459</v>
      </c>
      <c r="O184" s="13">
        <f t="shared" si="4915"/>
        <v>4.4981412639405915E-2</v>
      </c>
      <c r="P184" s="235" t="s">
        <v>290</v>
      </c>
      <c r="Q184" s="13">
        <f>+Q182/O182-1</f>
        <v>-0.29647100675916194</v>
      </c>
      <c r="R184" s="13">
        <f>+R182/Q182-1</f>
        <v>0.69731697697232353</v>
      </c>
      <c r="S184" s="13">
        <f t="shared" ref="S184:T184" si="4916">+S182/R182-1</f>
        <v>-0.42163759798465716</v>
      </c>
      <c r="T184" s="13">
        <f t="shared" si="4916"/>
        <v>1.0703919264803696</v>
      </c>
      <c r="U184" s="235" t="s">
        <v>290</v>
      </c>
      <c r="V184" s="13">
        <f>+V182/T182-1</f>
        <v>-0.67741643350432112</v>
      </c>
      <c r="W184" s="13">
        <f>+W182/V182-1</f>
        <v>0.47962646461778946</v>
      </c>
      <c r="X184" s="13">
        <f t="shared" ref="X184:Y184" si="4917">+X182/W182-1</f>
        <v>0.26415353981839895</v>
      </c>
      <c r="Y184" s="13">
        <f t="shared" si="4917"/>
        <v>-0.44829929392205714</v>
      </c>
      <c r="Z184" s="235" t="s">
        <v>290</v>
      </c>
      <c r="AA184" s="13">
        <f>+AA182/Y182-1</f>
        <v>-0.44511808669656827</v>
      </c>
      <c r="AB184" s="13">
        <f>+AB182/AA182-1</f>
        <v>3.072948094909763</v>
      </c>
      <c r="AC184" s="13">
        <f t="shared" ref="AC184:AD184" si="4918">+AC182/AB182-1</f>
        <v>-0.11693062604521987</v>
      </c>
      <c r="AD184" s="13">
        <f t="shared" si="4918"/>
        <v>-3.6419949166905941E-2</v>
      </c>
      <c r="AE184" s="235" t="s">
        <v>290</v>
      </c>
      <c r="AF184" s="13">
        <f>+AF182/AD182-1</f>
        <v>0.84636223394709909</v>
      </c>
      <c r="AG184" s="13">
        <f>+AG182/AF182-1</f>
        <v>0.16377072340377818</v>
      </c>
      <c r="AH184" s="13">
        <f t="shared" ref="AH184:AI184" si="4919">+AH182/AG182-1</f>
        <v>-0.39177027924909291</v>
      </c>
      <c r="AI184" s="13">
        <f t="shared" si="4919"/>
        <v>7.1427580176909977E-2</v>
      </c>
      <c r="AJ184" s="235" t="s">
        <v>290</v>
      </c>
      <c r="AK184" s="13">
        <f>+AK182/AI182-1</f>
        <v>-0.79721946677254296</v>
      </c>
      <c r="AL184" s="13">
        <f>+AL182/AK182-1</f>
        <v>3.5453596766445141</v>
      </c>
      <c r="AM184" s="13">
        <f t="shared" ref="AM184:AN184" si="4920">+AM182/AL182-1</f>
        <v>-8.7960755450459005E-2</v>
      </c>
      <c r="AN184" s="13">
        <f t="shared" si="4920"/>
        <v>0.49262890032673234</v>
      </c>
      <c r="AO184" s="235" t="s">
        <v>290</v>
      </c>
      <c r="AP184" s="13">
        <f>+AP182/AN182-1</f>
        <v>0.18143220926171311</v>
      </c>
      <c r="AQ184" s="13">
        <f>+AQ182/AP182-1</f>
        <v>-0.66933910534093899</v>
      </c>
      <c r="AR184" s="13">
        <f t="shared" ref="AR184:AS184" si="4921">+AR182/AQ182-1</f>
        <v>-0.75428742846738639</v>
      </c>
      <c r="AS184" s="13">
        <f t="shared" si="4921"/>
        <v>2.4716638194027936</v>
      </c>
      <c r="AT184" s="235" t="s">
        <v>290</v>
      </c>
      <c r="AU184" s="13">
        <f>+AU182/AS182-1</f>
        <v>1.6811730234016142</v>
      </c>
      <c r="AV184" s="13">
        <f>+AV182/AU182-1</f>
        <v>7.9586904209408837E-2</v>
      </c>
      <c r="AW184" s="13">
        <f t="shared" ref="AW184:AX184" si="4922">+AW182/AV182-1</f>
        <v>-0.28652741678365723</v>
      </c>
      <c r="AX184" s="13">
        <f t="shared" si="4922"/>
        <v>0.45870151277947691</v>
      </c>
      <c r="AY184" s="235" t="s">
        <v>290</v>
      </c>
      <c r="AZ184" s="13">
        <f>+AZ182/AX182-1</f>
        <v>1.0432040861060394</v>
      </c>
      <c r="BA184" s="13">
        <f>+BA182/AZ182-1</f>
        <v>1.8308295852744072E-2</v>
      </c>
      <c r="BB184" s="13">
        <f t="shared" ref="BB184:BC184" si="4923">+BB182/BA182-1</f>
        <v>0.28570286028568415</v>
      </c>
      <c r="BC184" s="13">
        <f t="shared" si="4923"/>
        <v>1.1987814975518152E-3</v>
      </c>
      <c r="BD184" s="235" t="s">
        <v>290</v>
      </c>
      <c r="BE184" s="62">
        <f>+BE182/BC182-1</f>
        <v>-3.5313393564351592E-2</v>
      </c>
      <c r="BF184" s="13">
        <f>+BF182/BE182-1</f>
        <v>0.94940897443330141</v>
      </c>
      <c r="BG184" s="13">
        <f t="shared" ref="BG184" si="4924">+BG182/BF182-1</f>
        <v>0.20130433658195312</v>
      </c>
      <c r="BH184" s="13">
        <f t="shared" ref="BH184" si="4925">+BH182/BG182-1</f>
        <v>0.41407201412247208</v>
      </c>
      <c r="BI184" s="235" t="s">
        <v>290</v>
      </c>
      <c r="BJ184" s="13">
        <f>+BJ182/BH182-1</f>
        <v>-0.58041674337256299</v>
      </c>
      <c r="BK184" s="13">
        <f>+BK182/BJ182-1</f>
        <v>0.29260150341759816</v>
      </c>
      <c r="BL184" s="13">
        <f t="shared" ref="BL184" si="4926">+BL182/BK182-1</f>
        <v>1.7010529693256116E-2</v>
      </c>
      <c r="BM184" s="13">
        <f t="shared" ref="BM184" si="4927">+BM182/BL182-1</f>
        <v>3.0360896572407592E-2</v>
      </c>
      <c r="BN184" s="235" t="s">
        <v>290</v>
      </c>
      <c r="BO184" s="13">
        <f>+BO182/BM182-1</f>
        <v>-0.56968880130956934</v>
      </c>
      <c r="BP184" s="13">
        <f>+BP182/BO182-1</f>
        <v>-0.17743540691607385</v>
      </c>
      <c r="BQ184" s="13">
        <f t="shared" ref="BQ184" si="4928">+BQ182/BP182-1</f>
        <v>1.7010529693255894E-2</v>
      </c>
      <c r="BR184" s="13">
        <f t="shared" ref="BR184" si="4929">+BR182/BQ182-1</f>
        <v>3.0360896572407592E-2</v>
      </c>
      <c r="BS184" s="235" t="s">
        <v>290</v>
      </c>
      <c r="BT184" s="13">
        <f>+BT182/BR182-1</f>
        <v>0.18335579639868405</v>
      </c>
      <c r="BU184" s="13">
        <f>+BU182/BT182-1</f>
        <v>-0.17743540691607373</v>
      </c>
      <c r="BV184" s="13">
        <f t="shared" ref="BV184" si="4930">+BV182/BU182-1</f>
        <v>1.7010529693256116E-2</v>
      </c>
      <c r="BW184" s="13">
        <f t="shared" ref="BW184" si="4931">+BW182/BV182-1</f>
        <v>3.0360896572407592E-2</v>
      </c>
      <c r="BX184" s="235" t="s">
        <v>290</v>
      </c>
      <c r="BY184" s="13">
        <f>+BY182/BW182-1</f>
        <v>0.18335579639868405</v>
      </c>
      <c r="BZ184" s="13">
        <f>+BZ182/BY182-1</f>
        <v>-0.17743540691607385</v>
      </c>
      <c r="CA184" s="13">
        <f t="shared" ref="CA184" si="4932">+CA182/BZ182-1</f>
        <v>1.7010529693256116E-2</v>
      </c>
      <c r="CB184" s="13">
        <f t="shared" ref="CB184" si="4933">+CB182/CA182-1</f>
        <v>3.036089657240737E-2</v>
      </c>
      <c r="CC184" s="235" t="s">
        <v>290</v>
      </c>
      <c r="CD184" s="13">
        <f>+CD182/CB182-1</f>
        <v>0.18335579639868405</v>
      </c>
      <c r="CE184" s="13">
        <f>+CE182/CD182-1</f>
        <v>-0.17743540691607373</v>
      </c>
      <c r="CF184" s="13">
        <f t="shared" ref="CF184" si="4934">+CF182/CE182-1</f>
        <v>1.7010529693255894E-2</v>
      </c>
      <c r="CG184" s="13">
        <f t="shared" ref="CG184" si="4935">+CG182/CF182-1</f>
        <v>3.0360896572407814E-2</v>
      </c>
      <c r="CH184" s="235" t="s">
        <v>290</v>
      </c>
      <c r="CI184" s="13">
        <f>+CI182/CG182-1</f>
        <v>0.18335579639868382</v>
      </c>
      <c r="CJ184" s="13">
        <f>+CJ182/CI182-1</f>
        <v>-0.17743540691607385</v>
      </c>
      <c r="CK184" s="13">
        <f t="shared" ref="CK184" si="4936">+CK182/CJ182-1</f>
        <v>1.7010529693256116E-2</v>
      </c>
      <c r="CL184" s="13">
        <f t="shared" ref="CL184" si="4937">+CL182/CK182-1</f>
        <v>3.0360896572407592E-2</v>
      </c>
      <c r="CM184" s="235" t="s">
        <v>290</v>
      </c>
      <c r="CN184" s="13">
        <f>+CN182/CL182-1</f>
        <v>0.18335579639868405</v>
      </c>
      <c r="CO184" s="13">
        <f>+CO182/CN182-1</f>
        <v>-0.17743540691607385</v>
      </c>
      <c r="CP184" s="13">
        <f t="shared" ref="CP184" si="4938">+CP182/CO182-1</f>
        <v>1.7010529693256116E-2</v>
      </c>
      <c r="CQ184" s="13">
        <f t="shared" ref="CQ184" si="4939">+CQ182/CP182-1</f>
        <v>3.0360896572407592E-2</v>
      </c>
      <c r="CR184" s="235" t="s">
        <v>290</v>
      </c>
      <c r="CS184" s="13">
        <f>+CS182/CQ182-1</f>
        <v>0.18335579639868427</v>
      </c>
      <c r="CT184" s="13">
        <f>+CT182/CS182-1</f>
        <v>-0.17743540691607396</v>
      </c>
      <c r="CU184" s="13">
        <f t="shared" ref="CU184" si="4940">+CU182/CT182-1</f>
        <v>1.7010529693255894E-2</v>
      </c>
      <c r="CV184" s="13">
        <f t="shared" ref="CV184" si="4941">+CV182/CU182-1</f>
        <v>3.0360896572407814E-2</v>
      </c>
      <c r="CW184" s="235" t="s">
        <v>290</v>
      </c>
      <c r="CX184" s="13">
        <f>+CX182/CV182-1</f>
        <v>0.18335579639868382</v>
      </c>
      <c r="CY184" s="13">
        <f>+CY182/CX182-1</f>
        <v>-0.17743540691607385</v>
      </c>
      <c r="CZ184" s="13">
        <f t="shared" ref="CZ184" si="4942">+CZ182/CY182-1</f>
        <v>1.7010529693255894E-2</v>
      </c>
      <c r="DA184" s="13">
        <f t="shared" ref="DA184" si="4943">+DA182/CZ182-1</f>
        <v>3.0360896572407592E-2</v>
      </c>
      <c r="DB184" s="235" t="s">
        <v>290</v>
      </c>
    </row>
    <row r="185" spans="1:106">
      <c r="F185" s="217"/>
      <c r="K185" s="217"/>
      <c r="P185" s="217"/>
      <c r="U185" s="217"/>
      <c r="Z185" s="217"/>
      <c r="AE185" s="217"/>
      <c r="AJ185" s="217"/>
      <c r="AO185" s="217"/>
      <c r="AT185" s="217"/>
      <c r="AY185" s="217"/>
      <c r="BD185" s="217"/>
      <c r="BI185" s="217"/>
      <c r="BN185" s="217"/>
      <c r="BS185" s="217"/>
      <c r="BX185" s="217"/>
      <c r="CC185" s="217"/>
      <c r="CH185" s="217"/>
      <c r="CM185" s="217"/>
      <c r="CR185" s="217"/>
      <c r="CW185" s="217"/>
      <c r="DB185" s="217"/>
    </row>
    <row r="186" spans="1:106" s="125" customFormat="1">
      <c r="A186" s="125" t="s">
        <v>495</v>
      </c>
      <c r="F186" s="232"/>
      <c r="K186" s="232"/>
      <c r="P186" s="232"/>
      <c r="U186" s="232"/>
      <c r="Z186" s="232"/>
      <c r="AE186" s="232"/>
      <c r="AJ186" s="232"/>
      <c r="AO186" s="232"/>
      <c r="AT186" s="232"/>
      <c r="AY186" s="232"/>
      <c r="BD186" s="232"/>
      <c r="BI186" s="232"/>
      <c r="BN186" s="232"/>
      <c r="BS186" s="232"/>
      <c r="BX186" s="232"/>
      <c r="CC186" s="232"/>
      <c r="CH186" s="232"/>
      <c r="CM186" s="232"/>
      <c r="CR186" s="232"/>
      <c r="CW186" s="232"/>
      <c r="DB186" s="232"/>
    </row>
    <row r="187" spans="1:106" s="51" customFormat="1">
      <c r="A187" s="51" t="s">
        <v>308</v>
      </c>
      <c r="F187" s="233"/>
      <c r="K187" s="233"/>
      <c r="P187" s="233"/>
      <c r="U187" s="233"/>
      <c r="Z187" s="233"/>
      <c r="AE187" s="233"/>
      <c r="AF187" s="213">
        <f>+AF201+AF291</f>
        <v>1313</v>
      </c>
      <c r="AG187" s="213">
        <f t="shared" ref="AG187:AI187" si="4944">+AG201+AG291</f>
        <v>2285</v>
      </c>
      <c r="AH187" s="213">
        <f t="shared" si="4944"/>
        <v>3743</v>
      </c>
      <c r="AI187" s="213">
        <f t="shared" si="4944"/>
        <v>4767</v>
      </c>
      <c r="AJ187" s="234">
        <f>+AF187+AG187+AH187+AI187</f>
        <v>12108</v>
      </c>
      <c r="AK187" s="213">
        <f>+AK201+AK291</f>
        <v>8203</v>
      </c>
      <c r="AL187" s="213">
        <f t="shared" ref="AL187:AN187" si="4945">+AL201+AL291</f>
        <v>10537</v>
      </c>
      <c r="AM187" s="213">
        <f t="shared" si="4945"/>
        <v>12699</v>
      </c>
      <c r="AN187" s="213">
        <f t="shared" si="4945"/>
        <v>15037</v>
      </c>
      <c r="AO187" s="234">
        <f>+AK187+AL187+AM187+AN187</f>
        <v>46476</v>
      </c>
      <c r="AP187" s="213">
        <f>+AP201+AP291</f>
        <v>14888</v>
      </c>
      <c r="AQ187" s="213">
        <f t="shared" ref="AQ187:AS187" si="4946">+AQ201+AQ291</f>
        <v>18534</v>
      </c>
      <c r="AR187" s="213">
        <f t="shared" si="4946"/>
        <v>19211</v>
      </c>
      <c r="AS187" s="213">
        <f t="shared" si="4946"/>
        <v>19715</v>
      </c>
      <c r="AT187" s="234">
        <f>+AP187+AQ187+AR187+AS187</f>
        <v>72348</v>
      </c>
      <c r="AU187" s="213">
        <f>+AU201+AU291</f>
        <v>17478</v>
      </c>
      <c r="AV187" s="213">
        <f t="shared" ref="AV187:AX187" si="4947">+AV201+AV291</f>
        <v>19644</v>
      </c>
      <c r="AW187" s="213">
        <f t="shared" si="4947"/>
        <v>21773</v>
      </c>
      <c r="AX187" s="213">
        <f t="shared" si="4947"/>
        <v>23684</v>
      </c>
      <c r="AY187" s="234">
        <f>+AU187+AV187+AW187+AX187</f>
        <v>82579</v>
      </c>
      <c r="AZ187" s="213">
        <f>+AZ201+AZ291</f>
        <v>21166.2</v>
      </c>
      <c r="BA187" s="213">
        <f t="shared" ref="BA187" si="4948">+BA201+BA291</f>
        <v>28430.600000000002</v>
      </c>
      <c r="BB187" s="213">
        <f>+BB201+BB291</f>
        <v>32165.45</v>
      </c>
      <c r="BC187" s="213">
        <f>+BC201+BC291</f>
        <v>36450.600000000006</v>
      </c>
      <c r="BD187" s="234">
        <f>+AZ187+BA187+BB187+BC187</f>
        <v>118212.85</v>
      </c>
      <c r="BE187" s="213">
        <f>+BE201+BE291</f>
        <v>29774.988970838054</v>
      </c>
      <c r="BF187" s="213">
        <f>+BF201+BF291</f>
        <v>38187.788970838054</v>
      </c>
      <c r="BG187" s="213">
        <f t="shared" ref="BG187:BH187" si="4949">+BG201+BG291</f>
        <v>40752.248970838053</v>
      </c>
      <c r="BH187" s="213">
        <f t="shared" si="4949"/>
        <v>46035.82011435512</v>
      </c>
      <c r="BI187" s="234">
        <f>+BE187+BF187+BG187+BH187</f>
        <v>154750.84702686928</v>
      </c>
      <c r="BJ187" s="213">
        <f>+BJ201+BJ291</f>
        <v>34946.735352063493</v>
      </c>
      <c r="BK187" s="213">
        <f t="shared" ref="BK187:BM187" si="4950">+BK201+BK291</f>
        <v>44317.116152063492</v>
      </c>
      <c r="BL187" s="213">
        <f t="shared" si="4950"/>
        <v>47046.602852063486</v>
      </c>
      <c r="BM187" s="213">
        <f t="shared" si="4950"/>
        <v>52914.970629886069</v>
      </c>
      <c r="BN187" s="234">
        <f>+BJ187+BK187+BL187+BM187</f>
        <v>179225.42498607654</v>
      </c>
      <c r="BO187" s="213">
        <f>+BO201+BO291</f>
        <v>41731.112364787492</v>
      </c>
      <c r="BP187" s="213">
        <f t="shared" ref="BP187:BR187" si="4951">+BP201+BP291</f>
        <v>51790.051628787485</v>
      </c>
      <c r="BQ187" s="213">
        <f t="shared" si="4951"/>
        <v>54652.321049787482</v>
      </c>
      <c r="BR187" s="213">
        <f t="shared" si="4951"/>
        <v>60943.040460944743</v>
      </c>
      <c r="BS187" s="234">
        <f>+BO187+BP187+BQ187+BR187</f>
        <v>209116.52550430718</v>
      </c>
      <c r="BT187" s="213">
        <f>+BT201+BT291</f>
        <v>47744.953334858074</v>
      </c>
      <c r="BU187" s="213">
        <f t="shared" ref="BU187:BW187" si="4952">+BU201+BU291</f>
        <v>58281.372312778061</v>
      </c>
      <c r="BV187" s="213">
        <f t="shared" si="4952"/>
        <v>61251.459630658064</v>
      </c>
      <c r="BW187" s="213">
        <f t="shared" si="4952"/>
        <v>67837.117757900036</v>
      </c>
      <c r="BX187" s="234">
        <f>+BT187+BU187+BV187+BW187</f>
        <v>235114.90303619424</v>
      </c>
      <c r="BY187" s="213">
        <f>+BY201+BY291</f>
        <v>54119.214832964572</v>
      </c>
      <c r="BZ187" s="213">
        <f t="shared" ref="BZ187:CB187" si="4953">+BZ201+BZ291</f>
        <v>65160.616281422161</v>
      </c>
      <c r="CA187" s="213">
        <f t="shared" si="4953"/>
        <v>68243.402269157319</v>
      </c>
      <c r="CB187" s="213">
        <f t="shared" si="4953"/>
        <v>75140.81355899779</v>
      </c>
      <c r="CC187" s="234">
        <f>+BY187+BZ187+CA187+CB187</f>
        <v>262664.04694254184</v>
      </c>
      <c r="CD187" s="213">
        <f>+CD201+CD291</f>
        <v>60872.895739238083</v>
      </c>
      <c r="CE187" s="213">
        <f t="shared" ref="CE187:CG187" si="4954">+CE201+CE291</f>
        <v>72448.595874939405</v>
      </c>
      <c r="CF187" s="213">
        <f t="shared" si="4954"/>
        <v>75649.231196399269</v>
      </c>
      <c r="CG187" s="213">
        <f t="shared" si="4954"/>
        <v>82876.312000124817</v>
      </c>
      <c r="CH187" s="234">
        <f>+CD187+CE187+CF187+CG187</f>
        <v>291847.03481070156</v>
      </c>
      <c r="CI187" s="213">
        <f>+CI201+CI291</f>
        <v>68026.019446041508</v>
      </c>
      <c r="CJ187" s="213">
        <f t="shared" ref="CJ187:CL187" si="4955">+CJ201+CJ291</f>
        <v>80167.27647788811</v>
      </c>
      <c r="CK187" s="213">
        <f t="shared" si="4955"/>
        <v>83491.199044641369</v>
      </c>
      <c r="CL187" s="213">
        <f t="shared" si="4955"/>
        <v>91067.045485807757</v>
      </c>
      <c r="CM187" s="234">
        <f>+CI187+CJ187+CK187+CL187</f>
        <v>322751.5404543787</v>
      </c>
      <c r="CN187" s="213">
        <f>+CN201+CN291</f>
        <v>75599.693901553692</v>
      </c>
      <c r="CO187" s="213">
        <f t="shared" ref="CO187:CQ187" si="4956">+CO201+CO291</f>
        <v>88339.845978335521</v>
      </c>
      <c r="CP187" s="213">
        <f t="shared" si="4956"/>
        <v>91792.799521664696</v>
      </c>
      <c r="CQ187" s="213">
        <f t="shared" si="4956"/>
        <v>99737.771060394851</v>
      </c>
      <c r="CR187" s="234">
        <f>+CN187+CO187+CP187+CQ187</f>
        <v>355470.11046194879</v>
      </c>
      <c r="CS187" s="213">
        <f>+CS201+CS291</f>
        <v>83616.175509295994</v>
      </c>
      <c r="CT187" s="213">
        <f t="shared" ref="CT187:CV187" si="4957">+CT201+CT291</f>
        <v>96990.788782409581</v>
      </c>
      <c r="CU187" s="213">
        <f t="shared" si="4957"/>
        <v>100578.84272907997</v>
      </c>
      <c r="CV187" s="213">
        <f t="shared" si="4957"/>
        <v>108914.65184612545</v>
      </c>
      <c r="CW187" s="234">
        <f>+CS187+CT187+CU187+CV187</f>
        <v>390100.45886691095</v>
      </c>
      <c r="CX187" s="213">
        <f>+CX201+CX291</f>
        <v>92098.937149072342</v>
      </c>
      <c r="CY187" s="213">
        <f t="shared" ref="CY187:DA187" si="4958">+CY201+CY291</f>
        <v>106145.96470195978</v>
      </c>
      <c r="CZ187" s="213">
        <f t="shared" si="4958"/>
        <v>109875.5354488497</v>
      </c>
      <c r="DA187" s="213">
        <f t="shared" si="4958"/>
        <v>118625.34390397146</v>
      </c>
      <c r="DB187" s="234">
        <f>+CX187+CY187+CZ187+DA187</f>
        <v>426745.78120385332</v>
      </c>
    </row>
    <row r="188" spans="1:106">
      <c r="A188" s="117" t="s">
        <v>281</v>
      </c>
      <c r="F188" s="217"/>
      <c r="K188" s="217"/>
      <c r="P188" s="217"/>
      <c r="U188" s="217"/>
      <c r="Z188" s="217"/>
      <c r="AE188" s="217"/>
      <c r="AF188" s="119" t="s">
        <v>290</v>
      </c>
      <c r="AG188" s="119" t="s">
        <v>290</v>
      </c>
      <c r="AH188" s="119" t="s">
        <v>290</v>
      </c>
      <c r="AI188" s="119" t="s">
        <v>290</v>
      </c>
      <c r="AJ188" s="235" t="s">
        <v>290</v>
      </c>
      <c r="AK188" s="13">
        <f>+AK187/AF187-1</f>
        <v>5.2475247524752477</v>
      </c>
      <c r="AL188" s="13">
        <f t="shared" ref="AL188" si="4959">+AL187/AG187-1</f>
        <v>3.6113785557986873</v>
      </c>
      <c r="AM188" s="13">
        <f t="shared" ref="AM188" si="4960">+AM187/AH187-1</f>
        <v>2.3927331017900082</v>
      </c>
      <c r="AN188" s="13">
        <f t="shared" ref="AN188" si="4961">+AN187/AI187-1</f>
        <v>2.1543947975666038</v>
      </c>
      <c r="AO188" s="239">
        <f t="shared" ref="AO188" si="4962">+AO187/AJ187-1</f>
        <v>2.8384539147670962</v>
      </c>
      <c r="AP188" s="13">
        <f>+AP187/AK187-1</f>
        <v>0.81494575155430948</v>
      </c>
      <c r="AQ188" s="13">
        <f t="shared" ref="AQ188" si="4963">+AQ187/AL187-1</f>
        <v>0.75894467115877395</v>
      </c>
      <c r="AR188" s="13">
        <f t="shared" ref="AR188" si="4964">+AR187/AM187-1</f>
        <v>0.51279628317190329</v>
      </c>
      <c r="AS188" s="13">
        <f t="shared" ref="AS188" si="4965">+AS187/AN187-1</f>
        <v>0.31109928842189261</v>
      </c>
      <c r="AT188" s="239">
        <f t="shared" ref="AT188" si="4966">+AT187/AO187-1</f>
        <v>0.55667441260005157</v>
      </c>
      <c r="AU188" s="13">
        <f>+AU187/AP187-1</f>
        <v>0.17396560988715737</v>
      </c>
      <c r="AV188" s="13">
        <f t="shared" ref="AV188" si="4967">+AV187/AQ187-1</f>
        <v>5.9889932016834013E-2</v>
      </c>
      <c r="AW188" s="13">
        <f t="shared" ref="AW188" si="4968">+AW187/AR187-1</f>
        <v>0.13336109520587169</v>
      </c>
      <c r="AX188" s="13">
        <f t="shared" ref="AX188" si="4969">+AX187/AS187-1</f>
        <v>0.20131879279736231</v>
      </c>
      <c r="AY188" s="239">
        <f t="shared" ref="AY188" si="4970">+AY187/AT187-1</f>
        <v>0.14141372256316687</v>
      </c>
      <c r="AZ188" s="13">
        <f>+AZ187/AU187-1</f>
        <v>0.21101956745623074</v>
      </c>
      <c r="BA188" s="13">
        <f t="shared" ref="BA188" si="4971">+BA187/AV187-1</f>
        <v>0.44729179393198959</v>
      </c>
      <c r="BB188" s="13">
        <f t="shared" ref="BB188" si="4972">+BB187/AW187-1</f>
        <v>0.47730905249621092</v>
      </c>
      <c r="BC188" s="13">
        <f t="shared" ref="BC188" si="4973">+BC187/AX187-1</f>
        <v>0.53903901368012175</v>
      </c>
      <c r="BD188" s="239">
        <f t="shared" ref="BD188" si="4974">+BD187/AY187-1</f>
        <v>0.43151224887683326</v>
      </c>
      <c r="BE188" s="13">
        <f>+BE187/AZ187-1</f>
        <v>0.40672340669737861</v>
      </c>
      <c r="BF188" s="13">
        <f t="shared" ref="BF188" si="4975">+BF187/BA187-1</f>
        <v>0.3431932133278246</v>
      </c>
      <c r="BG188" s="13">
        <f t="shared" ref="BG188" si="4976">+BG187/BB187-1</f>
        <v>0.2669572156098563</v>
      </c>
      <c r="BH188" s="13">
        <f t="shared" ref="BH188" si="4977">+BH187/BC187-1</f>
        <v>0.26296467312897764</v>
      </c>
      <c r="BI188" s="239">
        <f t="shared" ref="BI188" si="4978">+BI187/BD187-1</f>
        <v>0.30908650816615335</v>
      </c>
      <c r="BJ188" s="13">
        <f>+BJ187/BE187-1</f>
        <v>0.17369431727718543</v>
      </c>
      <c r="BK188" s="13">
        <f t="shared" ref="BK188" si="4979">+BK187/BF187-1</f>
        <v>0.16050489819942371</v>
      </c>
      <c r="BL188" s="13">
        <f t="shared" ref="BL188" si="4980">+BL187/BG187-1</f>
        <v>0.15445414768960641</v>
      </c>
      <c r="BM188" s="13">
        <f t="shared" ref="BM188" si="4981">+BM187/BH187-1</f>
        <v>0.14943038917179763</v>
      </c>
      <c r="BN188" s="239">
        <f t="shared" ref="BN188" si="4982">+BN187/BI187-1</f>
        <v>0.15815472696545418</v>
      </c>
      <c r="BO188" s="13">
        <f>+BO187/BJ187-1</f>
        <v>0.19413478667967765</v>
      </c>
      <c r="BP188" s="13">
        <f t="shared" ref="BP188" si="4983">+BP187/BK187-1</f>
        <v>0.16862413725393188</v>
      </c>
      <c r="BQ188" s="13">
        <f t="shared" ref="BQ188" si="4984">+BQ187/BL187-1</f>
        <v>0.16166349399636637</v>
      </c>
      <c r="BR188" s="13">
        <f t="shared" ref="BR188" si="4985">+BR187/BM187-1</f>
        <v>0.15171641853892415</v>
      </c>
      <c r="BS188" s="239">
        <f t="shared" ref="BS188" si="4986">+BS187/BN187-1</f>
        <v>0.16677935354625495</v>
      </c>
      <c r="BT188" s="13">
        <f>+BT187/BO187-1</f>
        <v>0.14410928991063821</v>
      </c>
      <c r="BU188" s="13">
        <f t="shared" ref="BU188" si="4987">+BU187/BP187-1</f>
        <v>0.12533914294038628</v>
      </c>
      <c r="BV188" s="13">
        <f t="shared" ref="BV188" si="4988">+BV187/BQ187-1</f>
        <v>0.12074763622315077</v>
      </c>
      <c r="BW188" s="13">
        <f t="shared" ref="BW188" si="4989">+BW187/BR187-1</f>
        <v>0.113123290942029</v>
      </c>
      <c r="BX188" s="239">
        <f t="shared" ref="BX188" si="4990">+BX187/BS187-1</f>
        <v>0.12432483501334568</v>
      </c>
      <c r="BY188" s="13">
        <f>+BY187/BT187-1</f>
        <v>0.13350649760616107</v>
      </c>
      <c r="BZ188" s="13">
        <f t="shared" ref="BZ188" si="4991">+BZ187/BU187-1</f>
        <v>0.11803503753695654</v>
      </c>
      <c r="CA188" s="13">
        <f t="shared" ref="CA188" si="4992">+CA187/BV187-1</f>
        <v>0.11415144521714526</v>
      </c>
      <c r="CB188" s="13">
        <f t="shared" ref="CB188" si="4993">+CB187/BW187-1</f>
        <v>0.1076651845257266</v>
      </c>
      <c r="CC188" s="239">
        <f t="shared" ref="CC188" si="4994">+CC187/BX187-1</f>
        <v>0.11717310791696867</v>
      </c>
      <c r="CD188" s="13">
        <f>+CD187/BY187-1</f>
        <v>0.12479266240499443</v>
      </c>
      <c r="CE188" s="13">
        <f t="shared" ref="CE188" si="4995">+CE187/BZ187-1</f>
        <v>0.11184638834662319</v>
      </c>
      <c r="CF188" s="13">
        <f t="shared" ref="CF188" si="4996">+CF187/CA187-1</f>
        <v>0.1085208046637649</v>
      </c>
      <c r="CG188" s="13">
        <f t="shared" ref="CG188" si="4997">+CG187/CB187-1</f>
        <v>0.10294669534092016</v>
      </c>
      <c r="CH188" s="239">
        <f t="shared" ref="CH188" si="4998">+CH187/CC187-1</f>
        <v>0.11110385379291565</v>
      </c>
      <c r="CI188" s="13">
        <f>+CI187/CD187-1</f>
        <v>0.1175091741560208</v>
      </c>
      <c r="CJ188" s="13">
        <f t="shared" ref="CJ188" si="4999">+CJ187/CE187-1</f>
        <v>0.1065400993591743</v>
      </c>
      <c r="CK188" s="13">
        <f t="shared" ref="CK188" si="5000">+CK187/CF187-1</f>
        <v>0.10366222794628155</v>
      </c>
      <c r="CL188" s="13">
        <f t="shared" ref="CL188" si="5001">+CL187/CG187-1</f>
        <v>9.8830815319950638E-2</v>
      </c>
      <c r="CM188" s="239">
        <f t="shared" ref="CM188" si="5002">+CM187/CH187-1</f>
        <v>0.1058928204075209</v>
      </c>
      <c r="CN188" s="13">
        <f>+CN187/CI187-1</f>
        <v>0.11133496443253832</v>
      </c>
      <c r="CO188" s="13">
        <f t="shared" ref="CO188" si="5003">+CO187/CJ187-1</f>
        <v>0.10194395842674764</v>
      </c>
      <c r="CP188" s="13">
        <f t="shared" ref="CP188" si="5004">+CP187/CK187-1</f>
        <v>9.9430845071282192E-2</v>
      </c>
      <c r="CQ188" s="13">
        <f t="shared" ref="CQ188" si="5005">+CQ187/CL187-1</f>
        <v>9.5212549482989184E-2</v>
      </c>
      <c r="CR188" s="239">
        <f t="shared" ref="CR188" si="5006">+CR187/CM187-1</f>
        <v>0.10137386164449591</v>
      </c>
      <c r="CS188" s="13">
        <f>+CS187/CN187-1</f>
        <v>0.10603854584624917</v>
      </c>
      <c r="CT188" s="13">
        <f t="shared" ref="CT188" si="5007">+CT187/CO187-1</f>
        <v>9.7927981515788742E-2</v>
      </c>
      <c r="CU188" s="13">
        <f t="shared" ref="CU188" si="5008">+CU187/CP187-1</f>
        <v>9.571603931026873E-2</v>
      </c>
      <c r="CV188" s="13">
        <f t="shared" ref="CV188" si="5009">+CV187/CQ187-1</f>
        <v>9.2010084927340641E-2</v>
      </c>
      <c r="CW188" s="239">
        <f t="shared" ref="CW188" si="5010">+CW187/CR187-1</f>
        <v>9.7421266614958313E-2</v>
      </c>
      <c r="CX188" s="13">
        <f>+CX187/CS187-1</f>
        <v>0.10144881164569974</v>
      </c>
      <c r="CY188" s="13">
        <f t="shared" ref="CY188" si="5011">+CY187/CT187-1</f>
        <v>9.4392220482803157E-2</v>
      </c>
      <c r="CZ188" s="13">
        <f t="shared" ref="CZ188" si="5012">+CZ187/CU187-1</f>
        <v>9.2431891912013509E-2</v>
      </c>
      <c r="DA188" s="13">
        <f t="shared" ref="DA188" si="5013">+DA187/CV187-1</f>
        <v>8.9158730191464697E-2</v>
      </c>
      <c r="DB188" s="239">
        <f t="shared" ref="DB188" si="5014">+DB187/CW187-1</f>
        <v>9.3938167730903688E-2</v>
      </c>
    </row>
    <row r="189" spans="1:106">
      <c r="A189" s="117" t="s">
        <v>288</v>
      </c>
      <c r="F189" s="217"/>
      <c r="K189" s="217"/>
      <c r="P189" s="217"/>
      <c r="U189" s="217"/>
      <c r="Z189" s="217"/>
      <c r="AE189" s="217"/>
      <c r="AF189" s="119" t="s">
        <v>290</v>
      </c>
      <c r="AG189" s="13">
        <f>+AG187/AF187-1</f>
        <v>0.74028941355674038</v>
      </c>
      <c r="AH189" s="13">
        <f t="shared" ref="AH189:AI189" si="5015">+AH187/AG187-1</f>
        <v>0.638074398249453</v>
      </c>
      <c r="AI189" s="13">
        <f t="shared" si="5015"/>
        <v>0.27357734437616887</v>
      </c>
      <c r="AJ189" s="235" t="s">
        <v>290</v>
      </c>
      <c r="AK189" s="13">
        <f>+AK187/AI187-1</f>
        <v>0.72078875603104686</v>
      </c>
      <c r="AL189" s="13">
        <f>+AL187/AK187-1</f>
        <v>0.28453004998171405</v>
      </c>
      <c r="AM189" s="13">
        <f t="shared" ref="AM189:AN189" si="5016">+AM187/AL187-1</f>
        <v>0.20518174053335869</v>
      </c>
      <c r="AN189" s="13">
        <f t="shared" si="5016"/>
        <v>0.18410898495944572</v>
      </c>
      <c r="AO189" s="235" t="s">
        <v>290</v>
      </c>
      <c r="AP189" s="13">
        <f>+AP187/AN187-1</f>
        <v>-9.908891401210318E-3</v>
      </c>
      <c r="AQ189" s="13">
        <f>+AQ187/AP187-1</f>
        <v>0.24489521762493283</v>
      </c>
      <c r="AR189" s="13">
        <f t="shared" ref="AR189:AS189" si="5017">+AR187/AQ187-1</f>
        <v>3.6527463040897823E-2</v>
      </c>
      <c r="AS189" s="13">
        <f t="shared" si="5017"/>
        <v>2.6234969548696085E-2</v>
      </c>
      <c r="AT189" s="235" t="s">
        <v>290</v>
      </c>
      <c r="AU189" s="13">
        <f>+AU187/AS187-1</f>
        <v>-0.1134669033730662</v>
      </c>
      <c r="AV189" s="13">
        <f>+AV187/AU187-1</f>
        <v>0.12392722279436996</v>
      </c>
      <c r="AW189" s="13">
        <f t="shared" ref="AW189:AX189" si="5018">+AW187/AV187-1</f>
        <v>0.10837914884952138</v>
      </c>
      <c r="AX189" s="13">
        <f t="shared" si="5018"/>
        <v>8.7769255499931198E-2</v>
      </c>
      <c r="AY189" s="235" t="s">
        <v>290</v>
      </c>
      <c r="AZ189" s="13">
        <f>+AZ187/AX187-1</f>
        <v>-0.10630805607160954</v>
      </c>
      <c r="BA189" s="13">
        <f>+BA187/AZ187-1</f>
        <v>0.34320756678099995</v>
      </c>
      <c r="BB189" s="13">
        <f t="shared" ref="BB189:BC189" si="5019">+BB187/BA187-1</f>
        <v>0.1313672592206987</v>
      </c>
      <c r="BC189" s="13">
        <f t="shared" si="5019"/>
        <v>0.133222137417633</v>
      </c>
      <c r="BD189" s="235" t="s">
        <v>290</v>
      </c>
      <c r="BE189" s="13">
        <f>+BE187/BC187-1</f>
        <v>-0.18314132083318113</v>
      </c>
      <c r="BF189" s="13">
        <f>+BF187/BE187-1</f>
        <v>0.28254586452541042</v>
      </c>
      <c r="BG189" s="13">
        <f t="shared" ref="BG189:BH189" si="5020">+BG187/BF187-1</f>
        <v>6.7153927187519002E-2</v>
      </c>
      <c r="BH189" s="13">
        <f t="shared" si="5020"/>
        <v>0.12965103219942398</v>
      </c>
      <c r="BI189" s="235" t="s">
        <v>290</v>
      </c>
      <c r="BJ189" s="13">
        <f>+BJ187/BH187-1</f>
        <v>-0.24087948764127198</v>
      </c>
      <c r="BK189" s="13">
        <f>+BK187/BJ187-1</f>
        <v>0.26813322347853319</v>
      </c>
      <c r="BL189" s="13">
        <f t="shared" ref="BL189:BM189" si="5021">+BL187/BK187-1</f>
        <v>6.1589898824517819E-2</v>
      </c>
      <c r="BM189" s="13">
        <f t="shared" si="5021"/>
        <v>0.12473520768918167</v>
      </c>
      <c r="BN189" s="235" t="s">
        <v>290</v>
      </c>
      <c r="BO189" s="13">
        <f>+BO187/BM187-1</f>
        <v>-0.2113552768142708</v>
      </c>
      <c r="BP189" s="13">
        <f>+BP187/BO187-1</f>
        <v>0.24104172388387313</v>
      </c>
      <c r="BQ189" s="13">
        <f t="shared" ref="BQ189:BR189" si="5022">+BQ187/BP187-1</f>
        <v>5.5266780607127419E-2</v>
      </c>
      <c r="BR189" s="13">
        <f t="shared" si="5022"/>
        <v>0.11510434123056745</v>
      </c>
      <c r="BS189" s="235" t="s">
        <v>290</v>
      </c>
      <c r="BT189" s="13">
        <f>+BT187/BR187-1</f>
        <v>-0.21656430375416935</v>
      </c>
      <c r="BU189" s="13">
        <f>+BU187/BT187-1</f>
        <v>0.22068131272478309</v>
      </c>
      <c r="BV189" s="13">
        <f t="shared" ref="BV189:BW189" si="5023">+BV187/BU187-1</f>
        <v>5.0961176788021811E-2</v>
      </c>
      <c r="BW189" s="13">
        <f t="shared" si="5023"/>
        <v>0.10751838677727887</v>
      </c>
      <c r="BX189" s="235" t="s">
        <v>290</v>
      </c>
      <c r="BY189" s="13">
        <f>+BY187/BW187-1</f>
        <v>-0.2022182453843705</v>
      </c>
      <c r="BZ189" s="13">
        <f>+BZ187/BY187-1</f>
        <v>0.20401998592433679</v>
      </c>
      <c r="CA189" s="13">
        <f t="shared" ref="CA189:CB189" si="5024">+CA187/BZ187-1</f>
        <v>4.7310571379818089E-2</v>
      </c>
      <c r="CB189" s="13">
        <f t="shared" si="5024"/>
        <v>0.10107074179327324</v>
      </c>
      <c r="CC189" s="235" t="s">
        <v>290</v>
      </c>
      <c r="CD189" s="13">
        <f>+CD187/CB187-1</f>
        <v>-0.18988239738124557</v>
      </c>
      <c r="CE189" s="13">
        <f>+CE187/CD187-1</f>
        <v>0.19016181167540114</v>
      </c>
      <c r="CF189" s="13">
        <f t="shared" ref="CF189:CG189" si="5025">+CF187/CE187-1</f>
        <v>4.4178017293596605E-2</v>
      </c>
      <c r="CG189" s="13">
        <f t="shared" si="5025"/>
        <v>9.5534094523217483E-2</v>
      </c>
      <c r="CH189" s="235" t="s">
        <v>290</v>
      </c>
      <c r="CI189" s="13">
        <f>+CI187/CG187-1</f>
        <v>-0.17918621371642285</v>
      </c>
      <c r="CJ189" s="13">
        <f>+CJ187/CI187-1</f>
        <v>0.17847960428549103</v>
      </c>
      <c r="CK189" s="13">
        <f t="shared" ref="CK189:CL189" si="5026">+CK187/CJ187-1</f>
        <v>4.1462336164932223E-2</v>
      </c>
      <c r="CL189" s="13">
        <f t="shared" si="5026"/>
        <v>9.0738263767366822E-2</v>
      </c>
      <c r="CM189" s="235" t="s">
        <v>290</v>
      </c>
      <c r="CN189" s="13">
        <f>+CN187/CL187-1</f>
        <v>-0.16984576035976218</v>
      </c>
      <c r="CO189" s="13">
        <f>+CO187/CN187-1</f>
        <v>0.16852121244527951</v>
      </c>
      <c r="CP189" s="13">
        <f t="shared" ref="CP189:CQ189" si="5027">+CP187/CO187-1</f>
        <v>3.9087158292940405E-2</v>
      </c>
      <c r="CQ189" s="13">
        <f t="shared" si="5027"/>
        <v>8.6553319869659306E-2</v>
      </c>
      <c r="CR189" s="235" t="s">
        <v>290</v>
      </c>
      <c r="CS189" s="13">
        <f>+CS187/CQ187-1</f>
        <v>-0.1616398219019417</v>
      </c>
      <c r="CT189" s="13">
        <f>+CT187/CS187-1</f>
        <v>0.15995246364295479</v>
      </c>
      <c r="CU189" s="13">
        <f t="shared" ref="CU189:CV189" si="5028">+CU187/CT187-1</f>
        <v>3.6993759837543827E-2</v>
      </c>
      <c r="CV189" s="13">
        <f t="shared" si="5028"/>
        <v>8.2878355833730044E-2</v>
      </c>
      <c r="CW189" s="235" t="s">
        <v>290</v>
      </c>
      <c r="CX189" s="13">
        <f>+CX187/CV187-1</f>
        <v>-0.15439350364733606</v>
      </c>
      <c r="CY189" s="13">
        <f>+CY187/CX187-1</f>
        <v>0.15252106036957591</v>
      </c>
      <c r="CZ189" s="13">
        <f t="shared" ref="CZ189:DA189" si="5029">+CZ187/CY187-1</f>
        <v>3.513624618102007E-2</v>
      </c>
      <c r="DA189" s="13">
        <f t="shared" si="5029"/>
        <v>7.9633818569148751E-2</v>
      </c>
      <c r="DB189" s="235" t="s">
        <v>290</v>
      </c>
    </row>
    <row r="190" spans="1:106">
      <c r="A190" s="117" t="s">
        <v>400</v>
      </c>
      <c r="F190" s="217"/>
      <c r="K190" s="217"/>
      <c r="P190" s="217"/>
      <c r="U190" s="217"/>
      <c r="Z190" s="217"/>
      <c r="AE190" s="217"/>
      <c r="AF190" s="119"/>
      <c r="AG190" s="13"/>
      <c r="AH190" s="13"/>
      <c r="AI190" s="13"/>
      <c r="AJ190" s="235"/>
      <c r="AK190" s="13"/>
      <c r="AL190" s="13"/>
      <c r="AM190" s="13"/>
      <c r="AN190" s="13"/>
      <c r="AO190" s="235"/>
      <c r="AP190" s="13"/>
      <c r="AQ190" s="13"/>
      <c r="AR190" s="13"/>
      <c r="AS190" s="13"/>
      <c r="AT190" s="235"/>
      <c r="AU190" s="13"/>
      <c r="AV190" s="13"/>
      <c r="AW190" s="13"/>
      <c r="AX190" s="13"/>
      <c r="AY190" s="239">
        <f t="shared" ref="AY190:CD190" si="5030">AY187/AY23</f>
        <v>3.3081884464385869E-2</v>
      </c>
      <c r="AZ190" s="13">
        <f t="shared" si="5030"/>
        <v>2.87662408263115E-2</v>
      </c>
      <c r="BA190" s="13">
        <f t="shared" si="5030"/>
        <v>3.739392345126924E-2</v>
      </c>
      <c r="BB190" s="13">
        <f t="shared" si="5030"/>
        <v>4.1461007991750454E-2</v>
      </c>
      <c r="BC190" s="13">
        <f t="shared" si="5030"/>
        <v>4.5977043390514637E-2</v>
      </c>
      <c r="BD190" s="239">
        <f t="shared" si="5030"/>
        <v>3.8572405129376451E-2</v>
      </c>
      <c r="BE190" s="13">
        <f t="shared" si="5030"/>
        <v>3.4820475933619525E-2</v>
      </c>
      <c r="BF190" s="13">
        <f t="shared" si="5030"/>
        <v>4.476355523483537E-2</v>
      </c>
      <c r="BG190" s="13">
        <f t="shared" si="5030"/>
        <v>4.5604575840239539E-2</v>
      </c>
      <c r="BH190" s="13">
        <f t="shared" si="5030"/>
        <v>4.9843893584187005E-2</v>
      </c>
      <c r="BI190" s="239">
        <f t="shared" si="5030"/>
        <v>4.3895968408370477E-2</v>
      </c>
      <c r="BJ190" s="13">
        <f t="shared" si="5030"/>
        <v>3.5937418232001757E-2</v>
      </c>
      <c r="BK190" s="13">
        <f t="shared" si="5030"/>
        <v>4.5519587454867082E-2</v>
      </c>
      <c r="BL190" s="13">
        <f t="shared" si="5030"/>
        <v>4.6981562193167056E-2</v>
      </c>
      <c r="BM190" s="13">
        <f t="shared" si="5030"/>
        <v>5.1006524134292658E-2</v>
      </c>
      <c r="BN190" s="239">
        <f t="shared" si="5030"/>
        <v>4.4977081818994021E-2</v>
      </c>
      <c r="BO190" s="13">
        <f t="shared" si="5030"/>
        <v>3.621690543412634E-2</v>
      </c>
      <c r="BP190" s="13">
        <f t="shared" si="5030"/>
        <v>4.6343904770094257E-2</v>
      </c>
      <c r="BQ190" s="13">
        <f t="shared" si="5030"/>
        <v>4.6962245015057615E-2</v>
      </c>
      <c r="BR190" s="13">
        <f t="shared" si="5030"/>
        <v>5.163770048339264E-2</v>
      </c>
      <c r="BS190" s="239">
        <f t="shared" si="5030"/>
        <v>4.5324873261446276E-2</v>
      </c>
      <c r="BT190" s="13">
        <f t="shared" si="5030"/>
        <v>3.7312740250749779E-2</v>
      </c>
      <c r="BU190" s="13">
        <f t="shared" si="5030"/>
        <v>4.6399639493372953E-2</v>
      </c>
      <c r="BV190" s="13">
        <f t="shared" si="5030"/>
        <v>4.7243726304232549E-2</v>
      </c>
      <c r="BW190" s="13">
        <f t="shared" si="5030"/>
        <v>5.1549451878493545E-2</v>
      </c>
      <c r="BX190" s="239">
        <f t="shared" si="5030"/>
        <v>4.5670018981672576E-2</v>
      </c>
      <c r="BY190" s="13">
        <f t="shared" si="5030"/>
        <v>3.8067921074089732E-2</v>
      </c>
      <c r="BZ190" s="13">
        <f t="shared" si="5030"/>
        <v>4.6984482041827598E-2</v>
      </c>
      <c r="CA190" s="13">
        <f t="shared" si="5030"/>
        <v>4.7417103594028662E-2</v>
      </c>
      <c r="CB190" s="13">
        <f t="shared" si="5030"/>
        <v>5.1671742363758238E-2</v>
      </c>
      <c r="CC190" s="239">
        <f t="shared" si="5030"/>
        <v>4.6065949953007522E-2</v>
      </c>
      <c r="CD190" s="13">
        <f t="shared" si="5030"/>
        <v>3.8947829923813709E-2</v>
      </c>
      <c r="CE190" s="13">
        <f t="shared" ref="CE190:DB190" si="5031">CE187/CE23</f>
        <v>4.7386151806681147E-2</v>
      </c>
      <c r="CF190" s="13">
        <f t="shared" si="5031"/>
        <v>4.7823429820523122E-2</v>
      </c>
      <c r="CG190" s="13">
        <f t="shared" si="5031"/>
        <v>5.181569578432707E-2</v>
      </c>
      <c r="CH190" s="239">
        <f t="shared" si="5031"/>
        <v>4.6523418906056047E-2</v>
      </c>
      <c r="CI190" s="13">
        <f t="shared" si="5031"/>
        <v>3.9860780356553799E-2</v>
      </c>
      <c r="CJ190" s="13">
        <f t="shared" si="5031"/>
        <v>4.8063356166724476E-2</v>
      </c>
      <c r="CK190" s="13">
        <f t="shared" si="5031"/>
        <v>4.853901383521203E-2</v>
      </c>
      <c r="CL190" s="13">
        <f t="shared" si="5031"/>
        <v>5.2490586142852937E-2</v>
      </c>
      <c r="CM190" s="239">
        <f t="shared" si="5031"/>
        <v>4.7258124289695162E-2</v>
      </c>
      <c r="CN190" s="13">
        <f t="shared" si="5031"/>
        <v>4.0989779885880109E-2</v>
      </c>
      <c r="CO190" s="13">
        <f t="shared" si="5031"/>
        <v>4.8959338341280842E-2</v>
      </c>
      <c r="CP190" s="13">
        <f t="shared" si="5031"/>
        <v>4.940173805001899E-2</v>
      </c>
      <c r="CQ190" s="13">
        <f t="shared" si="5031"/>
        <v>5.3237974692788084E-2</v>
      </c>
      <c r="CR190" s="239">
        <f t="shared" si="5031"/>
        <v>4.816519789809854E-2</v>
      </c>
      <c r="CS190" s="13">
        <f t="shared" si="5031"/>
        <v>4.210983575949262E-2</v>
      </c>
      <c r="CT190" s="13">
        <f t="shared" si="5031"/>
        <v>4.987807223028623E-2</v>
      </c>
      <c r="CU190" s="13">
        <f t="shared" si="5031"/>
        <v>5.0271154965167743E-2</v>
      </c>
      <c r="CV190" s="13">
        <f t="shared" si="5031"/>
        <v>5.4002291923727255E-2</v>
      </c>
      <c r="CW190" s="239">
        <f t="shared" si="5031"/>
        <v>4.9082789896670302E-2</v>
      </c>
      <c r="CX190" s="13">
        <f t="shared" si="5031"/>
        <v>4.3256839889626267E-2</v>
      </c>
      <c r="CY190" s="13">
        <f t="shared" si="5031"/>
        <v>5.0928261428873765E-2</v>
      </c>
      <c r="CZ190" s="13">
        <f t="shared" si="5031"/>
        <v>5.1346166850877721E-2</v>
      </c>
      <c r="DA190" s="13">
        <f t="shared" si="5031"/>
        <v>5.5068215713278211E-2</v>
      </c>
      <c r="DB190" s="239">
        <f t="shared" si="5031"/>
        <v>5.0161752070317187E-2</v>
      </c>
    </row>
    <row r="191" spans="1:106">
      <c r="F191" s="217"/>
      <c r="K191" s="217"/>
      <c r="P191" s="217"/>
      <c r="U191" s="217"/>
      <c r="Z191" s="217"/>
      <c r="AE191" s="217"/>
      <c r="AJ191" s="217"/>
      <c r="AO191" s="217"/>
      <c r="AT191" s="217"/>
      <c r="AY191" s="217"/>
      <c r="BD191" s="217"/>
      <c r="BE191" s="213"/>
      <c r="BI191" s="217"/>
      <c r="BN191" s="217"/>
      <c r="BS191" s="217"/>
      <c r="BX191" s="217"/>
      <c r="CC191" s="217"/>
      <c r="CH191" s="217"/>
      <c r="CM191" s="217"/>
      <c r="CR191" s="217"/>
      <c r="CW191" s="217"/>
      <c r="DB191" s="217"/>
    </row>
    <row r="192" spans="1:106" s="51" customFormat="1">
      <c r="A192" s="51" t="s">
        <v>289</v>
      </c>
      <c r="F192" s="233"/>
      <c r="K192" s="233"/>
      <c r="P192" s="233"/>
      <c r="U192" s="233"/>
      <c r="Z192" s="233"/>
      <c r="AE192" s="233"/>
      <c r="AF192" s="225">
        <f>+AF195/AF187*1000000</f>
        <v>1450.5491241431835</v>
      </c>
      <c r="AG192" s="225">
        <f t="shared" ref="AG192:AJ192" si="5032">+AG195/AG187*1000000</f>
        <v>1170.0700218818381</v>
      </c>
      <c r="AH192" s="225">
        <f t="shared" si="5032"/>
        <v>1201.1423991450708</v>
      </c>
      <c r="AI192" s="225">
        <f t="shared" si="5032"/>
        <v>1161.3499056010069</v>
      </c>
      <c r="AJ192" s="236">
        <f t="shared" si="5032"/>
        <v>1206.657746944169</v>
      </c>
      <c r="AK192" s="225">
        <f>+AK195/AK187*1000000</f>
        <v>1072.4016823113495</v>
      </c>
      <c r="AL192" s="225">
        <f t="shared" ref="AL192:AO192" si="5033">+AL195/AL187*1000000</f>
        <v>1098.044984340894</v>
      </c>
      <c r="AM192" s="225">
        <f t="shared" si="5033"/>
        <v>1082.5251594613751</v>
      </c>
      <c r="AN192" s="225">
        <f t="shared" si="5033"/>
        <v>1060.5905433264613</v>
      </c>
      <c r="AO192" s="236">
        <f t="shared" si="5033"/>
        <v>1077.1602117221789</v>
      </c>
      <c r="AP192" s="225">
        <f>+AP195/AP187*1000000</f>
        <v>1125.4164427727028</v>
      </c>
      <c r="AQ192" s="225">
        <f t="shared" ref="AQ192:AT192" si="5034">+AQ195/AQ187*1000000</f>
        <v>1031.272256393655</v>
      </c>
      <c r="AR192" s="225">
        <f t="shared" si="5034"/>
        <v>1015.9127583155484</v>
      </c>
      <c r="AS192" s="225">
        <f t="shared" si="5034"/>
        <v>1003.5911742328177</v>
      </c>
      <c r="AT192" s="236">
        <f t="shared" si="5034"/>
        <v>1039.02388455797</v>
      </c>
      <c r="AU192" s="225">
        <f>+AU195/AU187*1000000</f>
        <v>1027.6175763817371</v>
      </c>
      <c r="AV192" s="225">
        <f t="shared" ref="AV192:AY192" si="5035">+AV195/AV187*1000000</f>
        <v>1019.7169619222152</v>
      </c>
      <c r="AW192" s="225">
        <f t="shared" si="5035"/>
        <v>1049.879667478069</v>
      </c>
      <c r="AX192" s="225">
        <f t="shared" si="5035"/>
        <v>983.13545009288964</v>
      </c>
      <c r="AY192" s="236">
        <f t="shared" si="5035"/>
        <v>1018.8501919374173</v>
      </c>
      <c r="AZ192" s="225">
        <f>+AZ195/AZ187*1000000</f>
        <v>1014.1206735266603</v>
      </c>
      <c r="BA192" s="225">
        <f t="shared" ref="BA192:BB192" si="5036">+BA195/BA187*1000000</f>
        <v>1039.4385978487967</v>
      </c>
      <c r="BB192" s="225">
        <f t="shared" si="5036"/>
        <v>1063.9146195685123</v>
      </c>
      <c r="BC192" s="225">
        <f>+BC195/BC187*1000000</f>
        <v>1050.0342655539273</v>
      </c>
      <c r="BD192" s="236">
        <f t="shared" ref="BD192" si="5037">+BD195/BD187*1000000</f>
        <v>1044.8323976623522</v>
      </c>
      <c r="BE192" s="225">
        <f>+BE195/BE187*1000000</f>
        <v>1028.0040906838981</v>
      </c>
      <c r="BF192" s="225">
        <f t="shared" ref="BF192:BI192" si="5038">+BF195/BF187*1000000</f>
        <v>1046.6817466864277</v>
      </c>
      <c r="BG192" s="225">
        <f t="shared" si="5038"/>
        <v>1062.4185535852475</v>
      </c>
      <c r="BH192" s="225">
        <f t="shared" si="5038"/>
        <v>1071.1440314805818</v>
      </c>
      <c r="BI192" s="236">
        <f t="shared" si="5038"/>
        <v>1054.5093265472976</v>
      </c>
      <c r="BJ192" s="225">
        <f>+BJ195/BJ187*1000000</f>
        <v>978.29822526933822</v>
      </c>
      <c r="BK192" s="225">
        <f t="shared" ref="BK192:BN192" si="5039">+BK195/BK187*1000000</f>
        <v>991.23236591367311</v>
      </c>
      <c r="BL192" s="225">
        <f t="shared" si="5039"/>
        <v>1001.8355083913074</v>
      </c>
      <c r="BM192" s="225">
        <f t="shared" si="5039"/>
        <v>1006.9172734835071</v>
      </c>
      <c r="BN192" s="236">
        <f t="shared" si="5039"/>
        <v>996.12454159959236</v>
      </c>
      <c r="BO192" s="225">
        <f>+BO195/BO187*1000000</f>
        <v>995.85811750780738</v>
      </c>
      <c r="BP192" s="225">
        <f t="shared" ref="BP192:BS192" si="5040">+BP195/BP187*1000000</f>
        <v>1002.1988378527368</v>
      </c>
      <c r="BQ192" s="225">
        <f t="shared" si="5040"/>
        <v>1010.8186759058764</v>
      </c>
      <c r="BR192" s="225">
        <f t="shared" si="5040"/>
        <v>1013.4941053898815</v>
      </c>
      <c r="BS192" s="236">
        <f t="shared" si="5040"/>
        <v>1006.4780634560927</v>
      </c>
      <c r="BT192" s="225">
        <f>+BT195/BT187*1000000</f>
        <v>1018.9151304673411</v>
      </c>
      <c r="BU192" s="225">
        <f t="shared" ref="BU192:BX192" si="5041">+BU195/BU187*1000000</f>
        <v>1020.5577547279421</v>
      </c>
      <c r="BV192" s="225">
        <f t="shared" si="5041"/>
        <v>1027.5880287930343</v>
      </c>
      <c r="BW192" s="225">
        <f t="shared" si="5041"/>
        <v>1028.4161431194946</v>
      </c>
      <c r="BX192" s="236">
        <f t="shared" si="5041"/>
        <v>1024.3230538931343</v>
      </c>
      <c r="BY192" s="225">
        <f>+BY195/BY187*1000000</f>
        <v>1038.0088901064821</v>
      </c>
      <c r="BZ192" s="225">
        <f t="shared" ref="BZ192:CC192" si="5042">+BZ195/BZ187*1000000</f>
        <v>1036.2705734832796</v>
      </c>
      <c r="CA192" s="225">
        <f t="shared" si="5042"/>
        <v>1042.0575542917395</v>
      </c>
      <c r="CB192" s="225">
        <f t="shared" si="5042"/>
        <v>1041.4777399328368</v>
      </c>
      <c r="CC192" s="236">
        <f t="shared" si="5042"/>
        <v>1039.6218898267905</v>
      </c>
      <c r="CD192" s="225">
        <f>+CD195/CD187*1000000</f>
        <v>1054.1157847579045</v>
      </c>
      <c r="CE192" s="225">
        <f t="shared" ref="CE192:CH192" si="5043">+CE195/CE187*1000000</f>
        <v>1049.9047832755857</v>
      </c>
      <c r="CF192" s="225">
        <f t="shared" si="5043"/>
        <v>1054.7023401542167</v>
      </c>
      <c r="CG192" s="225">
        <f t="shared" si="5043"/>
        <v>1053.0378807988293</v>
      </c>
      <c r="CH192" s="236">
        <f t="shared" si="5043"/>
        <v>1052.9163845828036</v>
      </c>
      <c r="CI192" s="225">
        <f>+CI195/CI187*1000000</f>
        <v>1067.9201309300665</v>
      </c>
      <c r="CJ192" s="225">
        <f t="shared" ref="CJ192:CM192" si="5044">+CJ195/CJ187*1000000</f>
        <v>1061.8803928686859</v>
      </c>
      <c r="CK192" s="225">
        <f t="shared" si="5044"/>
        <v>1065.8788292008976</v>
      </c>
      <c r="CL192" s="225">
        <f t="shared" si="5044"/>
        <v>1063.3723887979193</v>
      </c>
      <c r="CM192" s="236">
        <f t="shared" si="5044"/>
        <v>1064.6086997340999</v>
      </c>
      <c r="CN192" s="225">
        <f>+CN195/CN187*1000000</f>
        <v>1079.9160456727329</v>
      </c>
      <c r="CO192" s="225">
        <f t="shared" ref="CO192:CR192" si="5045">+CO195/CO187*1000000</f>
        <v>1072.5151450395263</v>
      </c>
      <c r="CP192" s="225">
        <f t="shared" si="5045"/>
        <v>1075.859895296418</v>
      </c>
      <c r="CQ192" s="225">
        <f t="shared" si="5045"/>
        <v>1072.6968873916899</v>
      </c>
      <c r="CR192" s="236">
        <f t="shared" si="5045"/>
        <v>1075.0038392034589</v>
      </c>
      <c r="CS192" s="225">
        <f>+CS195/CS187*1000000</f>
        <v>1090.4694708640191</v>
      </c>
      <c r="CT192" s="225">
        <f t="shared" ref="CT192:CW192" si="5046">+CT195/CT187*1000000</f>
        <v>1082.0540658709901</v>
      </c>
      <c r="CU192" s="225">
        <f t="shared" si="5046"/>
        <v>1084.8581777683717</v>
      </c>
      <c r="CV192" s="225">
        <f t="shared" si="5046"/>
        <v>1081.1825590268509</v>
      </c>
      <c r="CW192" s="236">
        <f t="shared" si="5046"/>
        <v>1084.3375249791306</v>
      </c>
      <c r="CX192" s="225">
        <f>+CX195/CX187*1000000</f>
        <v>1099.8574212110589</v>
      </c>
      <c r="CY192" s="225">
        <f t="shared" ref="CY192:DB192" si="5047">+CY195/CY187*1000000</f>
        <v>1090.68933516894</v>
      </c>
      <c r="CZ192" s="225">
        <f t="shared" si="5047"/>
        <v>1093.0420174281251</v>
      </c>
      <c r="DA192" s="225">
        <f t="shared" si="5047"/>
        <v>1088.9672055366659</v>
      </c>
      <c r="DB192" s="236">
        <f t="shared" si="5047"/>
        <v>1092.7950032805934</v>
      </c>
    </row>
    <row r="193" spans="1:106">
      <c r="A193" s="117" t="s">
        <v>281</v>
      </c>
      <c r="F193" s="217"/>
      <c r="K193" s="217"/>
      <c r="P193" s="217"/>
      <c r="U193" s="217"/>
      <c r="Z193" s="217"/>
      <c r="AE193" s="217"/>
      <c r="AF193" s="119" t="s">
        <v>290</v>
      </c>
      <c r="AG193" s="119" t="s">
        <v>290</v>
      </c>
      <c r="AH193" s="119" t="s">
        <v>290</v>
      </c>
      <c r="AI193" s="119" t="s">
        <v>290</v>
      </c>
      <c r="AJ193" s="235" t="s">
        <v>290</v>
      </c>
      <c r="AK193" s="13">
        <f>+AK192/AF192-1</f>
        <v>-0.26069261325789272</v>
      </c>
      <c r="AL193" s="13">
        <f t="shared" ref="AL193" si="5048">+AL192/AG192-1</f>
        <v>-6.1556177146650959E-2</v>
      </c>
      <c r="AM193" s="13">
        <f t="shared" ref="AM193" si="5049">+AM192/AH192-1</f>
        <v>-9.8753686297414101E-2</v>
      </c>
      <c r="AN193" s="13">
        <f t="shared" ref="AN193" si="5050">+AN192/AI192-1</f>
        <v>-8.6760554927157729E-2</v>
      </c>
      <c r="AO193" s="239">
        <f t="shared" ref="AO193" si="5051">+AO192/AJ192-1</f>
        <v>-0.10731919266249224</v>
      </c>
      <c r="AP193" s="13">
        <f>+AP192/AK192-1</f>
        <v>4.9435543915867797E-2</v>
      </c>
      <c r="AQ193" s="13">
        <f t="shared" ref="AQ193" si="5052">+AQ192/AL192-1</f>
        <v>-6.0810557763550599E-2</v>
      </c>
      <c r="AR193" s="13">
        <f t="shared" ref="AR193" si="5053">+AR192/AM192-1</f>
        <v>-6.1534275267071448E-2</v>
      </c>
      <c r="AS193" s="13">
        <f t="shared" ref="AS193" si="5054">+AS192/AN192-1</f>
        <v>-5.3743048580151775E-2</v>
      </c>
      <c r="AT193" s="239">
        <f t="shared" ref="AT193" si="5055">+AT192/AO192-1</f>
        <v>-3.5404507843114663E-2</v>
      </c>
      <c r="AU193" s="13">
        <f>+AU192/AP192-1</f>
        <v>-8.6900157731850225E-2</v>
      </c>
      <c r="AV193" s="13">
        <f t="shared" ref="AV193" si="5056">+AV192/AQ192-1</f>
        <v>-1.1204892209404016E-2</v>
      </c>
      <c r="AW193" s="13">
        <f t="shared" ref="AW193" si="5057">+AW192/AR192-1</f>
        <v>3.343486818576813E-2</v>
      </c>
      <c r="AX193" s="13">
        <f t="shared" ref="AX193" si="5058">+AX192/AS192-1</f>
        <v>-2.0382526934401568E-2</v>
      </c>
      <c r="AY193" s="239">
        <f t="shared" ref="AY193" si="5059">+AY192/AT192-1</f>
        <v>-1.9416004694767008E-2</v>
      </c>
      <c r="AZ193" s="13">
        <f>+AZ192/AU192-1</f>
        <v>-1.3134168941134394E-2</v>
      </c>
      <c r="BA193" s="13">
        <f t="shared" ref="BA193" si="5060">+BA192/AV192-1</f>
        <v>1.9340303891194788E-2</v>
      </c>
      <c r="BB193" s="13">
        <f t="shared" ref="BB193" si="5061">+BB192/AW192-1</f>
        <v>1.3368153060966392E-2</v>
      </c>
      <c r="BC193" s="13">
        <f t="shared" ref="BC193" si="5062">+BC192/AX192-1</f>
        <v>6.804638715318112E-2</v>
      </c>
      <c r="BD193" s="239">
        <f t="shared" ref="BD193" si="5063">+BD192/AY192-1</f>
        <v>2.5501497600474377E-2</v>
      </c>
      <c r="BE193" s="13">
        <f>+BE192/AZ192-1</f>
        <v>1.3690103672729048E-2</v>
      </c>
      <c r="BF193" s="13">
        <f t="shared" ref="BF193" si="5064">+BF192/BA192-1</f>
        <v>6.9683277613716843E-3</v>
      </c>
      <c r="BG193" s="13">
        <f t="shared" ref="BG193" si="5065">+BG192/BB192-1</f>
        <v>-1.4061898913200199E-3</v>
      </c>
      <c r="BH193" s="13">
        <f t="shared" ref="BH193" si="5066">+BH192/BC192-1</f>
        <v>2.0103882910448068E-2</v>
      </c>
      <c r="BI193" s="239">
        <f t="shared" ref="BI193" si="5067">+BI192/BD192-1</f>
        <v>9.2617044672389515E-3</v>
      </c>
      <c r="BJ193" s="13">
        <f>+BJ192/BE192-1</f>
        <v>-4.8351816753464671E-2</v>
      </c>
      <c r="BK193" s="13">
        <f t="shared" ref="BK193" si="5068">+BK192/BF192-1</f>
        <v>-5.2976352122596548E-2</v>
      </c>
      <c r="BL193" s="13">
        <f t="shared" ref="BL193" si="5069">+BL192/BG192-1</f>
        <v>-5.7023707831057813E-2</v>
      </c>
      <c r="BM193" s="13">
        <f t="shared" ref="BM193" si="5070">+BM192/BH192-1</f>
        <v>-5.9960897983343808E-2</v>
      </c>
      <c r="BN193" s="239">
        <f t="shared" ref="BN193" si="5071">+BN192/BI192-1</f>
        <v>-5.5366779105567754E-2</v>
      </c>
      <c r="BO193" s="13">
        <f>+BO192/BJ192-1</f>
        <v>1.7949426652220213E-2</v>
      </c>
      <c r="BP193" s="13">
        <f t="shared" ref="BP193" si="5072">+BP192/BK192-1</f>
        <v>1.1063472416939613E-2</v>
      </c>
      <c r="BQ193" s="13">
        <f t="shared" ref="BQ193" si="5073">+BQ192/BL192-1</f>
        <v>8.9667090448746212E-3</v>
      </c>
      <c r="BR193" s="13">
        <f t="shared" ref="BR193" si="5074">+BR192/BM192-1</f>
        <v>6.5316506922374895E-3</v>
      </c>
      <c r="BS193" s="239">
        <f t="shared" ref="BS193" si="5075">+BS192/BN192-1</f>
        <v>1.0393802606122549E-2</v>
      </c>
      <c r="BT193" s="13">
        <f>+BT192/BO192-1</f>
        <v>2.3152909590409498E-2</v>
      </c>
      <c r="BU193" s="13">
        <f t="shared" ref="BU193" si="5076">+BU192/BP192-1</f>
        <v>1.8318637162402007E-2</v>
      </c>
      <c r="BV193" s="13">
        <f t="shared" ref="BV193" si="5077">+BV192/BQ192-1</f>
        <v>1.6589872433974806E-2</v>
      </c>
      <c r="BW193" s="13">
        <f t="shared" ref="BW193" si="5078">+BW192/BR192-1</f>
        <v>1.4723359169289685E-2</v>
      </c>
      <c r="BX193" s="239">
        <f t="shared" ref="BX193" si="5079">+BX192/BS192-1</f>
        <v>1.7730133507097623E-2</v>
      </c>
      <c r="BY193" s="13">
        <f>+BY192/BT192-1</f>
        <v>1.8739303272867547E-2</v>
      </c>
      <c r="BZ193" s="13">
        <f t="shared" ref="BZ193" si="5080">+BZ192/BU192-1</f>
        <v>1.5396305287520118E-2</v>
      </c>
      <c r="CA193" s="13">
        <f t="shared" ref="CA193" si="5081">+CA192/BV192-1</f>
        <v>1.4081056895632216E-2</v>
      </c>
      <c r="CB193" s="13">
        <f t="shared" ref="CB193" si="5082">+CB192/BW192-1</f>
        <v>1.27006921281132E-2</v>
      </c>
      <c r="CC193" s="239">
        <f t="shared" ref="CC193" si="5083">+CC192/BX192-1</f>
        <v>1.4935557562147928E-2</v>
      </c>
      <c r="CD193" s="13">
        <f>+CD192/BY192-1</f>
        <v>1.5517106649992396E-2</v>
      </c>
      <c r="CE193" s="13">
        <f t="shared" ref="CE193" si="5084">+CE192/BZ192-1</f>
        <v>1.3156997931994319E-2</v>
      </c>
      <c r="CF193" s="13">
        <f t="shared" ref="CF193" si="5085">+CF192/CA192-1</f>
        <v>1.213444095328442E-2</v>
      </c>
      <c r="CG193" s="13">
        <f t="shared" ref="CG193" si="5086">+CG192/CB192-1</f>
        <v>1.1099748388993858E-2</v>
      </c>
      <c r="CH193" s="239">
        <f t="shared" ref="CH193" si="5087">+CH192/CC192-1</f>
        <v>1.2787817269053647E-2</v>
      </c>
      <c r="CI193" s="13">
        <f>+CI192/CD192-1</f>
        <v>1.3095664035931653E-2</v>
      </c>
      <c r="CJ193" s="13">
        <f t="shared" ref="CJ193" si="5088">+CJ192/CE192-1</f>
        <v>1.1406376829466103E-2</v>
      </c>
      <c r="CK193" s="13">
        <f t="shared" ref="CK193" si="5089">+CK192/CF192-1</f>
        <v>1.0596818288131082E-2</v>
      </c>
      <c r="CL193" s="13">
        <f t="shared" ref="CL193" si="5090">+CL192/CG192-1</f>
        <v>9.8139945271962237E-3</v>
      </c>
      <c r="CM193" s="239">
        <f t="shared" ref="CM193" si="5091">+CM192/CH192-1</f>
        <v>1.1104694848042662E-2</v>
      </c>
      <c r="CN193" s="13">
        <f>+CN192/CI192-1</f>
        <v>1.12329699527427E-2</v>
      </c>
      <c r="CO193" s="13">
        <f t="shared" ref="CO193" si="5092">+CO192/CJ192-1</f>
        <v>1.0015018868660297E-2</v>
      </c>
      <c r="CP193" s="13">
        <f t="shared" ref="CP193" si="5093">+CP192/CK192-1</f>
        <v>9.3641658151737417E-3</v>
      </c>
      <c r="CQ193" s="13">
        <f t="shared" ref="CQ193" si="5094">+CQ192/CL192-1</f>
        <v>8.7687988629376878E-3</v>
      </c>
      <c r="CR193" s="239">
        <f t="shared" ref="CR193" si="5095">+CR192/CM192-1</f>
        <v>9.764281911236905E-3</v>
      </c>
      <c r="CS193" s="13">
        <f>+CS192/CN192-1</f>
        <v>9.7724496580768871E-3</v>
      </c>
      <c r="CT193" s="13">
        <f t="shared" ref="CT193" si="5096">+CT192/CO192-1</f>
        <v>8.893973083347273E-3</v>
      </c>
      <c r="CU193" s="13">
        <f t="shared" ref="CU193" si="5097">+CU192/CP192-1</f>
        <v>8.3638050932965946E-3</v>
      </c>
      <c r="CV193" s="13">
        <f t="shared" ref="CV193" si="5098">+CV192/CQ192-1</f>
        <v>7.9105959333902742E-3</v>
      </c>
      <c r="CW193" s="239">
        <f t="shared" ref="CW193" si="5099">+CW192/CR192-1</f>
        <v>8.682467387825854E-3</v>
      </c>
      <c r="CX193" s="13">
        <f>+CX192/CS192-1</f>
        <v>8.6090904861384487E-3</v>
      </c>
      <c r="CY193" s="13">
        <f t="shared" ref="CY193" si="5100">+CY192/CT192-1</f>
        <v>7.9804416159177105E-3</v>
      </c>
      <c r="CZ193" s="13">
        <f t="shared" ref="CZ193" si="5101">+CZ192/CU192-1</f>
        <v>7.5436954133378809E-3</v>
      </c>
      <c r="DA193" s="13">
        <f t="shared" ref="DA193" si="5102">+DA192/CV192-1</f>
        <v>7.2001221669926174E-3</v>
      </c>
      <c r="DB193" s="239">
        <f t="shared" ref="DB193" si="5103">+DB192/CW192-1</f>
        <v>7.7996731706075906E-3</v>
      </c>
    </row>
    <row r="194" spans="1:106">
      <c r="F194" s="217"/>
      <c r="K194" s="217"/>
      <c r="P194" s="217"/>
      <c r="U194" s="217"/>
      <c r="Z194" s="217"/>
      <c r="AE194" s="217"/>
      <c r="AJ194" s="217"/>
      <c r="AO194" s="217"/>
      <c r="AT194" s="217"/>
      <c r="AY194" s="217"/>
      <c r="BD194" s="217"/>
      <c r="BI194" s="217"/>
      <c r="BN194" s="217"/>
      <c r="BS194" s="217"/>
      <c r="BX194" s="217"/>
      <c r="CC194" s="217"/>
      <c r="CH194" s="217"/>
      <c r="CM194" s="217"/>
      <c r="CR194" s="217"/>
      <c r="CW194" s="217"/>
      <c r="DB194" s="217"/>
    </row>
    <row r="195" spans="1:106" s="51" customFormat="1">
      <c r="A195" s="51" t="s">
        <v>13</v>
      </c>
      <c r="F195" s="233"/>
      <c r="K195" s="233"/>
      <c r="P195" s="233"/>
      <c r="U195" s="233"/>
      <c r="Z195" s="233"/>
      <c r="AE195" s="233"/>
      <c r="AF195" s="135">
        <f>+AF208+AF298</f>
        <v>1.904571</v>
      </c>
      <c r="AG195" s="135">
        <f t="shared" ref="AG195:AI195" si="5104">+AG208+AG298</f>
        <v>2.67361</v>
      </c>
      <c r="AH195" s="135">
        <f t="shared" si="5104"/>
        <v>4.495876</v>
      </c>
      <c r="AI195" s="135">
        <f t="shared" si="5104"/>
        <v>5.5361549999999999</v>
      </c>
      <c r="AJ195" s="216">
        <f>+AF195+AG195+AH195+AI195</f>
        <v>14.610212000000001</v>
      </c>
      <c r="AK195" s="135">
        <f>+AK208+AK298</f>
        <v>8.7969109999999997</v>
      </c>
      <c r="AL195" s="135">
        <f t="shared" ref="AL195:AN195" si="5105">+AL208+AL298</f>
        <v>11.5701</v>
      </c>
      <c r="AM195" s="135">
        <f t="shared" si="5105"/>
        <v>13.746987000000001</v>
      </c>
      <c r="AN195" s="135">
        <f t="shared" si="5105"/>
        <v>15.9481</v>
      </c>
      <c r="AO195" s="216">
        <f>+AK195+AL195+AM195+AN195</f>
        <v>50.062097999999992</v>
      </c>
      <c r="AP195" s="135">
        <f>+AP208+AP298</f>
        <v>16.755199999999999</v>
      </c>
      <c r="AQ195" s="135">
        <f t="shared" ref="AQ195:AS195" si="5106">+AQ208+AQ298</f>
        <v>19.113600000000002</v>
      </c>
      <c r="AR195" s="135">
        <f t="shared" si="5106"/>
        <v>19.5167</v>
      </c>
      <c r="AS195" s="135">
        <f t="shared" si="5106"/>
        <v>19.785800000000002</v>
      </c>
      <c r="AT195" s="216">
        <f>+AP195+AQ195+AR195+AS195</f>
        <v>75.171300000000002</v>
      </c>
      <c r="AU195" s="135">
        <f>+AU208+AU298</f>
        <v>17.960699999999999</v>
      </c>
      <c r="AV195" s="135">
        <f t="shared" ref="AV195:AX195" si="5107">+AV208+AV298</f>
        <v>20.031319999999997</v>
      </c>
      <c r="AW195" s="135">
        <f t="shared" si="5107"/>
        <v>22.859029999999997</v>
      </c>
      <c r="AX195" s="135">
        <f t="shared" si="5107"/>
        <v>23.284579999999998</v>
      </c>
      <c r="AY195" s="216">
        <f>+AU195+AV195+AW195+AX195</f>
        <v>84.135629999999992</v>
      </c>
      <c r="AZ195" s="135">
        <f>+AZ208+AZ298</f>
        <v>21.465080999999998</v>
      </c>
      <c r="BA195" s="135">
        <f>+BA208+BA298</f>
        <v>29.551863000000001</v>
      </c>
      <c r="BB195" s="135">
        <f>+BB208+BB298</f>
        <v>34.221292500000004</v>
      </c>
      <c r="BC195" s="135">
        <f>+BC208+BC298</f>
        <v>38.274378999999996</v>
      </c>
      <c r="BD195" s="216">
        <f>+AZ195+BA195+BB195+BC195</f>
        <v>123.5126155</v>
      </c>
      <c r="BE195" s="135">
        <f>+BE208+BE298</f>
        <v>30.608810462089469</v>
      </c>
      <c r="BF195" s="135">
        <f t="shared" ref="BF195:BH195" si="5108">+BF208+BF298</f>
        <v>39.97046166208947</v>
      </c>
      <c r="BG195" s="135">
        <f t="shared" si="5108"/>
        <v>43.295945406943659</v>
      </c>
      <c r="BH195" s="135">
        <f t="shared" si="5108"/>
        <v>49.310993949805201</v>
      </c>
      <c r="BI195" s="216">
        <f>+BE195+BF195+BG195+BH195</f>
        <v>163.1862114809278</v>
      </c>
      <c r="BJ195" s="135">
        <f>+BJ208+BJ298</f>
        <v>34.188329173880959</v>
      </c>
      <c r="BK195" s="135">
        <f t="shared" ref="BK195:BM195" si="5109">+BK208+BK298</f>
        <v>43.928559893880951</v>
      </c>
      <c r="BL195" s="135">
        <f t="shared" si="5109"/>
        <v>47.13295728638095</v>
      </c>
      <c r="BM195" s="135">
        <f t="shared" si="5109"/>
        <v>53.280997953104738</v>
      </c>
      <c r="BN195" s="216">
        <f>+BJ195+BK195+BL195+BM195</f>
        <v>178.53084430724761</v>
      </c>
      <c r="BO195" s="135">
        <f>+BO208+BO298</f>
        <v>41.558267001104056</v>
      </c>
      <c r="BP195" s="135">
        <f t="shared" ref="BP195:BR195" si="5110">+BP208+BP298</f>
        <v>51.90392955470405</v>
      </c>
      <c r="BQ195" s="135">
        <f t="shared" si="5110"/>
        <v>55.243586798729041</v>
      </c>
      <c r="BR195" s="135">
        <f t="shared" si="5110"/>
        <v>61.765412271704548</v>
      </c>
      <c r="BS195" s="216">
        <f>+BO195+BP195+BQ195+BR195</f>
        <v>210.47119562624169</v>
      </c>
      <c r="BT195" s="135">
        <f>+BT208+BT298</f>
        <v>48.648055356344031</v>
      </c>
      <c r="BU195" s="135">
        <f t="shared" ref="BU195:BW195" si="5111">+BU208+BU298</f>
        <v>59.479506469992025</v>
      </c>
      <c r="BV195" s="135">
        <f t="shared" si="5111"/>
        <v>62.941266662564033</v>
      </c>
      <c r="BW195" s="135">
        <f t="shared" si="5111"/>
        <v>69.764787004922539</v>
      </c>
      <c r="BX195" s="216">
        <f>+BT195+BU195+BV195+BW195</f>
        <v>240.83361549382263</v>
      </c>
      <c r="BY195" s="135">
        <f>+BY208+BY298</f>
        <v>56.176226122199822</v>
      </c>
      <c r="BZ195" s="135">
        <f t="shared" ref="BZ195:CB195" si="5112">+BZ208+BZ298</f>
        <v>67.524029202473258</v>
      </c>
      <c r="CA195" s="135">
        <f t="shared" si="5112"/>
        <v>71.113552865145422</v>
      </c>
      <c r="CB195" s="135">
        <f t="shared" si="5112"/>
        <v>78.25748468213969</v>
      </c>
      <c r="CC195" s="216">
        <f>+BY195+BZ195+CA195+CB195</f>
        <v>273.07129287195818</v>
      </c>
      <c r="CD195" s="135">
        <f>+CD208+CD298</f>
        <v>64.167080262653059</v>
      </c>
      <c r="CE195" s="135">
        <f t="shared" ref="CE195:CG195" si="5113">+CE208+CE298</f>
        <v>76.064127350698755</v>
      </c>
      <c r="CF195" s="135">
        <f t="shared" si="5113"/>
        <v>79.787421173709689</v>
      </c>
      <c r="CG195" s="135">
        <f t="shared" si="5113"/>
        <v>87.271895957034019</v>
      </c>
      <c r="CH195" s="216">
        <f>+CD195+CE195+CF195+CG195</f>
        <v>307.29052474409553</v>
      </c>
      <c r="CI195" s="135">
        <f>+CI208+CI298</f>
        <v>72.646355593467888</v>
      </c>
      <c r="CJ195" s="135">
        <f t="shared" ref="CJ195:CL195" si="5114">+CJ208+CJ298</f>
        <v>85.128059041552405</v>
      </c>
      <c r="CK195" s="135">
        <f t="shared" si="5114"/>
        <v>88.991501486281436</v>
      </c>
      <c r="CL195" s="135">
        <f t="shared" si="5114"/>
        <v>96.838181699012168</v>
      </c>
      <c r="CM195" s="216">
        <f>+CI195+CJ195+CK195+CL195</f>
        <v>343.60409782031388</v>
      </c>
      <c r="CN195" s="135">
        <f>+CN208+CN298</f>
        <v>81.641322492234892</v>
      </c>
      <c r="CO195" s="135">
        <f t="shared" ref="CO195:CQ195" si="5115">+CO208+CO298</f>
        <v>94.745822722223934</v>
      </c>
      <c r="CP195" s="135">
        <f t="shared" si="5115"/>
        <v>98.756191682343257</v>
      </c>
      <c r="CQ195" s="135">
        <f t="shared" si="5115"/>
        <v>106.98839657187051</v>
      </c>
      <c r="CR195" s="216">
        <f>+CN195+CO195+CP195+CQ195</f>
        <v>382.13173346867262</v>
      </c>
      <c r="CS195" s="135">
        <f>+CS208+CS298</f>
        <v>91.180886663294956</v>
      </c>
      <c r="CT195" s="135">
        <f t="shared" ref="CT195:CV195" si="5116">+CT208+CT298</f>
        <v>104.94927735404072</v>
      </c>
      <c r="CU195" s="135">
        <f t="shared" si="5116"/>
        <v>109.11378004512133</v>
      </c>
      <c r="CV195" s="135">
        <f t="shared" si="5116"/>
        <v>117.75662199851243</v>
      </c>
      <c r="CW195" s="216">
        <f>+CS195+CT195+CU195+CV195</f>
        <v>423.00056606096939</v>
      </c>
      <c r="CX195" s="135">
        <f>+CX208+CX298</f>
        <v>101.29569950905811</v>
      </c>
      <c r="CY195" s="135">
        <f t="shared" ref="CY195:DA195" si="5117">+CY208+CY298</f>
        <v>115.77227167164628</v>
      </c>
      <c r="CZ195" s="135">
        <f t="shared" si="5117"/>
        <v>120.09857693300614</v>
      </c>
      <c r="DA195" s="135">
        <f t="shared" si="5117"/>
        <v>129.17910925693377</v>
      </c>
      <c r="DB195" s="216">
        <f>+CX195+CY195+CZ195+DA195</f>
        <v>466.34565737064429</v>
      </c>
    </row>
    <row r="196" spans="1:106">
      <c r="A196" s="117" t="s">
        <v>281</v>
      </c>
      <c r="F196" s="217"/>
      <c r="K196" s="217"/>
      <c r="P196" s="217"/>
      <c r="U196" s="217"/>
      <c r="Z196" s="217"/>
      <c r="AE196" s="217"/>
      <c r="AF196" s="119" t="s">
        <v>290</v>
      </c>
      <c r="AG196" s="119" t="s">
        <v>290</v>
      </c>
      <c r="AH196" s="119" t="s">
        <v>290</v>
      </c>
      <c r="AI196" s="119" t="s">
        <v>290</v>
      </c>
      <c r="AJ196" s="235" t="s">
        <v>290</v>
      </c>
      <c r="AK196" s="13">
        <f>+AK195/AF195-1</f>
        <v>3.6188411983591058</v>
      </c>
      <c r="AL196" s="13">
        <f t="shared" ref="AL196" si="5118">+AL195/AG195-1</f>
        <v>3.3275197205276763</v>
      </c>
      <c r="AM196" s="13">
        <f t="shared" ref="AM196" si="5119">+AM195/AH195-1</f>
        <v>2.0576882013649844</v>
      </c>
      <c r="AN196" s="13">
        <f t="shared" ref="AN196" si="5120">+AN195/AI195-1</f>
        <v>1.8807177544703859</v>
      </c>
      <c r="AO196" s="239">
        <f t="shared" ref="AO196" si="5121">+AO195/AJ195-1</f>
        <v>2.4265141395621082</v>
      </c>
      <c r="AP196" s="13">
        <f>+AP195/AK195-1</f>
        <v>0.90466858196019029</v>
      </c>
      <c r="AQ196" s="13">
        <f t="shared" ref="AQ196" si="5122">+AQ195/AL195-1</f>
        <v>0.65198226463038367</v>
      </c>
      <c r="AR196" s="13">
        <f t="shared" ref="AR196" si="5123">+AR195/AM195-1</f>
        <v>0.41970746026020089</v>
      </c>
      <c r="AS196" s="13">
        <f t="shared" ref="AS196" si="5124">+AS195/AN195-1</f>
        <v>0.24063681567083228</v>
      </c>
      <c r="AT196" s="239">
        <f t="shared" ref="AT196" si="5125">+AT195/AO195-1</f>
        <v>0.50156112114997686</v>
      </c>
      <c r="AU196" s="13">
        <f>+AU195/AP195-1</f>
        <v>7.19478132161957E-2</v>
      </c>
      <c r="AV196" s="13">
        <f t="shared" ref="AV196" si="5126">+AV195/AQ195-1</f>
        <v>4.801397957475273E-2</v>
      </c>
      <c r="AW196" s="13">
        <f t="shared" ref="AW196" si="5127">+AW195/AR195-1</f>
        <v>0.17125487403095785</v>
      </c>
      <c r="AX196" s="13">
        <f t="shared" ref="AX196" si="5128">+AX195/AS195-1</f>
        <v>0.17683288014636744</v>
      </c>
      <c r="AY196" s="239">
        <f t="shared" ref="AY196" si="5129">+AY195/AT195-1</f>
        <v>0.11925202836720916</v>
      </c>
      <c r="AZ196" s="13">
        <f>+AZ195/AU195-1</f>
        <v>0.19511383186624132</v>
      </c>
      <c r="BA196" s="13">
        <f t="shared" ref="BA196" si="5130">+BA195/AV195-1</f>
        <v>0.47528285704586648</v>
      </c>
      <c r="BB196" s="13">
        <f t="shared" ref="BB196" si="5131">+BB195/AW195-1</f>
        <v>0.49705794602833131</v>
      </c>
      <c r="BC196" s="13">
        <f t="shared" ref="BC196" si="5132">+BC195/AX195-1</f>
        <v>0.64376505824884966</v>
      </c>
      <c r="BD196" s="239">
        <f t="shared" ref="BD196" si="5133">+BD195/AY195-1</f>
        <v>0.46801795505661525</v>
      </c>
      <c r="BE196" s="13">
        <f>+BE195/AZ195-1</f>
        <v>0.42598159597392016</v>
      </c>
      <c r="BF196" s="13">
        <f t="shared" ref="BF196" si="5134">+BF195/BA195-1</f>
        <v>0.35255302388514287</v>
      </c>
      <c r="BG196" s="13">
        <f t="shared" ref="BG196" si="5135">+BG195/BB195-1</f>
        <v>0.26517563318053083</v>
      </c>
      <c r="BH196" s="13">
        <f t="shared" ref="BH196" si="5136">+BH195/BC195-1</f>
        <v>0.28835516703759478</v>
      </c>
      <c r="BI196" s="239">
        <f t="shared" ref="BI196" si="5137">+BI195/BD195-1</f>
        <v>0.32121088052683811</v>
      </c>
      <c r="BJ196" s="13">
        <f>+BJ195/BE195-1</f>
        <v>0.11694406472361618</v>
      </c>
      <c r="BK196" s="13">
        <f t="shared" ref="BK196" si="5138">+BK195/BF195-1</f>
        <v>9.9025582072413076E-2</v>
      </c>
      <c r="BL196" s="13">
        <f t="shared" ref="BL196" si="5139">+BL195/BG195-1</f>
        <v>8.8622891667401449E-2</v>
      </c>
      <c r="BM196" s="13">
        <f t="shared" ref="BM196" si="5140">+BM195/BH195-1</f>
        <v>8.0509510867712297E-2</v>
      </c>
      <c r="BN196" s="239">
        <f>+BN195/BI195-1</f>
        <v>9.4031430027488483E-2</v>
      </c>
      <c r="BO196" s="13">
        <f>+BO195/BJ195-1</f>
        <v>0.21556882144604916</v>
      </c>
      <c r="BP196" s="13">
        <f t="shared" ref="BP196" si="5141">+BP195/BK195-1</f>
        <v>0.18155317816221039</v>
      </c>
      <c r="BQ196" s="13">
        <f t="shared" ref="BQ196" si="5142">+BQ195/BL195-1</f>
        <v>0.17207979255508454</v>
      </c>
      <c r="BR196" s="13">
        <f t="shared" ref="BR196" si="5143">+BR195/BM195-1</f>
        <v>0.15923902788133515</v>
      </c>
      <c r="BS196" s="239">
        <f t="shared" ref="BS196" si="5144">+BS195/BN195-1</f>
        <v>0.1789066278319138</v>
      </c>
      <c r="BT196" s="13">
        <f>+BT195/BO195-1</f>
        <v>0.17059874886148707</v>
      </c>
      <c r="BU196" s="13">
        <f t="shared" ref="BU196" si="5145">+BU195/BP195-1</f>
        <v>0.14595382238455978</v>
      </c>
      <c r="BV196" s="13">
        <f t="shared" ref="BV196" si="5146">+BV195/BQ195-1</f>
        <v>0.13934069653877157</v>
      </c>
      <c r="BW196" s="13">
        <f t="shared" ref="BW196" si="5147">+BW195/BR195-1</f>
        <v>0.12951220495427007</v>
      </c>
      <c r="BX196" s="239">
        <f t="shared" ref="BX196" si="5148">+BX195/BS195-1</f>
        <v>0.1442592644434777</v>
      </c>
      <c r="BY196" s="13">
        <f>+BY195/BT195-1</f>
        <v>0.15474761962656891</v>
      </c>
      <c r="BZ196" s="13">
        <f t="shared" ref="BZ196" si="5149">+BZ195/BU195-1</f>
        <v>0.13524864629701949</v>
      </c>
      <c r="CA196" s="13">
        <f t="shared" ref="CA196" si="5150">+CA195/BV195-1</f>
        <v>0.12983987510759887</v>
      </c>
      <c r="CB196" s="13">
        <f t="shared" ref="CB196" si="5151">+CB195/BW195-1</f>
        <v>0.12173329901541763</v>
      </c>
      <c r="CC196" s="239">
        <f t="shared" ref="CC196" si="5152">+CC195/BX195-1</f>
        <v>0.13385871117714654</v>
      </c>
      <c r="CD196" s="13">
        <f>+CD195/BY195-1</f>
        <v>0.1422461901066614</v>
      </c>
      <c r="CE196" s="13">
        <f t="shared" ref="CE196" si="5153">+CE195/BZ195-1</f>
        <v>0.1264749489787953</v>
      </c>
      <c r="CF196" s="13">
        <f t="shared" ref="CF196" si="5154">+CF195/CA195-1</f>
        <v>0.12197208491344491</v>
      </c>
      <c r="CG196" s="13">
        <f t="shared" ref="CG196" si="5155">+CG195/CB195-1</f>
        <v>0.11518912614567633</v>
      </c>
      <c r="CH196" s="239">
        <f t="shared" ref="CH196" si="5156">+CH195/CC195-1</f>
        <v>0.1253124468421607</v>
      </c>
      <c r="CI196" s="13">
        <f>+CI195/CD195-1</f>
        <v>0.13214369885783928</v>
      </c>
      <c r="CJ196" s="13">
        <f t="shared" ref="CJ196" si="5157">+CJ195/CE195-1</f>
        <v>0.11916171270937981</v>
      </c>
      <c r="CK196" s="13">
        <f t="shared" ref="CK196" si="5158">+CK195/CF195-1</f>
        <v>0.11535753602730225</v>
      </c>
      <c r="CL196" s="13">
        <f t="shared" ref="CL196" si="5159">+CL195/CG195-1</f>
        <v>0.10961473492781515</v>
      </c>
      <c r="CM196" s="239">
        <f t="shared" ref="CM196" si="5160">+CM195/CH195-1</f>
        <v>0.11817342271278775</v>
      </c>
      <c r="CN196" s="13">
        <f>+CN195/CI195-1</f>
        <v>0.12381855669544151</v>
      </c>
      <c r="CO196" s="13">
        <f t="shared" ref="CO196" si="5161">+CO195/CJ195-1</f>
        <v>0.11297994796259769</v>
      </c>
      <c r="CP196" s="13">
        <f t="shared" ref="CP196" si="5162">+CP195/CK195-1</f>
        <v>0.10972609780684617</v>
      </c>
      <c r="CQ196" s="13">
        <f t="shared" ref="CQ196" si="5163">+CQ195/CL195-1</f>
        <v>0.10481624804157064</v>
      </c>
      <c r="CR196" s="239">
        <f t="shared" ref="CR196" si="5164">+CR195/CM195-1</f>
        <v>0.11212798651926037</v>
      </c>
      <c r="CS196" s="13">
        <f>+CS195/CN195-1</f>
        <v>0.11684725185542399</v>
      </c>
      <c r="CT196" s="13">
        <f t="shared" ref="CT196" si="5165">+CT195/CO195-1</f>
        <v>0.10769292343084391</v>
      </c>
      <c r="CU196" s="13">
        <f t="shared" ref="CU196" si="5166">+CU195/CP195-1</f>
        <v>0.10488039470065869</v>
      </c>
      <c r="CV196" s="13">
        <f t="shared" ref="CV196" si="5167">+CV195/CQ195-1</f>
        <v>0.10064853546438801</v>
      </c>
      <c r="CW196" s="239">
        <f t="shared" ref="CW196" si="5168">+CW195/CR195-1</f>
        <v>0.10694959097304912</v>
      </c>
      <c r="CX196" s="13">
        <f>+CX195/CS195-1</f>
        <v>0.11093128413100728</v>
      </c>
      <c r="CY196" s="13">
        <f t="shared" ref="CY196" si="5169">+CY195/CT195-1</f>
        <v>0.1031259537032807</v>
      </c>
      <c r="CZ196" s="13">
        <f t="shared" ref="CZ196" si="5170">+CZ195/CU195-1</f>
        <v>0.10067286536441422</v>
      </c>
      <c r="DA196" s="13">
        <f t="shared" ref="DA196" si="5171">+DA195/CV195-1</f>
        <v>9.7000806108090032E-2</v>
      </c>
      <c r="DB196" s="239">
        <f t="shared" ref="DB196" si="5172">+DB195/CW195-1</f>
        <v>0.102470527908058</v>
      </c>
    </row>
    <row r="197" spans="1:106">
      <c r="A197" s="117" t="s">
        <v>288</v>
      </c>
      <c r="F197" s="217"/>
      <c r="K197" s="217"/>
      <c r="P197" s="217"/>
      <c r="U197" s="217"/>
      <c r="Z197" s="217"/>
      <c r="AE197" s="217"/>
      <c r="AF197" s="119" t="s">
        <v>290</v>
      </c>
      <c r="AG197" s="13">
        <f>+AG195/AF195-1</f>
        <v>0.40378594444628213</v>
      </c>
      <c r="AH197" s="13">
        <f t="shared" ref="AH197:AI197" si="5173">+AH195/AG195-1</f>
        <v>0.68157509883640466</v>
      </c>
      <c r="AI197" s="13">
        <f t="shared" si="5173"/>
        <v>0.23138516275804766</v>
      </c>
      <c r="AJ197" s="235" t="s">
        <v>290</v>
      </c>
      <c r="AK197" s="13">
        <f>+AK195/AI195-1</f>
        <v>0.58899290211347033</v>
      </c>
      <c r="AL197" s="13">
        <f>+AL195/AK195-1</f>
        <v>0.31524577206703586</v>
      </c>
      <c r="AM197" s="13">
        <f t="shared" ref="AM197:AN197" si="5174">+AM195/AL195-1</f>
        <v>0.18814763917338673</v>
      </c>
      <c r="AN197" s="13">
        <f t="shared" si="5174"/>
        <v>0.1601160312437917</v>
      </c>
      <c r="AO197" s="235" t="s">
        <v>290</v>
      </c>
      <c r="AP197" s="13">
        <f>+AP195/AN195-1</f>
        <v>5.060790940613602E-2</v>
      </c>
      <c r="AQ197" s="13">
        <f>+AQ195/AP195-1</f>
        <v>0.14075630252100857</v>
      </c>
      <c r="AR197" s="13">
        <f t="shared" ref="AR197:AS197" si="5175">+AR195/AQ195-1</f>
        <v>2.1089695295496425E-2</v>
      </c>
      <c r="AS197" s="13">
        <f t="shared" si="5175"/>
        <v>1.3788191651252557E-2</v>
      </c>
      <c r="AT197" s="235" t="s">
        <v>290</v>
      </c>
      <c r="AU197" s="13">
        <f>+AU195/AS195-1</f>
        <v>-9.2242921691314095E-2</v>
      </c>
      <c r="AV197" s="13">
        <f>+AV195/AU195-1</f>
        <v>0.11528615254416574</v>
      </c>
      <c r="AW197" s="13">
        <f t="shared" ref="AW197:AX197" si="5176">+AW195/AV195-1</f>
        <v>0.14116443649245292</v>
      </c>
      <c r="AX197" s="13">
        <f t="shared" si="5176"/>
        <v>1.8616275493754664E-2</v>
      </c>
      <c r="AY197" s="235" t="s">
        <v>290</v>
      </c>
      <c r="AZ197" s="13">
        <f>+AZ195/AX195-1</f>
        <v>-7.8141800281559703E-2</v>
      </c>
      <c r="BA197" s="13">
        <f>+BA195/AZ195-1</f>
        <v>0.37674127574920413</v>
      </c>
      <c r="BB197" s="13">
        <f>+BB195/BA195-1</f>
        <v>0.15800795706179338</v>
      </c>
      <c r="BC197" s="13">
        <f>+BC195/BB195-1</f>
        <v>0.11843756339711575</v>
      </c>
      <c r="BD197" s="235" t="s">
        <v>290</v>
      </c>
      <c r="BE197" s="13">
        <f>+BE195/BC195-1</f>
        <v>-0.20027937064401558</v>
      </c>
      <c r="BF197" s="13">
        <f>+BF195/BE195-1</f>
        <v>0.30584825279619632</v>
      </c>
      <c r="BG197" s="13">
        <f t="shared" ref="BG197:BH197" si="5177">+BG195/BF195-1</f>
        <v>8.3198532280358561E-2</v>
      </c>
      <c r="BH197" s="13">
        <f t="shared" si="5177"/>
        <v>0.13892867995664249</v>
      </c>
      <c r="BI197" s="235" t="s">
        <v>290</v>
      </c>
      <c r="BJ197" s="13">
        <f>+BJ195/BH195-1</f>
        <v>-0.30667937440721538</v>
      </c>
      <c r="BK197" s="13">
        <f>+BK195/BJ195-1</f>
        <v>0.28489929035319128</v>
      </c>
      <c r="BL197" s="13">
        <f t="shared" ref="BL197:BM197" si="5178">+BL195/BK195-1</f>
        <v>7.2945650853133426E-2</v>
      </c>
      <c r="BM197" s="13">
        <f t="shared" si="5178"/>
        <v>0.13044037592142055</v>
      </c>
      <c r="BN197" s="235" t="s">
        <v>290</v>
      </c>
      <c r="BO197" s="13">
        <f>+BO195/BM195-1</f>
        <v>-0.22001710557896159</v>
      </c>
      <c r="BP197" s="13">
        <f>+BP195/BO195-1</f>
        <v>0.24894355083009456</v>
      </c>
      <c r="BQ197" s="13">
        <f t="shared" ref="BQ197:BR197" si="5179">+BQ195/BP195-1</f>
        <v>6.4343052109477883E-2</v>
      </c>
      <c r="BR197" s="13">
        <f t="shared" si="5179"/>
        <v>0.11805579345774042</v>
      </c>
      <c r="BS197" s="235" t="s">
        <v>290</v>
      </c>
      <c r="BT197" s="13">
        <f>+BT195/BR195-1</f>
        <v>-0.21237382594740217</v>
      </c>
      <c r="BU197" s="13">
        <f>+BU195/BT195-1</f>
        <v>0.22264921042184072</v>
      </c>
      <c r="BV197" s="13">
        <f t="shared" ref="BV197:BW197" si="5180">+BV195/BU195-1</f>
        <v>5.8200889651270016E-2</v>
      </c>
      <c r="BW197" s="13">
        <f t="shared" si="5180"/>
        <v>0.10841091551176185</v>
      </c>
      <c r="BX197" s="235" t="s">
        <v>290</v>
      </c>
      <c r="BY197" s="13">
        <f>+BY195/BW195-1</f>
        <v>-0.19477678447959601</v>
      </c>
      <c r="BZ197" s="13">
        <f>+BZ195/BY195-1</f>
        <v>0.2020036564148795</v>
      </c>
      <c r="CA197" s="13">
        <f t="shared" ref="CA197:CB197" si="5181">+CA195/BZ195-1</f>
        <v>5.3159204287244854E-2</v>
      </c>
      <c r="CB197" s="13">
        <f t="shared" si="5181"/>
        <v>0.10045809173029929</v>
      </c>
      <c r="CC197" s="235" t="s">
        <v>290</v>
      </c>
      <c r="CD197" s="13">
        <f>+CD195/CB195-1</f>
        <v>-0.18005184394461393</v>
      </c>
      <c r="CE197" s="13">
        <f>+CE195/CD195-1</f>
        <v>0.18540733097638062</v>
      </c>
      <c r="CF197" s="13">
        <f t="shared" ref="CF197:CG197" si="5182">+CF195/CE195-1</f>
        <v>4.8949405622501052E-2</v>
      </c>
      <c r="CG197" s="13">
        <f t="shared" si="5182"/>
        <v>9.3805197275764307E-2</v>
      </c>
      <c r="CH197" s="235" t="s">
        <v>290</v>
      </c>
      <c r="CI197" s="13">
        <f>+CI195/CG195-1</f>
        <v>-0.1675859130041889</v>
      </c>
      <c r="CJ197" s="13">
        <f>+CJ195/CI195-1</f>
        <v>0.17181458513807168</v>
      </c>
      <c r="CK197" s="13">
        <f t="shared" ref="CK197:CL197" si="5183">+CK195/CJ195-1</f>
        <v>4.5383889733034088E-2</v>
      </c>
      <c r="CL197" s="13">
        <f t="shared" si="5183"/>
        <v>8.8173365789769864E-2</v>
      </c>
      <c r="CM197" s="235" t="s">
        <v>290</v>
      </c>
      <c r="CN197" s="13">
        <f>+CN195/CL195-1</f>
        <v>-0.1569304476824176</v>
      </c>
      <c r="CO197" s="13">
        <f>+CO195/CN195-1</f>
        <v>0.1605130812430855</v>
      </c>
      <c r="CP197" s="13">
        <f t="shared" ref="CP197:CQ197" si="5184">+CP195/CO195-1</f>
        <v>4.2327659889311864E-2</v>
      </c>
      <c r="CQ197" s="13">
        <f t="shared" si="5184"/>
        <v>8.3358873497337393E-2</v>
      </c>
      <c r="CR197" s="235" t="s">
        <v>290</v>
      </c>
      <c r="CS197" s="13">
        <f>+CS195/CQ195-1</f>
        <v>-0.14774975992800021</v>
      </c>
      <c r="CT197" s="13">
        <f>+CT195/CS195-1</f>
        <v>0.1510008423321052</v>
      </c>
      <c r="CU197" s="13">
        <f t="shared" ref="CU197:CV197" si="5185">+CU195/CT195-1</f>
        <v>3.9681099251706931E-2</v>
      </c>
      <c r="CV197" s="13">
        <f t="shared" si="5185"/>
        <v>7.9209444946523266E-2</v>
      </c>
      <c r="CW197" s="235" t="s">
        <v>290</v>
      </c>
      <c r="CX197" s="13">
        <f>+CX195/CV195-1</f>
        <v>-0.13978765873279098</v>
      </c>
      <c r="CY197" s="13">
        <f>+CY195/CX195-1</f>
        <v>0.14291398581332304</v>
      </c>
      <c r="CZ197" s="13">
        <f t="shared" ref="CZ197:DA197" si="5186">+CZ195/CY195-1</f>
        <v>3.7369097098052473E-2</v>
      </c>
      <c r="DA197" s="13">
        <f t="shared" si="5186"/>
        <v>7.5608991845032225E-2</v>
      </c>
      <c r="DB197" s="235" t="s">
        <v>290</v>
      </c>
    </row>
    <row r="198" spans="1:106">
      <c r="A198" s="117" t="s">
        <v>401</v>
      </c>
      <c r="F198" s="217"/>
      <c r="K198" s="217"/>
      <c r="P198" s="217"/>
      <c r="U198" s="217"/>
      <c r="Z198" s="217"/>
      <c r="AE198" s="217"/>
      <c r="AF198" s="119"/>
      <c r="AG198" s="13"/>
      <c r="AH198" s="13"/>
      <c r="AI198" s="13"/>
      <c r="AJ198" s="235"/>
      <c r="AK198" s="13"/>
      <c r="AL198" s="13"/>
      <c r="AM198" s="13"/>
      <c r="AN198" s="13"/>
      <c r="AO198" s="235"/>
      <c r="AP198" s="13"/>
      <c r="AQ198" s="13"/>
      <c r="AR198" s="13"/>
      <c r="AS198" s="13"/>
      <c r="AT198" s="235"/>
      <c r="AU198" s="13"/>
      <c r="AV198" s="13"/>
      <c r="AW198" s="13"/>
      <c r="AX198" s="13">
        <f t="shared" ref="AX198:DA198" si="5187">AX195/AX$17</f>
        <v>7.4844763022130792E-2</v>
      </c>
      <c r="AY198" s="235"/>
      <c r="AZ198" s="13">
        <f t="shared" si="5187"/>
        <v>5.8370105590619475E-2</v>
      </c>
      <c r="BA198" s="13">
        <f t="shared" si="5187"/>
        <v>7.149338697620182E-2</v>
      </c>
      <c r="BB198" s="13">
        <f t="shared" si="5187"/>
        <v>7.7818464928437928E-2</v>
      </c>
      <c r="BC198" s="13">
        <f t="shared" si="5187"/>
        <v>8.0398056131462128E-2</v>
      </c>
      <c r="BD198" s="239">
        <f>BD195/BD$17</f>
        <v>7.2786737489473521E-2</v>
      </c>
      <c r="BE198" s="13">
        <f t="shared" si="5187"/>
        <v>6.0994381487933104E-2</v>
      </c>
      <c r="BF198" s="13">
        <f t="shared" si="5187"/>
        <v>7.312561592039786E-2</v>
      </c>
      <c r="BG198" s="13">
        <f t="shared" si="5187"/>
        <v>7.3112442280416121E-2</v>
      </c>
      <c r="BH198" s="13">
        <f t="shared" si="5187"/>
        <v>7.4096159203313597E-2</v>
      </c>
      <c r="BI198" s="239">
        <f>BI195/BI$17</f>
        <v>7.0762452438769399E-2</v>
      </c>
      <c r="BJ198" s="13">
        <f t="shared" si="5187"/>
        <v>5.545256525977868E-2</v>
      </c>
      <c r="BK198" s="13">
        <f t="shared" si="5187"/>
        <v>6.7529641209648966E-2</v>
      </c>
      <c r="BL198" s="13">
        <f t="shared" si="5187"/>
        <v>6.9663356669892207E-2</v>
      </c>
      <c r="BM198" s="13">
        <f t="shared" si="5187"/>
        <v>7.4486909482299149E-2</v>
      </c>
      <c r="BN198" s="239">
        <f>BN195/BN$17</f>
        <v>6.7143884615959826E-2</v>
      </c>
      <c r="BO198" s="13">
        <f t="shared" si="5187"/>
        <v>5.4527782142473585E-2</v>
      </c>
      <c r="BP198" s="13">
        <f t="shared" si="5187"/>
        <v>6.8019957382736987E-2</v>
      </c>
      <c r="BQ198" s="13">
        <f t="shared" si="5187"/>
        <v>6.9862230334882813E-2</v>
      </c>
      <c r="BR198" s="13">
        <f t="shared" si="5187"/>
        <v>7.5960610787682098E-2</v>
      </c>
      <c r="BS198" s="239">
        <f>BS195/BS$17</f>
        <v>6.7262700908962206E-2</v>
      </c>
      <c r="BT198" s="13">
        <f t="shared" si="5187"/>
        <v>5.5477291468731343E-2</v>
      </c>
      <c r="BU198" s="13">
        <f t="shared" si="5187"/>
        <v>6.7128704193551866E-2</v>
      </c>
      <c r="BV198" s="13">
        <f t="shared" si="5187"/>
        <v>6.8890770808874194E-2</v>
      </c>
      <c r="BW198" s="13">
        <f t="shared" si="5187"/>
        <v>7.4171952148675946E-2</v>
      </c>
      <c r="BX198" s="239">
        <f>BX195/BX$17</f>
        <v>6.6580628330644168E-2</v>
      </c>
      <c r="BY198" s="13">
        <f t="shared" si="5187"/>
        <v>5.5465160051296182E-2</v>
      </c>
      <c r="BZ198" s="13">
        <f t="shared" si="5187"/>
        <v>6.6402506586704338E-2</v>
      </c>
      <c r="CA198" s="13">
        <f t="shared" si="5187"/>
        <v>6.7629525357761094E-2</v>
      </c>
      <c r="CB198" s="13">
        <f t="shared" si="5187"/>
        <v>7.2689085137803616E-2</v>
      </c>
      <c r="CC198" s="239">
        <f>CC195/CC$17</f>
        <v>6.5676366811649137E-2</v>
      </c>
      <c r="CD198" s="13">
        <f t="shared" si="5187"/>
        <v>5.5554182103498127E-2</v>
      </c>
      <c r="CE198" s="13">
        <f t="shared" si="5187"/>
        <v>6.5470084536597015E-2</v>
      </c>
      <c r="CF198" s="13">
        <f t="shared" si="5187"/>
        <v>6.6671957052207548E-2</v>
      </c>
      <c r="CG198" s="13">
        <f t="shared" si="5187"/>
        <v>7.1213020636047036E-2</v>
      </c>
      <c r="CH198" s="239">
        <f>CH195/CH$17</f>
        <v>6.4841917637169705E-2</v>
      </c>
      <c r="CI198" s="13">
        <f t="shared" si="5187"/>
        <v>5.5950658712253486E-2</v>
      </c>
      <c r="CJ198" s="13">
        <f t="shared" si="5187"/>
        <v>6.5431340562899232E-2</v>
      </c>
      <c r="CK198" s="13">
        <f t="shared" si="5187"/>
        <v>6.6768592972650559E-2</v>
      </c>
      <c r="CL198" s="13">
        <f t="shared" si="5187"/>
        <v>7.1287029148671008E-2</v>
      </c>
      <c r="CM198" s="239">
        <f>CM195/CM$17</f>
        <v>6.4945040628454187E-2</v>
      </c>
      <c r="CN198" s="13">
        <f t="shared" si="5187"/>
        <v>5.6880040049606763E-2</v>
      </c>
      <c r="CO198" s="13">
        <f t="shared" si="5187"/>
        <v>6.5889340403407617E-2</v>
      </c>
      <c r="CP198" s="13">
        <f t="shared" si="5187"/>
        <v>6.715190370423603E-2</v>
      </c>
      <c r="CQ198" s="13">
        <f t="shared" si="5187"/>
        <v>7.1458483668111861E-2</v>
      </c>
      <c r="CR198" s="239">
        <f>CR195/CR$17</f>
        <v>6.5420883587915438E-2</v>
      </c>
      <c r="CS198" s="13">
        <f t="shared" si="5187"/>
        <v>5.7747810932719329E-2</v>
      </c>
      <c r="CT198" s="13">
        <f t="shared" si="5187"/>
        <v>6.632787380447161E-2</v>
      </c>
      <c r="CU198" s="13">
        <f t="shared" si="5187"/>
        <v>6.7487991708534339E-2</v>
      </c>
      <c r="CV198" s="13">
        <f t="shared" si="5187"/>
        <v>7.1581863898917228E-2</v>
      </c>
      <c r="CW198" s="239">
        <f>CW195/CW$17</f>
        <v>6.5856342735417295E-2</v>
      </c>
      <c r="CX198" s="13">
        <f t="shared" si="5187"/>
        <v>5.8976796527090557E-2</v>
      </c>
      <c r="CY198" s="13">
        <f t="shared" si="5187"/>
        <v>6.7424447376846372E-2</v>
      </c>
      <c r="CZ198" s="13">
        <f t="shared" si="5187"/>
        <v>6.8676985570953697E-2</v>
      </c>
      <c r="DA198" s="13">
        <f t="shared" si="5187"/>
        <v>7.2809778757594479E-2</v>
      </c>
      <c r="DB198" s="239">
        <f>DB195/DB$17</f>
        <v>6.7027145702987637E-2</v>
      </c>
    </row>
    <row r="199" spans="1:106">
      <c r="F199" s="217"/>
      <c r="K199" s="217"/>
      <c r="P199" s="217"/>
      <c r="U199" s="217"/>
      <c r="Z199" s="217"/>
      <c r="AE199" s="217"/>
      <c r="AJ199" s="217"/>
      <c r="AO199" s="217"/>
      <c r="AT199" s="217"/>
      <c r="AY199" s="217"/>
      <c r="BD199" s="217"/>
      <c r="BI199" s="217"/>
      <c r="BN199" s="217"/>
      <c r="BS199" s="217"/>
      <c r="BX199" s="217"/>
      <c r="CC199" s="217"/>
      <c r="CH199" s="217"/>
      <c r="CM199" s="217"/>
      <c r="CR199" s="217"/>
      <c r="CW199" s="217"/>
      <c r="DB199" s="217"/>
    </row>
    <row r="200" spans="1:106" s="121" customFormat="1">
      <c r="A200" s="121" t="s">
        <v>307</v>
      </c>
      <c r="F200" s="237"/>
      <c r="K200" s="237"/>
      <c r="P200" s="237"/>
      <c r="U200" s="237"/>
      <c r="Z200" s="237"/>
      <c r="AE200" s="237"/>
      <c r="AJ200" s="237"/>
      <c r="AO200" s="237"/>
      <c r="AT200" s="237"/>
      <c r="AY200" s="237"/>
      <c r="BD200" s="237"/>
      <c r="BI200" s="237"/>
      <c r="BN200" s="237"/>
      <c r="BS200" s="237"/>
      <c r="BX200" s="237"/>
      <c r="CC200" s="237"/>
      <c r="CH200" s="237"/>
      <c r="CM200" s="237"/>
      <c r="CR200" s="237"/>
      <c r="CW200" s="237"/>
      <c r="DB200" s="237"/>
    </row>
    <row r="201" spans="1:106" s="51" customFormat="1">
      <c r="A201" s="51" t="s">
        <v>308</v>
      </c>
      <c r="F201" s="233"/>
      <c r="K201" s="233"/>
      <c r="P201" s="233"/>
      <c r="U201" s="233"/>
      <c r="V201" s="213">
        <f>+V226+V252+V278</f>
        <v>0</v>
      </c>
      <c r="W201" s="213">
        <f t="shared" ref="W201:Y201" si="5188">+W226+W252+W278</f>
        <v>0</v>
      </c>
      <c r="X201" s="213">
        <f t="shared" si="5188"/>
        <v>0</v>
      </c>
      <c r="Y201" s="213">
        <f t="shared" si="5188"/>
        <v>0</v>
      </c>
      <c r="Z201" s="234">
        <f>+V201+W201+X201+Y201</f>
        <v>0</v>
      </c>
      <c r="AA201" s="213">
        <f>+AA226+AA252+AA278</f>
        <v>0</v>
      </c>
      <c r="AB201" s="213">
        <f t="shared" ref="AB201:AD201" si="5189">+AB226+AB252+AB278</f>
        <v>0</v>
      </c>
      <c r="AC201" s="213">
        <f t="shared" si="5189"/>
        <v>0</v>
      </c>
      <c r="AD201" s="213">
        <f t="shared" si="5189"/>
        <v>0</v>
      </c>
      <c r="AE201" s="234">
        <f>+AA201+AB201+AC201+AD201</f>
        <v>0</v>
      </c>
      <c r="AF201" s="213">
        <f>+AF226+AF252+AF278</f>
        <v>913</v>
      </c>
      <c r="AG201" s="213">
        <f t="shared" ref="AG201:AI201" si="5190">+AG226+AG252+AG278</f>
        <v>1585</v>
      </c>
      <c r="AH201" s="213">
        <f t="shared" si="5190"/>
        <v>2543</v>
      </c>
      <c r="AI201" s="213">
        <f t="shared" si="5190"/>
        <v>3267</v>
      </c>
      <c r="AJ201" s="234">
        <f>+AF201+AG201+AH201+AI201</f>
        <v>8308</v>
      </c>
      <c r="AK201" s="213">
        <f>+AK226+AK252+AK278</f>
        <v>6043</v>
      </c>
      <c r="AL201" s="213">
        <f t="shared" ref="AL201:AN201" si="5191">+AL226+AL252+AL278</f>
        <v>7877</v>
      </c>
      <c r="AM201" s="213">
        <f t="shared" si="5191"/>
        <v>9099</v>
      </c>
      <c r="AN201" s="213">
        <f t="shared" si="5191"/>
        <v>10537</v>
      </c>
      <c r="AO201" s="234">
        <f>+AK201+AL201+AM201+AN201</f>
        <v>33556</v>
      </c>
      <c r="AP201" s="213">
        <f>+AP226+AP252+AP278</f>
        <v>12000</v>
      </c>
      <c r="AQ201" s="213">
        <f t="shared" ref="AQ201:AS201" si="5192">+AQ226+AQ252+AQ278</f>
        <v>13000</v>
      </c>
      <c r="AR201" s="213">
        <f>+AR226+AR252+AR278</f>
        <v>13147</v>
      </c>
      <c r="AS201" s="213">
        <f t="shared" si="5192"/>
        <v>13222</v>
      </c>
      <c r="AT201" s="234">
        <f>+AP201+AQ201+AR201+AS201</f>
        <v>51369</v>
      </c>
      <c r="AU201" s="213">
        <f>+AU226+AU252+AU278</f>
        <v>12000</v>
      </c>
      <c r="AV201" s="213">
        <f>+AV226+AV252+AV278</f>
        <v>13000</v>
      </c>
      <c r="AW201" s="213">
        <f t="shared" ref="AW201:AX201" si="5193">+AW226+AW252+AW278</f>
        <v>13726</v>
      </c>
      <c r="AX201" s="213">
        <f t="shared" si="5193"/>
        <v>14460</v>
      </c>
      <c r="AY201" s="234">
        <f>+AU201+AV201+AW201+AX201</f>
        <v>53186</v>
      </c>
      <c r="AZ201" s="213">
        <f>+AZ226+AZ252+AZ278</f>
        <v>13497</v>
      </c>
      <c r="BA201" s="213">
        <f t="shared" ref="BA201" si="5194">+BA226+BA252+BA278</f>
        <v>19129.000000000004</v>
      </c>
      <c r="BB201" s="213">
        <f>+BB226+BB252+BB278</f>
        <v>21302</v>
      </c>
      <c r="BC201" s="213">
        <f>+BC226+BC252+BC278</f>
        <v>23537.000000000004</v>
      </c>
      <c r="BD201" s="234">
        <f>+AZ201+BA201+BB201+BC201</f>
        <v>77465</v>
      </c>
      <c r="BE201" s="213">
        <f>+BE226+BE252+BE278</f>
        <v>17504.268970838053</v>
      </c>
      <c r="BF201" s="213">
        <f t="shared" ref="BF201:BH201" si="5195">+BF226+BF252+BF278</f>
        <v>23305.228970838056</v>
      </c>
      <c r="BG201" s="213">
        <f t="shared" si="5195"/>
        <v>25543.418970838051</v>
      </c>
      <c r="BH201" s="213">
        <f t="shared" si="5195"/>
        <v>29248.140114355119</v>
      </c>
      <c r="BI201" s="234">
        <f>+BE201+BF201+BG201+BH201</f>
        <v>95601.057026869283</v>
      </c>
      <c r="BJ201" s="213">
        <f>+BJ226+BJ252+BJ278</f>
        <v>18994.799352063492</v>
      </c>
      <c r="BK201" s="213">
        <f t="shared" ref="BK201:BM201" si="5196">+BK226+BK252+BK278</f>
        <v>24969.788152063495</v>
      </c>
      <c r="BL201" s="213">
        <f t="shared" si="5196"/>
        <v>27275.123852063491</v>
      </c>
      <c r="BM201" s="213">
        <f t="shared" si="5196"/>
        <v>31090.986629886072</v>
      </c>
      <c r="BN201" s="234">
        <f>+BJ201+BK201+BL201+BM201</f>
        <v>102330.69798607656</v>
      </c>
      <c r="BO201" s="213">
        <f>+BO226+BO252+BO278</f>
        <v>23386.385964787492</v>
      </c>
      <c r="BP201" s="213">
        <f t="shared" ref="BP201:BR201" si="5197">+BP226+BP252+BP278</f>
        <v>29540.624428787491</v>
      </c>
      <c r="BQ201" s="213">
        <f t="shared" si="5197"/>
        <v>31915.120199787489</v>
      </c>
      <c r="BR201" s="213">
        <f t="shared" si="5197"/>
        <v>35845.458860944746</v>
      </c>
      <c r="BS201" s="234">
        <f>+BO201+BP201+BQ201+BR201</f>
        <v>120687.58945430722</v>
      </c>
      <c r="BT201" s="213">
        <f>+BT226+BT252+BT278</f>
        <v>28024.372454858072</v>
      </c>
      <c r="BU201" s="213">
        <f t="shared" ref="BU201:BW201" si="5198">+BU226+BU252+BU278</f>
        <v>34363.238072778069</v>
      </c>
      <c r="BV201" s="213">
        <f t="shared" si="5198"/>
        <v>36808.968716908064</v>
      </c>
      <c r="BW201" s="213">
        <f t="shared" si="5198"/>
        <v>40857.21753790004</v>
      </c>
      <c r="BX201" s="234">
        <f>+BT201+BU201+BV201+BW201</f>
        <v>140053.79678244423</v>
      </c>
      <c r="BY201" s="213">
        <f>+BY226+BY252+BY278</f>
        <v>32919.59038696457</v>
      </c>
      <c r="BZ201" s="213">
        <f t="shared" ref="BZ201:CB201" si="5199">+BZ226+BZ252+BZ278</f>
        <v>39448.621973422174</v>
      </c>
      <c r="CA201" s="213">
        <f t="shared" si="5199"/>
        <v>41967.72453687607</v>
      </c>
      <c r="CB201" s="213">
        <f t="shared" si="5199"/>
        <v>46137.420822497799</v>
      </c>
      <c r="CC201" s="234">
        <f>+BY201+BZ201+CA201+CB201</f>
        <v>160473.35771976062</v>
      </c>
      <c r="CD201" s="213">
        <f>+CD226+CD252+CD278</f>
        <v>38083.29945978809</v>
      </c>
      <c r="CE201" s="213">
        <f t="shared" ref="CE201:CG201" si="5200">+CE226+CE252+CE278</f>
        <v>44808.201993839422</v>
      </c>
      <c r="CF201" s="213">
        <f t="shared" si="5200"/>
        <v>47402.877634196928</v>
      </c>
      <c r="CG201" s="213">
        <f t="shared" si="5200"/>
        <v>51697.664808387322</v>
      </c>
      <c r="CH201" s="234">
        <f>+CD201+CE201+CF201+CG201</f>
        <v>181992.04389621175</v>
      </c>
      <c r="CI201" s="213">
        <f>+CI226+CI252+CI278</f>
        <v>43527.20344563276</v>
      </c>
      <c r="CJ201" s="213">
        <f t="shared" ref="CJ201:CL201" si="5201">+CJ226+CJ252+CJ278</f>
        <v>50453.853055705622</v>
      </c>
      <c r="CK201" s="213">
        <f t="shared" si="5201"/>
        <v>53126.368965273861</v>
      </c>
      <c r="CL201" s="213">
        <f t="shared" si="5201"/>
        <v>57549.999754689954</v>
      </c>
      <c r="CM201" s="234">
        <f>+CI201+CJ201+CK201+CL201</f>
        <v>204657.4252213022</v>
      </c>
      <c r="CN201" s="213">
        <f>+CN226+CN252+CN278</f>
        <v>49263.466701114296</v>
      </c>
      <c r="CO201" s="213">
        <f t="shared" ref="CO201:CQ201" si="5202">+CO226+CO252+CO278</f>
        <v>56397.915799489347</v>
      </c>
      <c r="CP201" s="213">
        <f t="shared" si="5202"/>
        <v>59150.607186344627</v>
      </c>
      <c r="CQ201" s="213">
        <f t="shared" si="5202"/>
        <v>63706.94689944321</v>
      </c>
      <c r="CR201" s="234">
        <f>+CN201+CO201+CP201+CQ201</f>
        <v>228518.93658639147</v>
      </c>
      <c r="CS201" s="213">
        <f>+CS226+CS252+CS278</f>
        <v>55304.731268823642</v>
      </c>
      <c r="CT201" s="213">
        <f t="shared" ref="CT201:CV201" si="5203">+CT226+CT252+CT278</f>
        <v>62653.213840149947</v>
      </c>
      <c r="CU201" s="213">
        <f t="shared" si="5203"/>
        <v>65488.485968610898</v>
      </c>
      <c r="CV201" s="213">
        <f t="shared" si="5203"/>
        <v>70181.515873102442</v>
      </c>
      <c r="CW201" s="234">
        <f>+CS201+CT201+CU201+CV201</f>
        <v>253627.94695068695</v>
      </c>
      <c r="CX201" s="213">
        <f>+CX226+CX252+CX278</f>
        <v>61664.134590564558</v>
      </c>
      <c r="CY201" s="213">
        <f t="shared" ref="CY201:DA201" si="5204">+CY226+CY252+CY278</f>
        <v>69233.071639030662</v>
      </c>
      <c r="CZ201" s="213">
        <f t="shared" si="5204"/>
        <v>72153.401931345434</v>
      </c>
      <c r="DA201" s="213">
        <f t="shared" si="5204"/>
        <v>76987.222732971728</v>
      </c>
      <c r="DB201" s="234">
        <f>+CX201+CY201+CZ201+DA201</f>
        <v>280037.83089391235</v>
      </c>
    </row>
    <row r="202" spans="1:106">
      <c r="A202" s="117" t="s">
        <v>281</v>
      </c>
      <c r="F202" s="217"/>
      <c r="K202" s="217"/>
      <c r="P202" s="217"/>
      <c r="U202" s="217"/>
      <c r="V202" s="119" t="s">
        <v>290</v>
      </c>
      <c r="W202" s="119" t="s">
        <v>290</v>
      </c>
      <c r="X202" s="119" t="s">
        <v>290</v>
      </c>
      <c r="Y202" s="119" t="s">
        <v>290</v>
      </c>
      <c r="Z202" s="235" t="s">
        <v>290</v>
      </c>
      <c r="AA202" s="13" t="e">
        <f>+AA201/V201-1</f>
        <v>#DIV/0!</v>
      </c>
      <c r="AB202" s="13" t="e">
        <f t="shared" ref="AB202" si="5205">+AB201/W201-1</f>
        <v>#DIV/0!</v>
      </c>
      <c r="AC202" s="13" t="e">
        <f t="shared" ref="AC202" si="5206">+AC201/X201-1</f>
        <v>#DIV/0!</v>
      </c>
      <c r="AD202" s="13" t="e">
        <f t="shared" ref="AD202" si="5207">+AD201/Y201-1</f>
        <v>#DIV/0!</v>
      </c>
      <c r="AE202" s="239" t="e">
        <f t="shared" ref="AE202" si="5208">+AE201/Z201-1</f>
        <v>#DIV/0!</v>
      </c>
      <c r="AF202" s="13" t="e">
        <f>+AF201/AA201-1</f>
        <v>#DIV/0!</v>
      </c>
      <c r="AG202" s="13" t="e">
        <f t="shared" ref="AG202" si="5209">+AG201/AB201-1</f>
        <v>#DIV/0!</v>
      </c>
      <c r="AH202" s="13" t="e">
        <f t="shared" ref="AH202" si="5210">+AH201/AC201-1</f>
        <v>#DIV/0!</v>
      </c>
      <c r="AI202" s="13" t="e">
        <f t="shared" ref="AI202" si="5211">+AI201/AD201-1</f>
        <v>#DIV/0!</v>
      </c>
      <c r="AJ202" s="239" t="e">
        <f t="shared" ref="AJ202" si="5212">+AJ201/AE201-1</f>
        <v>#DIV/0!</v>
      </c>
      <c r="AK202" s="13">
        <f>+AK201/AF201-1</f>
        <v>5.618838992332968</v>
      </c>
      <c r="AL202" s="13">
        <f t="shared" ref="AL202" si="5213">+AL201/AG201-1</f>
        <v>3.9697160883280755</v>
      </c>
      <c r="AM202" s="13">
        <f t="shared" ref="AM202" si="5214">+AM201/AH201-1</f>
        <v>2.5780574125049154</v>
      </c>
      <c r="AN202" s="13">
        <f t="shared" ref="AN202" si="5215">+AN201/AI201-1</f>
        <v>2.2252831343740436</v>
      </c>
      <c r="AO202" s="239">
        <f t="shared" ref="AO202" si="5216">+AO201/AJ201-1</f>
        <v>3.0389985556090515</v>
      </c>
      <c r="AP202" s="13">
        <f>+AP201/AK201-1</f>
        <v>0.98576865795134871</v>
      </c>
      <c r="AQ202" s="13">
        <f t="shared" ref="AQ202" si="5217">+AQ201/AL201-1</f>
        <v>0.6503745080614447</v>
      </c>
      <c r="AR202" s="13">
        <f t="shared" ref="AR202" si="5218">+AR201/AM201-1</f>
        <v>0.44488405319265856</v>
      </c>
      <c r="AS202" s="13">
        <f t="shared" ref="AS202" si="5219">+AS201/AN201-1</f>
        <v>0.25481636139318598</v>
      </c>
      <c r="AT202" s="239">
        <f t="shared" ref="AT202" si="5220">+AT201/AO201-1</f>
        <v>0.53084396233162479</v>
      </c>
      <c r="AU202" s="13">
        <f>+AU201/AP201-1</f>
        <v>0</v>
      </c>
      <c r="AV202" s="13">
        <f t="shared" ref="AV202" si="5221">+AV201/AQ201-1</f>
        <v>0</v>
      </c>
      <c r="AW202" s="13">
        <f t="shared" ref="AW202" si="5222">+AW201/AR201-1</f>
        <v>4.4040465505438497E-2</v>
      </c>
      <c r="AX202" s="13">
        <f t="shared" ref="AX202" si="5223">+AX201/AS201-1</f>
        <v>9.3631825744970421E-2</v>
      </c>
      <c r="AY202" s="239">
        <f t="shared" ref="AY202" si="5224">+AY201/AT201-1</f>
        <v>3.537152757499662E-2</v>
      </c>
      <c r="AZ202" s="13">
        <f>+AZ201/AU201-1</f>
        <v>0.12474999999999992</v>
      </c>
      <c r="BA202" s="13">
        <f t="shared" ref="BA202" si="5225">+BA201/AV201-1</f>
        <v>0.47146153846153882</v>
      </c>
      <c r="BB202" s="13">
        <f t="shared" ref="BB202" si="5226">+BB201/AW201-1</f>
        <v>0.5519452134634999</v>
      </c>
      <c r="BC202" s="13">
        <f t="shared" ref="BC202" si="5227">+BC201/AX201-1</f>
        <v>0.6277316735822962</v>
      </c>
      <c r="BD202" s="239">
        <f t="shared" ref="BD202" si="5228">+BD201/AY201-1</f>
        <v>0.45649231000639268</v>
      </c>
      <c r="BE202" s="13">
        <f>+BE201/AZ201-1</f>
        <v>0.29690071651760053</v>
      </c>
      <c r="BF202" s="13">
        <f t="shared" ref="BF202" si="5229">+BF201/BA201-1</f>
        <v>0.21831925196497726</v>
      </c>
      <c r="BG202" s="13">
        <f t="shared" ref="BG202" si="5230">+BG201/BB201-1</f>
        <v>0.19910895553647778</v>
      </c>
      <c r="BH202" s="13">
        <f t="shared" ref="BH202" si="5231">+BH201/BC201-1</f>
        <v>0.24264520178251758</v>
      </c>
      <c r="BI202" s="239">
        <f t="shared" ref="BI202" si="5232">+BI201/BD201-1</f>
        <v>0.23411937038493869</v>
      </c>
      <c r="BJ202" s="13">
        <f>+BJ201/BE201-1</f>
        <v>8.5152392465440707E-2</v>
      </c>
      <c r="BK202" s="13">
        <f t="shared" ref="BK202" si="5233">+BK201/BF201-1</f>
        <v>7.1424279216836251E-2</v>
      </c>
      <c r="BL202" s="13">
        <f t="shared" ref="BL202" si="5234">+BL201/BG201-1</f>
        <v>6.7794561221520944E-2</v>
      </c>
      <c r="BM202" s="13">
        <f t="shared" ref="BM202" si="5235">+BM201/BH201-1</f>
        <v>6.3007306048376011E-2</v>
      </c>
      <c r="BN202" s="239">
        <f t="shared" ref="BN202" si="5236">+BN201/BI201-1</f>
        <v>7.039295556445424E-2</v>
      </c>
      <c r="BO202" s="13">
        <f>+BO201/BJ201-1</f>
        <v>0.23119942102715196</v>
      </c>
      <c r="BP202" s="13">
        <f t="shared" ref="BP202" si="5237">+BP201/BK201-1</f>
        <v>0.1830546678605387</v>
      </c>
      <c r="BQ202" s="13">
        <f t="shared" ref="BQ202" si="5238">+BQ201/BL201-1</f>
        <v>0.17011825034748496</v>
      </c>
      <c r="BR202" s="13">
        <f t="shared" ref="BR202" si="5239">+BR201/BM201-1</f>
        <v>0.15292124008983543</v>
      </c>
      <c r="BS202" s="239">
        <f t="shared" ref="BS202" si="5240">+BS201/BN201-1</f>
        <v>0.17938792395150438</v>
      </c>
      <c r="BT202" s="13">
        <f>+BT201/BO201-1</f>
        <v>0.19831993267595616</v>
      </c>
      <c r="BU202" s="13">
        <f t="shared" ref="BU202" si="5241">+BU201/BP201-1</f>
        <v>0.16325361217791046</v>
      </c>
      <c r="BV202" s="13">
        <f t="shared" ref="BV202" si="5242">+BV201/BQ201-1</f>
        <v>0.15333949822169757</v>
      </c>
      <c r="BW202" s="13">
        <f t="shared" ref="BW202" si="5243">+BW201/BR201-1</f>
        <v>0.1398157210484432</v>
      </c>
      <c r="BX202" s="239">
        <f t="shared" ref="BX202" si="5244">+BX201/BS201-1</f>
        <v>0.16046560724016401</v>
      </c>
      <c r="BY202" s="13">
        <f>+BY201/BT201-1</f>
        <v>0.17467716502811115</v>
      </c>
      <c r="BZ202" s="13">
        <f t="shared" ref="BZ202" si="5245">+BZ201/BU201-1</f>
        <v>0.14798907745171586</v>
      </c>
      <c r="CA202" s="13">
        <f t="shared" ref="CA202" si="5246">+CA201/BV201-1</f>
        <v>0.14014942552841347</v>
      </c>
      <c r="CB202" s="13">
        <f t="shared" ref="CB202" si="5247">+CB201/BW201-1</f>
        <v>0.12923550850470256</v>
      </c>
      <c r="CC202" s="239">
        <f t="shared" ref="CC202" si="5248">+CC201/BX201-1</f>
        <v>0.14579798196428473</v>
      </c>
      <c r="CD202" s="13">
        <f>+CD201/BY201-1</f>
        <v>0.15685824191993092</v>
      </c>
      <c r="CE202" s="13">
        <f t="shared" ref="CE202" si="5249">+CE201/BZ201-1</f>
        <v>0.13586228750976836</v>
      </c>
      <c r="CF202" s="13">
        <f t="shared" ref="CF202" si="5250">+CF201/CA201-1</f>
        <v>0.12950792918365428</v>
      </c>
      <c r="CG202" s="13">
        <f t="shared" ref="CG202" si="5251">+CG201/CB201-1</f>
        <v>0.12051484211224484</v>
      </c>
      <c r="CH202" s="239">
        <f t="shared" ref="CH202" si="5252">+CH201/CC201-1</f>
        <v>0.13409507024854461</v>
      </c>
      <c r="CI202" s="13">
        <f>+CI201/CD201-1</f>
        <v>0.14294727775866312</v>
      </c>
      <c r="CJ202" s="13">
        <f t="shared" ref="CJ202" si="5253">+CJ201/CE201-1</f>
        <v>0.12599592955420102</v>
      </c>
      <c r="CK202" s="13">
        <f t="shared" ref="CK202" si="5254">+CK201/CF201-1</f>
        <v>0.12074143209710853</v>
      </c>
      <c r="CL202" s="13">
        <f t="shared" ref="CL202" si="5255">+CL201/CG201-1</f>
        <v>0.11320308118352695</v>
      </c>
      <c r="CM202" s="239">
        <f t="shared" ref="CM202" si="5256">+CM201/CH201-1</f>
        <v>0.12454050649607673</v>
      </c>
      <c r="CN202" s="13">
        <f>+CN201/CI201-1</f>
        <v>0.13178570644094689</v>
      </c>
      <c r="CO202" s="13">
        <f t="shared" ref="CO202" si="5257">+CO201/CJ201-1</f>
        <v>0.11781186933772814</v>
      </c>
      <c r="CP202" s="13">
        <f t="shared" ref="CP202" si="5258">+CP201/CK201-1</f>
        <v>0.11339450330227763</v>
      </c>
      <c r="CQ202" s="13">
        <f t="shared" ref="CQ202" si="5259">+CQ201/CL201-1</f>
        <v>0.10698431226755134</v>
      </c>
      <c r="CR202" s="239">
        <f t="shared" ref="CR202" si="5260">+CR201/CM201-1</f>
        <v>0.11659245365413495</v>
      </c>
      <c r="CS202" s="13">
        <f>+CS201/CN201-1</f>
        <v>0.12263173853277975</v>
      </c>
      <c r="CT202" s="13">
        <f t="shared" ref="CT202" si="5261">+CT201/CO201-1</f>
        <v>0.11091363842061064</v>
      </c>
      <c r="CU202" s="13">
        <f t="shared" ref="CU202" si="5262">+CU201/CP201-1</f>
        <v>0.10714816100365265</v>
      </c>
      <c r="CV202" s="13">
        <f t="shared" ref="CV202" si="5263">+CV201/CQ201-1</f>
        <v>0.10163050167635368</v>
      </c>
      <c r="CW202" s="239">
        <f t="shared" ref="CW202" si="5264">+CW201/CR201-1</f>
        <v>0.10987715389968589</v>
      </c>
      <c r="CX202" s="13">
        <f>+CX201/CS201-1</f>
        <v>0.11498841375486135</v>
      </c>
      <c r="CY202" s="13">
        <f t="shared" ref="CY202" si="5265">+CY201/CT201-1</f>
        <v>0.10502027582604478</v>
      </c>
      <c r="CZ202" s="13">
        <f>+CZ201/CU201-1</f>
        <v>0.10177233240556327</v>
      </c>
      <c r="DA202" s="13">
        <f t="shared" ref="DA202" si="5266">+DA201/CV201-1</f>
        <v>9.6972924782287695E-2</v>
      </c>
      <c r="DB202" s="239">
        <f t="shared" ref="DB202" si="5267">+DB201/CW201-1</f>
        <v>0.10412844586231773</v>
      </c>
    </row>
    <row r="203" spans="1:106">
      <c r="A203" s="117" t="s">
        <v>288</v>
      </c>
      <c r="F203" s="217"/>
      <c r="K203" s="217"/>
      <c r="P203" s="217"/>
      <c r="U203" s="217"/>
      <c r="V203" s="119" t="s">
        <v>290</v>
      </c>
      <c r="W203" s="13" t="e">
        <f>+W201/V201-1</f>
        <v>#DIV/0!</v>
      </c>
      <c r="X203" s="13" t="e">
        <f t="shared" ref="X203:Y203" si="5268">+X201/W201-1</f>
        <v>#DIV/0!</v>
      </c>
      <c r="Y203" s="13" t="e">
        <f t="shared" si="5268"/>
        <v>#DIV/0!</v>
      </c>
      <c r="Z203" s="235" t="s">
        <v>290</v>
      </c>
      <c r="AA203" s="13" t="e">
        <f>+AA201/Y201-1</f>
        <v>#DIV/0!</v>
      </c>
      <c r="AB203" s="13" t="e">
        <f>+AB201/AA201-1</f>
        <v>#DIV/0!</v>
      </c>
      <c r="AC203" s="13" t="e">
        <f t="shared" ref="AC203:AD203" si="5269">+AC201/AB201-1</f>
        <v>#DIV/0!</v>
      </c>
      <c r="AD203" s="13" t="e">
        <f t="shared" si="5269"/>
        <v>#DIV/0!</v>
      </c>
      <c r="AE203" s="235" t="s">
        <v>290</v>
      </c>
      <c r="AF203" s="13" t="e">
        <f>+AF201/AD201-1</f>
        <v>#DIV/0!</v>
      </c>
      <c r="AG203" s="13">
        <f>+AG201/AF201-1</f>
        <v>0.7360350492880614</v>
      </c>
      <c r="AH203" s="13">
        <f t="shared" ref="AH203:AI203" si="5270">+AH201/AG201-1</f>
        <v>0.60441640378548889</v>
      </c>
      <c r="AI203" s="13">
        <f t="shared" si="5270"/>
        <v>0.28470310656704689</v>
      </c>
      <c r="AJ203" s="235" t="s">
        <v>290</v>
      </c>
      <c r="AK203" s="13">
        <f>+AK201/AI201-1</f>
        <v>0.84970921334557703</v>
      </c>
      <c r="AL203" s="13">
        <f>+AL201/AK201-1</f>
        <v>0.30349164322356437</v>
      </c>
      <c r="AM203" s="13">
        <f t="shared" ref="AM203:AN203" si="5271">+AM201/AL201-1</f>
        <v>0.15513520375777579</v>
      </c>
      <c r="AN203" s="13">
        <f t="shared" si="5271"/>
        <v>0.15803934498296512</v>
      </c>
      <c r="AO203" s="235" t="s">
        <v>290</v>
      </c>
      <c r="AP203" s="13">
        <f>+AP201/AN201-1</f>
        <v>0.1388440732656353</v>
      </c>
      <c r="AQ203" s="13">
        <f>+AQ201/AP201-1</f>
        <v>8.3333333333333259E-2</v>
      </c>
      <c r="AR203" s="13">
        <f t="shared" ref="AR203:AS203" si="5272">+AR201/AQ201-1</f>
        <v>1.1307692307692241E-2</v>
      </c>
      <c r="AS203" s="13">
        <f t="shared" si="5272"/>
        <v>5.7047235110672112E-3</v>
      </c>
      <c r="AT203" s="235" t="s">
        <v>290</v>
      </c>
      <c r="AU203" s="13">
        <f>+AU201/AS201-1</f>
        <v>-9.2421721373468491E-2</v>
      </c>
      <c r="AV203" s="13">
        <f>+AV201/AU201-1</f>
        <v>8.3333333333333259E-2</v>
      </c>
      <c r="AW203" s="13">
        <f t="shared" ref="AW203:AX203" si="5273">+AW201/AV201-1</f>
        <v>5.5846153846153879E-2</v>
      </c>
      <c r="AX203" s="13">
        <f t="shared" si="5273"/>
        <v>5.3475156637039278E-2</v>
      </c>
      <c r="AY203" s="235" t="s">
        <v>290</v>
      </c>
      <c r="AZ203" s="13">
        <f>+AZ201/AX201-1</f>
        <v>-6.6597510373443969E-2</v>
      </c>
      <c r="BA203" s="13">
        <f>+BA201/AZ201-1</f>
        <v>0.41727791361043232</v>
      </c>
      <c r="BB203" s="13">
        <f>+BB201/BA201-1</f>
        <v>0.11359715615034749</v>
      </c>
      <c r="BC203" s="13">
        <f>+BC201/BB201-1</f>
        <v>0.10491972584733844</v>
      </c>
      <c r="BD203" s="235" t="s">
        <v>290</v>
      </c>
      <c r="BE203" s="13">
        <f>+BE201/BC201-1</f>
        <v>-0.25630840927739085</v>
      </c>
      <c r="BF203" s="13">
        <f>+BF201/BE201-1</f>
        <v>0.33140258583002513</v>
      </c>
      <c r="BG203" s="13">
        <f t="shared" ref="BG203:BH203" si="5274">+BG201/BF201-1</f>
        <v>9.6038103843590239E-2</v>
      </c>
      <c r="BH203" s="13">
        <f t="shared" si="5274"/>
        <v>0.14503622822561879</v>
      </c>
      <c r="BI203" s="235" t="s">
        <v>290</v>
      </c>
      <c r="BJ203" s="13">
        <f>+BJ201/BH201-1</f>
        <v>-0.35056385541791224</v>
      </c>
      <c r="BK203" s="13">
        <f>+BK201/BJ201-1</f>
        <v>0.31455919534895815</v>
      </c>
      <c r="BL203" s="13">
        <f t="shared" ref="BL203:BM203" si="5275">+BL201/BK201-1</f>
        <v>9.2325000354858133E-2</v>
      </c>
      <c r="BM203" s="13">
        <f t="shared" si="5275"/>
        <v>0.13990267463199424</v>
      </c>
      <c r="BN203" s="235" t="s">
        <v>290</v>
      </c>
      <c r="BO203" s="13">
        <f>+BO201/BM201-1</f>
        <v>-0.24780817530224553</v>
      </c>
      <c r="BP203" s="13">
        <f>+BP201/BO201-1</f>
        <v>0.26315474623853108</v>
      </c>
      <c r="BQ203" s="13">
        <f t="shared" ref="BQ203:BR203" si="5276">+BQ201/BP201-1</f>
        <v>8.0380689877565414E-2</v>
      </c>
      <c r="BR203" s="13">
        <f t="shared" si="5276"/>
        <v>0.1231497370698742</v>
      </c>
      <c r="BS203" s="235" t="s">
        <v>290</v>
      </c>
      <c r="BT203" s="13">
        <f>+BT201/BR201-1</f>
        <v>-0.21818904415276164</v>
      </c>
      <c r="BU203" s="13">
        <f>+BU201/BT201-1</f>
        <v>0.22619117085068363</v>
      </c>
      <c r="BV203" s="13">
        <f t="shared" ref="BV203:BW203" si="5277">+BV201/BU201-1</f>
        <v>7.1172880709034825E-2</v>
      </c>
      <c r="BW203" s="13">
        <f t="shared" si="5277"/>
        <v>0.10997995765995006</v>
      </c>
      <c r="BX203" s="235" t="s">
        <v>290</v>
      </c>
      <c r="BY203" s="13">
        <f>+BY201/BW201-1</f>
        <v>-0.19427723250053319</v>
      </c>
      <c r="BZ203" s="13">
        <f>+BZ201/BY201-1</f>
        <v>0.198332710392501</v>
      </c>
      <c r="CA203" s="13">
        <f t="shared" ref="CA203:CB203" si="5278">+CA201/BZ201-1</f>
        <v>6.3857808902706426E-2</v>
      </c>
      <c r="CB203" s="13">
        <f t="shared" si="5278"/>
        <v>9.9354833544952115E-2</v>
      </c>
      <c r="CC203" s="235" t="s">
        <v>290</v>
      </c>
      <c r="CD203" s="13">
        <f>+CD201/CB201-1</f>
        <v>-0.17456808853047789</v>
      </c>
      <c r="CE203" s="13">
        <f>+CE201/CD201-1</f>
        <v>0.17658403104363662</v>
      </c>
      <c r="CF203" s="13">
        <f t="shared" ref="CF203:CG203" si="5279">+CF201/CE201-1</f>
        <v>5.7906265480463626E-2</v>
      </c>
      <c r="CG203" s="13">
        <f t="shared" si="5279"/>
        <v>9.0601823951128369E-2</v>
      </c>
      <c r="CH203" s="235" t="s">
        <v>290</v>
      </c>
      <c r="CI203" s="13">
        <f>+CI201/CG201-1</f>
        <v>-0.15804314165906008</v>
      </c>
      <c r="CJ203" s="13">
        <f>+CJ201/CI201-1</f>
        <v>0.15913380740677563</v>
      </c>
      <c r="CK203" s="13">
        <f t="shared" ref="CK203:CL203" si="5280">+CK201/CJ201-1</f>
        <v>5.2969510705506373E-2</v>
      </c>
      <c r="CL203" s="13">
        <f t="shared" si="5280"/>
        <v>8.3266198604832198E-2</v>
      </c>
      <c r="CM203" s="235" t="s">
        <v>290</v>
      </c>
      <c r="CN203" s="13">
        <f>+CN201/CL201-1</f>
        <v>-0.14398841162289244</v>
      </c>
      <c r="CO203" s="13">
        <f>+CO201/CN201-1</f>
        <v>0.1448223110578144</v>
      </c>
      <c r="CP203" s="13">
        <f t="shared" ref="CP203:CQ203" si="5281">+CP201/CO201-1</f>
        <v>4.8808388534106184E-2</v>
      </c>
      <c r="CQ203" s="13">
        <f t="shared" si="5281"/>
        <v>7.7029466472669617E-2</v>
      </c>
      <c r="CR203" s="235" t="s">
        <v>290</v>
      </c>
      <c r="CS203" s="13">
        <f>+CS201/CQ201-1</f>
        <v>-0.13188853083607754</v>
      </c>
      <c r="CT203" s="13">
        <f>+CT201/CS201-1</f>
        <v>0.13287258436546789</v>
      </c>
      <c r="CU203" s="13">
        <f t="shared" ref="CU203:CV203" si="5282">+CU201/CT201-1</f>
        <v>4.5253418854054539E-2</v>
      </c>
      <c r="CV203" s="13">
        <f t="shared" si="5282"/>
        <v>7.1661908732184587E-2</v>
      </c>
      <c r="CW203" s="235" t="s">
        <v>290</v>
      </c>
      <c r="CX203" s="13">
        <f>+CX201/CV201-1</f>
        <v>-0.1213621731673401</v>
      </c>
      <c r="CY203" s="13">
        <f>+CY201/CX201-1</f>
        <v>0.12274455968160547</v>
      </c>
      <c r="CZ203" s="13">
        <f t="shared" ref="CZ203:DA203" si="5283">+CZ201/CY201-1</f>
        <v>4.2181145848054769E-2</v>
      </c>
      <c r="DA203" s="13">
        <f t="shared" si="5283"/>
        <v>6.6993664501442618E-2</v>
      </c>
      <c r="DB203" s="235" t="s">
        <v>290</v>
      </c>
    </row>
    <row r="204" spans="1:106">
      <c r="F204" s="217"/>
      <c r="K204" s="217"/>
      <c r="P204" s="217"/>
      <c r="U204" s="217"/>
      <c r="Z204" s="217"/>
      <c r="AE204" s="217"/>
      <c r="AJ204" s="217"/>
      <c r="AO204" s="217"/>
      <c r="AT204" s="217"/>
      <c r="AY204" s="217"/>
      <c r="BD204" s="217"/>
      <c r="BI204" s="217"/>
      <c r="BN204" s="217"/>
      <c r="BS204" s="217"/>
      <c r="BX204" s="217"/>
      <c r="CC204" s="217"/>
      <c r="CH204" s="217"/>
      <c r="CM204" s="217"/>
      <c r="CR204" s="217"/>
      <c r="CW204" s="217"/>
      <c r="DB204" s="217"/>
    </row>
    <row r="205" spans="1:106" s="51" customFormat="1">
      <c r="A205" s="51" t="s">
        <v>289</v>
      </c>
      <c r="F205" s="233"/>
      <c r="K205" s="233"/>
      <c r="P205" s="233"/>
      <c r="U205" s="233"/>
      <c r="V205" s="227" t="s">
        <v>290</v>
      </c>
      <c r="W205" s="227" t="s">
        <v>290</v>
      </c>
      <c r="X205" s="227" t="s">
        <v>290</v>
      </c>
      <c r="Y205" s="227" t="s">
        <v>290</v>
      </c>
      <c r="Z205" s="249" t="s">
        <v>290</v>
      </c>
      <c r="AA205" s="227" t="s">
        <v>290</v>
      </c>
      <c r="AB205" s="227" t="s">
        <v>290</v>
      </c>
      <c r="AC205" s="227" t="s">
        <v>290</v>
      </c>
      <c r="AD205" s="227" t="s">
        <v>290</v>
      </c>
      <c r="AE205" s="249" t="s">
        <v>290</v>
      </c>
      <c r="AF205" s="225">
        <f>+AF208/AF201*1000000</f>
        <v>1867.0000000000002</v>
      </c>
      <c r="AG205" s="225">
        <f t="shared" ref="AG205:AJ205" si="5284">+AG208/AG201*1000000</f>
        <v>1466</v>
      </c>
      <c r="AH205" s="225">
        <f t="shared" si="5284"/>
        <v>1532</v>
      </c>
      <c r="AI205" s="225">
        <f t="shared" si="5284"/>
        <v>1465</v>
      </c>
      <c r="AJ205" s="236">
        <f t="shared" si="5284"/>
        <v>1529.8762638420799</v>
      </c>
      <c r="AK205" s="225">
        <f>+AK208/AK201*1000000</f>
        <v>1277</v>
      </c>
      <c r="AL205" s="225">
        <f t="shared" ref="AL205:AO205" si="5285">+AL208/AL201*1000000</f>
        <v>1300</v>
      </c>
      <c r="AM205" s="225">
        <f t="shared" si="5285"/>
        <v>1313</v>
      </c>
      <c r="AN205" s="225">
        <f t="shared" si="5285"/>
        <v>1300</v>
      </c>
      <c r="AO205" s="236">
        <f t="shared" si="5285"/>
        <v>1299.3830611515077</v>
      </c>
      <c r="AP205" s="225">
        <f>+AP208/AP201*1000000</f>
        <v>1300</v>
      </c>
      <c r="AQ205" s="225">
        <f t="shared" ref="AQ205:AT205" si="5286">+AQ208/AQ201*1000000</f>
        <v>1300.0000000000002</v>
      </c>
      <c r="AR205" s="225">
        <f t="shared" si="5286"/>
        <v>1300.0000000000002</v>
      </c>
      <c r="AS205" s="225">
        <f t="shared" si="5286"/>
        <v>1300.0000000000002</v>
      </c>
      <c r="AT205" s="236">
        <f t="shared" si="5286"/>
        <v>1299.9999999999998</v>
      </c>
      <c r="AU205" s="225">
        <f>+AU208/AU201*1000000</f>
        <v>1200</v>
      </c>
      <c r="AV205" s="225">
        <f t="shared" ref="AV205:AY205" si="5287">+AV208/AV201*1000000</f>
        <v>1269.9999999999998</v>
      </c>
      <c r="AW205" s="225">
        <f t="shared" si="5287"/>
        <v>1254.9999999999998</v>
      </c>
      <c r="AX205" s="225">
        <f t="shared" si="5287"/>
        <v>1268.9999999999998</v>
      </c>
      <c r="AY205" s="236">
        <f t="shared" si="5287"/>
        <v>1250.0633625390137</v>
      </c>
      <c r="AZ205" s="225">
        <f>+AZ208/AZ201*1000000</f>
        <v>1274.9999999999998</v>
      </c>
      <c r="BA205" s="225">
        <f>+BA208/BA201*1000000</f>
        <v>1274.9999999999998</v>
      </c>
      <c r="BB205" s="225">
        <f>+BB208/BB201*1000000</f>
        <v>1275</v>
      </c>
      <c r="BC205" s="225">
        <f>+BC208/BC201*1000000</f>
        <v>1274.9999999999998</v>
      </c>
      <c r="BD205" s="236">
        <f t="shared" ref="BD205" si="5288">+BD208/BD201*1000000</f>
        <v>1275</v>
      </c>
      <c r="BE205" s="225">
        <f>+BE208/BE201*1000000</f>
        <v>1300</v>
      </c>
      <c r="BF205" s="225">
        <f t="shared" ref="BF205:BI205" si="5289">+BF208/BF201*1000000</f>
        <v>1300</v>
      </c>
      <c r="BG205" s="225">
        <f t="shared" si="5289"/>
        <v>1305</v>
      </c>
      <c r="BH205" s="225">
        <f t="shared" si="5289"/>
        <v>1310</v>
      </c>
      <c r="BI205" s="236">
        <f t="shared" si="5289"/>
        <v>1304.3953331591265</v>
      </c>
      <c r="BJ205" s="225">
        <f>+BJ208/BJ201*1000000</f>
        <v>1275</v>
      </c>
      <c r="BK205" s="225">
        <f t="shared" ref="BK205:BN205" si="5290">+BK208/BK201*1000000</f>
        <v>1275</v>
      </c>
      <c r="BL205" s="225">
        <f t="shared" si="5290"/>
        <v>1275</v>
      </c>
      <c r="BM205" s="225">
        <f t="shared" si="5290"/>
        <v>1274.9999999999998</v>
      </c>
      <c r="BN205" s="236">
        <f t="shared" si="5290"/>
        <v>1274.9999999999998</v>
      </c>
      <c r="BO205" s="225">
        <f>+BO208/BO201*1000000</f>
        <v>1275</v>
      </c>
      <c r="BP205" s="225">
        <f t="shared" ref="BP205:BS205" si="5291">+BP208/BP201*1000000</f>
        <v>1275</v>
      </c>
      <c r="BQ205" s="225">
        <f t="shared" si="5291"/>
        <v>1274.9999999999998</v>
      </c>
      <c r="BR205" s="225">
        <f t="shared" si="5291"/>
        <v>1275</v>
      </c>
      <c r="BS205" s="236">
        <f t="shared" si="5291"/>
        <v>1274.9999999999998</v>
      </c>
      <c r="BT205" s="225">
        <f>+BT208/BT201*1000000</f>
        <v>1274.9999999999995</v>
      </c>
      <c r="BU205" s="225">
        <f t="shared" ref="BU205:BX205" si="5292">+BU208/BU201*1000000</f>
        <v>1274.9999999999995</v>
      </c>
      <c r="BV205" s="225">
        <f t="shared" si="5292"/>
        <v>1275</v>
      </c>
      <c r="BW205" s="225">
        <f t="shared" si="5292"/>
        <v>1275</v>
      </c>
      <c r="BX205" s="236">
        <f t="shared" si="5292"/>
        <v>1274.9999999999998</v>
      </c>
      <c r="BY205" s="225">
        <f>+BY208/BY201*1000000</f>
        <v>1275</v>
      </c>
      <c r="BZ205" s="225">
        <f t="shared" ref="BZ205:CC205" si="5293">+BZ208/BZ201*1000000</f>
        <v>1274.9999999999998</v>
      </c>
      <c r="CA205" s="225">
        <f t="shared" si="5293"/>
        <v>1275</v>
      </c>
      <c r="CB205" s="225">
        <f t="shared" si="5293"/>
        <v>1274.9999999999998</v>
      </c>
      <c r="CC205" s="236">
        <f t="shared" si="5293"/>
        <v>1274.9999999999998</v>
      </c>
      <c r="CD205" s="225">
        <f>+CD208/CD201*1000000</f>
        <v>1274.9999999999998</v>
      </c>
      <c r="CE205" s="225">
        <f t="shared" ref="CE205:CH205" si="5294">+CE208/CE201*1000000</f>
        <v>1274.9999999999998</v>
      </c>
      <c r="CF205" s="225">
        <f t="shared" si="5294"/>
        <v>1275</v>
      </c>
      <c r="CG205" s="225">
        <f t="shared" si="5294"/>
        <v>1275</v>
      </c>
      <c r="CH205" s="236">
        <f t="shared" si="5294"/>
        <v>1275</v>
      </c>
      <c r="CI205" s="225">
        <f>+CI208/CI201*1000000</f>
        <v>1275</v>
      </c>
      <c r="CJ205" s="225">
        <f t="shared" ref="CJ205:CM205" si="5295">+CJ208/CJ201*1000000</f>
        <v>1275</v>
      </c>
      <c r="CK205" s="225">
        <f t="shared" si="5295"/>
        <v>1275.0000000000002</v>
      </c>
      <c r="CL205" s="225">
        <f t="shared" si="5295"/>
        <v>1275</v>
      </c>
      <c r="CM205" s="236">
        <f t="shared" si="5295"/>
        <v>1274.9999999999998</v>
      </c>
      <c r="CN205" s="225">
        <f>+CN208/CN201*1000000</f>
        <v>1274.9999999999998</v>
      </c>
      <c r="CO205" s="225">
        <f t="shared" ref="CO205:CR205" si="5296">+CO208/CO201*1000000</f>
        <v>1274.9999999999998</v>
      </c>
      <c r="CP205" s="225">
        <f t="shared" si="5296"/>
        <v>1275.0000000000002</v>
      </c>
      <c r="CQ205" s="225">
        <f t="shared" si="5296"/>
        <v>1275</v>
      </c>
      <c r="CR205" s="236">
        <f t="shared" si="5296"/>
        <v>1275</v>
      </c>
      <c r="CS205" s="225">
        <f>+CS208/CS201*1000000</f>
        <v>1274.9999999999998</v>
      </c>
      <c r="CT205" s="225">
        <f t="shared" ref="CT205:CW205" si="5297">+CT208/CT201*1000000</f>
        <v>1274.9999999999998</v>
      </c>
      <c r="CU205" s="225">
        <f t="shared" si="5297"/>
        <v>1275</v>
      </c>
      <c r="CV205" s="225">
        <f t="shared" si="5297"/>
        <v>1275</v>
      </c>
      <c r="CW205" s="236">
        <f t="shared" si="5297"/>
        <v>1275</v>
      </c>
      <c r="CX205" s="225">
        <f>+CX208/CX201*1000000</f>
        <v>1275</v>
      </c>
      <c r="CY205" s="225">
        <f t="shared" ref="CY205:DB205" si="5298">+CY208/CY201*1000000</f>
        <v>1275</v>
      </c>
      <c r="CZ205" s="225">
        <f t="shared" si="5298"/>
        <v>1275.0000000000005</v>
      </c>
      <c r="DA205" s="225">
        <f t="shared" si="5298"/>
        <v>1275</v>
      </c>
      <c r="DB205" s="236">
        <f t="shared" si="5298"/>
        <v>1275.0000000000002</v>
      </c>
    </row>
    <row r="206" spans="1:106">
      <c r="A206" s="117" t="s">
        <v>281</v>
      </c>
      <c r="F206" s="217"/>
      <c r="K206" s="217"/>
      <c r="P206" s="217"/>
      <c r="U206" s="217"/>
      <c r="V206" s="119" t="s">
        <v>290</v>
      </c>
      <c r="W206" s="119" t="s">
        <v>290</v>
      </c>
      <c r="X206" s="119" t="s">
        <v>290</v>
      </c>
      <c r="Y206" s="119" t="s">
        <v>290</v>
      </c>
      <c r="Z206" s="235" t="s">
        <v>290</v>
      </c>
      <c r="AA206" s="119" t="s">
        <v>290</v>
      </c>
      <c r="AB206" s="119" t="s">
        <v>290</v>
      </c>
      <c r="AC206" s="119" t="s">
        <v>290</v>
      </c>
      <c r="AD206" s="119" t="s">
        <v>290</v>
      </c>
      <c r="AE206" s="235" t="s">
        <v>290</v>
      </c>
      <c r="AF206" s="119" t="s">
        <v>290</v>
      </c>
      <c r="AG206" s="119" t="s">
        <v>290</v>
      </c>
      <c r="AH206" s="119" t="s">
        <v>290</v>
      </c>
      <c r="AI206" s="119" t="s">
        <v>290</v>
      </c>
      <c r="AJ206" s="235" t="s">
        <v>290</v>
      </c>
      <c r="AK206" s="13">
        <f>+AK205/AF205-1</f>
        <v>-0.31601499732190685</v>
      </c>
      <c r="AL206" s="13">
        <f t="shared" ref="AL206" si="5299">+AL205/AG205-1</f>
        <v>-0.11323328785811737</v>
      </c>
      <c r="AM206" s="13">
        <f t="shared" ref="AM206" si="5300">+AM205/AH205-1</f>
        <v>-0.14295039164490864</v>
      </c>
      <c r="AN206" s="13">
        <f t="shared" ref="AN206" si="5301">+AN205/AI205-1</f>
        <v>-0.11262798634812288</v>
      </c>
      <c r="AO206" s="239">
        <f t="shared" ref="AO206" si="5302">+AO205/AJ205-1</f>
        <v>-0.15066133656569014</v>
      </c>
      <c r="AP206" s="13">
        <f>+AP205/AK205-1</f>
        <v>1.8010963194988294E-2</v>
      </c>
      <c r="AQ206" s="13">
        <f t="shared" ref="AQ206" si="5303">+AQ205/AL205-1</f>
        <v>0</v>
      </c>
      <c r="AR206" s="13">
        <f t="shared" ref="AR206" si="5304">+AR205/AM205-1</f>
        <v>-9.9009900990096877E-3</v>
      </c>
      <c r="AS206" s="13">
        <f t="shared" ref="AS206" si="5305">+AS205/AN205-1</f>
        <v>0</v>
      </c>
      <c r="AT206" s="239">
        <f t="shared" ref="AT206" si="5306">+AT205/AO205-1</f>
        <v>4.7479366703861992E-4</v>
      </c>
      <c r="AU206" s="13">
        <f>+AU205/AP205-1</f>
        <v>-7.6923076923076872E-2</v>
      </c>
      <c r="AV206" s="13">
        <f t="shared" ref="AV206" si="5307">+AV205/AQ205-1</f>
        <v>-2.3076923076923439E-2</v>
      </c>
      <c r="AW206" s="13">
        <f t="shared" ref="AW206" si="5308">+AW205/AR205-1</f>
        <v>-3.4615384615384936E-2</v>
      </c>
      <c r="AX206" s="13">
        <f t="shared" ref="AX206" si="5309">+AX205/AS205-1</f>
        <v>-2.3846153846154183E-2</v>
      </c>
      <c r="AY206" s="239">
        <f t="shared" ref="AY206" si="5310">+AY205/AT205-1</f>
        <v>-3.8412798046912333E-2</v>
      </c>
      <c r="AZ206" s="13">
        <f>+AZ205/AU205-1</f>
        <v>6.2499999999999778E-2</v>
      </c>
      <c r="BA206" s="13">
        <f t="shared" ref="BA206" si="5311">+BA205/AV205-1</f>
        <v>3.937007874015741E-3</v>
      </c>
      <c r="BB206" s="13">
        <f t="shared" ref="BB206" si="5312">+BB205/AW205-1</f>
        <v>1.5936254980079889E-2</v>
      </c>
      <c r="BC206" s="13">
        <f t="shared" ref="BC206" si="5313">+BC205/AX205-1</f>
        <v>4.7281323877068626E-3</v>
      </c>
      <c r="BD206" s="239">
        <f t="shared" ref="BD206" si="5314">+BD205/AY205-1</f>
        <v>1.9948298788900809E-2</v>
      </c>
      <c r="BE206" s="13">
        <f>+BE205/AZ205-1</f>
        <v>1.9607843137255054E-2</v>
      </c>
      <c r="BF206" s="13">
        <f t="shared" ref="BF206" si="5315">+BF205/BA205-1</f>
        <v>1.9607843137255054E-2</v>
      </c>
      <c r="BG206" s="13">
        <f t="shared" ref="BG206" si="5316">+BG205/BB205-1</f>
        <v>2.3529411764705799E-2</v>
      </c>
      <c r="BH206" s="13">
        <f t="shared" ref="BH206" si="5317">+BH205/BC205-1</f>
        <v>2.7450980392156987E-2</v>
      </c>
      <c r="BI206" s="239">
        <f t="shared" ref="BI206" si="5318">+BI205/BD205-1</f>
        <v>2.3055163262059919E-2</v>
      </c>
      <c r="BJ206" s="13">
        <f>+BJ205/BE205-1</f>
        <v>-1.9230769230769273E-2</v>
      </c>
      <c r="BK206" s="13">
        <f t="shared" ref="BK206" si="5319">+BK205/BF205-1</f>
        <v>-1.9230769230769273E-2</v>
      </c>
      <c r="BL206" s="13">
        <f t="shared" ref="BL206" si="5320">+BL205/BG205-1</f>
        <v>-2.2988505747126409E-2</v>
      </c>
      <c r="BM206" s="13">
        <f t="shared" ref="BM206" si="5321">+BM205/BH205-1</f>
        <v>-2.6717557251908608E-2</v>
      </c>
      <c r="BN206" s="239">
        <f t="shared" ref="BN206" si="5322">+BN205/BI205-1</f>
        <v>-2.2535601294995322E-2</v>
      </c>
      <c r="BO206" s="13">
        <f>+BO205/BJ205-1</f>
        <v>0</v>
      </c>
      <c r="BP206" s="13">
        <f t="shared" ref="BP206" si="5323">+BP205/BK205-1</f>
        <v>0</v>
      </c>
      <c r="BQ206" s="13">
        <f t="shared" ref="BQ206" si="5324">+BQ205/BL205-1</f>
        <v>0</v>
      </c>
      <c r="BR206" s="13">
        <f t="shared" ref="BR206" si="5325">+BR205/BM205-1</f>
        <v>0</v>
      </c>
      <c r="BS206" s="239">
        <f t="shared" ref="BS206" si="5326">+BS205/BN205-1</f>
        <v>0</v>
      </c>
      <c r="BT206" s="13">
        <f>+BT205/BO205-1</f>
        <v>0</v>
      </c>
      <c r="BU206" s="13">
        <f t="shared" ref="BU206" si="5327">+BU205/BP205-1</f>
        <v>0</v>
      </c>
      <c r="BV206" s="13">
        <f t="shared" ref="BV206" si="5328">+BV205/BQ205-1</f>
        <v>0</v>
      </c>
      <c r="BW206" s="13">
        <f t="shared" ref="BW206" si="5329">+BW205/BR205-1</f>
        <v>0</v>
      </c>
      <c r="BX206" s="239">
        <f t="shared" ref="BX206" si="5330">+BX205/BS205-1</f>
        <v>0</v>
      </c>
      <c r="BY206" s="13">
        <f>+BY205/BT205-1</f>
        <v>0</v>
      </c>
      <c r="BZ206" s="13">
        <f t="shared" ref="BZ206" si="5331">+BZ205/BU205-1</f>
        <v>0</v>
      </c>
      <c r="CA206" s="13">
        <f t="shared" ref="CA206" si="5332">+CA205/BV205-1</f>
        <v>0</v>
      </c>
      <c r="CB206" s="13">
        <f t="shared" ref="CB206" si="5333">+CB205/BW205-1</f>
        <v>0</v>
      </c>
      <c r="CC206" s="239">
        <f t="shared" ref="CC206" si="5334">+CC205/BX205-1</f>
        <v>0</v>
      </c>
      <c r="CD206" s="13">
        <f>+CD205/BY205-1</f>
        <v>0</v>
      </c>
      <c r="CE206" s="13">
        <f t="shared" ref="CE206" si="5335">+CE205/BZ205-1</f>
        <v>0</v>
      </c>
      <c r="CF206" s="13">
        <f t="shared" ref="CF206" si="5336">+CF205/CA205-1</f>
        <v>0</v>
      </c>
      <c r="CG206" s="13">
        <f t="shared" ref="CG206" si="5337">+CG205/CB205-1</f>
        <v>0</v>
      </c>
      <c r="CH206" s="239">
        <f t="shared" ref="CH206" si="5338">+CH205/CC205-1</f>
        <v>0</v>
      </c>
      <c r="CI206" s="13">
        <f>+CI205/CD205-1</f>
        <v>0</v>
      </c>
      <c r="CJ206" s="13">
        <f t="shared" ref="CJ206" si="5339">+CJ205/CE205-1</f>
        <v>0</v>
      </c>
      <c r="CK206" s="13">
        <f t="shared" ref="CK206" si="5340">+CK205/CF205-1</f>
        <v>0</v>
      </c>
      <c r="CL206" s="13">
        <f t="shared" ref="CL206" si="5341">+CL205/CG205-1</f>
        <v>0</v>
      </c>
      <c r="CM206" s="239">
        <f t="shared" ref="CM206" si="5342">+CM205/CH205-1</f>
        <v>0</v>
      </c>
      <c r="CN206" s="13">
        <f>+CN205/CI205-1</f>
        <v>0</v>
      </c>
      <c r="CO206" s="13">
        <f t="shared" ref="CO206" si="5343">+CO205/CJ205-1</f>
        <v>0</v>
      </c>
      <c r="CP206" s="13">
        <f t="shared" ref="CP206" si="5344">+CP205/CK205-1</f>
        <v>0</v>
      </c>
      <c r="CQ206" s="13">
        <f t="shared" ref="CQ206" si="5345">+CQ205/CL205-1</f>
        <v>0</v>
      </c>
      <c r="CR206" s="239">
        <f t="shared" ref="CR206" si="5346">+CR205/CM205-1</f>
        <v>0</v>
      </c>
      <c r="CS206" s="13">
        <f>+CS205/CN205-1</f>
        <v>0</v>
      </c>
      <c r="CT206" s="13">
        <f t="shared" ref="CT206" si="5347">+CT205/CO205-1</f>
        <v>0</v>
      </c>
      <c r="CU206" s="13">
        <f t="shared" ref="CU206" si="5348">+CU205/CP205-1</f>
        <v>0</v>
      </c>
      <c r="CV206" s="13">
        <f t="shared" ref="CV206" si="5349">+CV205/CQ205-1</f>
        <v>0</v>
      </c>
      <c r="CW206" s="239">
        <f t="shared" ref="CW206" si="5350">+CW205/CR205-1</f>
        <v>0</v>
      </c>
      <c r="CX206" s="13">
        <f>+CX205/CS205-1</f>
        <v>0</v>
      </c>
      <c r="CY206" s="13">
        <f t="shared" ref="CY206" si="5351">+CY205/CT205-1</f>
        <v>0</v>
      </c>
      <c r="CZ206" s="13">
        <f t="shared" ref="CZ206" si="5352">+CZ205/CU205-1</f>
        <v>0</v>
      </c>
      <c r="DA206" s="13">
        <f t="shared" ref="DA206" si="5353">+DA205/CV205-1</f>
        <v>0</v>
      </c>
      <c r="DB206" s="239">
        <f t="shared" ref="DB206" si="5354">+DB205/CW205-1</f>
        <v>0</v>
      </c>
    </row>
    <row r="207" spans="1:106">
      <c r="F207" s="217"/>
      <c r="K207" s="217"/>
      <c r="P207" s="217"/>
      <c r="U207" s="217"/>
      <c r="Z207" s="217"/>
      <c r="AE207" s="217"/>
      <c r="AJ207" s="217"/>
      <c r="AO207" s="217"/>
      <c r="AT207" s="217"/>
      <c r="AY207" s="217"/>
      <c r="BD207" s="217"/>
      <c r="BI207" s="217"/>
      <c r="BN207" s="217"/>
      <c r="BS207" s="217"/>
      <c r="BX207" s="217"/>
      <c r="CC207" s="217"/>
      <c r="CH207" s="217"/>
      <c r="CM207" s="217"/>
      <c r="CR207" s="217"/>
      <c r="CW207" s="217"/>
      <c r="DB207" s="217"/>
    </row>
    <row r="208" spans="1:106" s="51" customFormat="1">
      <c r="A208" s="51" t="s">
        <v>13</v>
      </c>
      <c r="F208" s="233"/>
      <c r="K208" s="233"/>
      <c r="P208" s="233"/>
      <c r="U208" s="233"/>
      <c r="V208" s="135">
        <f>+V234+V260+V286</f>
        <v>0</v>
      </c>
      <c r="W208" s="135">
        <f t="shared" ref="W208:Y208" si="5355">+W234+W260+W286</f>
        <v>0</v>
      </c>
      <c r="X208" s="135">
        <f t="shared" si="5355"/>
        <v>0</v>
      </c>
      <c r="Y208" s="135">
        <f t="shared" si="5355"/>
        <v>0</v>
      </c>
      <c r="Z208" s="216">
        <f>+V208+W208+X208+Y208</f>
        <v>0</v>
      </c>
      <c r="AA208" s="135">
        <f>+AA234+AA260+AA286</f>
        <v>0</v>
      </c>
      <c r="AB208" s="135">
        <f t="shared" ref="AB208:AD208" si="5356">+AB234+AB260+AB286</f>
        <v>0</v>
      </c>
      <c r="AC208" s="135">
        <f t="shared" si="5356"/>
        <v>0</v>
      </c>
      <c r="AD208" s="135">
        <f t="shared" si="5356"/>
        <v>0</v>
      </c>
      <c r="AE208" s="216">
        <f>+AA208+AB208+AC208+AD208</f>
        <v>0</v>
      </c>
      <c r="AF208" s="135">
        <f>+AF234+AF260+AF286</f>
        <v>1.7045710000000001</v>
      </c>
      <c r="AG208" s="135">
        <f t="shared" ref="AG208:AI208" si="5357">+AG234+AG260+AG286</f>
        <v>2.32361</v>
      </c>
      <c r="AH208" s="135">
        <f t="shared" si="5357"/>
        <v>3.8958759999999999</v>
      </c>
      <c r="AI208" s="135">
        <f t="shared" si="5357"/>
        <v>4.7861549999999999</v>
      </c>
      <c r="AJ208" s="216">
        <f>+AF208+AG208+AH208+AI208</f>
        <v>12.710211999999999</v>
      </c>
      <c r="AK208" s="135">
        <f>+AK234+AK260+AK286</f>
        <v>7.7169109999999996</v>
      </c>
      <c r="AL208" s="135">
        <f t="shared" ref="AL208:AN208" si="5358">+AL234+AL260+AL286</f>
        <v>10.2401</v>
      </c>
      <c r="AM208" s="135">
        <f t="shared" si="5358"/>
        <v>11.946987</v>
      </c>
      <c r="AN208" s="135">
        <f t="shared" si="5358"/>
        <v>13.6981</v>
      </c>
      <c r="AO208" s="216">
        <f>+AK208+AL208+AM208+AN208</f>
        <v>43.602097999999998</v>
      </c>
      <c r="AP208" s="135">
        <f>+AP234+AP260+AP286</f>
        <v>15.6</v>
      </c>
      <c r="AQ208" s="135">
        <f t="shared" ref="AQ208:AS208" si="5359">+AQ234+AQ260+AQ286</f>
        <v>16.900000000000002</v>
      </c>
      <c r="AR208" s="135">
        <f t="shared" si="5359"/>
        <v>17.091100000000001</v>
      </c>
      <c r="AS208" s="135">
        <f t="shared" si="5359"/>
        <v>17.188600000000001</v>
      </c>
      <c r="AT208" s="216">
        <f>+AP208+AQ208+AR208+AS208</f>
        <v>66.779699999999991</v>
      </c>
      <c r="AU208" s="135">
        <f>+AU234+AU260+AU286</f>
        <v>14.399999999999999</v>
      </c>
      <c r="AV208" s="135">
        <f t="shared" ref="AV208:AX208" si="5360">+AV234+AV260+AV286</f>
        <v>16.509999999999998</v>
      </c>
      <c r="AW208" s="135">
        <f t="shared" si="5360"/>
        <v>17.226129999999998</v>
      </c>
      <c r="AX208" s="135">
        <f t="shared" si="5360"/>
        <v>18.349739999999997</v>
      </c>
      <c r="AY208" s="216">
        <f>+AU208+AV208+AW208+AX208</f>
        <v>66.485869999999991</v>
      </c>
      <c r="AZ208" s="135">
        <f>+AZ234+AZ260+AZ286</f>
        <v>17.208674999999999</v>
      </c>
      <c r="BA208" s="135">
        <f t="shared" ref="BA208:BC208" si="5361">+BA234+BA260+BA286</f>
        <v>24.389475000000001</v>
      </c>
      <c r="BB208" s="135">
        <f t="shared" si="5361"/>
        <v>27.160050000000002</v>
      </c>
      <c r="BC208" s="135">
        <f t="shared" si="5361"/>
        <v>30.009675000000001</v>
      </c>
      <c r="BD208" s="216">
        <f>+AZ208+BA208+BB208+BC208</f>
        <v>98.767875000000004</v>
      </c>
      <c r="BE208" s="135">
        <f>BE234+BE260+BE286</f>
        <v>22.755549662089468</v>
      </c>
      <c r="BF208" s="135">
        <f t="shared" ref="BF208:BH208" si="5362">+BF234+BF260+BF286</f>
        <v>30.296797662089471</v>
      </c>
      <c r="BG208" s="135">
        <f t="shared" si="5362"/>
        <v>33.334161756943658</v>
      </c>
      <c r="BH208" s="135">
        <f t="shared" si="5362"/>
        <v>38.315063549805203</v>
      </c>
      <c r="BI208" s="216">
        <f>+BE208+BF208+BG208+BH208</f>
        <v>124.7015726309278</v>
      </c>
      <c r="BJ208" s="135">
        <f>+BJ234+BJ260+BJ286</f>
        <v>24.218369173880955</v>
      </c>
      <c r="BK208" s="135">
        <f t="shared" ref="BK208:BM208" si="5363">+BK234+BK260+BK286</f>
        <v>31.836479893880956</v>
      </c>
      <c r="BL208" s="135">
        <f t="shared" si="5363"/>
        <v>34.775782911380951</v>
      </c>
      <c r="BM208" s="135">
        <f t="shared" si="5363"/>
        <v>39.64100795310474</v>
      </c>
      <c r="BN208" s="216">
        <f>+BJ208+BK208+BL208+BM208</f>
        <v>130.4716399322476</v>
      </c>
      <c r="BO208" s="135">
        <f>+BO234+BO260+BO286</f>
        <v>29.817642105104053</v>
      </c>
      <c r="BP208" s="135">
        <f t="shared" ref="BP208:BR208" si="5364">+BP234+BP260+BP286</f>
        <v>37.664296146704054</v>
      </c>
      <c r="BQ208" s="135">
        <f t="shared" si="5364"/>
        <v>40.691778254729044</v>
      </c>
      <c r="BR208" s="135">
        <f t="shared" si="5364"/>
        <v>45.702960047704551</v>
      </c>
      <c r="BS208" s="216">
        <f>+BO208+BP208+BQ208+BR208</f>
        <v>153.8766765542417</v>
      </c>
      <c r="BT208" s="135">
        <f>+BT234+BT260+BT286</f>
        <v>35.731074879944032</v>
      </c>
      <c r="BU208" s="135">
        <f t="shared" ref="BU208:BW208" si="5365">+BU234+BU260+BU286</f>
        <v>43.813128542792029</v>
      </c>
      <c r="BV208" s="135">
        <f t="shared" si="5365"/>
        <v>46.931435114057784</v>
      </c>
      <c r="BW208" s="135">
        <f t="shared" si="5365"/>
        <v>52.092952360822551</v>
      </c>
      <c r="BX208" s="216">
        <f>+BT208+BU208+BV208+BW208</f>
        <v>178.56859089761639</v>
      </c>
      <c r="BY208" s="135">
        <f>+BY234+BY260+BY286</f>
        <v>41.972477743379827</v>
      </c>
      <c r="BZ208" s="135">
        <f t="shared" ref="BZ208:CB208" si="5366">+BZ234+BZ260+BZ286</f>
        <v>50.296993016113269</v>
      </c>
      <c r="CA208" s="135">
        <f t="shared" si="5366"/>
        <v>53.508848784516992</v>
      </c>
      <c r="CB208" s="135">
        <f t="shared" si="5366"/>
        <v>58.825211548684692</v>
      </c>
      <c r="CC208" s="216">
        <f>+BY208+BZ208+CA208+CB208</f>
        <v>204.60353109269477</v>
      </c>
      <c r="CD208" s="135">
        <f>+CD234+CD260+CD286</f>
        <v>48.556206811229814</v>
      </c>
      <c r="CE208" s="135">
        <f t="shared" ref="CE208:CG208" si="5367">+CE234+CE260+CE286</f>
        <v>57.130457542145258</v>
      </c>
      <c r="CF208" s="135">
        <f t="shared" si="5367"/>
        <v>60.43866898360109</v>
      </c>
      <c r="CG208" s="135">
        <f t="shared" si="5367"/>
        <v>65.914522630693838</v>
      </c>
      <c r="CH208" s="216">
        <f>+CD208+CE208+CF208+CG208</f>
        <v>232.03985596767001</v>
      </c>
      <c r="CI208" s="135">
        <f>+CI234+CI260+CI286</f>
        <v>55.497184393181769</v>
      </c>
      <c r="CJ208" s="135">
        <f t="shared" ref="CJ208:CL208" si="5368">+CJ234+CJ260+CJ286</f>
        <v>64.328662646024668</v>
      </c>
      <c r="CK208" s="135">
        <f t="shared" si="5368"/>
        <v>67.736120430724185</v>
      </c>
      <c r="CL208" s="135">
        <f t="shared" si="5368"/>
        <v>73.376249687229702</v>
      </c>
      <c r="CM208" s="216">
        <f>+CI208+CJ208+CK208+CL208</f>
        <v>260.9382171571603</v>
      </c>
      <c r="CN208" s="135">
        <f>+CN234+CN260+CN286</f>
        <v>62.810920043920717</v>
      </c>
      <c r="CO208" s="135">
        <f t="shared" ref="CO208:CQ208" si="5369">+CO234+CO260+CO286</f>
        <v>71.907342644348915</v>
      </c>
      <c r="CP208" s="135">
        <f t="shared" si="5369"/>
        <v>75.417024162589414</v>
      </c>
      <c r="CQ208" s="135">
        <f t="shared" si="5369"/>
        <v>81.226357296790098</v>
      </c>
      <c r="CR208" s="216">
        <f>+CN208+CO208+CP208+CQ208</f>
        <v>291.36164414764914</v>
      </c>
      <c r="CS208" s="135">
        <f>+CS234+CS260+CS286</f>
        <v>70.51353236775013</v>
      </c>
      <c r="CT208" s="135">
        <f t="shared" ref="CT208:CV208" si="5370">+CT234+CT260+CT286</f>
        <v>79.882847646191181</v>
      </c>
      <c r="CU208" s="135">
        <f t="shared" si="5370"/>
        <v>83.497819609978905</v>
      </c>
      <c r="CV208" s="135">
        <f t="shared" si="5370"/>
        <v>89.481432738205626</v>
      </c>
      <c r="CW208" s="216">
        <f>+CS208+CT208+CU208+CV208</f>
        <v>323.37563236212588</v>
      </c>
      <c r="CX208" s="135">
        <f>+CX234+CX260+CX286</f>
        <v>78.621771602969815</v>
      </c>
      <c r="CY208" s="135">
        <f t="shared" ref="CY208:DA208" si="5371">+CY234+CY260+CY286</f>
        <v>88.272166339764098</v>
      </c>
      <c r="CZ208" s="135">
        <f t="shared" si="5371"/>
        <v>91.995587462465465</v>
      </c>
      <c r="DA208" s="135">
        <f t="shared" si="5371"/>
        <v>98.158708984538961</v>
      </c>
      <c r="DB208" s="216">
        <f>+CX208+CY208+CZ208+DA208</f>
        <v>357.04823438973835</v>
      </c>
    </row>
    <row r="209" spans="1:106">
      <c r="A209" s="117" t="s">
        <v>281</v>
      </c>
      <c r="F209" s="217"/>
      <c r="K209" s="217"/>
      <c r="P209" s="217"/>
      <c r="U209" s="217"/>
      <c r="V209" s="119" t="s">
        <v>290</v>
      </c>
      <c r="W209" s="119" t="s">
        <v>290</v>
      </c>
      <c r="X209" s="119" t="s">
        <v>290</v>
      </c>
      <c r="Y209" s="119" t="s">
        <v>290</v>
      </c>
      <c r="Z209" s="235" t="s">
        <v>290</v>
      </c>
      <c r="AA209" s="13" t="e">
        <f>+AA208/V208-1</f>
        <v>#DIV/0!</v>
      </c>
      <c r="AB209" s="13" t="e">
        <f t="shared" ref="AB209" si="5372">+AB208/W208-1</f>
        <v>#DIV/0!</v>
      </c>
      <c r="AC209" s="13" t="e">
        <f t="shared" ref="AC209" si="5373">+AC208/X208-1</f>
        <v>#DIV/0!</v>
      </c>
      <c r="AD209" s="13" t="e">
        <f t="shared" ref="AD209" si="5374">+AD208/Y208-1</f>
        <v>#DIV/0!</v>
      </c>
      <c r="AE209" s="239" t="e">
        <f t="shared" ref="AE209" si="5375">+AE208/Z208-1</f>
        <v>#DIV/0!</v>
      </c>
      <c r="AF209" s="13" t="e">
        <f>+AF208/AA208-1</f>
        <v>#DIV/0!</v>
      </c>
      <c r="AG209" s="13" t="e">
        <f t="shared" ref="AG209" si="5376">+AG208/AB208-1</f>
        <v>#DIV/0!</v>
      </c>
      <c r="AH209" s="13" t="e">
        <f t="shared" ref="AH209" si="5377">+AH208/AC208-1</f>
        <v>#DIV/0!</v>
      </c>
      <c r="AI209" s="13" t="e">
        <f t="shared" ref="AI209" si="5378">+AI208/AD208-1</f>
        <v>#DIV/0!</v>
      </c>
      <c r="AJ209" s="239" t="e">
        <f t="shared" ref="AJ209" si="5379">+AJ208/AE208-1</f>
        <v>#DIV/0!</v>
      </c>
      <c r="AK209" s="13">
        <f>+AK208/AF208-1</f>
        <v>3.5271866058967323</v>
      </c>
      <c r="AL209" s="13">
        <f t="shared" ref="AL209" si="5380">+AL208/AG208-1</f>
        <v>3.4069787959253057</v>
      </c>
      <c r="AM209" s="13">
        <f t="shared" ref="AM209" si="5381">+AM208/AH208-1</f>
        <v>2.0665727040593693</v>
      </c>
      <c r="AN209" s="13">
        <f t="shared" ref="AN209" si="5382">+AN208/AI208-1</f>
        <v>1.8620259895469329</v>
      </c>
      <c r="AO209" s="239">
        <f t="shared" ref="AO209" si="5383">+AO208/AJ208-1</f>
        <v>2.4304776348341006</v>
      </c>
      <c r="AP209" s="13">
        <f>+AP208/AK208-1</f>
        <v>1.0215342641634715</v>
      </c>
      <c r="AQ209" s="13">
        <f t="shared" ref="AQ209" si="5384">+AQ208/AL208-1</f>
        <v>0.65037450806144492</v>
      </c>
      <c r="AR209" s="13">
        <f t="shared" ref="AR209" si="5385">+AR208/AM208-1</f>
        <v>0.43057827048778075</v>
      </c>
      <c r="AS209" s="13">
        <f t="shared" ref="AS209" si="5386">+AS208/AN208-1</f>
        <v>0.25481636139318598</v>
      </c>
      <c r="AT209" s="239">
        <f t="shared" ref="AT209" si="5387">+AT208/AO208-1</f>
        <v>0.53157079735016399</v>
      </c>
      <c r="AU209" s="13">
        <f>+AU208/AP208-1</f>
        <v>-7.6923076923076983E-2</v>
      </c>
      <c r="AV209" s="13">
        <f t="shared" ref="AV209" si="5388">+AV208/AQ208-1</f>
        <v>-2.3076923076923328E-2</v>
      </c>
      <c r="AW209" s="13">
        <f t="shared" ref="AW209" si="5389">+AW208/AR208-1</f>
        <v>7.900603237942283E-3</v>
      </c>
      <c r="AX209" s="13">
        <f t="shared" ref="AX209" si="5390">+AX208/AS208-1</f>
        <v>6.755291297720567E-2</v>
      </c>
      <c r="AY209" s="239">
        <f t="shared" ref="AY209" si="5391">+AY208/AT208-1</f>
        <v>-4.3999898172648599E-3</v>
      </c>
      <c r="AZ209" s="13">
        <f>+AZ208/AU208-1</f>
        <v>0.19504687500000006</v>
      </c>
      <c r="BA209" s="13">
        <f t="shared" ref="BA209" si="5392">+BA208/AV208-1</f>
        <v>0.47725469412477306</v>
      </c>
      <c r="BB209" s="13">
        <f t="shared" ref="BB209" si="5393">+BB208/AW208-1</f>
        <v>0.57667740810036872</v>
      </c>
      <c r="BC209" s="13">
        <f t="shared" ref="BC209" si="5394">+BC208/AX208-1</f>
        <v>0.63542780442665703</v>
      </c>
      <c r="BD209" s="239">
        <f t="shared" ref="BD209" si="5395">+BD208/AY208-1</f>
        <v>0.4855468537901364</v>
      </c>
      <c r="BE209" s="13">
        <f>+BE208/AZ208-1</f>
        <v>0.3223301423316709</v>
      </c>
      <c r="BF209" s="13">
        <f t="shared" ref="BF209" si="5396">+BF208/BA208-1</f>
        <v>0.24220786474860456</v>
      </c>
      <c r="BG209" s="13">
        <f t="shared" ref="BG209" si="5397">+BG208/BB208-1</f>
        <v>0.22732328390204204</v>
      </c>
      <c r="BH209" s="13">
        <f t="shared" ref="BH209" si="5398">+BH208/BC208-1</f>
        <v>0.27675703085105718</v>
      </c>
      <c r="BI209" s="239">
        <f t="shared" ref="BI209" si="5399">+BI208/BD208-1</f>
        <v>0.26257219395403419</v>
      </c>
      <c r="BJ209" s="13">
        <f>+BJ208/BE208-1</f>
        <v>6.4284077225720937E-2</v>
      </c>
      <c r="BK209" s="13">
        <f t="shared" ref="BK209" si="5400">+BK208/BF208-1</f>
        <v>5.0819966154973972E-2</v>
      </c>
      <c r="BL209" s="13">
        <f t="shared" ref="BL209" si="5401">+BL208/BG208-1</f>
        <v>4.3247559814129533E-2</v>
      </c>
      <c r="BM209" s="13">
        <f t="shared" ref="BM209" si="5402">+BM208/BH208-1</f>
        <v>3.460634748983149E-2</v>
      </c>
      <c r="BN209" s="239">
        <f t="shared" ref="BN209" si="5403">+BN208/BI208-1</f>
        <v>4.6271006688882288E-2</v>
      </c>
      <c r="BO209" s="13">
        <f>+BO208/BJ208-1</f>
        <v>0.23119942102715174</v>
      </c>
      <c r="BP209" s="13">
        <f t="shared" ref="BP209" si="5404">+BP208/BK208-1</f>
        <v>0.1830546678605387</v>
      </c>
      <c r="BQ209" s="13">
        <f t="shared" ref="BQ209" si="5405">+BQ208/BL208-1</f>
        <v>0.17011825034748496</v>
      </c>
      <c r="BR209" s="13">
        <f t="shared" ref="BR209" si="5406">+BR208/BM208-1</f>
        <v>0.15292124008983565</v>
      </c>
      <c r="BS209" s="239">
        <f t="shared" ref="BS209" si="5407">+BS208/BN208-1</f>
        <v>0.17938792395150438</v>
      </c>
      <c r="BT209" s="13">
        <f>+BT208/BO208-1</f>
        <v>0.19831993267595571</v>
      </c>
      <c r="BU209" s="13">
        <f t="shared" ref="BU209" si="5408">+BU208/BP208-1</f>
        <v>0.16325361217791001</v>
      </c>
      <c r="BV209" s="13">
        <f t="shared" ref="BV209" si="5409">+BV208/BQ208-1</f>
        <v>0.15333949822169757</v>
      </c>
      <c r="BW209" s="13">
        <f t="shared" ref="BW209" si="5410">+BW208/BR208-1</f>
        <v>0.1398157210484432</v>
      </c>
      <c r="BX209" s="239">
        <f t="shared" ref="BX209" si="5411">+BX208/BS208-1</f>
        <v>0.16046560724016401</v>
      </c>
      <c r="BY209" s="13">
        <f>+BY208/BT208-1</f>
        <v>0.17467716502811159</v>
      </c>
      <c r="BZ209" s="13">
        <f t="shared" ref="BZ209" si="5412">+BZ208/BU208-1</f>
        <v>0.14798907745171608</v>
      </c>
      <c r="CA209" s="13">
        <f t="shared" ref="CA209" si="5413">+CA208/BV208-1</f>
        <v>0.14014942552841347</v>
      </c>
      <c r="CB209" s="13">
        <f t="shared" ref="CB209" si="5414">+CB208/BW208-1</f>
        <v>0.12923550850470233</v>
      </c>
      <c r="CC209" s="239">
        <f t="shared" ref="CC209" si="5415">+CC208/BX208-1</f>
        <v>0.14579798196428451</v>
      </c>
      <c r="CD209" s="13">
        <f>+CD208/BY208-1</f>
        <v>0.15685824191993092</v>
      </c>
      <c r="CE209" s="13">
        <f t="shared" ref="CE209" si="5416">+CE208/BZ208-1</f>
        <v>0.13586228750976836</v>
      </c>
      <c r="CF209" s="13">
        <f t="shared" ref="CF209" si="5417">+CF208/CA208-1</f>
        <v>0.12950792918365428</v>
      </c>
      <c r="CG209" s="13">
        <f t="shared" ref="CG209" si="5418">+CG208/CB208-1</f>
        <v>0.12051484211224506</v>
      </c>
      <c r="CH209" s="239">
        <f t="shared" ref="CH209" si="5419">+CH208/CC208-1</f>
        <v>0.13409507024854483</v>
      </c>
      <c r="CI209" s="13">
        <f>+CI208/CD208-1</f>
        <v>0.14294727775866312</v>
      </c>
      <c r="CJ209" s="13">
        <f t="shared" ref="CJ209" si="5420">+CJ208/CE208-1</f>
        <v>0.12599592955420102</v>
      </c>
      <c r="CK209" s="13">
        <f t="shared" ref="CK209" si="5421">+CK208/CF208-1</f>
        <v>0.12074143209710853</v>
      </c>
      <c r="CL209" s="13">
        <f t="shared" ref="CL209" si="5422">+CL208/CG208-1</f>
        <v>0.11320308118352695</v>
      </c>
      <c r="CM209" s="239">
        <f t="shared" ref="CM209" si="5423">+CM208/CH208-1</f>
        <v>0.12454050649607651</v>
      </c>
      <c r="CN209" s="13">
        <f>+CN208/CI208-1</f>
        <v>0.13178570644094689</v>
      </c>
      <c r="CO209" s="13">
        <f t="shared" ref="CO209" si="5424">+CO208/CJ208-1</f>
        <v>0.11781186933772814</v>
      </c>
      <c r="CP209" s="13">
        <f t="shared" ref="CP209" si="5425">+CP208/CK208-1</f>
        <v>0.11339450330227763</v>
      </c>
      <c r="CQ209" s="13">
        <f t="shared" ref="CQ209" si="5426">+CQ208/CL208-1</f>
        <v>0.10698431226755134</v>
      </c>
      <c r="CR209" s="239">
        <f t="shared" ref="CR209" si="5427">+CR208/CM208-1</f>
        <v>0.11659245365413518</v>
      </c>
      <c r="CS209" s="13">
        <f>+CS208/CN208-1</f>
        <v>0.12263173853277953</v>
      </c>
      <c r="CT209" s="13">
        <f t="shared" ref="CT209" si="5428">+CT208/CO208-1</f>
        <v>0.11091363842061064</v>
      </c>
      <c r="CU209" s="13">
        <f t="shared" ref="CU209" si="5429">+CU208/CP208-1</f>
        <v>0.10714816100365265</v>
      </c>
      <c r="CV209" s="13">
        <f t="shared" ref="CV209" si="5430">+CV208/CQ208-1</f>
        <v>0.10163050167635368</v>
      </c>
      <c r="CW209" s="239">
        <f t="shared" ref="CW209" si="5431">+CW208/CR208-1</f>
        <v>0.10987715389968589</v>
      </c>
      <c r="CX209" s="13">
        <f>+CX208/CS208-1</f>
        <v>0.1149884137548618</v>
      </c>
      <c r="CY209" s="13">
        <f t="shared" ref="CY209" si="5432">+CY208/CT208-1</f>
        <v>0.10502027582604478</v>
      </c>
      <c r="CZ209" s="13">
        <f t="shared" ref="CZ209" si="5433">+CZ208/CU208-1</f>
        <v>0.10177233240556371</v>
      </c>
      <c r="DA209" s="13">
        <f t="shared" ref="DA209" si="5434">+DA208/CV208-1</f>
        <v>9.6972924782287473E-2</v>
      </c>
      <c r="DB209" s="239">
        <f t="shared" ref="DB209" si="5435">+DB208/CW208-1</f>
        <v>0.10412844586231795</v>
      </c>
    </row>
    <row r="210" spans="1:106">
      <c r="A210" s="117" t="s">
        <v>288</v>
      </c>
      <c r="F210" s="217"/>
      <c r="K210" s="217"/>
      <c r="P210" s="217"/>
      <c r="U210" s="217"/>
      <c r="V210" s="119" t="s">
        <v>290</v>
      </c>
      <c r="W210" s="13" t="e">
        <f>+W208/V208-1</f>
        <v>#DIV/0!</v>
      </c>
      <c r="X210" s="13" t="e">
        <f t="shared" ref="X210:Y210" si="5436">+X208/W208-1</f>
        <v>#DIV/0!</v>
      </c>
      <c r="Y210" s="13" t="e">
        <f t="shared" si="5436"/>
        <v>#DIV/0!</v>
      </c>
      <c r="Z210" s="235" t="s">
        <v>290</v>
      </c>
      <c r="AA210" s="13" t="e">
        <f>+AA208/Y208-1</f>
        <v>#DIV/0!</v>
      </c>
      <c r="AB210" s="13" t="e">
        <f>+AB208/AA208-1</f>
        <v>#DIV/0!</v>
      </c>
      <c r="AC210" s="13" t="e">
        <f t="shared" ref="AC210:AD210" si="5437">+AC208/AB208-1</f>
        <v>#DIV/0!</v>
      </c>
      <c r="AD210" s="13" t="e">
        <f t="shared" si="5437"/>
        <v>#DIV/0!</v>
      </c>
      <c r="AE210" s="235" t="s">
        <v>290</v>
      </c>
      <c r="AF210" s="13" t="e">
        <f>+AF208/AD208-1</f>
        <v>#DIV/0!</v>
      </c>
      <c r="AG210" s="13">
        <f>+AG208/AF208-1</f>
        <v>0.36316410404729393</v>
      </c>
      <c r="AH210" s="13">
        <f t="shared" ref="AH210:AI210" si="5438">+AH208/AG208-1</f>
        <v>0.67664797448797342</v>
      </c>
      <c r="AI210" s="13">
        <f t="shared" si="5438"/>
        <v>0.22851831013102064</v>
      </c>
      <c r="AJ210" s="235" t="s">
        <v>290</v>
      </c>
      <c r="AK210" s="13">
        <f>+AK208/AI208-1</f>
        <v>0.61234038596744145</v>
      </c>
      <c r="AL210" s="13">
        <f>+AL208/AK208-1</f>
        <v>0.32696878323463885</v>
      </c>
      <c r="AM210" s="13">
        <f t="shared" ref="AM210:AN210" si="5439">+AM208/AL208-1</f>
        <v>0.16668655579535363</v>
      </c>
      <c r="AN210" s="13">
        <f t="shared" si="5439"/>
        <v>0.14657360889402482</v>
      </c>
      <c r="AO210" s="235" t="s">
        <v>290</v>
      </c>
      <c r="AP210" s="13">
        <f>+AP208/AN208-1</f>
        <v>0.1388440732656353</v>
      </c>
      <c r="AQ210" s="13">
        <f>+AQ208/AP208-1</f>
        <v>8.3333333333333481E-2</v>
      </c>
      <c r="AR210" s="13">
        <f t="shared" ref="AR210:AS210" si="5440">+AR208/AQ208-1</f>
        <v>1.1307692307692241E-2</v>
      </c>
      <c r="AS210" s="13">
        <f t="shared" si="5440"/>
        <v>5.7047235110672112E-3</v>
      </c>
      <c r="AT210" s="235" t="s">
        <v>290</v>
      </c>
      <c r="AU210" s="13">
        <f>+AU208/AS208-1</f>
        <v>-0.16223543511397098</v>
      </c>
      <c r="AV210" s="13">
        <f>+AV208/AU208-1</f>
        <v>0.14652777777777781</v>
      </c>
      <c r="AW210" s="13">
        <f t="shared" ref="AW210:AX210" si="5441">+AW208/AV208-1</f>
        <v>4.3375529981829253E-2</v>
      </c>
      <c r="AX210" s="13">
        <f t="shared" si="5441"/>
        <v>6.522707073498224E-2</v>
      </c>
      <c r="AY210" s="235" t="s">
        <v>290</v>
      </c>
      <c r="AZ210" s="13">
        <f>+AZ208/AX208-1</f>
        <v>-6.2184259831474353E-2</v>
      </c>
      <c r="BA210" s="13">
        <f>+BA208/AZ208-1</f>
        <v>0.41727791361043209</v>
      </c>
      <c r="BB210" s="13">
        <f t="shared" ref="BB210:BC210" si="5442">+BB208/BA208-1</f>
        <v>0.11359715615034771</v>
      </c>
      <c r="BC210" s="13">
        <f t="shared" si="5442"/>
        <v>0.10491972584733822</v>
      </c>
      <c r="BD210" s="235" t="s">
        <v>290</v>
      </c>
      <c r="BE210" s="13">
        <f>+BE208/BC208-1</f>
        <v>-0.24172622122400633</v>
      </c>
      <c r="BF210" s="13">
        <f>+BF208/BE208-1</f>
        <v>0.33140258583002513</v>
      </c>
      <c r="BG210" s="13">
        <f t="shared" ref="BG210:BH210" si="5443">+BG208/BF208-1</f>
        <v>0.10025363501221962</v>
      </c>
      <c r="BH210" s="13">
        <f t="shared" si="5443"/>
        <v>0.14942334021115733</v>
      </c>
      <c r="BI210" s="235" t="s">
        <v>290</v>
      </c>
      <c r="BJ210" s="13">
        <f>+BJ208/BH208-1</f>
        <v>-0.36791520279224266</v>
      </c>
      <c r="BK210" s="13">
        <f>+BK208/BJ208-1</f>
        <v>0.31455919534895793</v>
      </c>
      <c r="BL210" s="13">
        <f t="shared" ref="BL210:BM210" si="5444">+BL208/BK208-1</f>
        <v>9.2325000354858133E-2</v>
      </c>
      <c r="BM210" s="13">
        <f t="shared" si="5444"/>
        <v>0.13990267463199402</v>
      </c>
      <c r="BN210" s="235" t="s">
        <v>290</v>
      </c>
      <c r="BO210" s="13">
        <f>+BO208/BM208-1</f>
        <v>-0.24780817530224553</v>
      </c>
      <c r="BP210" s="13">
        <f>+BP208/BO208-1</f>
        <v>0.2631547462385313</v>
      </c>
      <c r="BQ210" s="13">
        <f t="shared" ref="BQ210:BR210" si="5445">+BQ208/BP208-1</f>
        <v>8.0380689877565192E-2</v>
      </c>
      <c r="BR210" s="13">
        <f t="shared" si="5445"/>
        <v>0.1231497370698742</v>
      </c>
      <c r="BS210" s="235" t="s">
        <v>290</v>
      </c>
      <c r="BT210" s="13">
        <f>+BT208/BR208-1</f>
        <v>-0.21818904415276186</v>
      </c>
      <c r="BU210" s="13">
        <f>+BU208/BT208-1</f>
        <v>0.22619117085068385</v>
      </c>
      <c r="BV210" s="13">
        <f t="shared" ref="BV210:BW210" si="5446">+BV208/BU208-1</f>
        <v>7.1172880709035047E-2</v>
      </c>
      <c r="BW210" s="13">
        <f t="shared" si="5446"/>
        <v>0.10997995765995006</v>
      </c>
      <c r="BX210" s="235" t="s">
        <v>290</v>
      </c>
      <c r="BY210" s="13">
        <f>+BY208/BW208-1</f>
        <v>-0.19427723250053319</v>
      </c>
      <c r="BZ210" s="13">
        <f>+BZ208/BY208-1</f>
        <v>0.198332710392501</v>
      </c>
      <c r="CA210" s="13">
        <f t="shared" ref="CA210:CB210" si="5447">+CA208/BZ208-1</f>
        <v>6.3857808902706426E-2</v>
      </c>
      <c r="CB210" s="13">
        <f t="shared" si="5447"/>
        <v>9.9354833544952115E-2</v>
      </c>
      <c r="CC210" s="235" t="s">
        <v>290</v>
      </c>
      <c r="CD210" s="13">
        <f>+CD208/CB208-1</f>
        <v>-0.17456808853047789</v>
      </c>
      <c r="CE210" s="13">
        <f>+CE208/CD208-1</f>
        <v>0.17658403104363662</v>
      </c>
      <c r="CF210" s="13">
        <f t="shared" ref="CF210:CG210" si="5448">+CF208/CE208-1</f>
        <v>5.7906265480463848E-2</v>
      </c>
      <c r="CG210" s="13">
        <f t="shared" si="5448"/>
        <v>9.0601823951128369E-2</v>
      </c>
      <c r="CH210" s="235" t="s">
        <v>290</v>
      </c>
      <c r="CI210" s="13">
        <f>+CI208/CG208-1</f>
        <v>-0.15804314165906008</v>
      </c>
      <c r="CJ210" s="13">
        <f>+CJ208/CI208-1</f>
        <v>0.15913380740677563</v>
      </c>
      <c r="CK210" s="13">
        <f t="shared" ref="CK210:CL210" si="5449">+CK208/CJ208-1</f>
        <v>5.2969510705506373E-2</v>
      </c>
      <c r="CL210" s="13">
        <f t="shared" si="5449"/>
        <v>8.3266198604832198E-2</v>
      </c>
      <c r="CM210" s="235" t="s">
        <v>290</v>
      </c>
      <c r="CN210" s="13">
        <f>+CN208/CL208-1</f>
        <v>-0.14398841162289278</v>
      </c>
      <c r="CO210" s="13">
        <f>+CO208/CN208-1</f>
        <v>0.1448223110578144</v>
      </c>
      <c r="CP210" s="13">
        <f t="shared" ref="CP210:CQ210" si="5450">+CP208/CO208-1</f>
        <v>4.8808388534106406E-2</v>
      </c>
      <c r="CQ210" s="13">
        <f t="shared" si="5450"/>
        <v>7.7029466472669395E-2</v>
      </c>
      <c r="CR210" s="235" t="s">
        <v>290</v>
      </c>
      <c r="CS210" s="13">
        <f>+CS208/CQ208-1</f>
        <v>-0.13188853083607777</v>
      </c>
      <c r="CT210" s="13">
        <f>+CT208/CS208-1</f>
        <v>0.13287258436546812</v>
      </c>
      <c r="CU210" s="13">
        <f t="shared" ref="CU210:CV210" si="5451">+CU208/CT208-1</f>
        <v>4.5253418854054761E-2</v>
      </c>
      <c r="CV210" s="13">
        <f t="shared" si="5451"/>
        <v>7.1661908732184587E-2</v>
      </c>
      <c r="CW210" s="235" t="s">
        <v>290</v>
      </c>
      <c r="CX210" s="13">
        <f>+CX208/CV208-1</f>
        <v>-0.1213621731673401</v>
      </c>
      <c r="CY210" s="13">
        <f>+CY208/CX208-1</f>
        <v>0.12274455968160547</v>
      </c>
      <c r="CZ210" s="13">
        <f t="shared" ref="CZ210:DA210" si="5452">+CZ208/CY208-1</f>
        <v>4.2181145848054991E-2</v>
      </c>
      <c r="DA210" s="13">
        <f t="shared" si="5452"/>
        <v>6.6993664501442174E-2</v>
      </c>
      <c r="DB210" s="235" t="s">
        <v>290</v>
      </c>
    </row>
    <row r="211" spans="1:106">
      <c r="F211" s="217"/>
      <c r="K211" s="217"/>
      <c r="P211" s="217"/>
      <c r="U211" s="217"/>
      <c r="Z211" s="217"/>
      <c r="AE211" s="217"/>
      <c r="AJ211" s="217"/>
      <c r="AO211" s="217"/>
      <c r="AT211" s="217"/>
      <c r="AY211" s="217"/>
      <c r="BD211" s="217"/>
      <c r="BI211" s="217"/>
      <c r="BN211" s="217"/>
      <c r="BS211" s="217"/>
      <c r="BX211" s="217"/>
      <c r="CC211" s="217"/>
      <c r="CH211" s="217"/>
      <c r="CM211" s="217"/>
      <c r="CR211" s="217"/>
      <c r="CW211" s="217"/>
      <c r="DB211" s="217"/>
    </row>
    <row r="212" spans="1:106" s="124" customFormat="1">
      <c r="A212" s="124" t="s">
        <v>277</v>
      </c>
      <c r="F212" s="243"/>
      <c r="K212" s="243"/>
      <c r="P212" s="243"/>
      <c r="U212" s="243"/>
      <c r="Z212" s="243"/>
      <c r="AE212" s="243"/>
      <c r="AJ212" s="243"/>
      <c r="AO212" s="243"/>
      <c r="AT212" s="243"/>
      <c r="AY212" s="243"/>
      <c r="BD212" s="243"/>
      <c r="BI212" s="243"/>
      <c r="BN212" s="243"/>
      <c r="BS212" s="243"/>
      <c r="BX212" s="243"/>
      <c r="CC212" s="243"/>
      <c r="CH212" s="243"/>
      <c r="CM212" s="243"/>
      <c r="CR212" s="243"/>
      <c r="CW212" s="243"/>
      <c r="DB212" s="243"/>
    </row>
    <row r="213" spans="1:106" s="51" customFormat="1">
      <c r="A213" s="51" t="s">
        <v>309</v>
      </c>
      <c r="F213" s="233"/>
      <c r="K213" s="233"/>
      <c r="P213" s="233"/>
      <c r="U213" s="233"/>
      <c r="V213" s="213">
        <f>+Z213/4</f>
        <v>5300</v>
      </c>
      <c r="W213" s="213">
        <f>+Z213/4</f>
        <v>5300</v>
      </c>
      <c r="X213" s="213">
        <f>+Z213/4</f>
        <v>5300</v>
      </c>
      <c r="Y213" s="213">
        <f>+Z213/4</f>
        <v>5300</v>
      </c>
      <c r="Z213" s="234">
        <v>21200</v>
      </c>
      <c r="AA213" s="213">
        <f>+V213*(1+AA214)</f>
        <v>5459</v>
      </c>
      <c r="AB213" s="213">
        <f t="shared" ref="AB213:AD213" si="5453">+W213*(1+AB214)</f>
        <v>5459</v>
      </c>
      <c r="AC213" s="213">
        <f t="shared" si="5453"/>
        <v>5459</v>
      </c>
      <c r="AD213" s="213">
        <f t="shared" si="5453"/>
        <v>5459</v>
      </c>
      <c r="AE213" s="234">
        <f>+AA213+AB213+AC213+AD213</f>
        <v>21836</v>
      </c>
      <c r="AF213" s="213">
        <f>+AA213*(1+AF214)</f>
        <v>5622.77</v>
      </c>
      <c r="AG213" s="213">
        <f t="shared" ref="AG213" si="5454">+AB213*(1+AG214)</f>
        <v>5622.77</v>
      </c>
      <c r="AH213" s="213">
        <f t="shared" ref="AH213" si="5455">+AC213*(1+AH214)</f>
        <v>5622.77</v>
      </c>
      <c r="AI213" s="213">
        <f t="shared" ref="AI213" si="5456">+AD213*(1+AI214)</f>
        <v>5622.77</v>
      </c>
      <c r="AJ213" s="234">
        <f>+AF213+AG213+AH213+AI213</f>
        <v>22491.08</v>
      </c>
      <c r="AK213" s="213">
        <f>+AF213*(1+AK214)</f>
        <v>5791.4531000000006</v>
      </c>
      <c r="AL213" s="213">
        <f t="shared" ref="AL213" si="5457">+AG213*(1+AL214)</f>
        <v>5791.4531000000006</v>
      </c>
      <c r="AM213" s="213">
        <f t="shared" ref="AM213" si="5458">+AH213*(1+AM214)</f>
        <v>5791.4531000000006</v>
      </c>
      <c r="AN213" s="213">
        <f t="shared" ref="AN213" si="5459">+AI213*(1+AN214)</f>
        <v>5791.4531000000006</v>
      </c>
      <c r="AO213" s="234">
        <f>+AK213+AL213+AM213+AN213</f>
        <v>23165.812400000003</v>
      </c>
      <c r="AP213" s="213">
        <f>+AK213*(1+AP214)</f>
        <v>5965.1966930000008</v>
      </c>
      <c r="AQ213" s="213">
        <f t="shared" ref="AQ213" si="5460">+AL213*(1+AQ214)</f>
        <v>5965.1966930000008</v>
      </c>
      <c r="AR213" s="213">
        <f t="shared" ref="AR213" si="5461">+AM213*(1+AR214)</f>
        <v>5965.1966930000008</v>
      </c>
      <c r="AS213" s="213">
        <f t="shared" ref="AS213" si="5462">+AN213*(1+AS214)</f>
        <v>5965.1966930000008</v>
      </c>
      <c r="AT213" s="234">
        <f>+AP213+AQ213+AR213+AS213</f>
        <v>23860.786772000003</v>
      </c>
      <c r="AU213" s="213">
        <f>+AP213*(1+AU214)</f>
        <v>6144.1525937900005</v>
      </c>
      <c r="AV213" s="213">
        <f t="shared" ref="AV213" si="5463">+AQ213*(1+AV214)</f>
        <v>6144.1525937900005</v>
      </c>
      <c r="AW213" s="213">
        <f t="shared" ref="AW213" si="5464">+AR213*(1+AW214)</f>
        <v>6144.1525937900005</v>
      </c>
      <c r="AX213" s="213">
        <f t="shared" ref="AX213" si="5465">+AS213*(1+AX214)</f>
        <v>6144.1525937900005</v>
      </c>
      <c r="AY213" s="234">
        <f>+AU213+AV213+AW213+AX213</f>
        <v>24576.610375160002</v>
      </c>
      <c r="AZ213" s="213">
        <f>+AU213*(1+AZ214)</f>
        <v>6328.4771716037003</v>
      </c>
      <c r="BA213" s="213">
        <f t="shared" ref="BA213" si="5466">+AV213*(1+BA214)</f>
        <v>6328.4771716037003</v>
      </c>
      <c r="BB213" s="213">
        <f t="shared" ref="BB213" si="5467">+AW213*(1+BB214)</f>
        <v>6328.4771716037003</v>
      </c>
      <c r="BC213" s="213">
        <f t="shared" ref="BC213" si="5468">+AX213*(1+BC214)</f>
        <v>6328.4771716037003</v>
      </c>
      <c r="BD213" s="234">
        <f>+AZ213+BA213+BB213+BC213</f>
        <v>25313.908686414801</v>
      </c>
      <c r="BE213" s="213">
        <f>+AZ213*(1+BE214)</f>
        <v>6518.3314867518111</v>
      </c>
      <c r="BF213" s="213">
        <f t="shared" ref="BF213" si="5469">+BA213*(1+BF214)</f>
        <v>6518.3314867518111</v>
      </c>
      <c r="BG213" s="213">
        <f t="shared" ref="BG213" si="5470">+BB213*(1+BG214)</f>
        <v>6518.3314867518111</v>
      </c>
      <c r="BH213" s="213">
        <f t="shared" ref="BH213" si="5471">+BC213*(1+BH214)</f>
        <v>6518.3314867518111</v>
      </c>
      <c r="BI213" s="234">
        <f>+BE213+BF213+BG213+BH213</f>
        <v>26073.325947007244</v>
      </c>
      <c r="BJ213" s="213">
        <f>+BE213*(1+BJ214)</f>
        <v>6713.8814313543653</v>
      </c>
      <c r="BK213" s="213">
        <f t="shared" ref="BK213" si="5472">+BF213*(1+BK214)</f>
        <v>6713.8814313543653</v>
      </c>
      <c r="BL213" s="213">
        <f t="shared" ref="BL213" si="5473">+BG213*(1+BL214)</f>
        <v>6713.8814313543653</v>
      </c>
      <c r="BM213" s="213">
        <f t="shared" ref="BM213" si="5474">+BH213*(1+BM214)</f>
        <v>6713.8814313543653</v>
      </c>
      <c r="BN213" s="234">
        <f>+BJ213+BK213+BL213+BM213</f>
        <v>26855.525725417461</v>
      </c>
      <c r="BO213" s="213">
        <f>+BJ213*(1+BO214)</f>
        <v>6915.2978742949963</v>
      </c>
      <c r="BP213" s="213">
        <f t="shared" ref="BP213" si="5475">+BK213*(1+BP214)</f>
        <v>6915.2978742949963</v>
      </c>
      <c r="BQ213" s="213">
        <f t="shared" ref="BQ213" si="5476">+BL213*(1+BQ214)</f>
        <v>6915.2978742949963</v>
      </c>
      <c r="BR213" s="213">
        <f t="shared" ref="BR213" si="5477">+BM213*(1+BR214)</f>
        <v>6915.2978742949963</v>
      </c>
      <c r="BS213" s="234">
        <f>+BO213+BP213+BQ213+BR213</f>
        <v>27661.191497179985</v>
      </c>
      <c r="BT213" s="213">
        <f>+BO213*(1+BT214)</f>
        <v>7122.7568105238461</v>
      </c>
      <c r="BU213" s="213">
        <f t="shared" ref="BU213" si="5478">+BP213*(1+BU214)</f>
        <v>7122.7568105238461</v>
      </c>
      <c r="BV213" s="213">
        <f t="shared" ref="BV213" si="5479">+BQ213*(1+BV214)</f>
        <v>7122.7568105238461</v>
      </c>
      <c r="BW213" s="213">
        <f t="shared" ref="BW213" si="5480">+BR213*(1+BW214)</f>
        <v>7122.7568105238461</v>
      </c>
      <c r="BX213" s="234">
        <f>+BT213+BU213+BV213+BW213</f>
        <v>28491.027242095384</v>
      </c>
      <c r="BY213" s="213">
        <f>+BT213*(1+BY214)</f>
        <v>7336.4395148395615</v>
      </c>
      <c r="BZ213" s="213">
        <f t="shared" ref="BZ213" si="5481">+BU213*(1+BZ214)</f>
        <v>7336.4395148395615</v>
      </c>
      <c r="CA213" s="213">
        <f t="shared" ref="CA213" si="5482">+BV213*(1+CA214)</f>
        <v>7336.4395148395615</v>
      </c>
      <c r="CB213" s="213">
        <f t="shared" ref="CB213" si="5483">+BW213*(1+CB214)</f>
        <v>7336.4395148395615</v>
      </c>
      <c r="CC213" s="234">
        <f>+BY213+BZ213+CA213+CB213</f>
        <v>29345.758059358246</v>
      </c>
      <c r="CD213" s="213">
        <f>+BY213*(1+CD214)</f>
        <v>7556.5327002847489</v>
      </c>
      <c r="CE213" s="213">
        <f t="shared" ref="CE213" si="5484">+BZ213*(1+CE214)</f>
        <v>7556.5327002847489</v>
      </c>
      <c r="CF213" s="213">
        <f t="shared" ref="CF213" si="5485">+CA213*(1+CF214)</f>
        <v>7556.5327002847489</v>
      </c>
      <c r="CG213" s="213">
        <f t="shared" ref="CG213" si="5486">+CB213*(1+CG214)</f>
        <v>7556.5327002847489</v>
      </c>
      <c r="CH213" s="234">
        <f>+CD213+CE213+CF213+CG213</f>
        <v>30226.130801138996</v>
      </c>
      <c r="CI213" s="213">
        <f>+CD213*(1+CI214)</f>
        <v>7783.2286812932916</v>
      </c>
      <c r="CJ213" s="213">
        <f t="shared" ref="CJ213" si="5487">+CE213*(1+CJ214)</f>
        <v>7783.2286812932916</v>
      </c>
      <c r="CK213" s="213">
        <f t="shared" ref="CK213" si="5488">+CF213*(1+CK214)</f>
        <v>7783.2286812932916</v>
      </c>
      <c r="CL213" s="213">
        <f t="shared" ref="CL213" si="5489">+CG213*(1+CL214)</f>
        <v>7783.2286812932916</v>
      </c>
      <c r="CM213" s="234">
        <f>+CI213+CJ213+CK213+CL213</f>
        <v>31132.914725173167</v>
      </c>
      <c r="CN213" s="213">
        <f>+CI213*(1+CN214)</f>
        <v>8016.7255417320903</v>
      </c>
      <c r="CO213" s="213">
        <f t="shared" ref="CO213" si="5490">+CJ213*(1+CO214)</f>
        <v>8016.7255417320903</v>
      </c>
      <c r="CP213" s="213">
        <f t="shared" ref="CP213" si="5491">+CK213*(1+CP214)</f>
        <v>8016.7255417320903</v>
      </c>
      <c r="CQ213" s="213">
        <f t="shared" ref="CQ213" si="5492">+CL213*(1+CQ214)</f>
        <v>8016.7255417320903</v>
      </c>
      <c r="CR213" s="234">
        <f>+CN213+CO213+CP213+CQ213</f>
        <v>32066.902166928361</v>
      </c>
      <c r="CS213" s="213">
        <f>+CN213*(1+CS214)</f>
        <v>8257.2273079840525</v>
      </c>
      <c r="CT213" s="213">
        <f t="shared" ref="CT213" si="5493">+CO213*(1+CT214)</f>
        <v>8257.2273079840525</v>
      </c>
      <c r="CU213" s="213">
        <f t="shared" ref="CU213" si="5494">+CP213*(1+CU214)</f>
        <v>8257.2273079840525</v>
      </c>
      <c r="CV213" s="213">
        <f t="shared" ref="CV213" si="5495">+CQ213*(1+CV214)</f>
        <v>8257.2273079840525</v>
      </c>
      <c r="CW213" s="234">
        <f>+CS213+CT213+CU213+CV213</f>
        <v>33028.90923193621</v>
      </c>
      <c r="CX213" s="213">
        <f>+CS213*(1+CX214)</f>
        <v>8504.9441272235745</v>
      </c>
      <c r="CY213" s="213">
        <f t="shared" ref="CY213" si="5496">+CT213*(1+CY214)</f>
        <v>8504.9441272235745</v>
      </c>
      <c r="CZ213" s="213">
        <f t="shared" ref="CZ213" si="5497">+CU213*(1+CZ214)</f>
        <v>8504.9441272235745</v>
      </c>
      <c r="DA213" s="213">
        <f t="shared" ref="DA213" si="5498">+CV213*(1+DA214)</f>
        <v>8504.9441272235745</v>
      </c>
      <c r="DB213" s="234">
        <f>+CX213+CY213+CZ213+DA213</f>
        <v>34019.776508894298</v>
      </c>
    </row>
    <row r="214" spans="1:106">
      <c r="A214" s="117" t="s">
        <v>281</v>
      </c>
      <c r="F214" s="217"/>
      <c r="K214" s="217"/>
      <c r="P214" s="217"/>
      <c r="U214" s="217"/>
      <c r="V214" s="119" t="s">
        <v>326</v>
      </c>
      <c r="W214" s="119" t="s">
        <v>326</v>
      </c>
      <c r="X214" s="119" t="s">
        <v>326</v>
      </c>
      <c r="Y214" s="119" t="s">
        <v>326</v>
      </c>
      <c r="Z214" s="235" t="s">
        <v>326</v>
      </c>
      <c r="AA214" s="118">
        <v>0.03</v>
      </c>
      <c r="AB214" s="118">
        <v>0.03</v>
      </c>
      <c r="AC214" s="118">
        <v>0.03</v>
      </c>
      <c r="AD214" s="118">
        <v>0.03</v>
      </c>
      <c r="AE214" s="239">
        <f>+AE213/Z213-1</f>
        <v>3.0000000000000027E-2</v>
      </c>
      <c r="AF214" s="118">
        <v>0.03</v>
      </c>
      <c r="AG214" s="118">
        <v>0.03</v>
      </c>
      <c r="AH214" s="118">
        <v>0.03</v>
      </c>
      <c r="AI214" s="118">
        <v>0.03</v>
      </c>
      <c r="AJ214" s="239">
        <f>+AJ213/AE213-1</f>
        <v>3.0000000000000027E-2</v>
      </c>
      <c r="AK214" s="118">
        <v>0.03</v>
      </c>
      <c r="AL214" s="118">
        <v>0.03</v>
      </c>
      <c r="AM214" s="118">
        <v>0.03</v>
      </c>
      <c r="AN214" s="118">
        <v>0.03</v>
      </c>
      <c r="AO214" s="239">
        <f>+AO213/AJ213-1</f>
        <v>3.0000000000000027E-2</v>
      </c>
      <c r="AP214" s="118">
        <v>0.03</v>
      </c>
      <c r="AQ214" s="118">
        <v>0.03</v>
      </c>
      <c r="AR214" s="118">
        <v>0.03</v>
      </c>
      <c r="AS214" s="118">
        <v>0.03</v>
      </c>
      <c r="AT214" s="239">
        <f>+AT213/AO213-1</f>
        <v>3.0000000000000027E-2</v>
      </c>
      <c r="AU214" s="118">
        <v>0.03</v>
      </c>
      <c r="AV214" s="118">
        <v>0.03</v>
      </c>
      <c r="AW214" s="118">
        <v>0.03</v>
      </c>
      <c r="AX214" s="118">
        <v>0.03</v>
      </c>
      <c r="AY214" s="239">
        <f>+AY213/AT213-1</f>
        <v>3.0000000000000027E-2</v>
      </c>
      <c r="AZ214" s="118">
        <v>0.03</v>
      </c>
      <c r="BA214" s="118">
        <v>0.03</v>
      </c>
      <c r="BB214" s="118">
        <v>0.03</v>
      </c>
      <c r="BC214" s="118">
        <v>0.03</v>
      </c>
      <c r="BD214" s="239">
        <f>+BD213/AY213-1</f>
        <v>3.0000000000000027E-2</v>
      </c>
      <c r="BE214" s="118">
        <v>0.03</v>
      </c>
      <c r="BF214" s="118">
        <v>0.03</v>
      </c>
      <c r="BG214" s="118">
        <v>0.03</v>
      </c>
      <c r="BH214" s="118">
        <v>0.03</v>
      </c>
      <c r="BI214" s="239">
        <f>+BI213/BD213-1</f>
        <v>3.0000000000000027E-2</v>
      </c>
      <c r="BJ214" s="118">
        <v>0.03</v>
      </c>
      <c r="BK214" s="118">
        <v>0.03</v>
      </c>
      <c r="BL214" s="118">
        <v>0.03</v>
      </c>
      <c r="BM214" s="118">
        <v>0.03</v>
      </c>
      <c r="BN214" s="239">
        <f>+BN213/BI213-1</f>
        <v>3.0000000000000027E-2</v>
      </c>
      <c r="BO214" s="118">
        <v>0.03</v>
      </c>
      <c r="BP214" s="118">
        <v>0.03</v>
      </c>
      <c r="BQ214" s="118">
        <v>0.03</v>
      </c>
      <c r="BR214" s="118">
        <v>0.03</v>
      </c>
      <c r="BS214" s="239">
        <f>+BS213/BN213-1</f>
        <v>3.0000000000000027E-2</v>
      </c>
      <c r="BT214" s="118">
        <v>0.03</v>
      </c>
      <c r="BU214" s="118">
        <v>0.03</v>
      </c>
      <c r="BV214" s="118">
        <v>0.03</v>
      </c>
      <c r="BW214" s="118">
        <v>0.03</v>
      </c>
      <c r="BX214" s="239">
        <f>+BX213/BS213-1</f>
        <v>3.0000000000000027E-2</v>
      </c>
      <c r="BY214" s="118">
        <v>0.03</v>
      </c>
      <c r="BZ214" s="118">
        <v>0.03</v>
      </c>
      <c r="CA214" s="118">
        <v>0.03</v>
      </c>
      <c r="CB214" s="118">
        <v>0.03</v>
      </c>
      <c r="CC214" s="239">
        <f>+CC213/BX213-1</f>
        <v>3.0000000000000027E-2</v>
      </c>
      <c r="CD214" s="118">
        <v>0.03</v>
      </c>
      <c r="CE214" s="118">
        <v>0.03</v>
      </c>
      <c r="CF214" s="118">
        <v>0.03</v>
      </c>
      <c r="CG214" s="118">
        <v>0.03</v>
      </c>
      <c r="CH214" s="239">
        <f>+CH213/CC213-1</f>
        <v>3.0000000000000027E-2</v>
      </c>
      <c r="CI214" s="118">
        <v>0.03</v>
      </c>
      <c r="CJ214" s="118">
        <v>0.03</v>
      </c>
      <c r="CK214" s="118">
        <v>0.03</v>
      </c>
      <c r="CL214" s="118">
        <v>0.03</v>
      </c>
      <c r="CM214" s="239">
        <f>+CM213/CH213-1</f>
        <v>3.0000000000000027E-2</v>
      </c>
      <c r="CN214" s="118">
        <v>0.03</v>
      </c>
      <c r="CO214" s="118">
        <v>0.03</v>
      </c>
      <c r="CP214" s="118">
        <v>0.03</v>
      </c>
      <c r="CQ214" s="118">
        <v>0.03</v>
      </c>
      <c r="CR214" s="239">
        <f>+CR213/CM213-1</f>
        <v>3.0000000000000027E-2</v>
      </c>
      <c r="CS214" s="118">
        <v>0.03</v>
      </c>
      <c r="CT214" s="118">
        <v>0.03</v>
      </c>
      <c r="CU214" s="118">
        <v>0.03</v>
      </c>
      <c r="CV214" s="118">
        <v>0.03</v>
      </c>
      <c r="CW214" s="239">
        <f>+CW213/CR213-1</f>
        <v>3.0000000000000027E-2</v>
      </c>
      <c r="CX214" s="118">
        <v>0.03</v>
      </c>
      <c r="CY214" s="118">
        <v>0.03</v>
      </c>
      <c r="CZ214" s="118">
        <v>0.03</v>
      </c>
      <c r="DA214" s="118">
        <v>0.03</v>
      </c>
      <c r="DB214" s="239">
        <f>+DB213/CW213-1</f>
        <v>3.0000000000000027E-2</v>
      </c>
    </row>
    <row r="215" spans="1:106" s="51" customFormat="1">
      <c r="A215" s="51" t="s">
        <v>310</v>
      </c>
      <c r="F215" s="233"/>
      <c r="K215" s="233"/>
      <c r="P215" s="233"/>
      <c r="U215" s="233"/>
      <c r="V215" s="213">
        <f>+V213*V216</f>
        <v>37100</v>
      </c>
      <c r="W215" s="213">
        <f t="shared" ref="W215:Y215" si="5499">+W213*W216</f>
        <v>37100</v>
      </c>
      <c r="X215" s="213">
        <f t="shared" si="5499"/>
        <v>37100</v>
      </c>
      <c r="Y215" s="213">
        <f t="shared" si="5499"/>
        <v>37100</v>
      </c>
      <c r="Z215" s="234">
        <f>+V215+W215+X215+Y215</f>
        <v>148400</v>
      </c>
      <c r="AA215" s="213">
        <f>+AA213*AA216</f>
        <v>38213</v>
      </c>
      <c r="AB215" s="213">
        <f t="shared" ref="AB215" si="5500">+AB213*AB216</f>
        <v>38213</v>
      </c>
      <c r="AC215" s="213">
        <f t="shared" ref="AC215" si="5501">+AC213*AC216</f>
        <v>38213</v>
      </c>
      <c r="AD215" s="213">
        <f t="shared" ref="AD215" si="5502">+AD213*AD216</f>
        <v>38213</v>
      </c>
      <c r="AE215" s="234">
        <f>+AA215+AB215+AC215+AD215</f>
        <v>152852</v>
      </c>
      <c r="AF215" s="213">
        <f>+AF213*AF216</f>
        <v>39359.39</v>
      </c>
      <c r="AG215" s="213">
        <f t="shared" ref="AG215" si="5503">+AG213*AG216</f>
        <v>39359.39</v>
      </c>
      <c r="AH215" s="213">
        <f t="shared" ref="AH215" si="5504">+AH213*AH216</f>
        <v>39359.39</v>
      </c>
      <c r="AI215" s="213">
        <f t="shared" ref="AI215" si="5505">+AI213*AI216</f>
        <v>39359.39</v>
      </c>
      <c r="AJ215" s="234">
        <f>+AF215+AG215+AH215+AI215</f>
        <v>157437.56</v>
      </c>
      <c r="AK215" s="213">
        <f>+AK213*AK216</f>
        <v>40540.171700000006</v>
      </c>
      <c r="AL215" s="213">
        <f t="shared" ref="AL215" si="5506">+AL213*AL216</f>
        <v>40540.171700000006</v>
      </c>
      <c r="AM215" s="213">
        <f t="shared" ref="AM215" si="5507">+AM213*AM216</f>
        <v>40540.171700000006</v>
      </c>
      <c r="AN215" s="213">
        <f t="shared" ref="AN215" si="5508">+AN213*AN216</f>
        <v>40540.171700000006</v>
      </c>
      <c r="AO215" s="234">
        <f>+AK215+AL215+AM215+AN215</f>
        <v>162160.68680000002</v>
      </c>
      <c r="AP215" s="213">
        <f>+AP213*AP216</f>
        <v>41756.376851000008</v>
      </c>
      <c r="AQ215" s="213">
        <f t="shared" ref="AQ215" si="5509">+AQ213*AQ216</f>
        <v>41756.376851000008</v>
      </c>
      <c r="AR215" s="213">
        <f t="shared" ref="AR215" si="5510">+AR213*AR216</f>
        <v>41756.376851000008</v>
      </c>
      <c r="AS215" s="213">
        <f t="shared" ref="AS215" si="5511">+AS213*AS216</f>
        <v>41756.376851000008</v>
      </c>
      <c r="AT215" s="234">
        <f>+AP215+AQ215+AR215+AS215</f>
        <v>167025.50740400003</v>
      </c>
      <c r="AU215" s="213">
        <f>+AU213*AU216</f>
        <v>43009.068156530004</v>
      </c>
      <c r="AV215" s="213">
        <f t="shared" ref="AV215" si="5512">+AV213*AV216</f>
        <v>43009.068156530004</v>
      </c>
      <c r="AW215" s="213">
        <f t="shared" ref="AW215" si="5513">+AW213*AW216</f>
        <v>43009.068156530004</v>
      </c>
      <c r="AX215" s="213">
        <f t="shared" ref="AX215" si="5514">+AX213*AX216</f>
        <v>43009.068156530004</v>
      </c>
      <c r="AY215" s="234">
        <f>+AU215+AV215+AW215+AX215</f>
        <v>172036.27262612002</v>
      </c>
      <c r="AZ215" s="213">
        <f>+AZ213*AZ216</f>
        <v>44299.340201225903</v>
      </c>
      <c r="BA215" s="213">
        <f t="shared" ref="BA215" si="5515">+BA213*BA216</f>
        <v>44299.340201225903</v>
      </c>
      <c r="BB215" s="213">
        <f t="shared" ref="BB215" si="5516">+BB213*BB216</f>
        <v>44299.340201225903</v>
      </c>
      <c r="BC215" s="213">
        <f t="shared" ref="BC215" si="5517">+BC213*BC216</f>
        <v>44299.340201225903</v>
      </c>
      <c r="BD215" s="234">
        <f>+AZ215+BA215+BB215+BC215</f>
        <v>177197.36080490361</v>
      </c>
      <c r="BE215" s="213">
        <f>+BE213*BE216</f>
        <v>45628.320407262676</v>
      </c>
      <c r="BF215" s="213">
        <f t="shared" ref="BF215" si="5518">+BF213*BF216</f>
        <v>45628.320407262676</v>
      </c>
      <c r="BG215" s="213">
        <f t="shared" ref="BG215" si="5519">+BG213*BG216</f>
        <v>45628.320407262676</v>
      </c>
      <c r="BH215" s="213">
        <f t="shared" ref="BH215" si="5520">+BH213*BH216</f>
        <v>45628.320407262676</v>
      </c>
      <c r="BI215" s="234">
        <f>+BE215+BF215+BG215+BH215</f>
        <v>182513.2816290507</v>
      </c>
      <c r="BJ215" s="213">
        <f>+BJ213*BJ216</f>
        <v>46997.17001948056</v>
      </c>
      <c r="BK215" s="213">
        <f t="shared" ref="BK215" si="5521">+BK213*BK216</f>
        <v>46997.17001948056</v>
      </c>
      <c r="BL215" s="213">
        <f t="shared" ref="BL215" si="5522">+BL213*BL216</f>
        <v>46997.17001948056</v>
      </c>
      <c r="BM215" s="213">
        <f t="shared" ref="BM215" si="5523">+BM213*BM216</f>
        <v>46997.17001948056</v>
      </c>
      <c r="BN215" s="234">
        <f>+BJ215+BK215+BL215+BM215</f>
        <v>187988.68007792224</v>
      </c>
      <c r="BO215" s="213">
        <f>+BO213*BO216</f>
        <v>48407.085120064978</v>
      </c>
      <c r="BP215" s="213">
        <f t="shared" ref="BP215" si="5524">+BP213*BP216</f>
        <v>48407.085120064978</v>
      </c>
      <c r="BQ215" s="213">
        <f t="shared" ref="BQ215" si="5525">+BQ213*BQ216</f>
        <v>48407.085120064978</v>
      </c>
      <c r="BR215" s="213">
        <f t="shared" ref="BR215" si="5526">+BR213*BR216</f>
        <v>48407.085120064978</v>
      </c>
      <c r="BS215" s="234">
        <f>+BO215+BP215+BQ215+BR215</f>
        <v>193628.34048025991</v>
      </c>
      <c r="BT215" s="213">
        <f>+BT213*BT216</f>
        <v>49859.297673666922</v>
      </c>
      <c r="BU215" s="213">
        <f t="shared" ref="BU215" si="5527">+BU213*BU216</f>
        <v>49859.297673666922</v>
      </c>
      <c r="BV215" s="213">
        <f t="shared" ref="BV215" si="5528">+BV213*BV216</f>
        <v>49859.297673666922</v>
      </c>
      <c r="BW215" s="213">
        <f t="shared" ref="BW215" si="5529">+BW213*BW216</f>
        <v>49859.297673666922</v>
      </c>
      <c r="BX215" s="234">
        <f>+BT215+BU215+BV215+BW215</f>
        <v>199437.19069466769</v>
      </c>
      <c r="BY215" s="213">
        <f>+BY213*BY216</f>
        <v>51355.076603876929</v>
      </c>
      <c r="BZ215" s="213">
        <f t="shared" ref="BZ215" si="5530">+BZ213*BZ216</f>
        <v>51355.076603876929</v>
      </c>
      <c r="CA215" s="213">
        <f t="shared" ref="CA215" si="5531">+CA213*CA216</f>
        <v>51355.076603876929</v>
      </c>
      <c r="CB215" s="213">
        <f t="shared" ref="CB215" si="5532">+CB213*CB216</f>
        <v>51355.076603876929</v>
      </c>
      <c r="CC215" s="234">
        <f>+BY215+BZ215+CA215+CB215</f>
        <v>205420.30641550772</v>
      </c>
      <c r="CD215" s="213">
        <f>+CD213*CD216</f>
        <v>52895.728901993243</v>
      </c>
      <c r="CE215" s="213">
        <f t="shared" ref="CE215" si="5533">+CE213*CE216</f>
        <v>52895.728901993243</v>
      </c>
      <c r="CF215" s="213">
        <f t="shared" ref="CF215" si="5534">+CF213*CF216</f>
        <v>52895.728901993243</v>
      </c>
      <c r="CG215" s="213">
        <f t="shared" ref="CG215" si="5535">+CG213*CG216</f>
        <v>52895.728901993243</v>
      </c>
      <c r="CH215" s="234">
        <f>+CD215+CE215+CF215+CG215</f>
        <v>211582.91560797297</v>
      </c>
      <c r="CI215" s="213">
        <f>+CI213*CI216</f>
        <v>54482.600769053039</v>
      </c>
      <c r="CJ215" s="213">
        <f t="shared" ref="CJ215" si="5536">+CJ213*CJ216</f>
        <v>54482.600769053039</v>
      </c>
      <c r="CK215" s="213">
        <f t="shared" ref="CK215" si="5537">+CK213*CK216</f>
        <v>54482.600769053039</v>
      </c>
      <c r="CL215" s="213">
        <f t="shared" ref="CL215" si="5538">+CL213*CL216</f>
        <v>54482.600769053039</v>
      </c>
      <c r="CM215" s="234">
        <f>+CI215+CJ215+CK215+CL215</f>
        <v>217930.40307621215</v>
      </c>
      <c r="CN215" s="213">
        <f>+CN213*CN216</f>
        <v>56117.07879212463</v>
      </c>
      <c r="CO215" s="213">
        <f t="shared" ref="CO215" si="5539">+CO213*CO216</f>
        <v>56117.07879212463</v>
      </c>
      <c r="CP215" s="213">
        <f t="shared" ref="CP215" si="5540">+CP213*CP216</f>
        <v>56117.07879212463</v>
      </c>
      <c r="CQ215" s="213">
        <f t="shared" ref="CQ215" si="5541">+CQ213*CQ216</f>
        <v>56117.07879212463</v>
      </c>
      <c r="CR215" s="234">
        <f>+CN215+CO215+CP215+CQ215</f>
        <v>224468.31516849852</v>
      </c>
      <c r="CS215" s="213">
        <f>+CS213*CS216</f>
        <v>57800.591155888367</v>
      </c>
      <c r="CT215" s="213">
        <f t="shared" ref="CT215" si="5542">+CT213*CT216</f>
        <v>57800.591155888367</v>
      </c>
      <c r="CU215" s="213">
        <f t="shared" ref="CU215" si="5543">+CU213*CU216</f>
        <v>57800.591155888367</v>
      </c>
      <c r="CV215" s="213">
        <f t="shared" ref="CV215" si="5544">+CV213*CV216</f>
        <v>57800.591155888367</v>
      </c>
      <c r="CW215" s="234">
        <f>+CS215+CT215+CU215+CV215</f>
        <v>231202.36462355347</v>
      </c>
      <c r="CX215" s="213">
        <f>+CX213*CX216</f>
        <v>59534.608890565025</v>
      </c>
      <c r="CY215" s="213">
        <f t="shared" ref="CY215" si="5545">+CY213*CY216</f>
        <v>59534.608890565025</v>
      </c>
      <c r="CZ215" s="213">
        <f t="shared" ref="CZ215" si="5546">+CZ213*CZ216</f>
        <v>59534.608890565025</v>
      </c>
      <c r="DA215" s="213">
        <f t="shared" ref="DA215" si="5547">+DA213*DA216</f>
        <v>59534.608890565025</v>
      </c>
      <c r="DB215" s="234">
        <f>+CX215+CY215+CZ215+DA215</f>
        <v>238138.4355622601</v>
      </c>
    </row>
    <row r="216" spans="1:106">
      <c r="A216" s="117" t="s">
        <v>311</v>
      </c>
      <c r="F216" s="217"/>
      <c r="K216" s="217"/>
      <c r="P216" s="217"/>
      <c r="U216" s="217"/>
      <c r="V216" s="120">
        <v>7</v>
      </c>
      <c r="W216" s="120">
        <v>7</v>
      </c>
      <c r="X216" s="120">
        <v>7</v>
      </c>
      <c r="Y216" s="120">
        <v>7</v>
      </c>
      <c r="Z216" s="250">
        <f>+Z215/Z213</f>
        <v>7</v>
      </c>
      <c r="AA216" s="120">
        <v>7</v>
      </c>
      <c r="AB216" s="120">
        <v>7</v>
      </c>
      <c r="AC216" s="120">
        <v>7</v>
      </c>
      <c r="AD216" s="120">
        <v>7</v>
      </c>
      <c r="AE216" s="250">
        <f>+AE215/AE213</f>
        <v>7</v>
      </c>
      <c r="AF216" s="120">
        <v>7</v>
      </c>
      <c r="AG216" s="120">
        <v>7</v>
      </c>
      <c r="AH216" s="120">
        <v>7</v>
      </c>
      <c r="AI216" s="120">
        <v>7</v>
      </c>
      <c r="AJ216" s="250">
        <f>+AJ215/AJ213</f>
        <v>6.9999999999999991</v>
      </c>
      <c r="AK216" s="120">
        <v>7</v>
      </c>
      <c r="AL216" s="120">
        <v>7</v>
      </c>
      <c r="AM216" s="120">
        <v>7</v>
      </c>
      <c r="AN216" s="120">
        <v>7</v>
      </c>
      <c r="AO216" s="250">
        <f>+AO215/AO213</f>
        <v>7</v>
      </c>
      <c r="AP216" s="120">
        <v>7</v>
      </c>
      <c r="AQ216" s="120">
        <v>7</v>
      </c>
      <c r="AR216" s="120">
        <v>7</v>
      </c>
      <c r="AS216" s="120">
        <v>7</v>
      </c>
      <c r="AT216" s="250">
        <f>+AT215/AT213</f>
        <v>7.0000000000000009</v>
      </c>
      <c r="AU216" s="120">
        <v>7</v>
      </c>
      <c r="AV216" s="120">
        <v>7</v>
      </c>
      <c r="AW216" s="120">
        <v>7</v>
      </c>
      <c r="AX216" s="120">
        <v>7</v>
      </c>
      <c r="AY216" s="250">
        <f>+AY215/AY213</f>
        <v>7</v>
      </c>
      <c r="AZ216" s="120">
        <v>7</v>
      </c>
      <c r="BA216" s="120">
        <v>7</v>
      </c>
      <c r="BB216" s="120">
        <v>7</v>
      </c>
      <c r="BC216" s="120">
        <v>7</v>
      </c>
      <c r="BD216" s="250">
        <f>+BD215/BD213</f>
        <v>7</v>
      </c>
      <c r="BE216" s="120">
        <v>7</v>
      </c>
      <c r="BF216" s="120">
        <v>7</v>
      </c>
      <c r="BG216" s="120">
        <v>7</v>
      </c>
      <c r="BH216" s="120">
        <v>7</v>
      </c>
      <c r="BI216" s="250">
        <f>+BI215/BI213</f>
        <v>7</v>
      </c>
      <c r="BJ216" s="120">
        <v>7</v>
      </c>
      <c r="BK216" s="120">
        <v>7</v>
      </c>
      <c r="BL216" s="120">
        <v>7</v>
      </c>
      <c r="BM216" s="120">
        <v>7</v>
      </c>
      <c r="BN216" s="250">
        <f>+BN215/BN213</f>
        <v>7</v>
      </c>
      <c r="BO216" s="120">
        <v>7</v>
      </c>
      <c r="BP216" s="120">
        <v>7</v>
      </c>
      <c r="BQ216" s="120">
        <v>7</v>
      </c>
      <c r="BR216" s="120">
        <v>7</v>
      </c>
      <c r="BS216" s="250">
        <f>+BS215/BS213</f>
        <v>7.0000000000000009</v>
      </c>
      <c r="BT216" s="120">
        <v>7</v>
      </c>
      <c r="BU216" s="120">
        <v>7</v>
      </c>
      <c r="BV216" s="120">
        <v>7</v>
      </c>
      <c r="BW216" s="120">
        <v>7</v>
      </c>
      <c r="BX216" s="250">
        <f>+BX215/BX213</f>
        <v>7</v>
      </c>
      <c r="BY216" s="120">
        <v>7</v>
      </c>
      <c r="BZ216" s="120">
        <v>7</v>
      </c>
      <c r="CA216" s="120">
        <v>7</v>
      </c>
      <c r="CB216" s="120">
        <v>7</v>
      </c>
      <c r="CC216" s="250">
        <f>+CC215/CC213</f>
        <v>7</v>
      </c>
      <c r="CD216" s="120">
        <v>7</v>
      </c>
      <c r="CE216" s="120">
        <v>7</v>
      </c>
      <c r="CF216" s="120">
        <v>7</v>
      </c>
      <c r="CG216" s="120">
        <v>7</v>
      </c>
      <c r="CH216" s="250">
        <f>+CH215/CH213</f>
        <v>7</v>
      </c>
      <c r="CI216" s="120">
        <v>7</v>
      </c>
      <c r="CJ216" s="120">
        <v>7</v>
      </c>
      <c r="CK216" s="120">
        <v>7</v>
      </c>
      <c r="CL216" s="120">
        <v>7</v>
      </c>
      <c r="CM216" s="250">
        <f>+CM215/CM213</f>
        <v>7</v>
      </c>
      <c r="CN216" s="120">
        <v>7</v>
      </c>
      <c r="CO216" s="120">
        <v>7</v>
      </c>
      <c r="CP216" s="120">
        <v>7</v>
      </c>
      <c r="CQ216" s="120">
        <v>7</v>
      </c>
      <c r="CR216" s="250">
        <f>+CR215/CR213</f>
        <v>7</v>
      </c>
      <c r="CS216" s="120">
        <v>7</v>
      </c>
      <c r="CT216" s="120">
        <v>7</v>
      </c>
      <c r="CU216" s="120">
        <v>7</v>
      </c>
      <c r="CV216" s="120">
        <v>7</v>
      </c>
      <c r="CW216" s="250">
        <f>+CW215/CW213</f>
        <v>7</v>
      </c>
      <c r="CX216" s="120">
        <v>7</v>
      </c>
      <c r="CY216" s="120">
        <v>7</v>
      </c>
      <c r="CZ216" s="120">
        <v>7</v>
      </c>
      <c r="DA216" s="120">
        <v>7</v>
      </c>
      <c r="DB216" s="250">
        <f>+DB215/DB213</f>
        <v>7</v>
      </c>
    </row>
    <row r="217" spans="1:106">
      <c r="F217" s="217"/>
      <c r="K217" s="217"/>
      <c r="P217" s="217"/>
      <c r="U217" s="217"/>
      <c r="Z217" s="217"/>
      <c r="AE217" s="217"/>
      <c r="AJ217" s="217"/>
      <c r="AO217" s="217"/>
      <c r="AT217" s="217"/>
      <c r="AY217" s="217"/>
      <c r="BD217" s="217"/>
      <c r="BI217" s="217"/>
      <c r="BN217" s="217"/>
      <c r="BS217" s="217"/>
      <c r="BX217" s="217"/>
      <c r="CC217" s="217"/>
      <c r="CH217" s="217"/>
      <c r="CM217" s="217"/>
      <c r="CR217" s="217"/>
      <c r="CW217" s="217"/>
      <c r="DB217" s="217"/>
    </row>
    <row r="218" spans="1:106" s="213" customFormat="1">
      <c r="A218" s="213" t="s">
        <v>312</v>
      </c>
      <c r="F218" s="234"/>
      <c r="K218" s="234"/>
      <c r="P218" s="234"/>
      <c r="U218" s="234"/>
      <c r="V218" s="213">
        <f>+Z218/4</f>
        <v>47750</v>
      </c>
      <c r="W218" s="213">
        <f>+Z218/4</f>
        <v>47750</v>
      </c>
      <c r="X218" s="213">
        <f>+Z218/4</f>
        <v>47750</v>
      </c>
      <c r="Y218" s="213">
        <f>+Z218/4</f>
        <v>47750</v>
      </c>
      <c r="Z218" s="234">
        <v>191000</v>
      </c>
      <c r="AA218" s="213">
        <f>+V218*(1+AA219)</f>
        <v>49182.5</v>
      </c>
      <c r="AB218" s="213">
        <f t="shared" ref="AB218" si="5548">+W218*(1+AB219)</f>
        <v>49182.5</v>
      </c>
      <c r="AC218" s="213">
        <f t="shared" ref="AC218" si="5549">+X218*(1+AC219)</f>
        <v>49182.5</v>
      </c>
      <c r="AD218" s="213">
        <f t="shared" ref="AD218" si="5550">+Y218*(1+AD219)</f>
        <v>49182.5</v>
      </c>
      <c r="AE218" s="234">
        <f>+AA218+AB218+AC218+AD218</f>
        <v>196730</v>
      </c>
      <c r="AF218" s="213">
        <f>+AA218*(1+AF219)</f>
        <v>50657.974999999999</v>
      </c>
      <c r="AG218" s="213">
        <f t="shared" ref="AG218" si="5551">+AB218*(1+AG219)</f>
        <v>50657.974999999999</v>
      </c>
      <c r="AH218" s="213">
        <f t="shared" ref="AH218" si="5552">+AC218*(1+AH219)</f>
        <v>50657.974999999999</v>
      </c>
      <c r="AI218" s="213">
        <f t="shared" ref="AI218" si="5553">+AD218*(1+AI219)</f>
        <v>50657.974999999999</v>
      </c>
      <c r="AJ218" s="234">
        <f>+AF218+AG218+AH218+AI218</f>
        <v>202631.9</v>
      </c>
      <c r="AK218" s="213">
        <f>+AF218*(1+AK219)</f>
        <v>52177.714249999997</v>
      </c>
      <c r="AL218" s="213">
        <f t="shared" ref="AL218" si="5554">+AG218*(1+AL219)</f>
        <v>52177.714249999997</v>
      </c>
      <c r="AM218" s="213">
        <f t="shared" ref="AM218" si="5555">+AH218*(1+AM219)</f>
        <v>52177.714249999997</v>
      </c>
      <c r="AN218" s="213">
        <f t="shared" ref="AN218" si="5556">+AI218*(1+AN219)</f>
        <v>52177.714249999997</v>
      </c>
      <c r="AO218" s="234">
        <f>+AK218+AL218+AM218+AN218</f>
        <v>208710.85699999999</v>
      </c>
      <c r="AP218" s="213">
        <f>+AK218*(1+AP219)</f>
        <v>53743.045677499998</v>
      </c>
      <c r="AQ218" s="213">
        <f t="shared" ref="AQ218" si="5557">+AL218*(1+AQ219)</f>
        <v>53743.045677499998</v>
      </c>
      <c r="AR218" s="213">
        <f t="shared" ref="AR218" si="5558">+AM218*(1+AR219)</f>
        <v>53743.045677499998</v>
      </c>
      <c r="AS218" s="213">
        <f t="shared" ref="AS218" si="5559">+AN218*(1+AS219)</f>
        <v>53743.045677499998</v>
      </c>
      <c r="AT218" s="234">
        <f>+AP218+AQ218+AR218+AS218</f>
        <v>214972.18270999999</v>
      </c>
      <c r="AU218" s="213">
        <f>+AP218*(1+AU219)</f>
        <v>55355.337047825</v>
      </c>
      <c r="AV218" s="213">
        <f t="shared" ref="AV218" si="5560">+AQ218*(1+AV219)</f>
        <v>55355.337047825</v>
      </c>
      <c r="AW218" s="213">
        <f t="shared" ref="AW218" si="5561">+AR218*(1+AW219)</f>
        <v>55355.337047825</v>
      </c>
      <c r="AX218" s="213">
        <f t="shared" ref="AX218" si="5562">+AS218*(1+AX219)</f>
        <v>55355.337047825</v>
      </c>
      <c r="AY218" s="234">
        <f>+AU218+AV218+AW218+AX218</f>
        <v>221421.3481913</v>
      </c>
      <c r="AZ218" s="213">
        <f>+AU218*(1+AZ219)</f>
        <v>57015.99715925975</v>
      </c>
      <c r="BA218" s="213">
        <f t="shared" ref="BA218" si="5563">+AV218*(1+BA219)</f>
        <v>57015.99715925975</v>
      </c>
      <c r="BB218" s="213">
        <f t="shared" ref="BB218" si="5564">+AW218*(1+BB219)</f>
        <v>57015.99715925975</v>
      </c>
      <c r="BC218" s="213">
        <f t="shared" ref="BC218" si="5565">+AX218*(1+BC219)</f>
        <v>57015.99715925975</v>
      </c>
      <c r="BD218" s="234">
        <f>+AZ218+BA218+BB218+BC218</f>
        <v>228063.988637039</v>
      </c>
      <c r="BE218" s="213">
        <f>+AZ218*(1+BE219)</f>
        <v>58726.477074037546</v>
      </c>
      <c r="BF218" s="213">
        <f t="shared" ref="BF218" si="5566">+BA218*(1+BF219)</f>
        <v>58726.477074037546</v>
      </c>
      <c r="BG218" s="213">
        <f t="shared" ref="BG218" si="5567">+BB218*(1+BG219)</f>
        <v>58726.477074037546</v>
      </c>
      <c r="BH218" s="213">
        <f t="shared" ref="BH218" si="5568">+BC218*(1+BH219)</f>
        <v>58726.477074037546</v>
      </c>
      <c r="BI218" s="234">
        <f>+BE218+BF218+BG218+BH218</f>
        <v>234905.90829615018</v>
      </c>
      <c r="BJ218" s="213">
        <f>+BE218*(1+BJ219)</f>
        <v>60488.271386258675</v>
      </c>
      <c r="BK218" s="213">
        <f t="shared" ref="BK218" si="5569">+BF218*(1+BK219)</f>
        <v>60488.271386258675</v>
      </c>
      <c r="BL218" s="213">
        <f t="shared" ref="BL218" si="5570">+BG218*(1+BL219)</f>
        <v>60488.271386258675</v>
      </c>
      <c r="BM218" s="213">
        <f t="shared" ref="BM218" si="5571">+BH218*(1+BM219)</f>
        <v>60488.271386258675</v>
      </c>
      <c r="BN218" s="234">
        <f>+BJ218+BK218+BL218+BM218</f>
        <v>241953.0855450347</v>
      </c>
      <c r="BO218" s="213">
        <f>+BJ218*(1+BO219)</f>
        <v>62302.919527846439</v>
      </c>
      <c r="BP218" s="213">
        <f t="shared" ref="BP218" si="5572">+BK218*(1+BP219)</f>
        <v>62302.919527846439</v>
      </c>
      <c r="BQ218" s="213">
        <f t="shared" ref="BQ218" si="5573">+BL218*(1+BQ219)</f>
        <v>62302.919527846439</v>
      </c>
      <c r="BR218" s="213">
        <f t="shared" ref="BR218" si="5574">+BM218*(1+BR219)</f>
        <v>62302.919527846439</v>
      </c>
      <c r="BS218" s="234">
        <f>+BO218+BP218+BQ218+BR218</f>
        <v>249211.67811138576</v>
      </c>
      <c r="BT218" s="213">
        <f>+BO218*(1+BT219)</f>
        <v>64172.007113681837</v>
      </c>
      <c r="BU218" s="213">
        <f t="shared" ref="BU218" si="5575">+BP218*(1+BU219)</f>
        <v>64172.007113681837</v>
      </c>
      <c r="BV218" s="213">
        <f t="shared" ref="BV218" si="5576">+BQ218*(1+BV219)</f>
        <v>64172.007113681837</v>
      </c>
      <c r="BW218" s="213">
        <f t="shared" ref="BW218" si="5577">+BR218*(1+BW219)</f>
        <v>64172.007113681837</v>
      </c>
      <c r="BX218" s="234">
        <f>+BT218+BU218+BV218+BW218</f>
        <v>256688.02845472735</v>
      </c>
      <c r="BY218" s="213">
        <f>+BT218*(1+BY219)</f>
        <v>66097.167327092291</v>
      </c>
      <c r="BZ218" s="213">
        <f t="shared" ref="BZ218" si="5578">+BU218*(1+BZ219)</f>
        <v>66097.167327092291</v>
      </c>
      <c r="CA218" s="213">
        <f t="shared" ref="CA218" si="5579">+BV218*(1+CA219)</f>
        <v>66097.167327092291</v>
      </c>
      <c r="CB218" s="213">
        <f t="shared" ref="CB218" si="5580">+BW218*(1+CB219)</f>
        <v>66097.167327092291</v>
      </c>
      <c r="CC218" s="234">
        <f>+BY218+BZ218+CA218+CB218</f>
        <v>264388.66930836916</v>
      </c>
      <c r="CD218" s="213">
        <f>+BY218*(1+CD219)</f>
        <v>68080.082346905067</v>
      </c>
      <c r="CE218" s="213">
        <f t="shared" ref="CE218" si="5581">+BZ218*(1+CE219)</f>
        <v>68080.082346905067</v>
      </c>
      <c r="CF218" s="213">
        <f t="shared" ref="CF218" si="5582">+CA218*(1+CF219)</f>
        <v>68080.082346905067</v>
      </c>
      <c r="CG218" s="213">
        <f t="shared" ref="CG218" si="5583">+CB218*(1+CG219)</f>
        <v>68080.082346905067</v>
      </c>
      <c r="CH218" s="234">
        <f>+CD218+CE218+CF218+CG218</f>
        <v>272320.32938762027</v>
      </c>
      <c r="CI218" s="213">
        <f>+CD218*(1+CI219)</f>
        <v>70122.484817312215</v>
      </c>
      <c r="CJ218" s="213">
        <f t="shared" ref="CJ218" si="5584">+CE218*(1+CJ219)</f>
        <v>70122.484817312215</v>
      </c>
      <c r="CK218" s="213">
        <f t="shared" ref="CK218" si="5585">+CF218*(1+CK219)</f>
        <v>70122.484817312215</v>
      </c>
      <c r="CL218" s="213">
        <f t="shared" ref="CL218" si="5586">+CG218*(1+CL219)</f>
        <v>70122.484817312215</v>
      </c>
      <c r="CM218" s="234">
        <f>+CI218+CJ218+CK218+CL218</f>
        <v>280489.93926924886</v>
      </c>
      <c r="CN218" s="213">
        <f>+CI218*(1+CN219)</f>
        <v>72226.159361831582</v>
      </c>
      <c r="CO218" s="213">
        <f t="shared" ref="CO218" si="5587">+CJ218*(1+CO219)</f>
        <v>72226.159361831582</v>
      </c>
      <c r="CP218" s="213">
        <f t="shared" ref="CP218" si="5588">+CK218*(1+CP219)</f>
        <v>72226.159361831582</v>
      </c>
      <c r="CQ218" s="213">
        <f t="shared" ref="CQ218" si="5589">+CL218*(1+CQ219)</f>
        <v>72226.159361831582</v>
      </c>
      <c r="CR218" s="234">
        <f>+CN218+CO218+CP218+CQ218</f>
        <v>288904.63744732633</v>
      </c>
      <c r="CS218" s="213">
        <f>+CN218*(1+CS219)</f>
        <v>74392.944142686538</v>
      </c>
      <c r="CT218" s="213">
        <f t="shared" ref="CT218" si="5590">+CO218*(1+CT219)</f>
        <v>74392.944142686538</v>
      </c>
      <c r="CU218" s="213">
        <f t="shared" ref="CU218" si="5591">+CP218*(1+CU219)</f>
        <v>74392.944142686538</v>
      </c>
      <c r="CV218" s="213">
        <f t="shared" ref="CV218" si="5592">+CQ218*(1+CV219)</f>
        <v>74392.944142686538</v>
      </c>
      <c r="CW218" s="234">
        <f>+CS218+CT218+CU218+CV218</f>
        <v>297571.77657074615</v>
      </c>
      <c r="CX218" s="213">
        <f>+CS218*(1+CX219)</f>
        <v>76624.732466967136</v>
      </c>
      <c r="CY218" s="213">
        <f t="shared" ref="CY218" si="5593">+CT218*(1+CY219)</f>
        <v>76624.732466967136</v>
      </c>
      <c r="CZ218" s="213">
        <f t="shared" ref="CZ218" si="5594">+CU218*(1+CZ219)</f>
        <v>76624.732466967136</v>
      </c>
      <c r="DA218" s="213">
        <f t="shared" ref="DA218" si="5595">+CV218*(1+DA219)</f>
        <v>76624.732466967136</v>
      </c>
      <c r="DB218" s="234">
        <f>+CX218+CY218+CZ218+DA218</f>
        <v>306498.92986786854</v>
      </c>
    </row>
    <row r="219" spans="1:106">
      <c r="A219" s="117" t="s">
        <v>281</v>
      </c>
      <c r="F219" s="217"/>
      <c r="K219" s="217"/>
      <c r="P219" s="217"/>
      <c r="U219" s="217"/>
      <c r="V219" s="119" t="s">
        <v>326</v>
      </c>
      <c r="W219" s="119" t="s">
        <v>326</v>
      </c>
      <c r="X219" s="119" t="s">
        <v>326</v>
      </c>
      <c r="Y219" s="119" t="s">
        <v>326</v>
      </c>
      <c r="Z219" s="235" t="s">
        <v>326</v>
      </c>
      <c r="AA219" s="118">
        <v>0.03</v>
      </c>
      <c r="AB219" s="118">
        <v>0.03</v>
      </c>
      <c r="AC219" s="118">
        <v>0.03</v>
      </c>
      <c r="AD219" s="118">
        <v>0.03</v>
      </c>
      <c r="AE219" s="239">
        <f>+AE218/Z218-1</f>
        <v>3.0000000000000027E-2</v>
      </c>
      <c r="AF219" s="118">
        <v>0.03</v>
      </c>
      <c r="AG219" s="118">
        <v>0.03</v>
      </c>
      <c r="AH219" s="118">
        <v>0.03</v>
      </c>
      <c r="AI219" s="118">
        <v>0.03</v>
      </c>
      <c r="AJ219" s="239">
        <f>+AJ218/AE218-1</f>
        <v>3.0000000000000027E-2</v>
      </c>
      <c r="AK219" s="118">
        <v>0.03</v>
      </c>
      <c r="AL219" s="118">
        <v>0.03</v>
      </c>
      <c r="AM219" s="118">
        <v>0.03</v>
      </c>
      <c r="AN219" s="118">
        <v>0.03</v>
      </c>
      <c r="AO219" s="239">
        <f>+AO218/AJ218-1</f>
        <v>3.0000000000000027E-2</v>
      </c>
      <c r="AP219" s="118">
        <v>0.03</v>
      </c>
      <c r="AQ219" s="118">
        <v>0.03</v>
      </c>
      <c r="AR219" s="118">
        <v>0.03</v>
      </c>
      <c r="AS219" s="118">
        <v>0.03</v>
      </c>
      <c r="AT219" s="239">
        <f>+AT218/AO218-1</f>
        <v>3.0000000000000027E-2</v>
      </c>
      <c r="AU219" s="118">
        <v>0.03</v>
      </c>
      <c r="AV219" s="118">
        <v>0.03</v>
      </c>
      <c r="AW219" s="118">
        <v>0.03</v>
      </c>
      <c r="AX219" s="118">
        <v>0.03</v>
      </c>
      <c r="AY219" s="239">
        <f>+AY218/AT218-1</f>
        <v>3.0000000000000027E-2</v>
      </c>
      <c r="AZ219" s="118">
        <v>0.03</v>
      </c>
      <c r="BA219" s="118">
        <v>0.03</v>
      </c>
      <c r="BB219" s="118">
        <v>0.03</v>
      </c>
      <c r="BC219" s="118">
        <v>0.03</v>
      </c>
      <c r="BD219" s="239">
        <f>+BD218/AY218-1</f>
        <v>3.0000000000000027E-2</v>
      </c>
      <c r="BE219" s="118">
        <v>0.03</v>
      </c>
      <c r="BF219" s="118">
        <v>0.03</v>
      </c>
      <c r="BG219" s="118">
        <v>0.03</v>
      </c>
      <c r="BH219" s="118">
        <v>0.03</v>
      </c>
      <c r="BI219" s="239">
        <f>+BI218/BD218-1</f>
        <v>3.0000000000000027E-2</v>
      </c>
      <c r="BJ219" s="118">
        <v>0.03</v>
      </c>
      <c r="BK219" s="118">
        <v>0.03</v>
      </c>
      <c r="BL219" s="118">
        <v>0.03</v>
      </c>
      <c r="BM219" s="118">
        <v>0.03</v>
      </c>
      <c r="BN219" s="239">
        <f>+BN218/BI218-1</f>
        <v>3.0000000000000027E-2</v>
      </c>
      <c r="BO219" s="118">
        <v>0.03</v>
      </c>
      <c r="BP219" s="118">
        <v>0.03</v>
      </c>
      <c r="BQ219" s="118">
        <v>0.03</v>
      </c>
      <c r="BR219" s="118">
        <v>0.03</v>
      </c>
      <c r="BS219" s="239">
        <f>+BS218/BN218-1</f>
        <v>3.0000000000000027E-2</v>
      </c>
      <c r="BT219" s="118">
        <v>0.03</v>
      </c>
      <c r="BU219" s="118">
        <v>0.03</v>
      </c>
      <c r="BV219" s="118">
        <v>0.03</v>
      </c>
      <c r="BW219" s="118">
        <v>0.03</v>
      </c>
      <c r="BX219" s="239">
        <f>+BX218/BS218-1</f>
        <v>3.0000000000000027E-2</v>
      </c>
      <c r="BY219" s="118">
        <v>0.03</v>
      </c>
      <c r="BZ219" s="118">
        <v>0.03</v>
      </c>
      <c r="CA219" s="118">
        <v>0.03</v>
      </c>
      <c r="CB219" s="118">
        <v>0.03</v>
      </c>
      <c r="CC219" s="239">
        <f>+CC218/BX218-1</f>
        <v>3.0000000000000027E-2</v>
      </c>
      <c r="CD219" s="118">
        <v>0.03</v>
      </c>
      <c r="CE219" s="118">
        <v>0.03</v>
      </c>
      <c r="CF219" s="118">
        <v>0.03</v>
      </c>
      <c r="CG219" s="118">
        <v>0.03</v>
      </c>
      <c r="CH219" s="239">
        <f>+CH218/CC218-1</f>
        <v>3.0000000000000027E-2</v>
      </c>
      <c r="CI219" s="118">
        <v>0.03</v>
      </c>
      <c r="CJ219" s="118">
        <v>0.03</v>
      </c>
      <c r="CK219" s="118">
        <v>0.03</v>
      </c>
      <c r="CL219" s="118">
        <v>0.03</v>
      </c>
      <c r="CM219" s="239">
        <f>+CM218/CH218-1</f>
        <v>3.0000000000000027E-2</v>
      </c>
      <c r="CN219" s="118">
        <v>0.03</v>
      </c>
      <c r="CO219" s="118">
        <v>0.03</v>
      </c>
      <c r="CP219" s="118">
        <v>0.03</v>
      </c>
      <c r="CQ219" s="118">
        <v>0.03</v>
      </c>
      <c r="CR219" s="239">
        <f>+CR218/CM218-1</f>
        <v>3.0000000000000027E-2</v>
      </c>
      <c r="CS219" s="118">
        <v>0.03</v>
      </c>
      <c r="CT219" s="118">
        <v>0.03</v>
      </c>
      <c r="CU219" s="118">
        <v>0.03</v>
      </c>
      <c r="CV219" s="118">
        <v>0.03</v>
      </c>
      <c r="CW219" s="239">
        <f>+CW218/CR218-1</f>
        <v>3.0000000000000027E-2</v>
      </c>
      <c r="CX219" s="118">
        <v>0.03</v>
      </c>
      <c r="CY219" s="118">
        <v>0.03</v>
      </c>
      <c r="CZ219" s="118">
        <v>0.03</v>
      </c>
      <c r="DA219" s="118">
        <v>0.03</v>
      </c>
      <c r="DB219" s="239">
        <f>+DB218/CW218-1</f>
        <v>3.0000000000000027E-2</v>
      </c>
    </row>
    <row r="220" spans="1:106" s="51" customFormat="1">
      <c r="A220" s="51" t="s">
        <v>313</v>
      </c>
      <c r="F220" s="233"/>
      <c r="K220" s="233"/>
      <c r="P220" s="233"/>
      <c r="U220" s="233"/>
      <c r="V220" s="213">
        <f>+V218*V221</f>
        <v>191000</v>
      </c>
      <c r="W220" s="213">
        <f t="shared" ref="W220" si="5596">+W218*W221</f>
        <v>191000</v>
      </c>
      <c r="X220" s="213">
        <f t="shared" ref="X220" si="5597">+X218*X221</f>
        <v>191000</v>
      </c>
      <c r="Y220" s="213">
        <f t="shared" ref="Y220" si="5598">+Y218*Y221</f>
        <v>191000</v>
      </c>
      <c r="Z220" s="234">
        <f>+V220+W220+X220+Y220</f>
        <v>764000</v>
      </c>
      <c r="AA220" s="213">
        <f>+AA218*AA221</f>
        <v>196730</v>
      </c>
      <c r="AB220" s="213">
        <f t="shared" ref="AB220" si="5599">+AB218*AB221</f>
        <v>196730</v>
      </c>
      <c r="AC220" s="213">
        <f t="shared" ref="AC220" si="5600">+AC218*AC221</f>
        <v>196730</v>
      </c>
      <c r="AD220" s="213">
        <f t="shared" ref="AD220" si="5601">+AD218*AD221</f>
        <v>196730</v>
      </c>
      <c r="AE220" s="234">
        <f>+AA220+AB220+AC220+AD220</f>
        <v>786920</v>
      </c>
      <c r="AF220" s="213">
        <f>+AF218*AF221</f>
        <v>202631.9</v>
      </c>
      <c r="AG220" s="213">
        <f t="shared" ref="AG220" si="5602">+AG218*AG221</f>
        <v>202631.9</v>
      </c>
      <c r="AH220" s="213">
        <f t="shared" ref="AH220" si="5603">+AH218*AH221</f>
        <v>202631.9</v>
      </c>
      <c r="AI220" s="213">
        <f t="shared" ref="AI220" si="5604">+AI218*AI221</f>
        <v>202631.9</v>
      </c>
      <c r="AJ220" s="234">
        <f>+AF220+AG220+AH220+AI220</f>
        <v>810527.6</v>
      </c>
      <c r="AK220" s="213">
        <f>+AK218*AK221</f>
        <v>208710.85699999999</v>
      </c>
      <c r="AL220" s="213">
        <f t="shared" ref="AL220" si="5605">+AL218*AL221</f>
        <v>208710.85699999999</v>
      </c>
      <c r="AM220" s="213">
        <f t="shared" ref="AM220" si="5606">+AM218*AM221</f>
        <v>208710.85699999999</v>
      </c>
      <c r="AN220" s="213">
        <f t="shared" ref="AN220" si="5607">+AN218*AN221</f>
        <v>208710.85699999999</v>
      </c>
      <c r="AO220" s="234">
        <f>+AK220+AL220+AM220+AN220</f>
        <v>834843.42799999996</v>
      </c>
      <c r="AP220" s="213">
        <f>+AP218*AP221</f>
        <v>214972.18270999999</v>
      </c>
      <c r="AQ220" s="213">
        <f t="shared" ref="AQ220" si="5608">+AQ218*AQ221</f>
        <v>214972.18270999999</v>
      </c>
      <c r="AR220" s="213">
        <f t="shared" ref="AR220" si="5609">+AR218*AR221</f>
        <v>214972.18270999999</v>
      </c>
      <c r="AS220" s="213">
        <f t="shared" ref="AS220" si="5610">+AS218*AS221</f>
        <v>214972.18270999999</v>
      </c>
      <c r="AT220" s="234">
        <f>+AP220+AQ220+AR220+AS220</f>
        <v>859888.73083999997</v>
      </c>
      <c r="AU220" s="213">
        <f>+AU218*AU221</f>
        <v>221421.3481913</v>
      </c>
      <c r="AV220" s="213">
        <f t="shared" ref="AV220" si="5611">+AV218*AV221</f>
        <v>221421.3481913</v>
      </c>
      <c r="AW220" s="213">
        <f t="shared" ref="AW220" si="5612">+AW218*AW221</f>
        <v>221421.3481913</v>
      </c>
      <c r="AX220" s="213">
        <f t="shared" ref="AX220" si="5613">+AX218*AX221</f>
        <v>221421.3481913</v>
      </c>
      <c r="AY220" s="234">
        <f>+AU220+AV220+AW220+AX220</f>
        <v>885685.3927652</v>
      </c>
      <c r="AZ220" s="213">
        <f>+AZ218*AZ221</f>
        <v>228063.988637039</v>
      </c>
      <c r="BA220" s="213">
        <f t="shared" ref="BA220" si="5614">+BA218*BA221</f>
        <v>228063.988637039</v>
      </c>
      <c r="BB220" s="213">
        <f t="shared" ref="BB220" si="5615">+BB218*BB221</f>
        <v>228063.988637039</v>
      </c>
      <c r="BC220" s="213">
        <f t="shared" ref="BC220" si="5616">+BC218*BC221</f>
        <v>228063.988637039</v>
      </c>
      <c r="BD220" s="234">
        <f>+AZ220+BA220+BB220+BC220</f>
        <v>912255.95454815601</v>
      </c>
      <c r="BE220" s="213">
        <f>+BE218*BE221</f>
        <v>234905.90829615018</v>
      </c>
      <c r="BF220" s="213">
        <f t="shared" ref="BF220" si="5617">+BF218*BF221</f>
        <v>234905.90829615018</v>
      </c>
      <c r="BG220" s="213">
        <f t="shared" ref="BG220" si="5618">+BG218*BG221</f>
        <v>234905.90829615018</v>
      </c>
      <c r="BH220" s="213">
        <f t="shared" ref="BH220" si="5619">+BH218*BH221</f>
        <v>234905.90829615018</v>
      </c>
      <c r="BI220" s="234">
        <f>+BE220+BF220+BG220+BH220</f>
        <v>939623.63318460074</v>
      </c>
      <c r="BJ220" s="213">
        <f>+BJ218*BJ221</f>
        <v>241953.0855450347</v>
      </c>
      <c r="BK220" s="213">
        <f t="shared" ref="BK220" si="5620">+BK218*BK221</f>
        <v>241953.0855450347</v>
      </c>
      <c r="BL220" s="213">
        <f t="shared" ref="BL220" si="5621">+BL218*BL221</f>
        <v>241953.0855450347</v>
      </c>
      <c r="BM220" s="213">
        <f t="shared" ref="BM220" si="5622">+BM218*BM221</f>
        <v>241953.0855450347</v>
      </c>
      <c r="BN220" s="234">
        <f>+BJ220+BK220+BL220+BM220</f>
        <v>967812.3421801388</v>
      </c>
      <c r="BO220" s="213">
        <f>+BO218*BO221</f>
        <v>249211.67811138576</v>
      </c>
      <c r="BP220" s="213">
        <f t="shared" ref="BP220" si="5623">+BP218*BP221</f>
        <v>249211.67811138576</v>
      </c>
      <c r="BQ220" s="213">
        <f t="shared" ref="BQ220" si="5624">+BQ218*BQ221</f>
        <v>249211.67811138576</v>
      </c>
      <c r="BR220" s="213">
        <f t="shared" ref="BR220" si="5625">+BR218*BR221</f>
        <v>249211.67811138576</v>
      </c>
      <c r="BS220" s="234">
        <f>+BO220+BP220+BQ220+BR220</f>
        <v>996846.71244554303</v>
      </c>
      <c r="BT220" s="213">
        <f>+BT218*BT221</f>
        <v>256688.02845472735</v>
      </c>
      <c r="BU220" s="213">
        <f t="shared" ref="BU220" si="5626">+BU218*BU221</f>
        <v>256688.02845472735</v>
      </c>
      <c r="BV220" s="213">
        <f t="shared" ref="BV220" si="5627">+BV218*BV221</f>
        <v>256688.02845472735</v>
      </c>
      <c r="BW220" s="213">
        <f t="shared" ref="BW220" si="5628">+BW218*BW221</f>
        <v>256688.02845472735</v>
      </c>
      <c r="BX220" s="234">
        <f>+BT220+BU220+BV220+BW220</f>
        <v>1026752.1138189094</v>
      </c>
      <c r="BY220" s="213">
        <f>+BY218*BY221</f>
        <v>264388.66930836916</v>
      </c>
      <c r="BZ220" s="213">
        <f t="shared" ref="BZ220" si="5629">+BZ218*BZ221</f>
        <v>264388.66930836916</v>
      </c>
      <c r="CA220" s="213">
        <f t="shared" ref="CA220" si="5630">+CA218*CA221</f>
        <v>264388.66930836916</v>
      </c>
      <c r="CB220" s="213">
        <f t="shared" ref="CB220" si="5631">+CB218*CB221</f>
        <v>264388.66930836916</v>
      </c>
      <c r="CC220" s="234">
        <f>+BY220+BZ220+CA220+CB220</f>
        <v>1057554.6772334767</v>
      </c>
      <c r="CD220" s="213">
        <f>+CD218*CD221</f>
        <v>272320.32938762027</v>
      </c>
      <c r="CE220" s="213">
        <f t="shared" ref="CE220" si="5632">+CE218*CE221</f>
        <v>272320.32938762027</v>
      </c>
      <c r="CF220" s="213">
        <f t="shared" ref="CF220" si="5633">+CF218*CF221</f>
        <v>272320.32938762027</v>
      </c>
      <c r="CG220" s="213">
        <f t="shared" ref="CG220" si="5634">+CG218*CG221</f>
        <v>272320.32938762027</v>
      </c>
      <c r="CH220" s="234">
        <f>+CD220+CE220+CF220+CG220</f>
        <v>1089281.3175504811</v>
      </c>
      <c r="CI220" s="213">
        <f>+CI218*CI221</f>
        <v>280489.93926924886</v>
      </c>
      <c r="CJ220" s="213">
        <f t="shared" ref="CJ220" si="5635">+CJ218*CJ221</f>
        <v>280489.93926924886</v>
      </c>
      <c r="CK220" s="213">
        <f t="shared" ref="CK220" si="5636">+CK218*CK221</f>
        <v>280489.93926924886</v>
      </c>
      <c r="CL220" s="213">
        <f t="shared" ref="CL220" si="5637">+CL218*CL221</f>
        <v>280489.93926924886</v>
      </c>
      <c r="CM220" s="234">
        <f>+CI220+CJ220+CK220+CL220</f>
        <v>1121959.7570769954</v>
      </c>
      <c r="CN220" s="213">
        <f>+CN218*CN221</f>
        <v>288904.63744732633</v>
      </c>
      <c r="CO220" s="213">
        <f t="shared" ref="CO220" si="5638">+CO218*CO221</f>
        <v>288904.63744732633</v>
      </c>
      <c r="CP220" s="213">
        <f t="shared" ref="CP220" si="5639">+CP218*CP221</f>
        <v>288904.63744732633</v>
      </c>
      <c r="CQ220" s="213">
        <f t="shared" ref="CQ220" si="5640">+CQ218*CQ221</f>
        <v>288904.63744732633</v>
      </c>
      <c r="CR220" s="234">
        <f>+CN220+CO220+CP220+CQ220</f>
        <v>1155618.5497893053</v>
      </c>
      <c r="CS220" s="213">
        <f>+CS218*CS221</f>
        <v>297571.77657074615</v>
      </c>
      <c r="CT220" s="213">
        <f t="shared" ref="CT220" si="5641">+CT218*CT221</f>
        <v>297571.77657074615</v>
      </c>
      <c r="CU220" s="213">
        <f t="shared" ref="CU220" si="5642">+CU218*CU221</f>
        <v>297571.77657074615</v>
      </c>
      <c r="CV220" s="213">
        <f t="shared" ref="CV220" si="5643">+CV218*CV221</f>
        <v>297571.77657074615</v>
      </c>
      <c r="CW220" s="234">
        <f>+CS220+CT220+CU220+CV220</f>
        <v>1190287.1062829846</v>
      </c>
      <c r="CX220" s="213">
        <f>+CX218*CX221</f>
        <v>306498.92986786854</v>
      </c>
      <c r="CY220" s="213">
        <f t="shared" ref="CY220" si="5644">+CY218*CY221</f>
        <v>306498.92986786854</v>
      </c>
      <c r="CZ220" s="213">
        <f t="shared" ref="CZ220" si="5645">+CZ218*CZ221</f>
        <v>306498.92986786854</v>
      </c>
      <c r="DA220" s="213">
        <f t="shared" ref="DA220" si="5646">+DA218*DA221</f>
        <v>306498.92986786854</v>
      </c>
      <c r="DB220" s="234">
        <f>+CX220+CY220+CZ220+DA220</f>
        <v>1225995.7194714742</v>
      </c>
    </row>
    <row r="221" spans="1:106">
      <c r="A221" s="117" t="s">
        <v>311</v>
      </c>
      <c r="F221" s="217"/>
      <c r="K221" s="217"/>
      <c r="P221" s="217"/>
      <c r="U221" s="217"/>
      <c r="V221" s="120">
        <v>4</v>
      </c>
      <c r="W221" s="120">
        <v>4</v>
      </c>
      <c r="X221" s="120">
        <v>4</v>
      </c>
      <c r="Y221" s="120">
        <v>4</v>
      </c>
      <c r="Z221" s="250">
        <f>+Z220/Z218</f>
        <v>4</v>
      </c>
      <c r="AA221" s="120">
        <v>4</v>
      </c>
      <c r="AB221" s="120">
        <v>4</v>
      </c>
      <c r="AC221" s="120">
        <v>4</v>
      </c>
      <c r="AD221" s="120">
        <v>4</v>
      </c>
      <c r="AE221" s="250">
        <f>+AE220/AE218</f>
        <v>4</v>
      </c>
      <c r="AF221" s="120">
        <v>4</v>
      </c>
      <c r="AG221" s="120">
        <v>4</v>
      </c>
      <c r="AH221" s="120">
        <v>4</v>
      </c>
      <c r="AI221" s="120">
        <v>4</v>
      </c>
      <c r="AJ221" s="250">
        <f>+AJ220/AJ218</f>
        <v>4</v>
      </c>
      <c r="AK221" s="120">
        <v>4</v>
      </c>
      <c r="AL221" s="120">
        <v>4</v>
      </c>
      <c r="AM221" s="120">
        <v>4</v>
      </c>
      <c r="AN221" s="120">
        <v>4</v>
      </c>
      <c r="AO221" s="250">
        <f>+AO220/AO218</f>
        <v>4</v>
      </c>
      <c r="AP221" s="120">
        <v>4</v>
      </c>
      <c r="AQ221" s="120">
        <v>4</v>
      </c>
      <c r="AR221" s="120">
        <v>4</v>
      </c>
      <c r="AS221" s="120">
        <v>4</v>
      </c>
      <c r="AT221" s="250">
        <f>+AT220/AT218</f>
        <v>4</v>
      </c>
      <c r="AU221" s="120">
        <v>4</v>
      </c>
      <c r="AV221" s="120">
        <v>4</v>
      </c>
      <c r="AW221" s="120">
        <v>4</v>
      </c>
      <c r="AX221" s="120">
        <v>4</v>
      </c>
      <c r="AY221" s="250">
        <f>+AY220/AY218</f>
        <v>4</v>
      </c>
      <c r="AZ221" s="120">
        <v>4</v>
      </c>
      <c r="BA221" s="120">
        <v>4</v>
      </c>
      <c r="BB221" s="120">
        <v>4</v>
      </c>
      <c r="BC221" s="120">
        <v>4</v>
      </c>
      <c r="BD221" s="250">
        <f>+BD220/BD218</f>
        <v>4</v>
      </c>
      <c r="BE221" s="120">
        <v>4</v>
      </c>
      <c r="BF221" s="120">
        <v>4</v>
      </c>
      <c r="BG221" s="120">
        <v>4</v>
      </c>
      <c r="BH221" s="120">
        <v>4</v>
      </c>
      <c r="BI221" s="250">
        <f>+BI220/BI218</f>
        <v>4</v>
      </c>
      <c r="BJ221" s="120">
        <v>4</v>
      </c>
      <c r="BK221" s="120">
        <v>4</v>
      </c>
      <c r="BL221" s="120">
        <v>4</v>
      </c>
      <c r="BM221" s="120">
        <v>4</v>
      </c>
      <c r="BN221" s="250">
        <f>+BN220/BN218</f>
        <v>4</v>
      </c>
      <c r="BO221" s="120">
        <v>4</v>
      </c>
      <c r="BP221" s="120">
        <v>4</v>
      </c>
      <c r="BQ221" s="120">
        <v>4</v>
      </c>
      <c r="BR221" s="120">
        <v>4</v>
      </c>
      <c r="BS221" s="250">
        <f>+BS220/BS218</f>
        <v>4</v>
      </c>
      <c r="BT221" s="120">
        <v>4</v>
      </c>
      <c r="BU221" s="120">
        <v>4</v>
      </c>
      <c r="BV221" s="120">
        <v>4</v>
      </c>
      <c r="BW221" s="120">
        <v>4</v>
      </c>
      <c r="BX221" s="250">
        <f>+BX220/BX218</f>
        <v>4</v>
      </c>
      <c r="BY221" s="120">
        <v>4</v>
      </c>
      <c r="BZ221" s="120">
        <v>4</v>
      </c>
      <c r="CA221" s="120">
        <v>4</v>
      </c>
      <c r="CB221" s="120">
        <v>4</v>
      </c>
      <c r="CC221" s="250">
        <f>+CC220/CC218</f>
        <v>4</v>
      </c>
      <c r="CD221" s="120">
        <v>4</v>
      </c>
      <c r="CE221" s="120">
        <v>4</v>
      </c>
      <c r="CF221" s="120">
        <v>4</v>
      </c>
      <c r="CG221" s="120">
        <v>4</v>
      </c>
      <c r="CH221" s="250">
        <f>+CH220/CH218</f>
        <v>4</v>
      </c>
      <c r="CI221" s="120">
        <v>4</v>
      </c>
      <c r="CJ221" s="120">
        <v>4</v>
      </c>
      <c r="CK221" s="120">
        <v>4</v>
      </c>
      <c r="CL221" s="120">
        <v>4</v>
      </c>
      <c r="CM221" s="250">
        <f>+CM220/CM218</f>
        <v>4</v>
      </c>
      <c r="CN221" s="120">
        <v>4</v>
      </c>
      <c r="CO221" s="120">
        <v>4</v>
      </c>
      <c r="CP221" s="120">
        <v>4</v>
      </c>
      <c r="CQ221" s="120">
        <v>4</v>
      </c>
      <c r="CR221" s="250">
        <f>+CR220/CR218</f>
        <v>4</v>
      </c>
      <c r="CS221" s="120">
        <v>4</v>
      </c>
      <c r="CT221" s="120">
        <v>4</v>
      </c>
      <c r="CU221" s="120">
        <v>4</v>
      </c>
      <c r="CV221" s="120">
        <v>4</v>
      </c>
      <c r="CW221" s="250">
        <f>+CW220/CW218</f>
        <v>4</v>
      </c>
      <c r="CX221" s="120">
        <v>4</v>
      </c>
      <c r="CY221" s="120">
        <v>4</v>
      </c>
      <c r="CZ221" s="120">
        <v>4</v>
      </c>
      <c r="DA221" s="120">
        <v>4</v>
      </c>
      <c r="DB221" s="250">
        <f>+DB220/DB218</f>
        <v>4</v>
      </c>
    </row>
    <row r="222" spans="1:106">
      <c r="F222" s="217"/>
      <c r="K222" s="217"/>
      <c r="P222" s="217"/>
      <c r="U222" s="217"/>
      <c r="Z222" s="217"/>
      <c r="AE222" s="217"/>
      <c r="AJ222" s="217"/>
      <c r="AO222" s="217"/>
      <c r="AT222" s="217"/>
      <c r="AY222" s="217"/>
      <c r="BD222" s="217"/>
      <c r="BI222" s="217"/>
      <c r="BN222" s="217"/>
      <c r="BS222" s="217"/>
      <c r="BX222" s="217"/>
      <c r="CC222" s="217"/>
      <c r="CH222" s="217"/>
      <c r="CM222" s="217"/>
      <c r="CR222" s="217"/>
      <c r="CW222" s="217"/>
      <c r="DB222" s="217"/>
    </row>
    <row r="223" spans="1:106" s="51" customFormat="1">
      <c r="A223" s="51" t="s">
        <v>314</v>
      </c>
      <c r="F223" s="233"/>
      <c r="K223" s="233"/>
      <c r="P223" s="233"/>
      <c r="U223" s="233"/>
      <c r="V223" s="213">
        <f>+V215+V220</f>
        <v>228100</v>
      </c>
      <c r="W223" s="213">
        <f t="shared" ref="W223:Y223" si="5647">+W215+W220</f>
        <v>228100</v>
      </c>
      <c r="X223" s="213">
        <f t="shared" si="5647"/>
        <v>228100</v>
      </c>
      <c r="Y223" s="213">
        <f t="shared" si="5647"/>
        <v>228100</v>
      </c>
      <c r="Z223" s="234">
        <f>+V223+W223+X223+Y223</f>
        <v>912400</v>
      </c>
      <c r="AA223" s="213">
        <f>+AA215+AA220</f>
        <v>234943</v>
      </c>
      <c r="AB223" s="213">
        <f t="shared" ref="AB223:AD223" si="5648">+AB215+AB220</f>
        <v>234943</v>
      </c>
      <c r="AC223" s="213">
        <f t="shared" si="5648"/>
        <v>234943</v>
      </c>
      <c r="AD223" s="213">
        <f t="shared" si="5648"/>
        <v>234943</v>
      </c>
      <c r="AE223" s="234">
        <f>+AA223+AB223+AC223+AD223</f>
        <v>939772</v>
      </c>
      <c r="AF223" s="213">
        <f>+AF215+AF220</f>
        <v>241991.28999999998</v>
      </c>
      <c r="AG223" s="213">
        <f t="shared" ref="AG223:AI223" si="5649">+AG215+AG220</f>
        <v>241991.28999999998</v>
      </c>
      <c r="AH223" s="213">
        <f t="shared" si="5649"/>
        <v>241991.28999999998</v>
      </c>
      <c r="AI223" s="213">
        <f t="shared" si="5649"/>
        <v>241991.28999999998</v>
      </c>
      <c r="AJ223" s="234">
        <f>+AF223+AG223+AH223+AI223</f>
        <v>967965.15999999992</v>
      </c>
      <c r="AK223" s="213">
        <f>+AK215+AK220</f>
        <v>249251.0287</v>
      </c>
      <c r="AL223" s="213">
        <f t="shared" ref="AL223:AN223" si="5650">+AL215+AL220</f>
        <v>249251.0287</v>
      </c>
      <c r="AM223" s="213">
        <f t="shared" si="5650"/>
        <v>249251.0287</v>
      </c>
      <c r="AN223" s="213">
        <f t="shared" si="5650"/>
        <v>249251.0287</v>
      </c>
      <c r="AO223" s="234">
        <f>+AK223+AL223+AM223+AN223</f>
        <v>997004.11479999998</v>
      </c>
      <c r="AP223" s="213">
        <f>+AP215+AP220</f>
        <v>256728.559561</v>
      </c>
      <c r="AQ223" s="213">
        <f t="shared" ref="AQ223:AS223" si="5651">+AQ215+AQ220</f>
        <v>256728.559561</v>
      </c>
      <c r="AR223" s="213">
        <f t="shared" si="5651"/>
        <v>256728.559561</v>
      </c>
      <c r="AS223" s="213">
        <f t="shared" si="5651"/>
        <v>256728.559561</v>
      </c>
      <c r="AT223" s="234">
        <f>+AP223+AQ223+AR223+AS223</f>
        <v>1026914.238244</v>
      </c>
      <c r="AU223" s="213">
        <f>+AU215+AU220</f>
        <v>264430.41634782997</v>
      </c>
      <c r="AV223" s="213">
        <f t="shared" ref="AV223:AX223" si="5652">+AV215+AV220</f>
        <v>264430.41634782997</v>
      </c>
      <c r="AW223" s="213">
        <f t="shared" si="5652"/>
        <v>264430.41634782997</v>
      </c>
      <c r="AX223" s="213">
        <f t="shared" si="5652"/>
        <v>264430.41634782997</v>
      </c>
      <c r="AY223" s="234">
        <f>+AU223+AV223+AW223+AX223</f>
        <v>1057721.6653913199</v>
      </c>
      <c r="AZ223" s="213">
        <f>+AZ215+AZ220</f>
        <v>272363.32883826492</v>
      </c>
      <c r="BA223" s="213">
        <f t="shared" ref="BA223:BC223" si="5653">+BA215+BA220</f>
        <v>272363.32883826492</v>
      </c>
      <c r="BB223" s="213">
        <f t="shared" si="5653"/>
        <v>272363.32883826492</v>
      </c>
      <c r="BC223" s="213">
        <f t="shared" si="5653"/>
        <v>272363.32883826492</v>
      </c>
      <c r="BD223" s="234">
        <f>+AZ223+BA223+BB223+BC223</f>
        <v>1089453.3153530597</v>
      </c>
      <c r="BE223" s="213">
        <f>+BE215+BE220</f>
        <v>280534.22870341287</v>
      </c>
      <c r="BF223" s="213">
        <f t="shared" ref="BF223:BH223" si="5654">+BF215+BF220</f>
        <v>280534.22870341287</v>
      </c>
      <c r="BG223" s="213">
        <f t="shared" si="5654"/>
        <v>280534.22870341287</v>
      </c>
      <c r="BH223" s="213">
        <f t="shared" si="5654"/>
        <v>280534.22870341287</v>
      </c>
      <c r="BI223" s="234">
        <f>+BE223+BF223+BG223+BH223</f>
        <v>1122136.9148136515</v>
      </c>
      <c r="BJ223" s="213">
        <f>+BJ215+BJ220</f>
        <v>288950.25556451525</v>
      </c>
      <c r="BK223" s="213">
        <f t="shared" ref="BK223:BM223" si="5655">+BK215+BK220</f>
        <v>288950.25556451525</v>
      </c>
      <c r="BL223" s="213">
        <f t="shared" si="5655"/>
        <v>288950.25556451525</v>
      </c>
      <c r="BM223" s="213">
        <f t="shared" si="5655"/>
        <v>288950.25556451525</v>
      </c>
      <c r="BN223" s="234">
        <f>+BJ223+BK223+BL223+BM223</f>
        <v>1155801.022258061</v>
      </c>
      <c r="BO223" s="213">
        <f>+BO215+BO220</f>
        <v>297618.76323145075</v>
      </c>
      <c r="BP223" s="213">
        <f t="shared" ref="BP223:BR223" si="5656">+BP215+BP220</f>
        <v>297618.76323145075</v>
      </c>
      <c r="BQ223" s="213">
        <f t="shared" si="5656"/>
        <v>297618.76323145075</v>
      </c>
      <c r="BR223" s="213">
        <f t="shared" si="5656"/>
        <v>297618.76323145075</v>
      </c>
      <c r="BS223" s="234">
        <f>+BO223+BP223+BQ223+BR223</f>
        <v>1190475.052925803</v>
      </c>
      <c r="BT223" s="213">
        <f>+BT215+BT220</f>
        <v>306547.32612839428</v>
      </c>
      <c r="BU223" s="213">
        <f t="shared" ref="BU223:BW223" si="5657">+BU215+BU220</f>
        <v>306547.32612839428</v>
      </c>
      <c r="BV223" s="213">
        <f t="shared" si="5657"/>
        <v>306547.32612839428</v>
      </c>
      <c r="BW223" s="213">
        <f t="shared" si="5657"/>
        <v>306547.32612839428</v>
      </c>
      <c r="BX223" s="234">
        <f>+BT223+BU223+BV223+BW223</f>
        <v>1226189.3045135771</v>
      </c>
      <c r="BY223" s="213">
        <f>+BY215+BY220</f>
        <v>315743.74591224612</v>
      </c>
      <c r="BZ223" s="213">
        <f t="shared" ref="BZ223:CB223" si="5658">+BZ215+BZ220</f>
        <v>315743.74591224612</v>
      </c>
      <c r="CA223" s="213">
        <f t="shared" si="5658"/>
        <v>315743.74591224612</v>
      </c>
      <c r="CB223" s="213">
        <f t="shared" si="5658"/>
        <v>315743.74591224612</v>
      </c>
      <c r="CC223" s="234">
        <f>+BY223+BZ223+CA223+CB223</f>
        <v>1262974.9836489845</v>
      </c>
      <c r="CD223" s="213">
        <f>+CD215+CD220</f>
        <v>325216.05828961352</v>
      </c>
      <c r="CE223" s="213">
        <f t="shared" ref="CE223:CG223" si="5659">+CE215+CE220</f>
        <v>325216.05828961352</v>
      </c>
      <c r="CF223" s="213">
        <f t="shared" si="5659"/>
        <v>325216.05828961352</v>
      </c>
      <c r="CG223" s="213">
        <f t="shared" si="5659"/>
        <v>325216.05828961352</v>
      </c>
      <c r="CH223" s="234">
        <f>+CD223+CE223+CF223+CG223</f>
        <v>1300864.2331584541</v>
      </c>
      <c r="CI223" s="213">
        <f>+CI215+CI220</f>
        <v>334972.5400383019</v>
      </c>
      <c r="CJ223" s="213">
        <f t="shared" ref="CJ223:CL223" si="5660">+CJ215+CJ220</f>
        <v>334972.5400383019</v>
      </c>
      <c r="CK223" s="213">
        <f t="shared" si="5660"/>
        <v>334972.5400383019</v>
      </c>
      <c r="CL223" s="213">
        <f t="shared" si="5660"/>
        <v>334972.5400383019</v>
      </c>
      <c r="CM223" s="234">
        <f>+CI223+CJ223+CK223+CL223</f>
        <v>1339890.1601532076</v>
      </c>
      <c r="CN223" s="213">
        <f>+CN215+CN220</f>
        <v>345021.71623945097</v>
      </c>
      <c r="CO223" s="213">
        <f t="shared" ref="CO223:CQ223" si="5661">+CO215+CO220</f>
        <v>345021.71623945097</v>
      </c>
      <c r="CP223" s="213">
        <f t="shared" si="5661"/>
        <v>345021.71623945097</v>
      </c>
      <c r="CQ223" s="213">
        <f t="shared" si="5661"/>
        <v>345021.71623945097</v>
      </c>
      <c r="CR223" s="234">
        <f>+CN223+CO223+CP223+CQ223</f>
        <v>1380086.8649578039</v>
      </c>
      <c r="CS223" s="213">
        <f>+CS215+CS220</f>
        <v>355372.36772663449</v>
      </c>
      <c r="CT223" s="213">
        <f t="shared" ref="CT223:CV223" si="5662">+CT215+CT220</f>
        <v>355372.36772663449</v>
      </c>
      <c r="CU223" s="213">
        <f t="shared" si="5662"/>
        <v>355372.36772663449</v>
      </c>
      <c r="CV223" s="213">
        <f t="shared" si="5662"/>
        <v>355372.36772663449</v>
      </c>
      <c r="CW223" s="234">
        <f>+CS223+CT223+CU223+CV223</f>
        <v>1421489.470906538</v>
      </c>
      <c r="CX223" s="213">
        <f>+CX215+CX220</f>
        <v>366033.53875843354</v>
      </c>
      <c r="CY223" s="213">
        <f t="shared" ref="CY223:DA223" si="5663">+CY215+CY220</f>
        <v>366033.53875843354</v>
      </c>
      <c r="CZ223" s="213">
        <f t="shared" si="5663"/>
        <v>366033.53875843354</v>
      </c>
      <c r="DA223" s="213">
        <f t="shared" si="5663"/>
        <v>366033.53875843354</v>
      </c>
      <c r="DB223" s="234">
        <f>+CX223+CY223+CZ223+DA223</f>
        <v>1464134.1550337342</v>
      </c>
    </row>
    <row r="224" spans="1:106">
      <c r="A224" s="117" t="s">
        <v>281</v>
      </c>
      <c r="F224" s="217"/>
      <c r="K224" s="217"/>
      <c r="P224" s="217"/>
      <c r="U224" s="217"/>
      <c r="V224" s="119" t="s">
        <v>290</v>
      </c>
      <c r="W224" s="119" t="s">
        <v>290</v>
      </c>
      <c r="X224" s="119" t="s">
        <v>290</v>
      </c>
      <c r="Y224" s="119" t="s">
        <v>290</v>
      </c>
      <c r="Z224" s="235" t="s">
        <v>290</v>
      </c>
      <c r="AA224" s="13">
        <f>+AA223/V223-1</f>
        <v>3.0000000000000027E-2</v>
      </c>
      <c r="AB224" s="13">
        <f t="shared" ref="AB224" si="5664">+AB223/W223-1</f>
        <v>3.0000000000000027E-2</v>
      </c>
      <c r="AC224" s="13">
        <f t="shared" ref="AC224" si="5665">+AC223/X223-1</f>
        <v>3.0000000000000027E-2</v>
      </c>
      <c r="AD224" s="13">
        <f t="shared" ref="AD224" si="5666">+AD223/Y223-1</f>
        <v>3.0000000000000027E-2</v>
      </c>
      <c r="AE224" s="239">
        <f t="shared" ref="AE224" si="5667">+AE223/Z223-1</f>
        <v>3.0000000000000027E-2</v>
      </c>
      <c r="AF224" s="13">
        <f>+AF223/AA223-1</f>
        <v>2.9999999999999805E-2</v>
      </c>
      <c r="AG224" s="13">
        <f t="shared" ref="AG224" si="5668">+AG223/AB223-1</f>
        <v>2.9999999999999805E-2</v>
      </c>
      <c r="AH224" s="13">
        <f t="shared" ref="AH224" si="5669">+AH223/AC223-1</f>
        <v>2.9999999999999805E-2</v>
      </c>
      <c r="AI224" s="13">
        <f t="shared" ref="AI224" si="5670">+AI223/AD223-1</f>
        <v>2.9999999999999805E-2</v>
      </c>
      <c r="AJ224" s="239">
        <f t="shared" ref="AJ224" si="5671">+AJ223/AE223-1</f>
        <v>2.9999999999999805E-2</v>
      </c>
      <c r="AK224" s="13">
        <f>+AK223/AF223-1</f>
        <v>3.0000000000000027E-2</v>
      </c>
      <c r="AL224" s="13">
        <f t="shared" ref="AL224" si="5672">+AL223/AG223-1</f>
        <v>3.0000000000000027E-2</v>
      </c>
      <c r="AM224" s="13">
        <f t="shared" ref="AM224" si="5673">+AM223/AH223-1</f>
        <v>3.0000000000000027E-2</v>
      </c>
      <c r="AN224" s="13">
        <f t="shared" ref="AN224" si="5674">+AN223/AI223-1</f>
        <v>3.0000000000000027E-2</v>
      </c>
      <c r="AO224" s="239">
        <f t="shared" ref="AO224" si="5675">+AO223/AJ223-1</f>
        <v>3.0000000000000027E-2</v>
      </c>
      <c r="AP224" s="13">
        <f>+AP223/AK223-1</f>
        <v>3.0000000000000027E-2</v>
      </c>
      <c r="AQ224" s="13">
        <f t="shared" ref="AQ224" si="5676">+AQ223/AL223-1</f>
        <v>3.0000000000000027E-2</v>
      </c>
      <c r="AR224" s="13">
        <f t="shared" ref="AR224" si="5677">+AR223/AM223-1</f>
        <v>3.0000000000000027E-2</v>
      </c>
      <c r="AS224" s="13">
        <f t="shared" ref="AS224" si="5678">+AS223/AN223-1</f>
        <v>3.0000000000000027E-2</v>
      </c>
      <c r="AT224" s="239">
        <f t="shared" ref="AT224" si="5679">+AT223/AO223-1</f>
        <v>3.0000000000000027E-2</v>
      </c>
      <c r="AU224" s="13">
        <f>+AU223/AP223-1</f>
        <v>2.9999999999999805E-2</v>
      </c>
      <c r="AV224" s="13">
        <f t="shared" ref="AV224" si="5680">+AV223/AQ223-1</f>
        <v>2.9999999999999805E-2</v>
      </c>
      <c r="AW224" s="13">
        <f t="shared" ref="AW224" si="5681">+AW223/AR223-1</f>
        <v>2.9999999999999805E-2</v>
      </c>
      <c r="AX224" s="13">
        <f t="shared" ref="AX224" si="5682">+AX223/AS223-1</f>
        <v>2.9999999999999805E-2</v>
      </c>
      <c r="AY224" s="239">
        <f t="shared" ref="AY224" si="5683">+AY223/AT223-1</f>
        <v>2.9999999999999805E-2</v>
      </c>
      <c r="AZ224" s="13">
        <f>+AZ223/AU223-1</f>
        <v>3.0000000000000249E-2</v>
      </c>
      <c r="BA224" s="13">
        <f t="shared" ref="BA224" si="5684">+BA223/AV223-1</f>
        <v>3.0000000000000249E-2</v>
      </c>
      <c r="BB224" s="13">
        <f t="shared" ref="BB224" si="5685">+BB223/AW223-1</f>
        <v>3.0000000000000249E-2</v>
      </c>
      <c r="BC224" s="13">
        <f t="shared" ref="BC224" si="5686">+BC223/AX223-1</f>
        <v>3.0000000000000249E-2</v>
      </c>
      <c r="BD224" s="239">
        <f>+BD223/AY223-1</f>
        <v>3.0000000000000249E-2</v>
      </c>
      <c r="BE224" s="13">
        <f>+BE223/AZ223-1</f>
        <v>3.0000000000000027E-2</v>
      </c>
      <c r="BF224" s="13">
        <f t="shared" ref="BF224" si="5687">+BF223/BA223-1</f>
        <v>3.0000000000000027E-2</v>
      </c>
      <c r="BG224" s="13">
        <f t="shared" ref="BG224" si="5688">+BG223/BB223-1</f>
        <v>3.0000000000000027E-2</v>
      </c>
      <c r="BH224" s="13">
        <f t="shared" ref="BH224" si="5689">+BH223/BC223-1</f>
        <v>3.0000000000000027E-2</v>
      </c>
      <c r="BI224" s="239">
        <f t="shared" ref="BI224" si="5690">+BI223/BD223-1</f>
        <v>3.0000000000000027E-2</v>
      </c>
      <c r="BJ224" s="13">
        <f>+BJ223/BE223-1</f>
        <v>3.0000000000000027E-2</v>
      </c>
      <c r="BK224" s="13">
        <f t="shared" ref="BK224" si="5691">+BK223/BF223-1</f>
        <v>3.0000000000000027E-2</v>
      </c>
      <c r="BL224" s="13">
        <f t="shared" ref="BL224" si="5692">+BL223/BG223-1</f>
        <v>3.0000000000000027E-2</v>
      </c>
      <c r="BM224" s="13">
        <f t="shared" ref="BM224" si="5693">+BM223/BH223-1</f>
        <v>3.0000000000000027E-2</v>
      </c>
      <c r="BN224" s="239">
        <f t="shared" ref="BN224" si="5694">+BN223/BI223-1</f>
        <v>3.0000000000000027E-2</v>
      </c>
      <c r="BO224" s="13">
        <f>+BO223/BJ223-1</f>
        <v>3.0000000000000249E-2</v>
      </c>
      <c r="BP224" s="13">
        <f t="shared" ref="BP224" si="5695">+BP223/BK223-1</f>
        <v>3.0000000000000249E-2</v>
      </c>
      <c r="BQ224" s="13">
        <f t="shared" ref="BQ224" si="5696">+BQ223/BL223-1</f>
        <v>3.0000000000000249E-2</v>
      </c>
      <c r="BR224" s="13">
        <f t="shared" ref="BR224" si="5697">+BR223/BM223-1</f>
        <v>3.0000000000000249E-2</v>
      </c>
      <c r="BS224" s="239">
        <f t="shared" ref="BS224" si="5698">+BS223/BN223-1</f>
        <v>3.0000000000000249E-2</v>
      </c>
      <c r="BT224" s="13">
        <f>+BT223/BO223-1</f>
        <v>3.0000000000000027E-2</v>
      </c>
      <c r="BU224" s="13">
        <f t="shared" ref="BU224" si="5699">+BU223/BP223-1</f>
        <v>3.0000000000000027E-2</v>
      </c>
      <c r="BV224" s="13">
        <f t="shared" ref="BV224" si="5700">+BV223/BQ223-1</f>
        <v>3.0000000000000027E-2</v>
      </c>
      <c r="BW224" s="13">
        <f t="shared" ref="BW224" si="5701">+BW223/BR223-1</f>
        <v>3.0000000000000027E-2</v>
      </c>
      <c r="BX224" s="239">
        <f t="shared" ref="BX224" si="5702">+BX223/BS223-1</f>
        <v>3.0000000000000027E-2</v>
      </c>
      <c r="BY224" s="13">
        <f>+BY223/BT223-1</f>
        <v>3.0000000000000027E-2</v>
      </c>
      <c r="BZ224" s="13">
        <f t="shared" ref="BZ224" si="5703">+BZ223/BU223-1</f>
        <v>3.0000000000000027E-2</v>
      </c>
      <c r="CA224" s="13">
        <f t="shared" ref="CA224" si="5704">+CA223/BV223-1</f>
        <v>3.0000000000000027E-2</v>
      </c>
      <c r="CB224" s="13">
        <f t="shared" ref="CB224" si="5705">+CB223/BW223-1</f>
        <v>3.0000000000000027E-2</v>
      </c>
      <c r="CC224" s="239">
        <f t="shared" ref="CC224" si="5706">+CC223/BX223-1</f>
        <v>3.0000000000000027E-2</v>
      </c>
      <c r="CD224" s="13">
        <f>+CD223/BY223-1</f>
        <v>3.0000000000000027E-2</v>
      </c>
      <c r="CE224" s="13">
        <f t="shared" ref="CE224" si="5707">+CE223/BZ223-1</f>
        <v>3.0000000000000027E-2</v>
      </c>
      <c r="CF224" s="13">
        <f t="shared" ref="CF224" si="5708">+CF223/CA223-1</f>
        <v>3.0000000000000027E-2</v>
      </c>
      <c r="CG224" s="13">
        <f t="shared" ref="CG224" si="5709">+CG223/CB223-1</f>
        <v>3.0000000000000027E-2</v>
      </c>
      <c r="CH224" s="239">
        <f t="shared" ref="CH224" si="5710">+CH223/CC223-1</f>
        <v>3.0000000000000027E-2</v>
      </c>
      <c r="CI224" s="13">
        <f>+CI223/CD223-1</f>
        <v>3.0000000000000027E-2</v>
      </c>
      <c r="CJ224" s="13">
        <f t="shared" ref="CJ224" si="5711">+CJ223/CE223-1</f>
        <v>3.0000000000000027E-2</v>
      </c>
      <c r="CK224" s="13">
        <f t="shared" ref="CK224" si="5712">+CK223/CF223-1</f>
        <v>3.0000000000000027E-2</v>
      </c>
      <c r="CL224" s="13">
        <f t="shared" ref="CL224" si="5713">+CL223/CG223-1</f>
        <v>3.0000000000000027E-2</v>
      </c>
      <c r="CM224" s="239">
        <f t="shared" ref="CM224" si="5714">+CM223/CH223-1</f>
        <v>3.0000000000000027E-2</v>
      </c>
      <c r="CN224" s="13">
        <f>+CN223/CI223-1</f>
        <v>3.0000000000000027E-2</v>
      </c>
      <c r="CO224" s="13">
        <f t="shared" ref="CO224" si="5715">+CO223/CJ223-1</f>
        <v>3.0000000000000027E-2</v>
      </c>
      <c r="CP224" s="13">
        <f t="shared" ref="CP224" si="5716">+CP223/CK223-1</f>
        <v>3.0000000000000027E-2</v>
      </c>
      <c r="CQ224" s="13">
        <f t="shared" ref="CQ224" si="5717">+CQ223/CL223-1</f>
        <v>3.0000000000000027E-2</v>
      </c>
      <c r="CR224" s="239">
        <f t="shared" ref="CR224" si="5718">+CR223/CM223-1</f>
        <v>3.0000000000000027E-2</v>
      </c>
      <c r="CS224" s="13">
        <f>+CS223/CN223-1</f>
        <v>3.0000000000000027E-2</v>
      </c>
      <c r="CT224" s="13">
        <f t="shared" ref="CT224" si="5719">+CT223/CO223-1</f>
        <v>3.0000000000000027E-2</v>
      </c>
      <c r="CU224" s="13">
        <f t="shared" ref="CU224" si="5720">+CU223/CP223-1</f>
        <v>3.0000000000000027E-2</v>
      </c>
      <c r="CV224" s="13">
        <f t="shared" ref="CV224" si="5721">+CV223/CQ223-1</f>
        <v>3.0000000000000027E-2</v>
      </c>
      <c r="CW224" s="239">
        <f t="shared" ref="CW224" si="5722">+CW223/CR223-1</f>
        <v>3.0000000000000027E-2</v>
      </c>
      <c r="CX224" s="13">
        <f>+CX223/CS223-1</f>
        <v>3.0000000000000027E-2</v>
      </c>
      <c r="CY224" s="13">
        <f t="shared" ref="CY224" si="5723">+CY223/CT223-1</f>
        <v>3.0000000000000027E-2</v>
      </c>
      <c r="CZ224" s="13">
        <f t="shared" ref="CZ224" si="5724">+CZ223/CU223-1</f>
        <v>3.0000000000000027E-2</v>
      </c>
      <c r="DA224" s="13">
        <f t="shared" ref="DA224" si="5725">+DA223/CV223-1</f>
        <v>3.0000000000000027E-2</v>
      </c>
      <c r="DB224" s="239">
        <f t="shared" ref="DB224" si="5726">+DB223/CW223-1</f>
        <v>3.0000000000000027E-2</v>
      </c>
    </row>
    <row r="225" spans="1:106">
      <c r="F225" s="217"/>
      <c r="K225" s="217"/>
      <c r="P225" s="217"/>
      <c r="U225" s="217"/>
      <c r="Z225" s="217"/>
      <c r="AE225" s="217"/>
      <c r="AJ225" s="217"/>
      <c r="AO225" s="217"/>
      <c r="AT225" s="217"/>
      <c r="AY225" s="217"/>
      <c r="BD225" s="217"/>
      <c r="BI225" s="217"/>
      <c r="BN225" s="217"/>
      <c r="BS225" s="217"/>
      <c r="BX225" s="217"/>
      <c r="CC225" s="217"/>
      <c r="CH225" s="217"/>
      <c r="CM225" s="217"/>
      <c r="CR225" s="217"/>
      <c r="CW225" s="217"/>
      <c r="DB225" s="217"/>
    </row>
    <row r="226" spans="1:106" s="51" customFormat="1">
      <c r="A226" s="51" t="s">
        <v>315</v>
      </c>
      <c r="F226" s="233"/>
      <c r="K226" s="233"/>
      <c r="P226" s="233"/>
      <c r="U226" s="233"/>
      <c r="V226" s="213">
        <f>+V223*V229</f>
        <v>0</v>
      </c>
      <c r="W226" s="213">
        <f t="shared" ref="W226:Y226" si="5727">+W223*W229</f>
        <v>0</v>
      </c>
      <c r="X226" s="213">
        <f t="shared" si="5727"/>
        <v>0</v>
      </c>
      <c r="Y226" s="213">
        <f t="shared" si="5727"/>
        <v>0</v>
      </c>
      <c r="Z226" s="234">
        <f>+V226+W226+X226+Y226</f>
        <v>0</v>
      </c>
      <c r="AA226" s="213">
        <f>+AA223*AA229</f>
        <v>0</v>
      </c>
      <c r="AB226" s="213">
        <f t="shared" ref="AB226:AD226" si="5728">+AB223*AB229</f>
        <v>0</v>
      </c>
      <c r="AC226" s="213">
        <f t="shared" si="5728"/>
        <v>0</v>
      </c>
      <c r="AD226" s="213">
        <f t="shared" si="5728"/>
        <v>0</v>
      </c>
      <c r="AE226" s="234">
        <f>+AA226+AB226+AC226+AD226</f>
        <v>0</v>
      </c>
      <c r="AF226" s="213">
        <f>+AF223*AF229</f>
        <v>913</v>
      </c>
      <c r="AG226" s="213">
        <f t="shared" ref="AG226:AI226" si="5729">+AG223*AG229</f>
        <v>1585</v>
      </c>
      <c r="AH226" s="213">
        <f t="shared" si="5729"/>
        <v>2543</v>
      </c>
      <c r="AI226" s="213">
        <f t="shared" si="5729"/>
        <v>3267</v>
      </c>
      <c r="AJ226" s="234">
        <f>+AF226+AG226+AH226+AI226</f>
        <v>8308</v>
      </c>
      <c r="AK226" s="213">
        <f>+AK223*AK229</f>
        <v>6043</v>
      </c>
      <c r="AL226" s="213">
        <f t="shared" ref="AL226:AN226" si="5730">+AL223*AL229</f>
        <v>7877</v>
      </c>
      <c r="AM226" s="213">
        <f t="shared" si="5730"/>
        <v>9099</v>
      </c>
      <c r="AN226" s="213">
        <f t="shared" si="5730"/>
        <v>10537</v>
      </c>
      <c r="AO226" s="234">
        <f>+AK226+AL226+AM226+AN226</f>
        <v>33556</v>
      </c>
      <c r="AP226" s="213">
        <f>+AP223*AP229</f>
        <v>11854.123365890306</v>
      </c>
      <c r="AQ226" s="213">
        <f t="shared" ref="AQ226:AS226" si="5731">+AQ223*AQ229</f>
        <v>12854.123365890306</v>
      </c>
      <c r="AR226" s="213">
        <f t="shared" si="5731"/>
        <v>12928.185048835458</v>
      </c>
      <c r="AS226" s="213">
        <f t="shared" si="5731"/>
        <v>13003.185048835458</v>
      </c>
      <c r="AT226" s="234">
        <f>+AP226+AQ226+AR226+AS226</f>
        <v>50639.616829451523</v>
      </c>
      <c r="AU226" s="213">
        <f>+AU223*AU229</f>
        <v>10873.103001502604</v>
      </c>
      <c r="AV226" s="213">
        <f>+AV223*AV229</f>
        <v>11497.470668670141</v>
      </c>
      <c r="AW226" s="213">
        <f t="shared" ref="AW226:AX226" si="5732">+AW223*AW229</f>
        <v>11472.206003005213</v>
      </c>
      <c r="AX226" s="213">
        <f t="shared" si="5732"/>
        <v>11830.573670172746</v>
      </c>
      <c r="AY226" s="234">
        <f>+AU226+AV226+AW226+AX226</f>
        <v>45673.353343350696</v>
      </c>
      <c r="AZ226" s="213">
        <f>+AZ223*AZ229</f>
        <v>10633.930359150954</v>
      </c>
      <c r="BA226" s="213">
        <f t="shared" ref="BA226:BC226" si="5733">+BA223*BA229</f>
        <v>16033.789577460493</v>
      </c>
      <c r="BB226" s="213">
        <f t="shared" si="5733"/>
        <v>17819.888274643054</v>
      </c>
      <c r="BC226" s="213">
        <f t="shared" si="5733"/>
        <v>19667.986971825616</v>
      </c>
      <c r="BD226" s="234">
        <f>+AZ226+BA226+BB226+BC226</f>
        <v>64155.595183080113</v>
      </c>
      <c r="BE226" s="213">
        <f>+BE223*BE229</f>
        <v>13758.290556959611</v>
      </c>
      <c r="BF226" s="213">
        <f t="shared" ref="BF226:BH226" si="5734">+BF223*BF229</f>
        <v>19320.145551818438</v>
      </c>
      <c r="BG226" s="213">
        <f t="shared" si="5734"/>
        <v>21159.827209916471</v>
      </c>
      <c r="BH226" s="213">
        <f t="shared" si="5734"/>
        <v>24466.040011531575</v>
      </c>
      <c r="BI226" s="234">
        <f>+BE226+BF226+BG226+BH226</f>
        <v>78704.303330226088</v>
      </c>
      <c r="BJ226" s="213">
        <f>+BJ223*BJ229</f>
        <v>14315.514401450657</v>
      </c>
      <c r="BK226" s="213">
        <f t="shared" ref="BK226:BM226" si="5735">+BK223*BK229</f>
        <v>20044.225046155247</v>
      </c>
      <c r="BL226" s="213">
        <f t="shared" si="5735"/>
        <v>21939.097153996223</v>
      </c>
      <c r="BM226" s="213">
        <f t="shared" si="5735"/>
        <v>25344.496339659781</v>
      </c>
      <c r="BN226" s="234">
        <f>+BJ226+BK226+BL226+BM226</f>
        <v>81643.332941261906</v>
      </c>
      <c r="BO226" s="213">
        <f>+BO223*BO229</f>
        <v>17721.167465808689</v>
      </c>
      <c r="BP226" s="213">
        <f t="shared" ref="BP226:BR226" si="5736">+BP223*BP229</f>
        <v>23621.739429854413</v>
      </c>
      <c r="BQ226" s="213">
        <f t="shared" si="5736"/>
        <v>25573.457700930619</v>
      </c>
      <c r="BR226" s="213">
        <f t="shared" si="5736"/>
        <v>29081.018862164085</v>
      </c>
      <c r="BS226" s="234">
        <f>+BO226+BP226+BQ226+BR226</f>
        <v>95997.383458757802</v>
      </c>
      <c r="BT226" s="213">
        <f>+BT223*BT229</f>
        <v>21318.275751066893</v>
      </c>
      <c r="BU226" s="213">
        <f t="shared" ref="BU226:BW226" si="5737">+BU223*BU229</f>
        <v>27395.864874033989</v>
      </c>
      <c r="BV226" s="213">
        <f t="shared" si="5737"/>
        <v>29406.134693242482</v>
      </c>
      <c r="BW226" s="213">
        <f t="shared" si="5737"/>
        <v>33018.922689312945</v>
      </c>
      <c r="BX226" s="234">
        <f>+BT226+BU226+BV226+BW226</f>
        <v>111139.19800765632</v>
      </c>
      <c r="BY226" s="213">
        <f>+BY223*BY229</f>
        <v>25115.261482721358</v>
      </c>
      <c r="BZ226" s="213">
        <f t="shared" ref="BZ226:CB226" si="5738">+BZ223*BZ229</f>
        <v>31375.178279377469</v>
      </c>
      <c r="CA226" s="213">
        <f t="shared" si="5738"/>
        <v>33445.756193162219</v>
      </c>
      <c r="CB226" s="213">
        <f t="shared" si="5738"/>
        <v>37166.927829114793</v>
      </c>
      <c r="CC226" s="234">
        <f>+BY226+BZ226+CA226+CB226</f>
        <v>127103.12378437584</v>
      </c>
      <c r="CD226" s="213">
        <f>+CD223*CD229</f>
        <v>29120.879910099135</v>
      </c>
      <c r="CE226" s="213">
        <f t="shared" ref="CE226:CG226" si="5739">+CE223*CE229</f>
        <v>35568.594210654926</v>
      </c>
      <c r="CF226" s="213">
        <f t="shared" si="5739"/>
        <v>37701.289461853215</v>
      </c>
      <c r="CG226" s="213">
        <f t="shared" si="5739"/>
        <v>41534.096246884379</v>
      </c>
      <c r="CH226" s="234">
        <f>+CD226+CE226+CF226+CG226</f>
        <v>143924.85982949164</v>
      </c>
      <c r="CI226" s="213">
        <f>+CI223*CI229</f>
        <v>33344.231707785126</v>
      </c>
      <c r="CJ226" s="213">
        <f t="shared" ref="CJ226:CL226" si="5740">+CJ223*CJ229</f>
        <v>39985.377437357587</v>
      </c>
      <c r="CK226" s="213">
        <f t="shared" si="5740"/>
        <v>42182.053546091833</v>
      </c>
      <c r="CL226" s="213">
        <f t="shared" si="5740"/>
        <v>46129.844534673924</v>
      </c>
      <c r="CM226" s="234">
        <f>+CI226+CJ226+CK226+CL226</f>
        <v>161641.50722590848</v>
      </c>
      <c r="CN226" s="213">
        <f>+CN223*CN229</f>
        <v>37794.77582141319</v>
      </c>
      <c r="CO226" s="213">
        <f t="shared" ref="CO226:CQ226" si="5741">+CO223*CO229</f>
        <v>44635.155922872829</v>
      </c>
      <c r="CP226" s="213">
        <f t="shared" si="5741"/>
        <v>46897.732314869099</v>
      </c>
      <c r="CQ226" s="213">
        <f t="shared" si="5741"/>
        <v>50963.957033108658</v>
      </c>
      <c r="CR226" s="234">
        <f>+CN226+CO226+CP226+CQ226</f>
        <v>180291.62109226378</v>
      </c>
      <c r="CS226" s="213">
        <f>+CS223*CS229</f>
        <v>42482.342773321921</v>
      </c>
      <c r="CT226" s="213">
        <f t="shared" ref="CT226:CV226" si="5742">+CT223*CT229</f>
        <v>49527.934277825356</v>
      </c>
      <c r="CU226" s="213">
        <f t="shared" si="5742"/>
        <v>51858.387961581517</v>
      </c>
      <c r="CV226" s="213">
        <f t="shared" si="5742"/>
        <v>56046.599421368264</v>
      </c>
      <c r="CW226" s="234">
        <f>+CS226+CT226+CU226+CV226</f>
        <v>199915.26443409707</v>
      </c>
      <c r="CX226" s="213">
        <f>+CX223*CX229</f>
        <v>47417.148444105915</v>
      </c>
      <c r="CY226" s="213">
        <f t="shared" ref="CY226:DA226" si="5743">+CY223*CY229</f>
        <v>54674.10769374446</v>
      </c>
      <c r="CZ226" s="213">
        <f t="shared" si="5743"/>
        <v>57074.474988013302</v>
      </c>
      <c r="DA226" s="213">
        <f t="shared" si="5743"/>
        <v>61388.332791593653</v>
      </c>
      <c r="DB226" s="234">
        <f>+CX226+CY226+CZ226+DA226</f>
        <v>220554.06391745733</v>
      </c>
    </row>
    <row r="227" spans="1:106">
      <c r="A227" s="117" t="s">
        <v>281</v>
      </c>
      <c r="F227" s="217"/>
      <c r="K227" s="217"/>
      <c r="P227" s="217"/>
      <c r="U227" s="217"/>
      <c r="V227" s="119" t="s">
        <v>290</v>
      </c>
      <c r="W227" s="119" t="s">
        <v>290</v>
      </c>
      <c r="X227" s="119" t="s">
        <v>290</v>
      </c>
      <c r="Y227" s="119" t="s">
        <v>290</v>
      </c>
      <c r="Z227" s="235" t="s">
        <v>290</v>
      </c>
      <c r="AA227" s="13" t="e">
        <f>+AA226/V226-1</f>
        <v>#DIV/0!</v>
      </c>
      <c r="AB227" s="13" t="e">
        <f t="shared" ref="AB227" si="5744">+AB226/W226-1</f>
        <v>#DIV/0!</v>
      </c>
      <c r="AC227" s="13" t="e">
        <f t="shared" ref="AC227" si="5745">+AC226/X226-1</f>
        <v>#DIV/0!</v>
      </c>
      <c r="AD227" s="13" t="e">
        <f t="shared" ref="AD227" si="5746">+AD226/Y226-1</f>
        <v>#DIV/0!</v>
      </c>
      <c r="AE227" s="239" t="e">
        <f t="shared" ref="AE227" si="5747">+AE226/Z226-1</f>
        <v>#DIV/0!</v>
      </c>
      <c r="AF227" s="13" t="e">
        <f>+AF226/AA226-1</f>
        <v>#DIV/0!</v>
      </c>
      <c r="AG227" s="13" t="e">
        <f t="shared" ref="AG227" si="5748">+AG226/AB226-1</f>
        <v>#DIV/0!</v>
      </c>
      <c r="AH227" s="13" t="e">
        <f t="shared" ref="AH227" si="5749">+AH226/AC226-1</f>
        <v>#DIV/0!</v>
      </c>
      <c r="AI227" s="13" t="e">
        <f t="shared" ref="AI227" si="5750">+AI226/AD226-1</f>
        <v>#DIV/0!</v>
      </c>
      <c r="AJ227" s="239" t="e">
        <f t="shared" ref="AJ227" si="5751">+AJ226/AE226-1</f>
        <v>#DIV/0!</v>
      </c>
      <c r="AK227" s="13">
        <f>+AK226/AF226-1</f>
        <v>5.618838992332968</v>
      </c>
      <c r="AL227" s="13">
        <f t="shared" ref="AL227" si="5752">+AL226/AG226-1</f>
        <v>3.9697160883280755</v>
      </c>
      <c r="AM227" s="13">
        <f t="shared" ref="AM227" si="5753">+AM226/AH226-1</f>
        <v>2.5780574125049154</v>
      </c>
      <c r="AN227" s="13">
        <f t="shared" ref="AN227" si="5754">+AN226/AI226-1</f>
        <v>2.2252831343740436</v>
      </c>
      <c r="AO227" s="239">
        <f t="shared" ref="AO227" si="5755">+AO226/AJ226-1</f>
        <v>3.0389985556090515</v>
      </c>
      <c r="AP227" s="13">
        <f>+AP226/AK226-1</f>
        <v>0.96162888728947626</v>
      </c>
      <c r="AQ227" s="13">
        <f t="shared" ref="AQ227" si="5756">+AQ226/AL226-1</f>
        <v>0.6318551943494104</v>
      </c>
      <c r="AR227" s="13">
        <f t="shared" ref="AR227" si="5757">+AR226/AM226-1</f>
        <v>0.42083581149966554</v>
      </c>
      <c r="AS227" s="13">
        <f t="shared" ref="AS227" si="5758">+AS226/AN226-1</f>
        <v>0.23405001887021526</v>
      </c>
      <c r="AT227" s="239">
        <f t="shared" ref="AT227" si="5759">+AT226/AO226-1</f>
        <v>0.50910766567682453</v>
      </c>
      <c r="AU227" s="13">
        <f>+AU226/AP226-1</f>
        <v>-8.2757731981307203E-2</v>
      </c>
      <c r="AV227" s="13">
        <f t="shared" ref="AV227" si="5760">+AV226/AQ226-1</f>
        <v>-0.10554221852422685</v>
      </c>
      <c r="AW227" s="13">
        <f t="shared" ref="AW227" si="5761">+AW226/AR226-1</f>
        <v>-0.11262052951209856</v>
      </c>
      <c r="AX227" s="13">
        <f t="shared" ref="AX227" si="5762">+AX226/AS226-1</f>
        <v>-9.0178781141604158E-2</v>
      </c>
      <c r="AY227" s="239">
        <f t="shared" ref="AY227" si="5763">+AY226/AT226-1</f>
        <v>-9.8070716111984813E-2</v>
      </c>
      <c r="AZ227" s="13">
        <f>+AZ226/AU226-1</f>
        <v>-2.1996723687672026E-2</v>
      </c>
      <c r="BA227" s="13">
        <f t="shared" ref="BA227" si="5764">+BA226/AV226-1</f>
        <v>0.39454929171087394</v>
      </c>
      <c r="BB227" s="13">
        <f t="shared" ref="BB227" si="5765">+BB226/AW226-1</f>
        <v>0.55330964855190268</v>
      </c>
      <c r="BC227" s="13">
        <f t="shared" ref="BC227" si="5766">+BC226/AX226-1</f>
        <v>0.66247111257272029</v>
      </c>
      <c r="BD227" s="239">
        <f t="shared" ref="BD227" si="5767">+BD226/AY226-1</f>
        <v>0.40466137226204202</v>
      </c>
      <c r="BE227" s="13">
        <f>+BE226/AZ226-1</f>
        <v>0.2938104813823621</v>
      </c>
      <c r="BF227" s="13">
        <f t="shared" ref="BF227" si="5768">+BF226/BA226-1</f>
        <v>0.20496439462931093</v>
      </c>
      <c r="BG227" s="13">
        <f t="shared" ref="BG227" si="5769">+BG226/BB226-1</f>
        <v>0.18742760245169499</v>
      </c>
      <c r="BH227" s="13">
        <f t="shared" ref="BH227" si="5770">+BH226/BC226-1</f>
        <v>0.24395242108809456</v>
      </c>
      <c r="BI227" s="239">
        <f t="shared" ref="BI227" si="5771">+BI226/BD226-1</f>
        <v>0.22677224185401901</v>
      </c>
      <c r="BJ227" s="13">
        <f>+BJ226/BE226-1</f>
        <v>4.0500950476669129E-2</v>
      </c>
      <c r="BK227" s="13">
        <f t="shared" ref="BK227" si="5772">+BK226/BF226-1</f>
        <v>3.7477952347447996E-2</v>
      </c>
      <c r="BL227" s="13">
        <f t="shared" ref="BL227" si="5773">+BL226/BG226-1</f>
        <v>3.6827802814691779E-2</v>
      </c>
      <c r="BM227" s="13">
        <f t="shared" ref="BM227" si="5774">+BM226/BH226-1</f>
        <v>3.5905129220509924E-2</v>
      </c>
      <c r="BN227" s="239">
        <f t="shared" ref="BN227" si="5775">+BN226/BI226-1</f>
        <v>3.7342679963817016E-2</v>
      </c>
      <c r="BO227" s="13">
        <f>+BO226/BJ226-1</f>
        <v>0.23789945431600557</v>
      </c>
      <c r="BP227" s="13">
        <f t="shared" ref="BP227" si="5776">+BP226/BK226-1</f>
        <v>0.17848105254562485</v>
      </c>
      <c r="BQ227" s="13">
        <f t="shared" ref="BQ227" si="5777">+BQ226/BL226-1</f>
        <v>0.16565679624024066</v>
      </c>
      <c r="BR227" s="13">
        <f t="shared" ref="BR227" si="5778">+BR226/BM226-1</f>
        <v>0.14742934609662317</v>
      </c>
      <c r="BS227" s="239">
        <f t="shared" ref="BS227" si="5779">+BS226/BN226-1</f>
        <v>0.17581411733671981</v>
      </c>
      <c r="BT227" s="13">
        <f>+BT226/BO226-1</f>
        <v>0.20298370816699762</v>
      </c>
      <c r="BU227" s="13">
        <f t="shared" ref="BU227" si="5780">+BU226/BP226-1</f>
        <v>0.1597733924458431</v>
      </c>
      <c r="BV227" s="13">
        <f t="shared" ref="BV227" si="5781">+BV226/BQ226-1</f>
        <v>0.1498693308168646</v>
      </c>
      <c r="BW227" s="13">
        <f t="shared" ref="BW227" si="5782">+BW226/BR226-1</f>
        <v>0.13541148079485898</v>
      </c>
      <c r="BX227" s="239">
        <f t="shared" ref="BX227" si="5783">+BX226/BS226-1</f>
        <v>0.15773153395794082</v>
      </c>
      <c r="BY227" s="13">
        <f>+BY226/BT226-1</f>
        <v>0.17810942010469311</v>
      </c>
      <c r="BZ227" s="13">
        <f t="shared" ref="BZ227" si="5784">+BZ226/BU226-1</f>
        <v>0.14525233730128018</v>
      </c>
      <c r="CA227" s="13">
        <f t="shared" ref="CA227" si="5785">+CA226/BV226-1</f>
        <v>0.13737342707771916</v>
      </c>
      <c r="CB227" s="13">
        <f t="shared" ref="CB227" si="5786">+CB226/BW226-1</f>
        <v>0.12562509015911694</v>
      </c>
      <c r="CC227" s="239">
        <f t="shared" ref="CC227" si="5787">+CC226/BX226-1</f>
        <v>0.14363902262116168</v>
      </c>
      <c r="CD227" s="13">
        <f>+CD226/BY226-1</f>
        <v>0.15948941762495839</v>
      </c>
      <c r="CE227" s="13">
        <f t="shared" ref="CE227" si="5788">+CE226/BZ226-1</f>
        <v>0.13365393158686012</v>
      </c>
      <c r="CF227" s="13">
        <f t="shared" ref="CF227" si="5789">+CF226/CA226-1</f>
        <v>0.12723686808316259</v>
      </c>
      <c r="CG227" s="13">
        <f t="shared" ref="CG227" si="5790">+CG226/CB226-1</f>
        <v>0.11750146360896041</v>
      </c>
      <c r="CH227" s="239">
        <f t="shared" ref="CH227" si="5791">+CH226/CC226-1</f>
        <v>0.13234714886829257</v>
      </c>
      <c r="CI227" s="13">
        <f>+CI226/CD226-1</f>
        <v>0.14502830308439041</v>
      </c>
      <c r="CJ227" s="13">
        <f t="shared" ref="CJ227" si="5792">+CJ226/CE226-1</f>
        <v>0.12417649121987417</v>
      </c>
      <c r="CK227" s="13">
        <f t="shared" ref="CK227" si="5793">+CK226/CF226-1</f>
        <v>0.1188490937099731</v>
      </c>
      <c r="CL227" s="13">
        <f t="shared" ref="CL227" si="5794">+CL226/CG226-1</f>
        <v>0.11065001295494148</v>
      </c>
      <c r="CM227" s="239">
        <f t="shared" ref="CM227" si="5795">+CM226/CH226-1</f>
        <v>0.12309650617277534</v>
      </c>
      <c r="CN227" s="13">
        <f>+CN226/CI226-1</f>
        <v>0.133472684350048</v>
      </c>
      <c r="CO227" s="13">
        <f t="shared" ref="CO227" si="5796">+CO226/CJ226-1</f>
        <v>0.11628697247636932</v>
      </c>
      <c r="CP227" s="13">
        <f t="shared" ref="CP227" si="5797">+CP226/CK226-1</f>
        <v>0.11179348496214159</v>
      </c>
      <c r="CQ227" s="13">
        <f t="shared" ref="CQ227" si="5798">+CQ226/CL226-1</f>
        <v>0.10479360048137876</v>
      </c>
      <c r="CR227" s="239">
        <f t="shared" ref="CR227" si="5799">+CR226/CM226-1</f>
        <v>0.11537948504953066</v>
      </c>
      <c r="CS227" s="13">
        <f>+CS226/CN226-1</f>
        <v>0.12402684895019056</v>
      </c>
      <c r="CT227" s="13">
        <f t="shared" ref="CT227" si="5800">+CT226/CO226-1</f>
        <v>0.10961714491166985</v>
      </c>
      <c r="CU227" s="13">
        <f t="shared" ref="CU227" si="5801">+CU226/CP226-1</f>
        <v>0.10577602374048323</v>
      </c>
      <c r="CV227" s="13">
        <f t="shared" ref="CV227" si="5802">+CV226/CQ226-1</f>
        <v>9.9730136436573691E-2</v>
      </c>
      <c r="CW227" s="239">
        <f t="shared" ref="CW227" si="5803">+CW226/CR226-1</f>
        <v>0.10884390091423568</v>
      </c>
      <c r="CX227" s="13">
        <f>+CX226/CS226-1</f>
        <v>0.11616133547801777</v>
      </c>
      <c r="CY227" s="13">
        <f t="shared" ref="CY227" si="5804">+CY226/CT226-1</f>
        <v>0.10390446302589185</v>
      </c>
      <c r="CZ227" s="13">
        <f t="shared" ref="CZ227" si="5805">+CZ226/CU226-1</f>
        <v>0.10058328520153847</v>
      </c>
      <c r="DA227" s="13">
        <f t="shared" ref="DA227" si="5806">+DA226/CV226-1</f>
        <v>9.5308786355891018E-2</v>
      </c>
      <c r="DB227" s="239">
        <f t="shared" ref="DB227" si="5807">+DB226/CW226-1</f>
        <v>0.10323773695711935</v>
      </c>
    </row>
    <row r="228" spans="1:106">
      <c r="A228" s="117" t="s">
        <v>288</v>
      </c>
      <c r="F228" s="217"/>
      <c r="K228" s="217"/>
      <c r="P228" s="217"/>
      <c r="U228" s="217"/>
      <c r="V228" s="119" t="s">
        <v>290</v>
      </c>
      <c r="W228" s="13" t="e">
        <f>+W226/V226-1</f>
        <v>#DIV/0!</v>
      </c>
      <c r="X228" s="13" t="e">
        <f t="shared" ref="X228:Y228" si="5808">+X226/W226-1</f>
        <v>#DIV/0!</v>
      </c>
      <c r="Y228" s="13" t="e">
        <f t="shared" si="5808"/>
        <v>#DIV/0!</v>
      </c>
      <c r="Z228" s="235" t="s">
        <v>290</v>
      </c>
      <c r="AA228" s="13" t="e">
        <f>+AA226/Y226-1</f>
        <v>#DIV/0!</v>
      </c>
      <c r="AB228" s="13" t="e">
        <f>+AB226/AA226-1</f>
        <v>#DIV/0!</v>
      </c>
      <c r="AC228" s="13" t="e">
        <f t="shared" ref="AC228:AD228" si="5809">+AC226/AB226-1</f>
        <v>#DIV/0!</v>
      </c>
      <c r="AD228" s="13" t="e">
        <f t="shared" si="5809"/>
        <v>#DIV/0!</v>
      </c>
      <c r="AE228" s="235" t="s">
        <v>290</v>
      </c>
      <c r="AF228" s="13" t="e">
        <f>+AF226/AD226-1</f>
        <v>#DIV/0!</v>
      </c>
      <c r="AG228" s="13">
        <f>+AG226/AF226-1</f>
        <v>0.7360350492880614</v>
      </c>
      <c r="AH228" s="13">
        <f t="shared" ref="AH228:AI228" si="5810">+AH226/AG226-1</f>
        <v>0.60441640378548889</v>
      </c>
      <c r="AI228" s="13">
        <f t="shared" si="5810"/>
        <v>0.28470310656704689</v>
      </c>
      <c r="AJ228" s="235" t="s">
        <v>290</v>
      </c>
      <c r="AK228" s="13">
        <f>+AK226/AI226-1</f>
        <v>0.84970921334557703</v>
      </c>
      <c r="AL228" s="13">
        <f>+AL226/AK226-1</f>
        <v>0.30349164322356437</v>
      </c>
      <c r="AM228" s="13">
        <f t="shared" ref="AM228:AN228" si="5811">+AM226/AL226-1</f>
        <v>0.15513520375777579</v>
      </c>
      <c r="AN228" s="13">
        <f t="shared" si="5811"/>
        <v>0.15803934498296512</v>
      </c>
      <c r="AO228" s="235" t="s">
        <v>290</v>
      </c>
      <c r="AP228" s="13">
        <f>+AP226/AN226-1</f>
        <v>0.12499984491698823</v>
      </c>
      <c r="AQ228" s="13">
        <f>+AQ226/AP226-1</f>
        <v>8.43588318708961E-2</v>
      </c>
      <c r="AR228" s="13">
        <f t="shared" ref="AR228:AS228" si="5812">+AR226/AQ226-1</f>
        <v>5.7617062507491212E-3</v>
      </c>
      <c r="AS228" s="13">
        <f t="shared" si="5812"/>
        <v>5.8012783477876528E-3</v>
      </c>
      <c r="AT228" s="235" t="s">
        <v>290</v>
      </c>
      <c r="AU228" s="13">
        <f>+AU226/AS226-1</f>
        <v>-0.16381233054309408</v>
      </c>
      <c r="AV228" s="13">
        <f>+AV226/AU226-1</f>
        <v>5.7423135519019119E-2</v>
      </c>
      <c r="AW228" s="13">
        <f t="shared" ref="AW228:AX228" si="5813">+AW226/AV226-1</f>
        <v>-2.1974107517206409E-3</v>
      </c>
      <c r="AX228" s="13">
        <f t="shared" si="5813"/>
        <v>3.1237903771398123E-2</v>
      </c>
      <c r="AY228" s="235" t="s">
        <v>290</v>
      </c>
      <c r="AZ228" s="13">
        <f>+AZ226/AX226-1</f>
        <v>-0.10114837575786961</v>
      </c>
      <c r="BA228" s="13">
        <f>+BA226/AZ226-1</f>
        <v>0.50779523994745057</v>
      </c>
      <c r="BB228" s="13">
        <f t="shared" ref="BB228:BC228" si="5814">+BB226/BA226-1</f>
        <v>0.11139591726296372</v>
      </c>
      <c r="BC228" s="13">
        <f t="shared" si="5814"/>
        <v>0.10370989249199325</v>
      </c>
      <c r="BD228" s="235" t="s">
        <v>290</v>
      </c>
      <c r="BE228" s="13">
        <f>+BE226/BC226-1</f>
        <v>-0.30047286605038137</v>
      </c>
      <c r="BF228" s="13">
        <f>+BF226/BE226-1</f>
        <v>0.40425479981198453</v>
      </c>
      <c r="BG228" s="13">
        <f t="shared" ref="BG228:BH228" si="5815">+BG226/BF226-1</f>
        <v>9.5220900544658704E-2</v>
      </c>
      <c r="BH228" s="13">
        <f t="shared" si="5815"/>
        <v>0.15624951795757869</v>
      </c>
      <c r="BI228" s="235" t="s">
        <v>290</v>
      </c>
      <c r="BJ228" s="13">
        <f>+BJ226/BH226-1</f>
        <v>-0.41488224515682437</v>
      </c>
      <c r="BK228" s="13">
        <f>+BK226/BJ226-1</f>
        <v>0.40017497688550208</v>
      </c>
      <c r="BL228" s="13">
        <f t="shared" ref="BL228:BM228" si="5816">+BL226/BK226-1</f>
        <v>9.4534565615667754E-2</v>
      </c>
      <c r="BM228" s="13">
        <f t="shared" si="5816"/>
        <v>0.15522057091776276</v>
      </c>
      <c r="BN228" s="235" t="s">
        <v>290</v>
      </c>
      <c r="BO228" s="13">
        <f>+BO226/BM226-1</f>
        <v>-0.30078833572722818</v>
      </c>
      <c r="BP228" s="13">
        <f>+BP226/BO226-1</f>
        <v>0.33296745123764104</v>
      </c>
      <c r="BQ228" s="13">
        <f t="shared" ref="BQ228:BR228" si="5817">+BQ226/BP226-1</f>
        <v>8.2623816796891791E-2</v>
      </c>
      <c r="BR228" s="13">
        <f t="shared" si="5817"/>
        <v>0.13715631269938999</v>
      </c>
      <c r="BS228" s="235" t="s">
        <v>290</v>
      </c>
      <c r="BT228" s="13">
        <f>+BT226/BR226-1</f>
        <v>-0.26693504611686503</v>
      </c>
      <c r="BU228" s="13">
        <f>+BU226/BT226-1</f>
        <v>0.28508821228953929</v>
      </c>
      <c r="BV228" s="13">
        <f t="shared" ref="BV228:BW228" si="5818">+BV226/BU226-1</f>
        <v>7.337858572641176E-2</v>
      </c>
      <c r="BW228" s="13">
        <f t="shared" si="5818"/>
        <v>0.12285830945679099</v>
      </c>
      <c r="BX228" s="235" t="s">
        <v>290</v>
      </c>
      <c r="BY228" s="13">
        <f>+BY226/BW226-1</f>
        <v>-0.23936762810101375</v>
      </c>
      <c r="BZ228" s="13">
        <f>+BZ226/BY226-1</f>
        <v>0.24924752628845881</v>
      </c>
      <c r="CA228" s="13">
        <f t="shared" ref="CA228:CB228" si="5819">+CA226/BZ226-1</f>
        <v>6.5994140187745742E-2</v>
      </c>
      <c r="CB228" s="13">
        <f t="shared" si="5819"/>
        <v>0.11125990437953814</v>
      </c>
      <c r="CC228" s="235" t="s">
        <v>290</v>
      </c>
      <c r="CD228" s="13">
        <f>+CD226/CB226-1</f>
        <v>-0.21648407304498196</v>
      </c>
      <c r="CE228" s="13">
        <f>+CE226/CD226-1</f>
        <v>0.2214120699807467</v>
      </c>
      <c r="CF228" s="13">
        <f t="shared" ref="CF228:CG228" si="5820">+CF226/CE226-1</f>
        <v>5.9960065853809308E-2</v>
      </c>
      <c r="CG228" s="13">
        <f t="shared" si="5820"/>
        <v>0.10166248528208199</v>
      </c>
      <c r="CH228" s="235" t="s">
        <v>290</v>
      </c>
      <c r="CI228" s="13">
        <f>+CI226/CG226-1</f>
        <v>-0.19718412772045335</v>
      </c>
      <c r="CJ228" s="13">
        <f>+CJ226/CI226-1</f>
        <v>0.19916925325413648</v>
      </c>
      <c r="CK228" s="13">
        <f t="shared" ref="CK228:CL228" si="5821">+CK226/CJ226-1</f>
        <v>5.493698570622807E-2</v>
      </c>
      <c r="CL228" s="13">
        <f t="shared" si="5821"/>
        <v>9.3589350368359581E-2</v>
      </c>
      <c r="CM228" s="235" t="s">
        <v>290</v>
      </c>
      <c r="CN228" s="13">
        <f>+CN226/CL226-1</f>
        <v>-0.18068711909478907</v>
      </c>
      <c r="CO228" s="13">
        <f>+CO226/CN226-1</f>
        <v>0.18098745005874917</v>
      </c>
      <c r="CP228" s="13">
        <f t="shared" ref="CP228:CQ228" si="5822">+CP226/CO226-1</f>
        <v>5.0690455655759026E-2</v>
      </c>
      <c r="CQ228" s="13">
        <f t="shared" si="5822"/>
        <v>8.6704079654408961E-2</v>
      </c>
      <c r="CR228" s="235" t="s">
        <v>290</v>
      </c>
      <c r="CS228" s="13">
        <f>+CS226/CQ226-1</f>
        <v>-0.16642377777449013</v>
      </c>
      <c r="CT228" s="13">
        <f>+CT226/CS226-1</f>
        <v>0.16584752733853292</v>
      </c>
      <c r="CU228" s="13">
        <f t="shared" ref="CU228:CV228" si="5823">+CU226/CT226-1</f>
        <v>4.7053318854034076E-2</v>
      </c>
      <c r="CV228" s="13">
        <f t="shared" si="5823"/>
        <v>8.0762469186074881E-2</v>
      </c>
      <c r="CW228" s="235" t="s">
        <v>290</v>
      </c>
      <c r="CX228" s="13">
        <f>+CX226/CV226-1</f>
        <v>-0.15396921608721714</v>
      </c>
      <c r="CY228" s="13">
        <f>+CY226/CX226-1</f>
        <v>0.1530450372441281</v>
      </c>
      <c r="CZ228" s="13">
        <f t="shared" ref="CZ228:DA228" si="5824">+CZ226/CY226-1</f>
        <v>4.3903181881164599E-2</v>
      </c>
      <c r="DA228" s="13">
        <f t="shared" si="5824"/>
        <v>7.5582960762868856E-2</v>
      </c>
      <c r="DB228" s="235" t="s">
        <v>290</v>
      </c>
    </row>
    <row r="229" spans="1:106">
      <c r="A229" s="117" t="s">
        <v>505</v>
      </c>
      <c r="F229" s="217"/>
      <c r="K229" s="217"/>
      <c r="P229" s="217"/>
      <c r="U229" s="217"/>
      <c r="V229" s="118">
        <v>0</v>
      </c>
      <c r="W229" s="118">
        <v>0</v>
      </c>
      <c r="X229" s="118">
        <v>0</v>
      </c>
      <c r="Y229" s="118">
        <v>0</v>
      </c>
      <c r="Z229" s="239">
        <f>+Z226/Z223</f>
        <v>0</v>
      </c>
      <c r="AA229" s="118">
        <v>0</v>
      </c>
      <c r="AB229" s="118">
        <v>0</v>
      </c>
      <c r="AC229" s="118">
        <v>0</v>
      </c>
      <c r="AD229" s="118">
        <v>0</v>
      </c>
      <c r="AE229" s="239">
        <f>+AE226/AE223</f>
        <v>0</v>
      </c>
      <c r="AF229" s="118">
        <f>913/AF223</f>
        <v>3.7728630646169129E-3</v>
      </c>
      <c r="AG229" s="118">
        <f>1585/AG223</f>
        <v>6.5498225163393283E-3</v>
      </c>
      <c r="AH229" s="118">
        <f>2543/AH223</f>
        <v>1.0508642687098366E-2</v>
      </c>
      <c r="AI229" s="118">
        <f>3267/AI223</f>
        <v>1.350048590591835E-2</v>
      </c>
      <c r="AJ229" s="239">
        <f>+AJ226/AJ223</f>
        <v>8.5829535434932391E-3</v>
      </c>
      <c r="AK229" s="118">
        <f>6043/AK223</f>
        <v>2.4244634140601243E-2</v>
      </c>
      <c r="AL229" s="118">
        <f>7877/AL223</f>
        <v>3.1602677995286446E-2</v>
      </c>
      <c r="AM229" s="118">
        <f>9099/AM223</f>
        <v>3.6505365885376583E-2</v>
      </c>
      <c r="AN229" s="118">
        <f>10537/AN223</f>
        <v>4.2274649998264982E-2</v>
      </c>
      <c r="AO229" s="239">
        <f>+AO226/AO223</f>
        <v>3.3656832004882314E-2</v>
      </c>
      <c r="AP229" s="118">
        <f>(12000-AP252-AP278)/AP223</f>
        <v>4.6173761836862198E-2</v>
      </c>
      <c r="AQ229" s="118">
        <f>(13000-AQ252-AQ278)/AQ223</f>
        <v>5.0068926448504851E-2</v>
      </c>
      <c r="AR229" s="118">
        <f>(13147-AR252-AR278)/AR223</f>
        <v>5.0357408894991504E-2</v>
      </c>
      <c r="AS229" s="118">
        <f>(13222-AS252-AS278)/AS223</f>
        <v>5.06495462408647E-2</v>
      </c>
      <c r="AT229" s="239">
        <f>+AT226/AT223</f>
        <v>4.9312410855305813E-2</v>
      </c>
      <c r="AU229" s="118">
        <f>(12000-AU252-AU278)/AU223</f>
        <v>4.1118957310872284E-2</v>
      </c>
      <c r="AV229" s="118">
        <f>(13000-AV252-AV278)/AV223</f>
        <v>4.3480136768935258E-2</v>
      </c>
      <c r="AW229" s="118">
        <f>(13726-AW252-AW278)/AW223</f>
        <v>4.3384593048912914E-2</v>
      </c>
      <c r="AX229" s="118">
        <f>(14460-AX252-AX278)/AX223</f>
        <v>4.4739836791736126E-2</v>
      </c>
      <c r="AY229" s="239">
        <f>+AY226/AY223</f>
        <v>4.318088098011414E-2</v>
      </c>
      <c r="AZ229" s="118">
        <f>(13497-AZ252-AZ278)/AZ223</f>
        <v>3.9043179581145469E-2</v>
      </c>
      <c r="BA229" s="118">
        <f>(19129-BA252-BA278)/BA223</f>
        <v>5.8869120324864639E-2</v>
      </c>
      <c r="BB229" s="118">
        <f>(21302-BB252-BB278)/BB223</f>
        <v>6.5426899981916725E-2</v>
      </c>
      <c r="BC229" s="118">
        <f>(23537-BC252-BC278)/BC223</f>
        <v>7.2212316745125696E-2</v>
      </c>
      <c r="BD229" s="239">
        <f>+BD226/BD223</f>
        <v>5.8887879158263129E-2</v>
      </c>
      <c r="BE229" s="118">
        <f>+AZ229+0.01</f>
        <v>4.9043179581145471E-2</v>
      </c>
      <c r="BF229" s="118">
        <f t="shared" ref="BF229:BG229" si="5825">+BA229+0.01</f>
        <v>6.8869120324864641E-2</v>
      </c>
      <c r="BG229" s="118">
        <f t="shared" si="5825"/>
        <v>7.542689998191672E-2</v>
      </c>
      <c r="BH229" s="118">
        <f>+BC229+0.015</f>
        <v>8.7212316745125695E-2</v>
      </c>
      <c r="BI229" s="239">
        <f>+BI226/BI223</f>
        <v>7.0137879158263125E-2</v>
      </c>
      <c r="BJ229" s="118">
        <f>+BE229+0.0005</f>
        <v>4.9543179581145472E-2</v>
      </c>
      <c r="BK229" s="118">
        <f>+BF229+0.0005</f>
        <v>6.9369120324864642E-2</v>
      </c>
      <c r="BL229" s="118">
        <f>+BG229+0.0005</f>
        <v>7.5926899981916721E-2</v>
      </c>
      <c r="BM229" s="118">
        <f>+BH229+0.0005</f>
        <v>8.7712316745125696E-2</v>
      </c>
      <c r="BN229" s="239">
        <f>+BN226/BN223</f>
        <v>7.0637879158263125E-2</v>
      </c>
      <c r="BO229" s="118">
        <f>+BJ229+0.01</f>
        <v>5.9543179581145474E-2</v>
      </c>
      <c r="BP229" s="118">
        <f>+BK229+0.01</f>
        <v>7.9369120324864637E-2</v>
      </c>
      <c r="BQ229" s="118">
        <f>+BL229+0.01</f>
        <v>8.5926899981916716E-2</v>
      </c>
      <c r="BR229" s="118">
        <f>+BM229+0.01</f>
        <v>9.7712316745125691E-2</v>
      </c>
      <c r="BS229" s="239">
        <f>+BS226/BS223</f>
        <v>8.063787915826312E-2</v>
      </c>
      <c r="BT229" s="118">
        <f t="shared" ref="BT229:BW229" si="5826">+BO229+0.01</f>
        <v>6.9543179581145476E-2</v>
      </c>
      <c r="BU229" s="118">
        <f t="shared" si="5826"/>
        <v>8.9369120324864632E-2</v>
      </c>
      <c r="BV229" s="118">
        <f t="shared" si="5826"/>
        <v>9.5926899981916711E-2</v>
      </c>
      <c r="BW229" s="118">
        <f t="shared" si="5826"/>
        <v>0.10771231674512569</v>
      </c>
      <c r="BX229" s="239">
        <f>+BX226/BX223</f>
        <v>9.0637879158263129E-2</v>
      </c>
      <c r="BY229" s="118">
        <f t="shared" ref="BY229:CB229" si="5827">+BT229+0.01</f>
        <v>7.9543179581145471E-2</v>
      </c>
      <c r="BZ229" s="118">
        <f t="shared" si="5827"/>
        <v>9.9369120324864627E-2</v>
      </c>
      <c r="CA229" s="118">
        <f t="shared" si="5827"/>
        <v>0.10592689998191671</v>
      </c>
      <c r="CB229" s="118">
        <f t="shared" si="5827"/>
        <v>0.11771231674512568</v>
      </c>
      <c r="CC229" s="239">
        <f>+CC226/CC223</f>
        <v>0.10063787915826312</v>
      </c>
      <c r="CD229" s="118">
        <f t="shared" ref="CD229:CG229" si="5828">+BY229+0.01</f>
        <v>8.9543179581145466E-2</v>
      </c>
      <c r="CE229" s="118">
        <f t="shared" si="5828"/>
        <v>0.10936912032486462</v>
      </c>
      <c r="CF229" s="118">
        <f t="shared" si="5828"/>
        <v>0.1159268999819167</v>
      </c>
      <c r="CG229" s="118">
        <f t="shared" si="5828"/>
        <v>0.12771231674512568</v>
      </c>
      <c r="CH229" s="239">
        <f>+CH226/CH223</f>
        <v>0.11063787915826311</v>
      </c>
      <c r="CI229" s="118">
        <f t="shared" ref="CI229:CL229" si="5829">+CD229+0.01</f>
        <v>9.9543179581145461E-2</v>
      </c>
      <c r="CJ229" s="118">
        <f t="shared" si="5829"/>
        <v>0.11936912032486462</v>
      </c>
      <c r="CK229" s="118">
        <f t="shared" si="5829"/>
        <v>0.1259268999819167</v>
      </c>
      <c r="CL229" s="118">
        <f t="shared" si="5829"/>
        <v>0.13771231674512568</v>
      </c>
      <c r="CM229" s="239">
        <f>+CM226/CM223</f>
        <v>0.12063787915826313</v>
      </c>
      <c r="CN229" s="118">
        <f t="shared" ref="CN229:CQ229" si="5830">+CI229+0.01</f>
        <v>0.10954317958114546</v>
      </c>
      <c r="CO229" s="118">
        <f t="shared" si="5830"/>
        <v>0.12936912032486461</v>
      </c>
      <c r="CP229" s="118">
        <f t="shared" si="5830"/>
        <v>0.1359268999819167</v>
      </c>
      <c r="CQ229" s="118">
        <f t="shared" si="5830"/>
        <v>0.14771231674512569</v>
      </c>
      <c r="CR229" s="239">
        <f>+CR226/CR223</f>
        <v>0.13063787915826314</v>
      </c>
      <c r="CS229" s="118">
        <f t="shared" ref="CS229:CV229" si="5831">+CN229+0.01</f>
        <v>0.11954317958114545</v>
      </c>
      <c r="CT229" s="118">
        <f t="shared" si="5831"/>
        <v>0.13936912032486462</v>
      </c>
      <c r="CU229" s="118">
        <f t="shared" si="5831"/>
        <v>0.14592689998191671</v>
      </c>
      <c r="CV229" s="118">
        <f t="shared" si="5831"/>
        <v>0.1577123167451257</v>
      </c>
      <c r="CW229" s="239">
        <f>+CW226/CW223</f>
        <v>0.14063787915826312</v>
      </c>
      <c r="CX229" s="118">
        <f t="shared" ref="CX229:DA229" si="5832">+CS229+0.01</f>
        <v>0.12954317958114545</v>
      </c>
      <c r="CY229" s="118">
        <f t="shared" si="5832"/>
        <v>0.14936912032486463</v>
      </c>
      <c r="CZ229" s="118">
        <f t="shared" si="5832"/>
        <v>0.15592689998191672</v>
      </c>
      <c r="DA229" s="118">
        <f t="shared" si="5832"/>
        <v>0.16771231674512571</v>
      </c>
      <c r="DB229" s="239">
        <f>+DB226/DB223</f>
        <v>0.15063787915826313</v>
      </c>
    </row>
    <row r="230" spans="1:106">
      <c r="F230" s="217"/>
      <c r="K230" s="217"/>
      <c r="P230" s="217"/>
      <c r="U230" s="217"/>
      <c r="Z230" s="217"/>
      <c r="AE230" s="217"/>
      <c r="AJ230" s="217"/>
      <c r="AO230" s="217"/>
      <c r="AT230" s="217"/>
      <c r="AY230" s="217"/>
      <c r="BD230" s="217"/>
      <c r="BI230" s="217"/>
      <c r="BN230" s="217"/>
      <c r="BS230" s="217"/>
      <c r="BX230" s="217"/>
      <c r="CC230" s="217"/>
      <c r="CH230" s="217"/>
      <c r="CM230" s="217"/>
      <c r="CR230" s="217"/>
      <c r="CW230" s="217"/>
      <c r="DB230" s="217"/>
    </row>
    <row r="231" spans="1:106" s="51" customFormat="1">
      <c r="A231" s="51" t="s">
        <v>289</v>
      </c>
      <c r="F231" s="233"/>
      <c r="K231" s="233"/>
      <c r="P231" s="233"/>
      <c r="U231" s="233"/>
      <c r="V231" s="226">
        <v>1500</v>
      </c>
      <c r="W231" s="226">
        <v>1500</v>
      </c>
      <c r="X231" s="226">
        <v>1500</v>
      </c>
      <c r="Y231" s="226">
        <v>1500</v>
      </c>
      <c r="Z231" s="242" t="s">
        <v>290</v>
      </c>
      <c r="AA231" s="226">
        <v>1500</v>
      </c>
      <c r="AB231" s="226">
        <v>1500</v>
      </c>
      <c r="AC231" s="226">
        <v>1500</v>
      </c>
      <c r="AD231" s="226">
        <v>1500</v>
      </c>
      <c r="AE231" s="242" t="s">
        <v>290</v>
      </c>
      <c r="AF231" s="226">
        <v>1867</v>
      </c>
      <c r="AG231" s="226">
        <v>1466</v>
      </c>
      <c r="AH231" s="226">
        <v>1532</v>
      </c>
      <c r="AI231" s="226">
        <v>1465</v>
      </c>
      <c r="AJ231" s="236">
        <f>+AJ234/AJ226*1000000</f>
        <v>1529.8762638420799</v>
      </c>
      <c r="AK231" s="226">
        <v>1277</v>
      </c>
      <c r="AL231" s="226">
        <v>1300</v>
      </c>
      <c r="AM231" s="226">
        <v>1313</v>
      </c>
      <c r="AN231" s="226">
        <v>1300</v>
      </c>
      <c r="AO231" s="236">
        <f>+AO234/AO226*1000000</f>
        <v>1299.3830611515077</v>
      </c>
      <c r="AP231" s="226">
        <v>1300</v>
      </c>
      <c r="AQ231" s="226">
        <v>1300</v>
      </c>
      <c r="AR231" s="226">
        <v>1300</v>
      </c>
      <c r="AS231" s="226">
        <v>1300</v>
      </c>
      <c r="AT231" s="236">
        <f>+AT234/AT226*1000000</f>
        <v>1300.0000000000002</v>
      </c>
      <c r="AU231" s="226">
        <v>1200</v>
      </c>
      <c r="AV231" s="226">
        <v>1270</v>
      </c>
      <c r="AW231" s="226">
        <v>1255</v>
      </c>
      <c r="AX231" s="226">
        <v>1269</v>
      </c>
      <c r="AY231" s="236">
        <f>+AY234/AY226*1000000</f>
        <v>1249.3089229355214</v>
      </c>
      <c r="AZ231" s="226">
        <v>1275</v>
      </c>
      <c r="BA231" s="226">
        <v>1275</v>
      </c>
      <c r="BB231" s="226">
        <v>1275</v>
      </c>
      <c r="BC231" s="226">
        <v>1275</v>
      </c>
      <c r="BD231" s="236">
        <f>+BD234/BD226*1000000</f>
        <v>1275</v>
      </c>
      <c r="BE231" s="226">
        <v>1300</v>
      </c>
      <c r="BF231" s="226">
        <v>1300</v>
      </c>
      <c r="BG231" s="226">
        <v>1305</v>
      </c>
      <c r="BH231" s="226">
        <v>1310</v>
      </c>
      <c r="BI231" s="236">
        <f>+BI234/BI226*1000000</f>
        <v>1304.4528637105705</v>
      </c>
      <c r="BJ231" s="226">
        <v>1275</v>
      </c>
      <c r="BK231" s="226">
        <v>1275</v>
      </c>
      <c r="BL231" s="226">
        <v>1275</v>
      </c>
      <c r="BM231" s="226">
        <v>1275</v>
      </c>
      <c r="BN231" s="236">
        <f>+BN234/BN226*1000000</f>
        <v>1275</v>
      </c>
      <c r="BO231" s="226">
        <v>1275</v>
      </c>
      <c r="BP231" s="226">
        <v>1275</v>
      </c>
      <c r="BQ231" s="226">
        <v>1275</v>
      </c>
      <c r="BR231" s="226">
        <v>1275</v>
      </c>
      <c r="BS231" s="236">
        <f>+BS234/BS226*1000000</f>
        <v>1275</v>
      </c>
      <c r="BT231" s="226">
        <v>1275</v>
      </c>
      <c r="BU231" s="226">
        <v>1275</v>
      </c>
      <c r="BV231" s="226">
        <v>1275</v>
      </c>
      <c r="BW231" s="226">
        <v>1275</v>
      </c>
      <c r="BX231" s="236">
        <f>+BX234/BX226*1000000</f>
        <v>1274.9999999999995</v>
      </c>
      <c r="BY231" s="226">
        <v>1275</v>
      </c>
      <c r="BZ231" s="226">
        <v>1275</v>
      </c>
      <c r="CA231" s="226">
        <v>1275</v>
      </c>
      <c r="CB231" s="226">
        <v>1275</v>
      </c>
      <c r="CC231" s="236">
        <f>+CC234/CC226*1000000</f>
        <v>1275</v>
      </c>
      <c r="CD231" s="226">
        <v>1275</v>
      </c>
      <c r="CE231" s="226">
        <v>1275</v>
      </c>
      <c r="CF231" s="226">
        <v>1275</v>
      </c>
      <c r="CG231" s="226">
        <v>1275</v>
      </c>
      <c r="CH231" s="236">
        <f>+CH234/CH226*1000000</f>
        <v>1274.9999999999998</v>
      </c>
      <c r="CI231" s="226">
        <v>1275</v>
      </c>
      <c r="CJ231" s="226">
        <v>1275</v>
      </c>
      <c r="CK231" s="226">
        <v>1275</v>
      </c>
      <c r="CL231" s="226">
        <v>1275</v>
      </c>
      <c r="CM231" s="236">
        <f>+CM234/CM226*1000000</f>
        <v>1274.9999999999998</v>
      </c>
      <c r="CN231" s="226">
        <v>1275</v>
      </c>
      <c r="CO231" s="226">
        <v>1275</v>
      </c>
      <c r="CP231" s="226">
        <v>1275</v>
      </c>
      <c r="CQ231" s="226">
        <v>1275</v>
      </c>
      <c r="CR231" s="236">
        <f>+CR234/CR226*1000000</f>
        <v>1274.9999999999995</v>
      </c>
      <c r="CS231" s="226">
        <v>1275</v>
      </c>
      <c r="CT231" s="226">
        <v>1275</v>
      </c>
      <c r="CU231" s="226">
        <v>1275</v>
      </c>
      <c r="CV231" s="226">
        <v>1275</v>
      </c>
      <c r="CW231" s="236">
        <f>+CW234/CW226*1000000</f>
        <v>1274.9999999999998</v>
      </c>
      <c r="CX231" s="226">
        <v>1275</v>
      </c>
      <c r="CY231" s="226">
        <v>1275</v>
      </c>
      <c r="CZ231" s="226">
        <v>1275</v>
      </c>
      <c r="DA231" s="226">
        <v>1275</v>
      </c>
      <c r="DB231" s="236">
        <f>+DB234/DB226*1000000</f>
        <v>1275</v>
      </c>
    </row>
    <row r="232" spans="1:106">
      <c r="A232" s="117" t="s">
        <v>281</v>
      </c>
      <c r="F232" s="217"/>
      <c r="K232" s="217"/>
      <c r="P232" s="217"/>
      <c r="U232" s="217"/>
      <c r="V232" s="119" t="s">
        <v>290</v>
      </c>
      <c r="W232" s="119" t="s">
        <v>290</v>
      </c>
      <c r="X232" s="119" t="s">
        <v>290</v>
      </c>
      <c r="Y232" s="119" t="s">
        <v>290</v>
      </c>
      <c r="Z232" s="235" t="s">
        <v>290</v>
      </c>
      <c r="AA232" s="13">
        <f>+AA231/V231-1</f>
        <v>0</v>
      </c>
      <c r="AB232" s="13">
        <f t="shared" ref="AB232" si="5833">+AB231/W231-1</f>
        <v>0</v>
      </c>
      <c r="AC232" s="13">
        <f t="shared" ref="AC232" si="5834">+AC231/X231-1</f>
        <v>0</v>
      </c>
      <c r="AD232" s="13">
        <f t="shared" ref="AD232" si="5835">+AD231/Y231-1</f>
        <v>0</v>
      </c>
      <c r="AE232" s="239" t="e">
        <f t="shared" ref="AE232" si="5836">+AE231/Z231-1</f>
        <v>#VALUE!</v>
      </c>
      <c r="AF232" s="13">
        <f>+AF231/AA231-1</f>
        <v>0.24466666666666659</v>
      </c>
      <c r="AG232" s="13">
        <f t="shared" ref="AG232" si="5837">+AG231/AB231-1</f>
        <v>-2.2666666666666613E-2</v>
      </c>
      <c r="AH232" s="13">
        <f t="shared" ref="AH232" si="5838">+AH231/AC231-1</f>
        <v>2.1333333333333426E-2</v>
      </c>
      <c r="AI232" s="13">
        <f t="shared" ref="AI232" si="5839">+AI231/AD231-1</f>
        <v>-2.3333333333333317E-2</v>
      </c>
      <c r="AJ232" s="239" t="e">
        <f>+AJ231/AE231-1</f>
        <v>#VALUE!</v>
      </c>
      <c r="AK232" s="13">
        <f>+AK231/AF231-1</f>
        <v>-0.31601499732190685</v>
      </c>
      <c r="AL232" s="13">
        <f t="shared" ref="AL232" si="5840">+AL231/AG231-1</f>
        <v>-0.11323328785811737</v>
      </c>
      <c r="AM232" s="13">
        <f t="shared" ref="AM232" si="5841">+AM231/AH231-1</f>
        <v>-0.14295039164490864</v>
      </c>
      <c r="AN232" s="13">
        <f t="shared" ref="AN232" si="5842">+AN231/AI231-1</f>
        <v>-0.11262798634812288</v>
      </c>
      <c r="AO232" s="239">
        <f t="shared" ref="AO232" si="5843">+AO231/AJ231-1</f>
        <v>-0.15066133656569014</v>
      </c>
      <c r="AP232" s="13">
        <f>+AP231/AK231-1</f>
        <v>1.8010963194988294E-2</v>
      </c>
      <c r="AQ232" s="13">
        <f t="shared" ref="AQ232" si="5844">+AQ231/AL231-1</f>
        <v>0</v>
      </c>
      <c r="AR232" s="13">
        <f t="shared" ref="AR232" si="5845">+AR231/AM231-1</f>
        <v>-9.9009900990099098E-3</v>
      </c>
      <c r="AS232" s="13">
        <f t="shared" ref="AS232" si="5846">+AS231/AN231-1</f>
        <v>0</v>
      </c>
      <c r="AT232" s="239">
        <f t="shared" ref="AT232" si="5847">+AT231/AO231-1</f>
        <v>4.74793667039064E-4</v>
      </c>
      <c r="AU232" s="13">
        <f>+AU231/AP231-1</f>
        <v>-7.6923076923076872E-2</v>
      </c>
      <c r="AV232" s="13">
        <f t="shared" ref="AV232" si="5848">+AV231/AQ231-1</f>
        <v>-2.3076923076923106E-2</v>
      </c>
      <c r="AW232" s="13">
        <f t="shared" ref="AW232" si="5849">+AW231/AR231-1</f>
        <v>-3.4615384615384603E-2</v>
      </c>
      <c r="AX232" s="13">
        <f t="shared" ref="AX232" si="5850">+AX231/AS231-1</f>
        <v>-2.384615384615385E-2</v>
      </c>
      <c r="AY232" s="239">
        <f t="shared" ref="AY232" si="5851">+AY231/AT231-1</f>
        <v>-3.8993136203445244E-2</v>
      </c>
      <c r="AZ232" s="13">
        <f>+AZ231/AU231-1</f>
        <v>6.25E-2</v>
      </c>
      <c r="BA232" s="13">
        <f t="shared" ref="BA232" si="5852">+BA231/AV231-1</f>
        <v>3.937007874015741E-3</v>
      </c>
      <c r="BB232" s="13">
        <f t="shared" ref="BB232" si="5853">+BB231/AW231-1</f>
        <v>1.5936254980079667E-2</v>
      </c>
      <c r="BC232" s="13">
        <f t="shared" ref="BC232" si="5854">+BC231/AX231-1</f>
        <v>4.7281323877068626E-3</v>
      </c>
      <c r="BD232" s="239">
        <f t="shared" ref="BD232" si="5855">+BD231/AY231-1</f>
        <v>2.0564230826201069E-2</v>
      </c>
      <c r="BE232" s="13">
        <f>+BE231/AZ231-1</f>
        <v>1.9607843137254832E-2</v>
      </c>
      <c r="BF232" s="13">
        <f t="shared" ref="BF232" si="5856">+BF231/BA231-1</f>
        <v>1.9607843137254832E-2</v>
      </c>
      <c r="BG232" s="13">
        <f t="shared" ref="BG232" si="5857">+BG231/BB231-1</f>
        <v>2.3529411764705799E-2</v>
      </c>
      <c r="BH232" s="13">
        <f t="shared" ref="BH232" si="5858">+BH231/BC231-1</f>
        <v>2.7450980392156765E-2</v>
      </c>
      <c r="BI232" s="239">
        <f t="shared" ref="BI232" si="5859">+BI231/BD231-1</f>
        <v>2.3100285263192522E-2</v>
      </c>
      <c r="BJ232" s="13">
        <f>+BJ231/BE231-1</f>
        <v>-1.9230769230769273E-2</v>
      </c>
      <c r="BK232" s="13">
        <f t="shared" ref="BK232" si="5860">+BK231/BF231-1</f>
        <v>-1.9230769230769273E-2</v>
      </c>
      <c r="BL232" s="13">
        <f t="shared" ref="BL232" si="5861">+BL231/BG231-1</f>
        <v>-2.2988505747126409E-2</v>
      </c>
      <c r="BM232" s="13">
        <f t="shared" ref="BM232" si="5862">+BM231/BH231-1</f>
        <v>-2.6717557251908386E-2</v>
      </c>
      <c r="BN232" s="239">
        <f t="shared" ref="BN232" si="5863">+BN231/BI231-1</f>
        <v>-2.257871060728911E-2</v>
      </c>
      <c r="BO232" s="13">
        <f>+BO231/BJ231-1</f>
        <v>0</v>
      </c>
      <c r="BP232" s="13">
        <f t="shared" ref="BP232" si="5864">+BP231/BK231-1</f>
        <v>0</v>
      </c>
      <c r="BQ232" s="13">
        <f t="shared" ref="BQ232" si="5865">+BQ231/BL231-1</f>
        <v>0</v>
      </c>
      <c r="BR232" s="13">
        <f t="shared" ref="BR232" si="5866">+BR231/BM231-1</f>
        <v>0</v>
      </c>
      <c r="BS232" s="239">
        <f t="shared" ref="BS232" si="5867">+BS231/BN231-1</f>
        <v>0</v>
      </c>
      <c r="BT232" s="13">
        <f>+BT231/BO231-1</f>
        <v>0</v>
      </c>
      <c r="BU232" s="13">
        <f t="shared" ref="BU232" si="5868">+BU231/BP231-1</f>
        <v>0</v>
      </c>
      <c r="BV232" s="13">
        <f t="shared" ref="BV232" si="5869">+BV231/BQ231-1</f>
        <v>0</v>
      </c>
      <c r="BW232" s="13">
        <f t="shared" ref="BW232" si="5870">+BW231/BR231-1</f>
        <v>0</v>
      </c>
      <c r="BX232" s="239">
        <f t="shared" ref="BX232" si="5871">+BX231/BS231-1</f>
        <v>0</v>
      </c>
      <c r="BY232" s="13">
        <f>+BY231/BT231-1</f>
        <v>0</v>
      </c>
      <c r="BZ232" s="13">
        <f t="shared" ref="BZ232" si="5872">+BZ231/BU231-1</f>
        <v>0</v>
      </c>
      <c r="CA232" s="13">
        <f t="shared" ref="CA232" si="5873">+CA231/BV231-1</f>
        <v>0</v>
      </c>
      <c r="CB232" s="13">
        <f t="shared" ref="CB232" si="5874">+CB231/BW231-1</f>
        <v>0</v>
      </c>
      <c r="CC232" s="239">
        <f t="shared" ref="CC232" si="5875">+CC231/BX231-1</f>
        <v>0</v>
      </c>
      <c r="CD232" s="13">
        <f>+CD231/BY231-1</f>
        <v>0</v>
      </c>
      <c r="CE232" s="13">
        <f t="shared" ref="CE232" si="5876">+CE231/BZ231-1</f>
        <v>0</v>
      </c>
      <c r="CF232" s="13">
        <f t="shared" ref="CF232" si="5877">+CF231/CA231-1</f>
        <v>0</v>
      </c>
      <c r="CG232" s="13">
        <f t="shared" ref="CG232" si="5878">+CG231/CB231-1</f>
        <v>0</v>
      </c>
      <c r="CH232" s="239">
        <f t="shared" ref="CH232" si="5879">+CH231/CC231-1</f>
        <v>0</v>
      </c>
      <c r="CI232" s="13">
        <f>+CI231/CD231-1</f>
        <v>0</v>
      </c>
      <c r="CJ232" s="13">
        <f t="shared" ref="CJ232" si="5880">+CJ231/CE231-1</f>
        <v>0</v>
      </c>
      <c r="CK232" s="13">
        <f t="shared" ref="CK232" si="5881">+CK231/CF231-1</f>
        <v>0</v>
      </c>
      <c r="CL232" s="13">
        <f t="shared" ref="CL232" si="5882">+CL231/CG231-1</f>
        <v>0</v>
      </c>
      <c r="CM232" s="239">
        <f t="shared" ref="CM232" si="5883">+CM231/CH231-1</f>
        <v>0</v>
      </c>
      <c r="CN232" s="13">
        <f>+CN231/CI231-1</f>
        <v>0</v>
      </c>
      <c r="CO232" s="13">
        <f t="shared" ref="CO232" si="5884">+CO231/CJ231-1</f>
        <v>0</v>
      </c>
      <c r="CP232" s="13">
        <f t="shared" ref="CP232" si="5885">+CP231/CK231-1</f>
        <v>0</v>
      </c>
      <c r="CQ232" s="13">
        <f t="shared" ref="CQ232" si="5886">+CQ231/CL231-1</f>
        <v>0</v>
      </c>
      <c r="CR232" s="239">
        <f t="shared" ref="CR232" si="5887">+CR231/CM231-1</f>
        <v>0</v>
      </c>
      <c r="CS232" s="13">
        <f>+CS231/CN231-1</f>
        <v>0</v>
      </c>
      <c r="CT232" s="13">
        <f t="shared" ref="CT232" si="5888">+CT231/CO231-1</f>
        <v>0</v>
      </c>
      <c r="CU232" s="13">
        <f t="shared" ref="CU232" si="5889">+CU231/CP231-1</f>
        <v>0</v>
      </c>
      <c r="CV232" s="13">
        <f t="shared" ref="CV232" si="5890">+CV231/CQ231-1</f>
        <v>0</v>
      </c>
      <c r="CW232" s="239">
        <f t="shared" ref="CW232" si="5891">+CW231/CR231-1</f>
        <v>0</v>
      </c>
      <c r="CX232" s="13">
        <f>+CX231/CS231-1</f>
        <v>0</v>
      </c>
      <c r="CY232" s="13">
        <f t="shared" ref="CY232" si="5892">+CY231/CT231-1</f>
        <v>0</v>
      </c>
      <c r="CZ232" s="13">
        <f t="shared" ref="CZ232" si="5893">+CZ231/CU231-1</f>
        <v>0</v>
      </c>
      <c r="DA232" s="13">
        <f t="shared" ref="DA232" si="5894">+DA231/CV231-1</f>
        <v>0</v>
      </c>
      <c r="DB232" s="239">
        <f t="shared" ref="DB232" si="5895">+DB231/CW231-1</f>
        <v>0</v>
      </c>
    </row>
    <row r="233" spans="1:106">
      <c r="F233" s="217"/>
      <c r="K233" s="217"/>
      <c r="P233" s="217"/>
      <c r="U233" s="217"/>
      <c r="Z233" s="217"/>
      <c r="AE233" s="217"/>
      <c r="AJ233" s="217"/>
      <c r="AO233" s="217"/>
      <c r="AT233" s="217"/>
      <c r="AY233" s="217"/>
      <c r="BD233" s="217"/>
      <c r="BI233" s="217"/>
      <c r="BN233" s="217"/>
      <c r="BS233" s="217"/>
      <c r="BX233" s="217"/>
      <c r="CC233" s="217"/>
      <c r="CH233" s="217"/>
      <c r="CM233" s="217"/>
      <c r="CR233" s="217"/>
      <c r="CW233" s="217"/>
      <c r="DB233" s="217"/>
    </row>
    <row r="234" spans="1:106" s="51" customFormat="1">
      <c r="A234" s="51" t="s">
        <v>317</v>
      </c>
      <c r="F234" s="233"/>
      <c r="K234" s="233"/>
      <c r="P234" s="233"/>
      <c r="U234" s="233"/>
      <c r="V234" s="135">
        <f>+V231*V226/1000000</f>
        <v>0</v>
      </c>
      <c r="W234" s="135">
        <f t="shared" ref="W234:Y234" si="5896">+W231*W226/1000000</f>
        <v>0</v>
      </c>
      <c r="X234" s="135">
        <f t="shared" si="5896"/>
        <v>0</v>
      </c>
      <c r="Y234" s="135">
        <f t="shared" si="5896"/>
        <v>0</v>
      </c>
      <c r="Z234" s="216">
        <f>+V234+W234+X234+Y234</f>
        <v>0</v>
      </c>
      <c r="AA234" s="135">
        <f t="shared" ref="AA234:AN234" si="5897">+AA231*AA226/1000000</f>
        <v>0</v>
      </c>
      <c r="AB234" s="135">
        <f t="shared" si="5897"/>
        <v>0</v>
      </c>
      <c r="AC234" s="135">
        <f t="shared" si="5897"/>
        <v>0</v>
      </c>
      <c r="AD234" s="135">
        <f t="shared" si="5897"/>
        <v>0</v>
      </c>
      <c r="AE234" s="216">
        <f>+AA234+AB234+AC234+AD234</f>
        <v>0</v>
      </c>
      <c r="AF234" s="135">
        <f t="shared" si="5897"/>
        <v>1.7045710000000001</v>
      </c>
      <c r="AG234" s="135">
        <f t="shared" si="5897"/>
        <v>2.32361</v>
      </c>
      <c r="AH234" s="135">
        <f t="shared" si="5897"/>
        <v>3.8958759999999999</v>
      </c>
      <c r="AI234" s="135">
        <f t="shared" si="5897"/>
        <v>4.7861549999999999</v>
      </c>
      <c r="AJ234" s="216">
        <f>+AF234+AG234+AH234+AI234</f>
        <v>12.710211999999999</v>
      </c>
      <c r="AK234" s="135">
        <f t="shared" si="5897"/>
        <v>7.7169109999999996</v>
      </c>
      <c r="AL234" s="135">
        <f t="shared" si="5897"/>
        <v>10.2401</v>
      </c>
      <c r="AM234" s="135">
        <f t="shared" si="5897"/>
        <v>11.946987</v>
      </c>
      <c r="AN234" s="135">
        <f t="shared" si="5897"/>
        <v>13.6981</v>
      </c>
      <c r="AO234" s="216">
        <f>+AK234+AL234+AM234+AN234</f>
        <v>43.602097999999998</v>
      </c>
      <c r="AP234" s="135">
        <f>+AP231*AP226/1000000</f>
        <v>15.410360375657397</v>
      </c>
      <c r="AQ234" s="135">
        <f>+AQ231*AQ226/1000000</f>
        <v>16.710360375657398</v>
      </c>
      <c r="AR234" s="135">
        <f>+AR231*AR226/1000000</f>
        <v>16.806640563486095</v>
      </c>
      <c r="AS234" s="135">
        <f>+AS231*AS226/1000000</f>
        <v>16.904140563486095</v>
      </c>
      <c r="AT234" s="216">
        <f>+AP234+AQ234+AR234+AS234</f>
        <v>65.831501878286986</v>
      </c>
      <c r="AU234" s="135">
        <f>+AU231*AU226/1000000</f>
        <v>13.047723601803126</v>
      </c>
      <c r="AV234" s="135">
        <f>+AV231*AV226/1000000</f>
        <v>14.601787749211079</v>
      </c>
      <c r="AW234" s="135">
        <f>+AW231*AW226/1000000</f>
        <v>14.39761853377154</v>
      </c>
      <c r="AX234" s="135">
        <f t="shared" ref="AX234" si="5898">+AX231*AX226/1000000</f>
        <v>15.012997987449214</v>
      </c>
      <c r="AY234" s="216">
        <f>+AU234+AV234+AW234+AX234</f>
        <v>57.060127872234958</v>
      </c>
      <c r="AZ234" s="135">
        <f>+AZ231*AZ226/1000000</f>
        <v>13.558261207917466</v>
      </c>
      <c r="BA234" s="135">
        <f>+BA231*BA226/1000000</f>
        <v>20.443081711262128</v>
      </c>
      <c r="BB234" s="135">
        <f>+BB231*BB226/1000000</f>
        <v>22.720357550169894</v>
      </c>
      <c r="BC234" s="135">
        <f t="shared" ref="BC234" si="5899">+BC231*BC226/1000000</f>
        <v>25.076683389077658</v>
      </c>
      <c r="BD234" s="216">
        <f>+AZ234+BA234+BB234+BC234</f>
        <v>81.798383858427144</v>
      </c>
      <c r="BE234" s="135">
        <f>+BE231*BE226/1000000</f>
        <v>17.885777724047493</v>
      </c>
      <c r="BF234" s="135">
        <f>+BF231*BF226/1000000</f>
        <v>25.116189217363967</v>
      </c>
      <c r="BG234" s="135">
        <f>+BG231*BG226/1000000</f>
        <v>27.613574508940996</v>
      </c>
      <c r="BH234" s="135">
        <f t="shared" ref="BH234" si="5900">+BH231*BH226/1000000</f>
        <v>32.050512415106361</v>
      </c>
      <c r="BI234" s="216">
        <f>+BE234+BF234+BG234+BH234</f>
        <v>102.66605386545882</v>
      </c>
      <c r="BJ234" s="135">
        <f>+BJ231*BJ226/1000000</f>
        <v>18.252280861849588</v>
      </c>
      <c r="BK234" s="135">
        <f>+BK231*BK226/1000000</f>
        <v>25.556386933847939</v>
      </c>
      <c r="BL234" s="135">
        <f>+BL231*BL226/1000000</f>
        <v>27.972348871345186</v>
      </c>
      <c r="BM234" s="135">
        <f t="shared" ref="BM234" si="5901">+BM231*BM226/1000000</f>
        <v>32.314232833066221</v>
      </c>
      <c r="BN234" s="216">
        <f>+BJ234+BK234+BL234+BM234</f>
        <v>104.09524950010893</v>
      </c>
      <c r="BO234" s="135">
        <f>+BO231*BO226/1000000</f>
        <v>22.594488518906079</v>
      </c>
      <c r="BP234" s="135">
        <f>+BP231*BP226/1000000</f>
        <v>30.117717773064378</v>
      </c>
      <c r="BQ234" s="135">
        <f>+BQ231*BQ226/1000000</f>
        <v>32.606158568686539</v>
      </c>
      <c r="BR234" s="135">
        <f t="shared" ref="BR234" si="5902">+BR231*BR226/1000000</f>
        <v>37.078299049259208</v>
      </c>
      <c r="BS234" s="216">
        <f>+BO234+BP234+BQ234+BR234</f>
        <v>122.39666390991621</v>
      </c>
      <c r="BT234" s="135">
        <f>+BT231*BT226/1000000</f>
        <v>27.180801582610286</v>
      </c>
      <c r="BU234" s="135">
        <f>+BU231*BU226/1000000</f>
        <v>34.92972771439333</v>
      </c>
      <c r="BV234" s="135">
        <f>+BV231*BV226/1000000</f>
        <v>37.492821733884163</v>
      </c>
      <c r="BW234" s="135">
        <f t="shared" ref="BW234" si="5903">+BW231*BW226/1000000</f>
        <v>42.099126428874008</v>
      </c>
      <c r="BX234" s="216">
        <f>+BT234+BU234+BV234+BW234</f>
        <v>141.70247745976178</v>
      </c>
      <c r="BY234" s="135">
        <f>+BY231*BY226/1000000</f>
        <v>32.021958390469734</v>
      </c>
      <c r="BZ234" s="135">
        <f>+BZ231*BZ226/1000000</f>
        <v>40.003352306206274</v>
      </c>
      <c r="CA234" s="135">
        <f>+CA231*CA226/1000000</f>
        <v>42.643339146281832</v>
      </c>
      <c r="CB234" s="135">
        <f t="shared" ref="CB234" si="5904">+CB231*CB226/1000000</f>
        <v>47.38783298212136</v>
      </c>
      <c r="CC234" s="216">
        <f>+BY234+BZ234+CA234+CB234</f>
        <v>162.0564828250792</v>
      </c>
      <c r="CD234" s="135">
        <f>+CD231*CD226/1000000</f>
        <v>37.129121885376392</v>
      </c>
      <c r="CE234" s="135">
        <f>+CE231*CE226/1000000</f>
        <v>45.34995761858503</v>
      </c>
      <c r="CF234" s="135">
        <f>+CF231*CF226/1000000</f>
        <v>48.069144063862851</v>
      </c>
      <c r="CG234" s="135">
        <f t="shared" ref="CG234" si="5905">+CG231*CG226/1000000</f>
        <v>52.95597271477758</v>
      </c>
      <c r="CH234" s="216">
        <f>+CD234+CE234+CF234+CG234</f>
        <v>183.50419628260184</v>
      </c>
      <c r="CI234" s="135">
        <f>+CI231*CI226/1000000</f>
        <v>42.513895427426036</v>
      </c>
      <c r="CJ234" s="135">
        <f>+CJ231*CJ226/1000000</f>
        <v>50.981356232630922</v>
      </c>
      <c r="CK234" s="135">
        <f>+CK231*CK226/1000000</f>
        <v>53.782118271267088</v>
      </c>
      <c r="CL234" s="135">
        <f t="shared" ref="CL234" si="5906">+CL231*CL226/1000000</f>
        <v>58.815551781709253</v>
      </c>
      <c r="CM234" s="216">
        <f>+CI234+CJ234+CK234+CL234</f>
        <v>206.09292171303329</v>
      </c>
      <c r="CN234" s="135">
        <f>+CN231*CN226/1000000</f>
        <v>48.188339172301816</v>
      </c>
      <c r="CO234" s="135">
        <f>+CO231*CO226/1000000</f>
        <v>56.909823801662853</v>
      </c>
      <c r="CP234" s="135">
        <f>+CP231*CP226/1000000</f>
        <v>59.794608701458102</v>
      </c>
      <c r="CQ234" s="135">
        <f t="shared" ref="CQ234" si="5907">+CQ231*CQ226/1000000</f>
        <v>64.979045217213539</v>
      </c>
      <c r="CR234" s="216">
        <f>+CN234+CO234+CP234+CQ234</f>
        <v>229.87181689263628</v>
      </c>
      <c r="CS234" s="135">
        <f>+CS231*CS226/1000000</f>
        <v>54.164987035985448</v>
      </c>
      <c r="CT234" s="135">
        <f>+CT231*CT226/1000000</f>
        <v>63.148116204227328</v>
      </c>
      <c r="CU234" s="135">
        <f>+CU231*CU226/1000000</f>
        <v>66.119444651016437</v>
      </c>
      <c r="CV234" s="135">
        <f t="shared" ref="CV234" si="5908">+CV231*CV226/1000000</f>
        <v>71.459414262244536</v>
      </c>
      <c r="CW234" s="216">
        <f>+CS234+CT234+CU234+CV234</f>
        <v>254.89196215347374</v>
      </c>
      <c r="CX234" s="135">
        <f>+CX231*CX226/1000000</f>
        <v>60.456864266235037</v>
      </c>
      <c r="CY234" s="135">
        <f>+CY231*CY226/1000000</f>
        <v>69.709487309524178</v>
      </c>
      <c r="CZ234" s="135">
        <f>+CZ231*CZ226/1000000</f>
        <v>72.769955609716973</v>
      </c>
      <c r="DA234" s="135">
        <f t="shared" ref="DA234" si="5909">+DA231*DA226/1000000</f>
        <v>78.270124309281911</v>
      </c>
      <c r="DB234" s="216">
        <f>+CX234+CY234+CZ234+DA234</f>
        <v>281.20643149475814</v>
      </c>
    </row>
    <row r="235" spans="1:106">
      <c r="A235" s="117" t="s">
        <v>281</v>
      </c>
      <c r="F235" s="217"/>
      <c r="K235" s="217"/>
      <c r="P235" s="217"/>
      <c r="U235" s="217"/>
      <c r="V235" s="119" t="s">
        <v>290</v>
      </c>
      <c r="W235" s="119" t="s">
        <v>290</v>
      </c>
      <c r="X235" s="119" t="s">
        <v>290</v>
      </c>
      <c r="Y235" s="119" t="s">
        <v>290</v>
      </c>
      <c r="Z235" s="235" t="s">
        <v>290</v>
      </c>
      <c r="AA235" s="13" t="e">
        <f>+AA234/V234-1</f>
        <v>#DIV/0!</v>
      </c>
      <c r="AB235" s="13" t="e">
        <f t="shared" ref="AB235" si="5910">+AB234/W234-1</f>
        <v>#DIV/0!</v>
      </c>
      <c r="AC235" s="13" t="e">
        <f t="shared" ref="AC235" si="5911">+AC234/X234-1</f>
        <v>#DIV/0!</v>
      </c>
      <c r="AD235" s="13" t="e">
        <f t="shared" ref="AD235" si="5912">+AD234/Y234-1</f>
        <v>#DIV/0!</v>
      </c>
      <c r="AE235" s="239" t="e">
        <f t="shared" ref="AE235" si="5913">+AE234/Z234-1</f>
        <v>#DIV/0!</v>
      </c>
      <c r="AF235" s="13" t="e">
        <f>+AF234/AA234-1</f>
        <v>#DIV/0!</v>
      </c>
      <c r="AG235" s="13" t="e">
        <f t="shared" ref="AG235" si="5914">+AG234/AB234-1</f>
        <v>#DIV/0!</v>
      </c>
      <c r="AH235" s="13" t="e">
        <f t="shared" ref="AH235" si="5915">+AH234/AC234-1</f>
        <v>#DIV/0!</v>
      </c>
      <c r="AI235" s="13" t="e">
        <f t="shared" ref="AI235" si="5916">+AI234/AD234-1</f>
        <v>#DIV/0!</v>
      </c>
      <c r="AJ235" s="239" t="e">
        <f t="shared" ref="AJ235" si="5917">+AJ234/AE234-1</f>
        <v>#DIV/0!</v>
      </c>
      <c r="AK235" s="13">
        <f>+AK234/AF234-1</f>
        <v>3.5271866058967323</v>
      </c>
      <c r="AL235" s="13">
        <f t="shared" ref="AL235" si="5918">+AL234/AG234-1</f>
        <v>3.4069787959253057</v>
      </c>
      <c r="AM235" s="13">
        <f t="shared" ref="AM235" si="5919">+AM234/AH234-1</f>
        <v>2.0665727040593693</v>
      </c>
      <c r="AN235" s="13">
        <f t="shared" ref="AN235" si="5920">+AN234/AI234-1</f>
        <v>1.8620259895469329</v>
      </c>
      <c r="AO235" s="239">
        <f t="shared" ref="AO235" si="5921">+AO234/AJ234-1</f>
        <v>2.4304776348341006</v>
      </c>
      <c r="AP235" s="13">
        <f>+AP234/AK234-1</f>
        <v>0.9969597129806731</v>
      </c>
      <c r="AQ235" s="13">
        <f t="shared" ref="AQ235" si="5922">+AQ234/AL234-1</f>
        <v>0.6318551943494104</v>
      </c>
      <c r="AR235" s="13">
        <f t="shared" ref="AR235" si="5923">+AR234/AM234-1</f>
        <v>0.40676813019768865</v>
      </c>
      <c r="AS235" s="13">
        <f t="shared" ref="AS235" si="5924">+AS234/AN234-1</f>
        <v>0.23405001887021526</v>
      </c>
      <c r="AT235" s="239">
        <f t="shared" ref="AT235" si="5925">+AT234/AO234-1</f>
        <v>0.5098241804393675</v>
      </c>
      <c r="AU235" s="13">
        <f>+AU234/AP234-1</f>
        <v>-0.15331482952120667</v>
      </c>
      <c r="AV235" s="13">
        <f t="shared" ref="AV235" si="5926">+AV234/AQ234-1</f>
        <v>-0.12618355194289854</v>
      </c>
      <c r="AW235" s="13">
        <f t="shared" ref="AW235" si="5927">+AW234/AR234-1</f>
        <v>-0.14333751118283367</v>
      </c>
      <c r="AX235" s="13">
        <f t="shared" ref="AX235" si="5928">+AX234/AS234-1</f>
        <v>-0.11187451789899672</v>
      </c>
      <c r="AY235" s="239">
        <f t="shared" ref="AY235" si="5929">+AY234/AT234-1</f>
        <v>-0.13323976752450584</v>
      </c>
      <c r="AZ235" s="13">
        <f>+AZ234/AU234-1</f>
        <v>3.912848108184841E-2</v>
      </c>
      <c r="BA235" s="13">
        <f t="shared" ref="BA235" si="5930">+BA234/AV234-1</f>
        <v>0.40003964325304264</v>
      </c>
      <c r="BB235" s="13">
        <f t="shared" ref="BB235" si="5931">+BB234/AW234-1</f>
        <v>0.57806358717424389</v>
      </c>
      <c r="BC235" s="13">
        <f t="shared" ref="BC235" si="5932">+BC234/AX234-1</f>
        <v>0.67033149608370235</v>
      </c>
      <c r="BD235" s="239">
        <f t="shared" ref="BD235" si="5933">+BD234/AY234-1</f>
        <v>0.43354715295388679</v>
      </c>
      <c r="BE235" s="13">
        <f>+BE234/AZ234-1</f>
        <v>0.31917931435064362</v>
      </c>
      <c r="BF235" s="13">
        <f t="shared" ref="BF235" si="5934">+BF234/BA234-1</f>
        <v>0.22859114746517961</v>
      </c>
      <c r="BG235" s="13">
        <f t="shared" ref="BG235" si="5935">+BG234/BB234-1</f>
        <v>0.21536707545055833</v>
      </c>
      <c r="BH235" s="13">
        <f t="shared" ref="BH235" si="5936">+BH234/BC234-1</f>
        <v>0.27810013460815997</v>
      </c>
      <c r="BI235" s="239">
        <f t="shared" ref="BI235" si="5937">+BI234/BD234-1</f>
        <v>0.25511103059381313</v>
      </c>
      <c r="BJ235" s="13">
        <f>+BJ234/BE234-1</f>
        <v>2.0491316813656457E-2</v>
      </c>
      <c r="BK235" s="13">
        <f t="shared" ref="BK235" si="5938">+BK234/BF234-1</f>
        <v>1.7526453263843278E-2</v>
      </c>
      <c r="BL235" s="13">
        <f t="shared" ref="BL235" si="5939">+BL234/BG234-1</f>
        <v>1.2992680910905774E-2</v>
      </c>
      <c r="BM235" s="13">
        <f t="shared" ref="BM235" si="5940">+BM234/BH234-1</f>
        <v>8.2282746230153414E-3</v>
      </c>
      <c r="BN235" s="239">
        <f t="shared" ref="BN235" si="5941">+BN234/BI234-1</f>
        <v>1.3920819792324401E-2</v>
      </c>
      <c r="BO235" s="13">
        <f>+BO234/BJ234-1</f>
        <v>0.23789945431600579</v>
      </c>
      <c r="BP235" s="13">
        <f t="shared" ref="BP235" si="5942">+BP234/BK234-1</f>
        <v>0.17848105254562507</v>
      </c>
      <c r="BQ235" s="13">
        <f t="shared" ref="BQ235" si="5943">+BQ234/BL234-1</f>
        <v>0.16565679624024043</v>
      </c>
      <c r="BR235" s="13">
        <f t="shared" ref="BR235" si="5944">+BR234/BM234-1</f>
        <v>0.14742934609662317</v>
      </c>
      <c r="BS235" s="239">
        <f t="shared" ref="BS235" si="5945">+BS234/BN234-1</f>
        <v>0.17581411733671981</v>
      </c>
      <c r="BT235" s="13">
        <f>+BT234/BO234-1</f>
        <v>0.2029837081669974</v>
      </c>
      <c r="BU235" s="13">
        <f t="shared" ref="BU235" si="5946">+BU234/BP234-1</f>
        <v>0.15977339244584288</v>
      </c>
      <c r="BV235" s="13">
        <f t="shared" ref="BV235" si="5947">+BV234/BQ234-1</f>
        <v>0.1498693308168646</v>
      </c>
      <c r="BW235" s="13">
        <f t="shared" ref="BW235" si="5948">+BW234/BR234-1</f>
        <v>0.13541148079485898</v>
      </c>
      <c r="BX235" s="239">
        <f t="shared" ref="BX235" si="5949">+BX234/BS234-1</f>
        <v>0.15773153395794037</v>
      </c>
      <c r="BY235" s="13">
        <f>+BY234/BT234-1</f>
        <v>0.17810942010469333</v>
      </c>
      <c r="BZ235" s="13">
        <f t="shared" ref="BZ235" si="5950">+BZ234/BU234-1</f>
        <v>0.1452523373012804</v>
      </c>
      <c r="CA235" s="13">
        <f t="shared" ref="CA235" si="5951">+CA234/BV234-1</f>
        <v>0.13737342707771938</v>
      </c>
      <c r="CB235" s="13">
        <f t="shared" ref="CB235" si="5952">+CB234/BW234-1</f>
        <v>0.12562509015911671</v>
      </c>
      <c r="CC235" s="239">
        <f t="shared" ref="CC235" si="5953">+CC234/BX234-1</f>
        <v>0.1436390226211619</v>
      </c>
      <c r="CD235" s="13">
        <f>+CD234/BY234-1</f>
        <v>0.15948941762495816</v>
      </c>
      <c r="CE235" s="13">
        <f t="shared" ref="CE235" si="5954">+CE234/BZ234-1</f>
        <v>0.13365393158686012</v>
      </c>
      <c r="CF235" s="13">
        <f t="shared" ref="CF235" si="5955">+CF234/CA234-1</f>
        <v>0.12723686808316237</v>
      </c>
      <c r="CG235" s="13">
        <f t="shared" ref="CG235" si="5956">+CG234/CB234-1</f>
        <v>0.11750146360896019</v>
      </c>
      <c r="CH235" s="239">
        <f t="shared" ref="CH235" si="5957">+CH234/CC234-1</f>
        <v>0.13234714886829257</v>
      </c>
      <c r="CI235" s="13">
        <f>+CI234/CD234-1</f>
        <v>0.14502830308439041</v>
      </c>
      <c r="CJ235" s="13">
        <f t="shared" ref="CJ235" si="5958">+CJ234/CE234-1</f>
        <v>0.12417649121987417</v>
      </c>
      <c r="CK235" s="13">
        <f t="shared" ref="CK235" si="5959">+CK234/CF234-1</f>
        <v>0.1188490937099731</v>
      </c>
      <c r="CL235" s="13">
        <f t="shared" ref="CL235" si="5960">+CL234/CG234-1</f>
        <v>0.1106500129549417</v>
      </c>
      <c r="CM235" s="239">
        <f t="shared" ref="CM235" si="5961">+CM234/CH234-1</f>
        <v>0.12309650617277512</v>
      </c>
      <c r="CN235" s="13">
        <f>+CN234/CI234-1</f>
        <v>0.133472684350048</v>
      </c>
      <c r="CO235" s="13">
        <f t="shared" ref="CO235" si="5962">+CO234/CJ234-1</f>
        <v>0.11628697247636932</v>
      </c>
      <c r="CP235" s="13">
        <f t="shared" ref="CP235" si="5963">+CP234/CK234-1</f>
        <v>0.11179348496214159</v>
      </c>
      <c r="CQ235" s="13">
        <f t="shared" ref="CQ235" si="5964">+CQ234/CL234-1</f>
        <v>0.10479360048137876</v>
      </c>
      <c r="CR235" s="239">
        <f t="shared" ref="CR235" si="5965">+CR234/CM234-1</f>
        <v>0.11537948504953044</v>
      </c>
      <c r="CS235" s="13">
        <f>+CS234/CN234-1</f>
        <v>0.12402684895019056</v>
      </c>
      <c r="CT235" s="13">
        <f t="shared" ref="CT235" si="5966">+CT234/CO234-1</f>
        <v>0.10961714491166985</v>
      </c>
      <c r="CU235" s="13">
        <f t="shared" ref="CU235" si="5967">+CU234/CP234-1</f>
        <v>0.10577602374048323</v>
      </c>
      <c r="CV235" s="13">
        <f t="shared" ref="CV235" si="5968">+CV234/CQ234-1</f>
        <v>9.9730136436573691E-2</v>
      </c>
      <c r="CW235" s="239">
        <f t="shared" ref="CW235" si="5969">+CW234/CR234-1</f>
        <v>0.1088439009142359</v>
      </c>
      <c r="CX235" s="13">
        <f>+CX234/CS234-1</f>
        <v>0.11616133547801777</v>
      </c>
      <c r="CY235" s="13">
        <f t="shared" ref="CY235" si="5970">+CY234/CT234-1</f>
        <v>0.10390446302589162</v>
      </c>
      <c r="CZ235" s="13">
        <f t="shared" ref="CZ235" si="5971">+CZ234/CU234-1</f>
        <v>0.1005832852015387</v>
      </c>
      <c r="DA235" s="13">
        <f t="shared" ref="DA235" si="5972">+DA234/CV234-1</f>
        <v>9.5308786355891018E-2</v>
      </c>
      <c r="DB235" s="239">
        <f t="shared" ref="DB235" si="5973">+DB234/CW234-1</f>
        <v>0.10323773695711957</v>
      </c>
    </row>
    <row r="236" spans="1:106">
      <c r="A236" s="117" t="s">
        <v>288</v>
      </c>
      <c r="F236" s="217"/>
      <c r="K236" s="217"/>
      <c r="P236" s="217"/>
      <c r="U236" s="217"/>
      <c r="V236" s="119" t="s">
        <v>290</v>
      </c>
      <c r="W236" s="13" t="e">
        <f>+W234/V234-1</f>
        <v>#DIV/0!</v>
      </c>
      <c r="X236" s="13" t="e">
        <f t="shared" ref="X236:Y236" si="5974">+X234/W234-1</f>
        <v>#DIV/0!</v>
      </c>
      <c r="Y236" s="13" t="e">
        <f t="shared" si="5974"/>
        <v>#DIV/0!</v>
      </c>
      <c r="Z236" s="235" t="s">
        <v>290</v>
      </c>
      <c r="AA236" s="13" t="e">
        <f>+AA234/Y234-1</f>
        <v>#DIV/0!</v>
      </c>
      <c r="AB236" s="13" t="e">
        <f>+AB234/AA234-1</f>
        <v>#DIV/0!</v>
      </c>
      <c r="AC236" s="13" t="e">
        <f t="shared" ref="AC236:AD236" si="5975">+AC234/AB234-1</f>
        <v>#DIV/0!</v>
      </c>
      <c r="AD236" s="13" t="e">
        <f t="shared" si="5975"/>
        <v>#DIV/0!</v>
      </c>
      <c r="AE236" s="235" t="s">
        <v>290</v>
      </c>
      <c r="AF236" s="13" t="e">
        <f>+AF234/AD234-1</f>
        <v>#DIV/0!</v>
      </c>
      <c r="AG236" s="13">
        <f>+AG234/AF234-1</f>
        <v>0.36316410404729393</v>
      </c>
      <c r="AH236" s="13">
        <f t="shared" ref="AH236:AI236" si="5976">+AH234/AG234-1</f>
        <v>0.67664797448797342</v>
      </c>
      <c r="AI236" s="13">
        <f t="shared" si="5976"/>
        <v>0.22851831013102064</v>
      </c>
      <c r="AJ236" s="235" t="s">
        <v>290</v>
      </c>
      <c r="AK236" s="13">
        <f>+AK234/AI234-1</f>
        <v>0.61234038596744145</v>
      </c>
      <c r="AL236" s="13">
        <f>+AL234/AK234-1</f>
        <v>0.32696878323463885</v>
      </c>
      <c r="AM236" s="13">
        <f t="shared" ref="AM236:AN236" si="5977">+AM234/AL234-1</f>
        <v>0.16668655579535363</v>
      </c>
      <c r="AN236" s="13">
        <f t="shared" si="5977"/>
        <v>0.14657360889402482</v>
      </c>
      <c r="AO236" s="235" t="s">
        <v>290</v>
      </c>
      <c r="AP236" s="13">
        <f>+AP234/AN234-1</f>
        <v>0.12499984491698823</v>
      </c>
      <c r="AQ236" s="13">
        <f>+AQ234/AP234-1</f>
        <v>8.43588318708961E-2</v>
      </c>
      <c r="AR236" s="13">
        <f t="shared" ref="AR236:AS236" si="5978">+AR234/AQ234-1</f>
        <v>5.7617062507491212E-3</v>
      </c>
      <c r="AS236" s="13">
        <f t="shared" si="5978"/>
        <v>5.8012783477876528E-3</v>
      </c>
      <c r="AT236" s="235" t="s">
        <v>290</v>
      </c>
      <c r="AU236" s="13">
        <f>+AU234/AS234-1</f>
        <v>-0.22813445896285611</v>
      </c>
      <c r="AV236" s="13">
        <f>+AV234/AU234-1</f>
        <v>0.1191061517576284</v>
      </c>
      <c r="AW236" s="13">
        <f t="shared" ref="AW236:AX236" si="5979">+AW234/AV234-1</f>
        <v>-1.3982480703472078E-2</v>
      </c>
      <c r="AX236" s="13">
        <f t="shared" si="5979"/>
        <v>4.2741752897134999E-2</v>
      </c>
      <c r="AY236" s="235" t="s">
        <v>290</v>
      </c>
      <c r="AZ236" s="13">
        <f>+AZ234/AX234-1</f>
        <v>-9.6898486281547513E-2</v>
      </c>
      <c r="BA236" s="13">
        <f>+BA234/AZ234-1</f>
        <v>0.50779523994745057</v>
      </c>
      <c r="BB236" s="13">
        <f t="shared" ref="BB236:BC236" si="5980">+BB234/BA234-1</f>
        <v>0.11139591726296394</v>
      </c>
      <c r="BC236" s="13">
        <f t="shared" si="5980"/>
        <v>0.10370989249199325</v>
      </c>
      <c r="BD236" s="235" t="s">
        <v>290</v>
      </c>
      <c r="BE236" s="13">
        <f>+BE234/BC234-1</f>
        <v>-0.28675664773764376</v>
      </c>
      <c r="BF236" s="13">
        <f>+BF234/BE234-1</f>
        <v>0.40425479981198476</v>
      </c>
      <c r="BG236" s="13">
        <f t="shared" ref="BG236:BH236" si="5981">+BG234/BF234-1</f>
        <v>9.9433288623676841E-2</v>
      </c>
      <c r="BH236" s="13">
        <f t="shared" si="5981"/>
        <v>0.16067959273902521</v>
      </c>
      <c r="BI236" s="235" t="s">
        <v>290</v>
      </c>
      <c r="BJ236" s="13">
        <f>+BJ234/BH234-1</f>
        <v>-0.43051516227095499</v>
      </c>
      <c r="BK236" s="13">
        <f>+BK234/BJ234-1</f>
        <v>0.40017497688550208</v>
      </c>
      <c r="BL236" s="13">
        <f t="shared" ref="BL236:BM236" si="5982">+BL234/BK234-1</f>
        <v>9.4534565615667976E-2</v>
      </c>
      <c r="BM236" s="13">
        <f t="shared" si="5982"/>
        <v>0.15522057091776276</v>
      </c>
      <c r="BN236" s="235" t="s">
        <v>290</v>
      </c>
      <c r="BO236" s="13">
        <f>+BO234/BM234-1</f>
        <v>-0.30078833572722818</v>
      </c>
      <c r="BP236" s="13">
        <f>+BP234/BO234-1</f>
        <v>0.33296745123764104</v>
      </c>
      <c r="BQ236" s="13">
        <f t="shared" ref="BQ236:BR236" si="5983">+BQ234/BP234-1</f>
        <v>8.2623816796891791E-2</v>
      </c>
      <c r="BR236" s="13">
        <f t="shared" si="5983"/>
        <v>0.13715631269939021</v>
      </c>
      <c r="BS236" s="235" t="s">
        <v>290</v>
      </c>
      <c r="BT236" s="13">
        <f>+BT234/BR234-1</f>
        <v>-0.26693504611686514</v>
      </c>
      <c r="BU236" s="13">
        <f>+BU234/BT234-1</f>
        <v>0.28508821228953929</v>
      </c>
      <c r="BV236" s="13">
        <f t="shared" ref="BV236:BW236" si="5984">+BV234/BU234-1</f>
        <v>7.337858572641176E-2</v>
      </c>
      <c r="BW236" s="13">
        <f t="shared" si="5984"/>
        <v>0.12285830945679121</v>
      </c>
      <c r="BX236" s="235" t="s">
        <v>290</v>
      </c>
      <c r="BY236" s="13">
        <f>+BY234/BW234-1</f>
        <v>-0.23936762810101375</v>
      </c>
      <c r="BZ236" s="13">
        <f>+BZ234/BY234-1</f>
        <v>0.24924752628845881</v>
      </c>
      <c r="CA236" s="13">
        <f t="shared" ref="CA236:CB236" si="5985">+CA234/BZ234-1</f>
        <v>6.5994140187745742E-2</v>
      </c>
      <c r="CB236" s="13">
        <f t="shared" si="5985"/>
        <v>0.11125990437953814</v>
      </c>
      <c r="CC236" s="235" t="s">
        <v>290</v>
      </c>
      <c r="CD236" s="13">
        <f>+CD234/CB234-1</f>
        <v>-0.21648407304498196</v>
      </c>
      <c r="CE236" s="13">
        <f>+CE234/CD234-1</f>
        <v>0.22141206998074692</v>
      </c>
      <c r="CF236" s="13">
        <f t="shared" ref="CF236:CG236" si="5986">+CF234/CE234-1</f>
        <v>5.9960065853809308E-2</v>
      </c>
      <c r="CG236" s="13">
        <f t="shared" si="5986"/>
        <v>0.10166248528208177</v>
      </c>
      <c r="CH236" s="235" t="s">
        <v>290</v>
      </c>
      <c r="CI236" s="13">
        <f>+CI234/CG234-1</f>
        <v>-0.19718412772045335</v>
      </c>
      <c r="CJ236" s="13">
        <f>+CJ234/CI234-1</f>
        <v>0.19916925325413648</v>
      </c>
      <c r="CK236" s="13">
        <f t="shared" ref="CK236:CL236" si="5987">+CK234/CJ234-1</f>
        <v>5.493698570622807E-2</v>
      </c>
      <c r="CL236" s="13">
        <f t="shared" si="5987"/>
        <v>9.3589350368359581E-2</v>
      </c>
      <c r="CM236" s="235" t="s">
        <v>290</v>
      </c>
      <c r="CN236" s="13">
        <f>+CN234/CL234-1</f>
        <v>-0.18068711909478907</v>
      </c>
      <c r="CO236" s="13">
        <f>+CO234/CN234-1</f>
        <v>0.18098745005874917</v>
      </c>
      <c r="CP236" s="13">
        <f t="shared" ref="CP236:CQ236" si="5988">+CP234/CO234-1</f>
        <v>5.0690455655759026E-2</v>
      </c>
      <c r="CQ236" s="13">
        <f t="shared" si="5988"/>
        <v>8.6704079654408961E-2</v>
      </c>
      <c r="CR236" s="235" t="s">
        <v>290</v>
      </c>
      <c r="CS236" s="13">
        <f>+CS234/CQ234-1</f>
        <v>-0.16642377777449013</v>
      </c>
      <c r="CT236" s="13">
        <f>+CT234/CS234-1</f>
        <v>0.16584752733853292</v>
      </c>
      <c r="CU236" s="13">
        <f t="shared" ref="CU236:CV236" si="5989">+CU234/CT234-1</f>
        <v>4.7053318854034076E-2</v>
      </c>
      <c r="CV236" s="13">
        <f t="shared" si="5989"/>
        <v>8.0762469186074881E-2</v>
      </c>
      <c r="CW236" s="235" t="s">
        <v>290</v>
      </c>
      <c r="CX236" s="13">
        <f>+CX234/CV234-1</f>
        <v>-0.15396921608721714</v>
      </c>
      <c r="CY236" s="13">
        <f>+CY234/CX234-1</f>
        <v>0.1530450372441281</v>
      </c>
      <c r="CZ236" s="13">
        <f t="shared" ref="CZ236:DA236" si="5990">+CZ234/CY234-1</f>
        <v>4.3903181881164821E-2</v>
      </c>
      <c r="DA236" s="13">
        <f t="shared" si="5990"/>
        <v>7.5582960762868634E-2</v>
      </c>
      <c r="DB236" s="235" t="s">
        <v>290</v>
      </c>
    </row>
    <row r="237" spans="1:106">
      <c r="F237" s="217"/>
      <c r="K237" s="217"/>
      <c r="P237" s="217"/>
      <c r="U237" s="217"/>
      <c r="Z237" s="217"/>
      <c r="AE237" s="217"/>
      <c r="AJ237" s="217"/>
      <c r="AO237" s="217"/>
      <c r="AT237" s="217"/>
      <c r="AY237" s="217"/>
      <c r="BD237" s="217"/>
      <c r="BI237" s="217"/>
      <c r="BN237" s="217"/>
      <c r="BS237" s="217"/>
      <c r="BX237" s="217"/>
      <c r="CC237" s="217"/>
      <c r="CH237" s="217"/>
      <c r="CM237" s="217"/>
      <c r="CR237" s="217"/>
      <c r="CW237" s="217"/>
      <c r="DB237" s="217"/>
    </row>
    <row r="238" spans="1:106" s="124" customFormat="1">
      <c r="A238" s="124" t="s">
        <v>279</v>
      </c>
      <c r="F238" s="243"/>
      <c r="K238" s="243"/>
      <c r="P238" s="243"/>
      <c r="U238" s="243"/>
      <c r="Z238" s="243"/>
      <c r="AE238" s="243"/>
      <c r="AJ238" s="243"/>
      <c r="AO238" s="243"/>
      <c r="AT238" s="243"/>
      <c r="AY238" s="243"/>
      <c r="BD238" s="243"/>
      <c r="BI238" s="243"/>
      <c r="BN238" s="243"/>
      <c r="BS238" s="243"/>
      <c r="BX238" s="243"/>
      <c r="CC238" s="243"/>
      <c r="CH238" s="243"/>
      <c r="CM238" s="243"/>
      <c r="CR238" s="243"/>
      <c r="CW238" s="243"/>
      <c r="DB238" s="243"/>
    </row>
    <row r="239" spans="1:106" s="51" customFormat="1">
      <c r="A239" s="51" t="s">
        <v>318</v>
      </c>
      <c r="F239" s="233"/>
      <c r="K239" s="233"/>
      <c r="P239" s="233"/>
      <c r="U239" s="233"/>
      <c r="V239" s="213">
        <f>+Z239/4</f>
        <v>904.25</v>
      </c>
      <c r="W239" s="213">
        <f>+Z239/4</f>
        <v>904.25</v>
      </c>
      <c r="X239" s="213">
        <f>+Z239/4</f>
        <v>904.25</v>
      </c>
      <c r="Y239" s="213">
        <f>+Z239/4</f>
        <v>904.25</v>
      </c>
      <c r="Z239" s="234">
        <v>3617</v>
      </c>
      <c r="AA239" s="213">
        <f>+V239*(1+AA240)</f>
        <v>931.37750000000005</v>
      </c>
      <c r="AB239" s="213">
        <f t="shared" ref="AB239" si="5991">+W239*(1+AB240)</f>
        <v>931.37750000000005</v>
      </c>
      <c r="AC239" s="213">
        <f t="shared" ref="AC239" si="5992">+X239*(1+AC240)</f>
        <v>931.37750000000005</v>
      </c>
      <c r="AD239" s="213">
        <f t="shared" ref="AD239" si="5993">+Y239*(1+AD240)</f>
        <v>931.37750000000005</v>
      </c>
      <c r="AE239" s="234">
        <f>+AA239+AB239+AC239+AD239</f>
        <v>3725.51</v>
      </c>
      <c r="AF239" s="213">
        <f>+AA239*(1+AF240)</f>
        <v>959.31882500000006</v>
      </c>
      <c r="AG239" s="213">
        <f t="shared" ref="AG239" si="5994">+AB239*(1+AG240)</f>
        <v>959.31882500000006</v>
      </c>
      <c r="AH239" s="213">
        <f t="shared" ref="AH239" si="5995">+AC239*(1+AH240)</f>
        <v>959.31882500000006</v>
      </c>
      <c r="AI239" s="213">
        <f t="shared" ref="AI239" si="5996">+AD239*(1+AI240)</f>
        <v>959.31882500000006</v>
      </c>
      <c r="AJ239" s="234">
        <f>+AF239+AG239+AH239+AI239</f>
        <v>3837.2753000000002</v>
      </c>
      <c r="AK239" s="213">
        <f>+AF239*(1+AK240)</f>
        <v>988.09838975000014</v>
      </c>
      <c r="AL239" s="213">
        <f t="shared" ref="AL239" si="5997">+AG239*(1+AL240)</f>
        <v>988.09838975000014</v>
      </c>
      <c r="AM239" s="213">
        <f t="shared" ref="AM239" si="5998">+AH239*(1+AM240)</f>
        <v>988.09838975000014</v>
      </c>
      <c r="AN239" s="213">
        <f t="shared" ref="AN239" si="5999">+AI239*(1+AN240)</f>
        <v>988.09838975000014</v>
      </c>
      <c r="AO239" s="234">
        <f>+AK239+AL239+AM239+AN239</f>
        <v>3952.3935590000006</v>
      </c>
      <c r="AP239" s="213">
        <f>+AK239*(1+AP240)</f>
        <v>1017.7413414425001</v>
      </c>
      <c r="AQ239" s="213">
        <f t="shared" ref="AQ239" si="6000">+AL239*(1+AQ240)</f>
        <v>1017.7413414425001</v>
      </c>
      <c r="AR239" s="213">
        <f t="shared" ref="AR239" si="6001">+AM239*(1+AR240)</f>
        <v>1017.7413414425001</v>
      </c>
      <c r="AS239" s="213">
        <f t="shared" ref="AS239" si="6002">+AN239*(1+AS240)</f>
        <v>1017.7413414425001</v>
      </c>
      <c r="AT239" s="234">
        <f>+AP239+AQ239+AR239+AS239</f>
        <v>4070.9653657700005</v>
      </c>
      <c r="AU239" s="213">
        <f>+AP239*(1+AU240)</f>
        <v>1048.2735816857751</v>
      </c>
      <c r="AV239" s="213">
        <f t="shared" ref="AV239" si="6003">+AQ239*(1+AV240)</f>
        <v>1048.2735816857751</v>
      </c>
      <c r="AW239" s="213">
        <f t="shared" ref="AW239" si="6004">+AR239*(1+AW240)</f>
        <v>1048.2735816857751</v>
      </c>
      <c r="AX239" s="213">
        <f t="shared" ref="AX239" si="6005">+AS239*(1+AX240)</f>
        <v>1048.2735816857751</v>
      </c>
      <c r="AY239" s="234">
        <f>+AU239+AV239+AW239+AX239</f>
        <v>4193.0943267431003</v>
      </c>
      <c r="AZ239" s="213">
        <f>+AU239*(1+AZ240)</f>
        <v>1079.7217891363484</v>
      </c>
      <c r="BA239" s="213">
        <f t="shared" ref="BA239" si="6006">+AV239*(1+BA240)</f>
        <v>1079.7217891363484</v>
      </c>
      <c r="BB239" s="213">
        <f t="shared" ref="BB239" si="6007">+AW239*(1+BB240)</f>
        <v>1079.7217891363484</v>
      </c>
      <c r="BC239" s="213">
        <f t="shared" ref="BC239" si="6008">+AX239*(1+BC240)</f>
        <v>1079.7217891363484</v>
      </c>
      <c r="BD239" s="234">
        <f>+AZ239+BA239+BB239+BC239</f>
        <v>4318.8871565453937</v>
      </c>
      <c r="BE239" s="213">
        <f>+AZ239*(1+BE240)</f>
        <v>1112.113442810439</v>
      </c>
      <c r="BF239" s="213">
        <f t="shared" ref="BF239" si="6009">+BA239*(1+BF240)</f>
        <v>1112.113442810439</v>
      </c>
      <c r="BG239" s="213">
        <f t="shared" ref="BG239" si="6010">+BB239*(1+BG240)</f>
        <v>1112.113442810439</v>
      </c>
      <c r="BH239" s="213">
        <f t="shared" ref="BH239" si="6011">+BC239*(1+BH240)</f>
        <v>1112.113442810439</v>
      </c>
      <c r="BI239" s="234">
        <f>+BE239+BF239+BG239+BH239</f>
        <v>4448.4537712417559</v>
      </c>
      <c r="BJ239" s="213">
        <f>+BE239*(1+BJ240)</f>
        <v>1145.4768460947521</v>
      </c>
      <c r="BK239" s="213">
        <f t="shared" ref="BK239" si="6012">+BF239*(1+BK240)</f>
        <v>1145.4768460947521</v>
      </c>
      <c r="BL239" s="213">
        <f t="shared" ref="BL239" si="6013">+BG239*(1+BL240)</f>
        <v>1145.4768460947521</v>
      </c>
      <c r="BM239" s="213">
        <f t="shared" ref="BM239" si="6014">+BH239*(1+BM240)</f>
        <v>1145.4768460947521</v>
      </c>
      <c r="BN239" s="234">
        <f>+BJ239+BK239+BL239+BM239</f>
        <v>4581.9073843790084</v>
      </c>
      <c r="BO239" s="213">
        <f>+BJ239*(1+BO240)</f>
        <v>1179.8411514775946</v>
      </c>
      <c r="BP239" s="213">
        <f t="shared" ref="BP239" si="6015">+BK239*(1+BP240)</f>
        <v>1179.8411514775946</v>
      </c>
      <c r="BQ239" s="213">
        <f t="shared" ref="BQ239" si="6016">+BL239*(1+BQ240)</f>
        <v>1179.8411514775946</v>
      </c>
      <c r="BR239" s="213">
        <f t="shared" ref="BR239" si="6017">+BM239*(1+BR240)</f>
        <v>1179.8411514775946</v>
      </c>
      <c r="BS239" s="234">
        <f>+BO239+BP239+BQ239+BR239</f>
        <v>4719.3646059103785</v>
      </c>
      <c r="BT239" s="213">
        <f>+BO239*(1+BT240)</f>
        <v>1215.2363860219225</v>
      </c>
      <c r="BU239" s="213">
        <f t="shared" ref="BU239" si="6018">+BP239*(1+BU240)</f>
        <v>1215.2363860219225</v>
      </c>
      <c r="BV239" s="213">
        <f t="shared" ref="BV239" si="6019">+BQ239*(1+BV240)</f>
        <v>1215.2363860219225</v>
      </c>
      <c r="BW239" s="213">
        <f t="shared" ref="BW239" si="6020">+BR239*(1+BW240)</f>
        <v>1215.2363860219225</v>
      </c>
      <c r="BX239" s="234">
        <f>+BT239+BU239+BV239+BW239</f>
        <v>4860.94554408769</v>
      </c>
      <c r="BY239" s="213">
        <f>+BT239*(1+BY240)</f>
        <v>1251.6934776025803</v>
      </c>
      <c r="BZ239" s="213">
        <f t="shared" ref="BZ239" si="6021">+BU239*(1+BZ240)</f>
        <v>1251.6934776025803</v>
      </c>
      <c r="CA239" s="213">
        <f t="shared" ref="CA239" si="6022">+BV239*(1+CA240)</f>
        <v>1251.6934776025803</v>
      </c>
      <c r="CB239" s="213">
        <f t="shared" ref="CB239" si="6023">+BW239*(1+CB240)</f>
        <v>1251.6934776025803</v>
      </c>
      <c r="CC239" s="234">
        <f>+BY239+BZ239+CA239+CB239</f>
        <v>5006.7739104103212</v>
      </c>
      <c r="CD239" s="213">
        <f>+BY239*(1+CD240)</f>
        <v>1289.2442819306577</v>
      </c>
      <c r="CE239" s="213">
        <f t="shared" ref="CE239" si="6024">+BZ239*(1+CE240)</f>
        <v>1289.2442819306577</v>
      </c>
      <c r="CF239" s="213">
        <f t="shared" ref="CF239" si="6025">+CA239*(1+CF240)</f>
        <v>1289.2442819306577</v>
      </c>
      <c r="CG239" s="213">
        <f t="shared" ref="CG239" si="6026">+CB239*(1+CG240)</f>
        <v>1289.2442819306577</v>
      </c>
      <c r="CH239" s="234">
        <f>+CD239+CE239+CF239+CG239</f>
        <v>5156.9771277226309</v>
      </c>
      <c r="CI239" s="213">
        <f>+CD239*(1+CI240)</f>
        <v>1327.9216103885774</v>
      </c>
      <c r="CJ239" s="213">
        <f t="shared" ref="CJ239" si="6027">+CE239*(1+CJ240)</f>
        <v>1327.9216103885774</v>
      </c>
      <c r="CK239" s="213">
        <f t="shared" ref="CK239" si="6028">+CF239*(1+CK240)</f>
        <v>1327.9216103885774</v>
      </c>
      <c r="CL239" s="213">
        <f t="shared" ref="CL239" si="6029">+CG239*(1+CL240)</f>
        <v>1327.9216103885774</v>
      </c>
      <c r="CM239" s="234">
        <f>+CI239+CJ239+CK239+CL239</f>
        <v>5311.6864415543096</v>
      </c>
      <c r="CN239" s="213">
        <f>+CI239*(1+CN240)</f>
        <v>1367.7592587002348</v>
      </c>
      <c r="CO239" s="213">
        <f t="shared" ref="CO239" si="6030">+CJ239*(1+CO240)</f>
        <v>1367.7592587002348</v>
      </c>
      <c r="CP239" s="213">
        <f t="shared" ref="CP239" si="6031">+CK239*(1+CP240)</f>
        <v>1367.7592587002348</v>
      </c>
      <c r="CQ239" s="213">
        <f t="shared" ref="CQ239" si="6032">+CL239*(1+CQ240)</f>
        <v>1367.7592587002348</v>
      </c>
      <c r="CR239" s="234">
        <f>+CN239+CO239+CP239+CQ239</f>
        <v>5471.0370348009392</v>
      </c>
      <c r="CS239" s="213">
        <f>+CN239*(1+CS240)</f>
        <v>1408.7920364612419</v>
      </c>
      <c r="CT239" s="213">
        <f t="shared" ref="CT239" si="6033">+CO239*(1+CT240)</f>
        <v>1408.7920364612419</v>
      </c>
      <c r="CU239" s="213">
        <f t="shared" ref="CU239" si="6034">+CP239*(1+CU240)</f>
        <v>1408.7920364612419</v>
      </c>
      <c r="CV239" s="213">
        <f t="shared" ref="CV239" si="6035">+CQ239*(1+CV240)</f>
        <v>1408.7920364612419</v>
      </c>
      <c r="CW239" s="234">
        <f>+CS239+CT239+CU239+CV239</f>
        <v>5635.1681458449675</v>
      </c>
      <c r="CX239" s="213">
        <f>+CS239*(1+CX240)</f>
        <v>1451.0557975550792</v>
      </c>
      <c r="CY239" s="213">
        <f t="shared" ref="CY239" si="6036">+CT239*(1+CY240)</f>
        <v>1451.0557975550792</v>
      </c>
      <c r="CZ239" s="213">
        <f t="shared" ref="CZ239" si="6037">+CU239*(1+CZ240)</f>
        <v>1451.0557975550792</v>
      </c>
      <c r="DA239" s="213">
        <f t="shared" ref="DA239" si="6038">+CV239*(1+DA240)</f>
        <v>1451.0557975550792</v>
      </c>
      <c r="DB239" s="234">
        <f>+CX239+CY239+CZ239+DA239</f>
        <v>5804.2231902203166</v>
      </c>
    </row>
    <row r="240" spans="1:106">
      <c r="A240" s="117" t="s">
        <v>281</v>
      </c>
      <c r="F240" s="217"/>
      <c r="K240" s="217"/>
      <c r="P240" s="217"/>
      <c r="U240" s="217"/>
      <c r="V240" s="119" t="s">
        <v>326</v>
      </c>
      <c r="W240" s="119" t="s">
        <v>326</v>
      </c>
      <c r="X240" s="119" t="s">
        <v>326</v>
      </c>
      <c r="Y240" s="119" t="s">
        <v>326</v>
      </c>
      <c r="Z240" s="235" t="s">
        <v>326</v>
      </c>
      <c r="AA240" s="118">
        <v>0.03</v>
      </c>
      <c r="AB240" s="118">
        <v>0.03</v>
      </c>
      <c r="AC240" s="118">
        <v>0.03</v>
      </c>
      <c r="AD240" s="118">
        <v>0.03</v>
      </c>
      <c r="AE240" s="239">
        <f>+AE239/Z239-1</f>
        <v>3.0000000000000027E-2</v>
      </c>
      <c r="AF240" s="118">
        <v>0.03</v>
      </c>
      <c r="AG240" s="118">
        <v>0.03</v>
      </c>
      <c r="AH240" s="118">
        <v>0.03</v>
      </c>
      <c r="AI240" s="118">
        <v>0.03</v>
      </c>
      <c r="AJ240" s="239">
        <f>+AJ239/AE239-1</f>
        <v>3.0000000000000027E-2</v>
      </c>
      <c r="AK240" s="118">
        <v>0.03</v>
      </c>
      <c r="AL240" s="118">
        <v>0.03</v>
      </c>
      <c r="AM240" s="118">
        <v>0.03</v>
      </c>
      <c r="AN240" s="118">
        <v>0.03</v>
      </c>
      <c r="AO240" s="239">
        <f>+AO239/AJ239-1</f>
        <v>3.0000000000000027E-2</v>
      </c>
      <c r="AP240" s="118">
        <v>0.03</v>
      </c>
      <c r="AQ240" s="118">
        <v>0.03</v>
      </c>
      <c r="AR240" s="118">
        <v>0.03</v>
      </c>
      <c r="AS240" s="118">
        <v>0.03</v>
      </c>
      <c r="AT240" s="239">
        <f>+AT239/AO239-1</f>
        <v>3.0000000000000027E-2</v>
      </c>
      <c r="AU240" s="118">
        <v>0.03</v>
      </c>
      <c r="AV240" s="118">
        <v>0.03</v>
      </c>
      <c r="AW240" s="118">
        <v>0.03</v>
      </c>
      <c r="AX240" s="118">
        <v>0.03</v>
      </c>
      <c r="AY240" s="239">
        <f>+AY239/AT239-1</f>
        <v>3.0000000000000027E-2</v>
      </c>
      <c r="AZ240" s="118">
        <v>0.03</v>
      </c>
      <c r="BA240" s="118">
        <v>0.03</v>
      </c>
      <c r="BB240" s="118">
        <v>0.03</v>
      </c>
      <c r="BC240" s="118">
        <v>0.03</v>
      </c>
      <c r="BD240" s="239">
        <f>+BD239/AY239-1</f>
        <v>3.0000000000000027E-2</v>
      </c>
      <c r="BE240" s="118">
        <v>0.03</v>
      </c>
      <c r="BF240" s="118">
        <v>0.03</v>
      </c>
      <c r="BG240" s="118">
        <v>0.03</v>
      </c>
      <c r="BH240" s="118">
        <v>0.03</v>
      </c>
      <c r="BI240" s="239">
        <f>+BI239/BD239-1</f>
        <v>3.0000000000000027E-2</v>
      </c>
      <c r="BJ240" s="118">
        <v>0.03</v>
      </c>
      <c r="BK240" s="118">
        <v>0.03</v>
      </c>
      <c r="BL240" s="118">
        <v>0.03</v>
      </c>
      <c r="BM240" s="118">
        <v>0.03</v>
      </c>
      <c r="BN240" s="239">
        <f>+BN239/BI239-1</f>
        <v>3.0000000000000027E-2</v>
      </c>
      <c r="BO240" s="118">
        <v>0.03</v>
      </c>
      <c r="BP240" s="118">
        <v>0.03</v>
      </c>
      <c r="BQ240" s="118">
        <v>0.03</v>
      </c>
      <c r="BR240" s="118">
        <v>0.03</v>
      </c>
      <c r="BS240" s="239">
        <f>+BS239/BN239-1</f>
        <v>3.0000000000000027E-2</v>
      </c>
      <c r="BT240" s="118">
        <v>0.03</v>
      </c>
      <c r="BU240" s="118">
        <v>0.03</v>
      </c>
      <c r="BV240" s="118">
        <v>0.03</v>
      </c>
      <c r="BW240" s="118">
        <v>0.03</v>
      </c>
      <c r="BX240" s="239">
        <f>+BX239/BS239-1</f>
        <v>3.0000000000000027E-2</v>
      </c>
      <c r="BY240" s="118">
        <v>0.03</v>
      </c>
      <c r="BZ240" s="118">
        <v>0.03</v>
      </c>
      <c r="CA240" s="118">
        <v>0.03</v>
      </c>
      <c r="CB240" s="118">
        <v>0.03</v>
      </c>
      <c r="CC240" s="239">
        <f>+CC239/BX239-1</f>
        <v>3.0000000000000027E-2</v>
      </c>
      <c r="CD240" s="118">
        <v>0.03</v>
      </c>
      <c r="CE240" s="118">
        <v>0.03</v>
      </c>
      <c r="CF240" s="118">
        <v>0.03</v>
      </c>
      <c r="CG240" s="118">
        <v>0.03</v>
      </c>
      <c r="CH240" s="239">
        <f>+CH239/CC239-1</f>
        <v>3.0000000000000027E-2</v>
      </c>
      <c r="CI240" s="118">
        <v>0.03</v>
      </c>
      <c r="CJ240" s="118">
        <v>0.03</v>
      </c>
      <c r="CK240" s="118">
        <v>0.03</v>
      </c>
      <c r="CL240" s="118">
        <v>0.03</v>
      </c>
      <c r="CM240" s="239">
        <f>+CM239/CH239-1</f>
        <v>3.0000000000000027E-2</v>
      </c>
      <c r="CN240" s="118">
        <v>0.03</v>
      </c>
      <c r="CO240" s="118">
        <v>0.03</v>
      </c>
      <c r="CP240" s="118">
        <v>0.03</v>
      </c>
      <c r="CQ240" s="118">
        <v>0.03</v>
      </c>
      <c r="CR240" s="239">
        <f>+CR239/CM239-1</f>
        <v>3.0000000000000027E-2</v>
      </c>
      <c r="CS240" s="118">
        <v>0.03</v>
      </c>
      <c r="CT240" s="118">
        <v>0.03</v>
      </c>
      <c r="CU240" s="118">
        <v>0.03</v>
      </c>
      <c r="CV240" s="118">
        <v>0.03</v>
      </c>
      <c r="CW240" s="239">
        <f>+CW239/CR239-1</f>
        <v>3.0000000000000027E-2</v>
      </c>
      <c r="CX240" s="118">
        <v>0.03</v>
      </c>
      <c r="CY240" s="118">
        <v>0.03</v>
      </c>
      <c r="CZ240" s="118">
        <v>0.03</v>
      </c>
      <c r="DA240" s="118">
        <v>0.03</v>
      </c>
      <c r="DB240" s="239">
        <f>+DB239/CW239-1</f>
        <v>3.0000000000000027E-2</v>
      </c>
    </row>
    <row r="241" spans="1:106" s="51" customFormat="1">
      <c r="A241" s="51" t="s">
        <v>310</v>
      </c>
      <c r="F241" s="233"/>
      <c r="K241" s="233"/>
      <c r="P241" s="233"/>
      <c r="U241" s="233"/>
      <c r="V241" s="213">
        <f>+V239*V242</f>
        <v>6329.75</v>
      </c>
      <c r="W241" s="213">
        <f t="shared" ref="W241" si="6039">+W239*W242</f>
        <v>6329.75</v>
      </c>
      <c r="X241" s="213">
        <f t="shared" ref="X241" si="6040">+X239*X242</f>
        <v>6329.75</v>
      </c>
      <c r="Y241" s="213">
        <f t="shared" ref="Y241" si="6041">+Y239*Y242</f>
        <v>6329.75</v>
      </c>
      <c r="Z241" s="234">
        <f>+V241+W241+X241+Y241</f>
        <v>25319</v>
      </c>
      <c r="AA241" s="213">
        <f>+AA239*AA242</f>
        <v>6519.6424999999999</v>
      </c>
      <c r="AB241" s="213">
        <f t="shared" ref="AB241" si="6042">+AB239*AB242</f>
        <v>6519.6424999999999</v>
      </c>
      <c r="AC241" s="213">
        <f t="shared" ref="AC241" si="6043">+AC239*AC242</f>
        <v>6519.6424999999999</v>
      </c>
      <c r="AD241" s="213">
        <f t="shared" ref="AD241" si="6044">+AD239*AD242</f>
        <v>6519.6424999999999</v>
      </c>
      <c r="AE241" s="234">
        <f>+AA241+AB241+AC241+AD241</f>
        <v>26078.57</v>
      </c>
      <c r="AF241" s="213">
        <f>+AF239*AF242</f>
        <v>6715.2317750000002</v>
      </c>
      <c r="AG241" s="213">
        <f t="shared" ref="AG241" si="6045">+AG239*AG242</f>
        <v>6715.2317750000002</v>
      </c>
      <c r="AH241" s="213">
        <f t="shared" ref="AH241" si="6046">+AH239*AH242</f>
        <v>6715.2317750000002</v>
      </c>
      <c r="AI241" s="213">
        <f t="shared" ref="AI241" si="6047">+AI239*AI242</f>
        <v>6715.2317750000002</v>
      </c>
      <c r="AJ241" s="234">
        <f>+AF241+AG241+AH241+AI241</f>
        <v>26860.927100000001</v>
      </c>
      <c r="AK241" s="213">
        <f>+AK239*AK242</f>
        <v>6916.6887282500011</v>
      </c>
      <c r="AL241" s="213">
        <f t="shared" ref="AL241" si="6048">+AL239*AL242</f>
        <v>6916.6887282500011</v>
      </c>
      <c r="AM241" s="213">
        <f t="shared" ref="AM241" si="6049">+AM239*AM242</f>
        <v>6916.6887282500011</v>
      </c>
      <c r="AN241" s="213">
        <f t="shared" ref="AN241" si="6050">+AN239*AN242</f>
        <v>6916.6887282500011</v>
      </c>
      <c r="AO241" s="234">
        <f>+AK241+AL241+AM241+AN241</f>
        <v>27666.754913000004</v>
      </c>
      <c r="AP241" s="213">
        <f>+AP239*AP242</f>
        <v>7124.189390097501</v>
      </c>
      <c r="AQ241" s="213">
        <f t="shared" ref="AQ241" si="6051">+AQ239*AQ242</f>
        <v>7124.189390097501</v>
      </c>
      <c r="AR241" s="213">
        <f t="shared" ref="AR241" si="6052">+AR239*AR242</f>
        <v>7124.189390097501</v>
      </c>
      <c r="AS241" s="213">
        <f t="shared" ref="AS241" si="6053">+AS239*AS242</f>
        <v>7124.189390097501</v>
      </c>
      <c r="AT241" s="234">
        <f>+AP241+AQ241+AR241+AS241</f>
        <v>28496.757560390004</v>
      </c>
      <c r="AU241" s="213">
        <f>+AU239*AU242</f>
        <v>7337.9150718004257</v>
      </c>
      <c r="AV241" s="213">
        <f t="shared" ref="AV241" si="6054">+AV239*AV242</f>
        <v>7337.9150718004257</v>
      </c>
      <c r="AW241" s="213">
        <f t="shared" ref="AW241" si="6055">+AW239*AW242</f>
        <v>7337.9150718004257</v>
      </c>
      <c r="AX241" s="213">
        <f t="shared" ref="AX241" si="6056">+AX239*AX242</f>
        <v>7337.9150718004257</v>
      </c>
      <c r="AY241" s="234">
        <f>+AU241+AV241+AW241+AX241</f>
        <v>29351.660287201703</v>
      </c>
      <c r="AZ241" s="213">
        <f>+AZ239*AZ242</f>
        <v>7558.0525239544386</v>
      </c>
      <c r="BA241" s="213">
        <f t="shared" ref="BA241" si="6057">+BA239*BA242</f>
        <v>7558.0525239544386</v>
      </c>
      <c r="BB241" s="213">
        <f t="shared" ref="BB241" si="6058">+BB239*BB242</f>
        <v>7558.0525239544386</v>
      </c>
      <c r="BC241" s="213">
        <f t="shared" ref="BC241" si="6059">+BC239*BC242</f>
        <v>7558.0525239544386</v>
      </c>
      <c r="BD241" s="234">
        <f>+AZ241+BA241+BB241+BC241</f>
        <v>30232.210095817754</v>
      </c>
      <c r="BE241" s="213">
        <f>+BE239*BE242</f>
        <v>7784.7940996730731</v>
      </c>
      <c r="BF241" s="213">
        <f t="shared" ref="BF241" si="6060">+BF239*BF242</f>
        <v>7784.7940996730731</v>
      </c>
      <c r="BG241" s="213">
        <f t="shared" ref="BG241" si="6061">+BG239*BG242</f>
        <v>7784.7940996730731</v>
      </c>
      <c r="BH241" s="213">
        <f t="shared" ref="BH241" si="6062">+BH239*BH242</f>
        <v>7784.7940996730731</v>
      </c>
      <c r="BI241" s="234">
        <f>+BE241+BF241+BG241+BH241</f>
        <v>31139.176398692292</v>
      </c>
      <c r="BJ241" s="213">
        <f>+BJ239*BJ242</f>
        <v>8018.3379226632642</v>
      </c>
      <c r="BK241" s="213">
        <f t="shared" ref="BK241" si="6063">+BK239*BK242</f>
        <v>8018.3379226632642</v>
      </c>
      <c r="BL241" s="213">
        <f t="shared" ref="BL241" si="6064">+BL239*BL242</f>
        <v>8018.3379226632642</v>
      </c>
      <c r="BM241" s="213">
        <f t="shared" ref="BM241" si="6065">+BM239*BM242</f>
        <v>8018.3379226632642</v>
      </c>
      <c r="BN241" s="234">
        <f>+BJ241+BK241+BL241+BM241</f>
        <v>32073.351690653057</v>
      </c>
      <c r="BO241" s="213">
        <f>+BO239*BO242</f>
        <v>8258.8880603431626</v>
      </c>
      <c r="BP241" s="213">
        <f t="shared" ref="BP241" si="6066">+BP239*BP242</f>
        <v>8258.8880603431626</v>
      </c>
      <c r="BQ241" s="213">
        <f t="shared" ref="BQ241" si="6067">+BQ239*BQ242</f>
        <v>8258.8880603431626</v>
      </c>
      <c r="BR241" s="213">
        <f t="shared" ref="BR241" si="6068">+BR239*BR242</f>
        <v>8258.8880603431626</v>
      </c>
      <c r="BS241" s="234">
        <f>+BO241+BP241+BQ241+BR241</f>
        <v>33035.55224137265</v>
      </c>
      <c r="BT241" s="213">
        <f>+BT239*BT242</f>
        <v>8506.654702153457</v>
      </c>
      <c r="BU241" s="213">
        <f t="shared" ref="BU241" si="6069">+BU239*BU242</f>
        <v>8506.654702153457</v>
      </c>
      <c r="BV241" s="213">
        <f t="shared" ref="BV241" si="6070">+BV239*BV242</f>
        <v>8506.654702153457</v>
      </c>
      <c r="BW241" s="213">
        <f t="shared" ref="BW241" si="6071">+BW239*BW242</f>
        <v>8506.654702153457</v>
      </c>
      <c r="BX241" s="234">
        <f>+BT241+BU241+BV241+BW241</f>
        <v>34026.618808613828</v>
      </c>
      <c r="BY241" s="213">
        <f>+BY239*BY242</f>
        <v>8761.8543432180613</v>
      </c>
      <c r="BZ241" s="213">
        <f t="shared" ref="BZ241" si="6072">+BZ239*BZ242</f>
        <v>8761.8543432180613</v>
      </c>
      <c r="CA241" s="213">
        <f t="shared" ref="CA241" si="6073">+CA239*CA242</f>
        <v>8761.8543432180613</v>
      </c>
      <c r="CB241" s="213">
        <f t="shared" ref="CB241" si="6074">+CB239*CB242</f>
        <v>8761.8543432180613</v>
      </c>
      <c r="CC241" s="234">
        <f>+BY241+BZ241+CA241+CB241</f>
        <v>35047.417372872245</v>
      </c>
      <c r="CD241" s="213">
        <f>+CD239*CD242</f>
        <v>9024.7099735146039</v>
      </c>
      <c r="CE241" s="213">
        <f t="shared" ref="CE241" si="6075">+CE239*CE242</f>
        <v>9024.7099735146039</v>
      </c>
      <c r="CF241" s="213">
        <f t="shared" ref="CF241" si="6076">+CF239*CF242</f>
        <v>9024.7099735146039</v>
      </c>
      <c r="CG241" s="213">
        <f t="shared" ref="CG241" si="6077">+CG239*CG242</f>
        <v>9024.7099735146039</v>
      </c>
      <c r="CH241" s="234">
        <f>+CD241+CE241+CF241+CG241</f>
        <v>36098.839894058416</v>
      </c>
      <c r="CI241" s="213">
        <f>+CI239*CI242</f>
        <v>9295.4512727200417</v>
      </c>
      <c r="CJ241" s="213">
        <f t="shared" ref="CJ241" si="6078">+CJ239*CJ242</f>
        <v>9295.4512727200417</v>
      </c>
      <c r="CK241" s="213">
        <f t="shared" ref="CK241" si="6079">+CK239*CK242</f>
        <v>9295.4512727200417</v>
      </c>
      <c r="CL241" s="213">
        <f t="shared" ref="CL241" si="6080">+CL239*CL242</f>
        <v>9295.4512727200417</v>
      </c>
      <c r="CM241" s="234">
        <f>+CI241+CJ241+CK241+CL241</f>
        <v>37181.805090880167</v>
      </c>
      <c r="CN241" s="213">
        <f>+CN239*CN242</f>
        <v>9574.3148109016438</v>
      </c>
      <c r="CO241" s="213">
        <f t="shared" ref="CO241" si="6081">+CO239*CO242</f>
        <v>9574.3148109016438</v>
      </c>
      <c r="CP241" s="213">
        <f t="shared" ref="CP241" si="6082">+CP239*CP242</f>
        <v>9574.3148109016438</v>
      </c>
      <c r="CQ241" s="213">
        <f t="shared" ref="CQ241" si="6083">+CQ239*CQ242</f>
        <v>9574.3148109016438</v>
      </c>
      <c r="CR241" s="234">
        <f>+CN241+CO241+CP241+CQ241</f>
        <v>38297.259243606575</v>
      </c>
      <c r="CS241" s="213">
        <f>+CS239*CS242</f>
        <v>9861.5442552286931</v>
      </c>
      <c r="CT241" s="213">
        <f t="shared" ref="CT241" si="6084">+CT239*CT242</f>
        <v>9861.5442552286931</v>
      </c>
      <c r="CU241" s="213">
        <f t="shared" ref="CU241" si="6085">+CU239*CU242</f>
        <v>9861.5442552286931</v>
      </c>
      <c r="CV241" s="213">
        <f t="shared" ref="CV241" si="6086">+CV239*CV242</f>
        <v>9861.5442552286931</v>
      </c>
      <c r="CW241" s="234">
        <f>+CS241+CT241+CU241+CV241</f>
        <v>39446.177020914773</v>
      </c>
      <c r="CX241" s="213">
        <f>+CX239*CX242</f>
        <v>10157.390582885553</v>
      </c>
      <c r="CY241" s="213">
        <f t="shared" ref="CY241" si="6087">+CY239*CY242</f>
        <v>10157.390582885553</v>
      </c>
      <c r="CZ241" s="213">
        <f t="shared" ref="CZ241" si="6088">+CZ239*CZ242</f>
        <v>10157.390582885553</v>
      </c>
      <c r="DA241" s="213">
        <f t="shared" ref="DA241" si="6089">+DA239*DA242</f>
        <v>10157.390582885553</v>
      </c>
      <c r="DB241" s="234">
        <f>+CX241+CY241+CZ241+DA241</f>
        <v>40629.562331542213</v>
      </c>
    </row>
    <row r="242" spans="1:106">
      <c r="A242" s="117" t="s">
        <v>311</v>
      </c>
      <c r="F242" s="217"/>
      <c r="K242" s="217"/>
      <c r="P242" s="217"/>
      <c r="U242" s="217"/>
      <c r="V242" s="120">
        <v>7</v>
      </c>
      <c r="W242" s="120">
        <v>7</v>
      </c>
      <c r="X242" s="120">
        <v>7</v>
      </c>
      <c r="Y242" s="120">
        <v>7</v>
      </c>
      <c r="Z242" s="250">
        <f>+Z241/Z239</f>
        <v>7</v>
      </c>
      <c r="AA242" s="120">
        <v>7</v>
      </c>
      <c r="AB242" s="120">
        <v>7</v>
      </c>
      <c r="AC242" s="120">
        <v>7</v>
      </c>
      <c r="AD242" s="120">
        <v>7</v>
      </c>
      <c r="AE242" s="250">
        <f>+AE241/AE239</f>
        <v>6.9999999999999991</v>
      </c>
      <c r="AF242" s="120">
        <v>7</v>
      </c>
      <c r="AG242" s="120">
        <v>7</v>
      </c>
      <c r="AH242" s="120">
        <v>7</v>
      </c>
      <c r="AI242" s="120">
        <v>7</v>
      </c>
      <c r="AJ242" s="250">
        <f>+AJ241/AJ239</f>
        <v>7</v>
      </c>
      <c r="AK242" s="120">
        <v>7</v>
      </c>
      <c r="AL242" s="120">
        <v>7</v>
      </c>
      <c r="AM242" s="120">
        <v>7</v>
      </c>
      <c r="AN242" s="120">
        <v>7</v>
      </c>
      <c r="AO242" s="250">
        <f>+AO241/AO239</f>
        <v>7</v>
      </c>
      <c r="AP242" s="120">
        <v>7</v>
      </c>
      <c r="AQ242" s="120">
        <v>7</v>
      </c>
      <c r="AR242" s="120">
        <v>7</v>
      </c>
      <c r="AS242" s="120">
        <v>7</v>
      </c>
      <c r="AT242" s="250">
        <f>+AT241/AT239</f>
        <v>7</v>
      </c>
      <c r="AU242" s="120">
        <v>7</v>
      </c>
      <c r="AV242" s="120">
        <v>7</v>
      </c>
      <c r="AW242" s="120">
        <v>7</v>
      </c>
      <c r="AX242" s="120">
        <v>7</v>
      </c>
      <c r="AY242" s="250">
        <f>+AY241/AY239</f>
        <v>7</v>
      </c>
      <c r="AZ242" s="120">
        <v>7</v>
      </c>
      <c r="BA242" s="120">
        <v>7</v>
      </c>
      <c r="BB242" s="120">
        <v>7</v>
      </c>
      <c r="BC242" s="120">
        <v>7</v>
      </c>
      <c r="BD242" s="250">
        <f>+BD241/BD239</f>
        <v>7</v>
      </c>
      <c r="BE242" s="120">
        <v>7</v>
      </c>
      <c r="BF242" s="120">
        <v>7</v>
      </c>
      <c r="BG242" s="120">
        <v>7</v>
      </c>
      <c r="BH242" s="120">
        <v>7</v>
      </c>
      <c r="BI242" s="250">
        <f>+BI241/BI239</f>
        <v>7</v>
      </c>
      <c r="BJ242" s="120">
        <v>7</v>
      </c>
      <c r="BK242" s="120">
        <v>7</v>
      </c>
      <c r="BL242" s="120">
        <v>7</v>
      </c>
      <c r="BM242" s="120">
        <v>7</v>
      </c>
      <c r="BN242" s="250">
        <f>+BN241/BN239</f>
        <v>7</v>
      </c>
      <c r="BO242" s="120">
        <v>7</v>
      </c>
      <c r="BP242" s="120">
        <v>7</v>
      </c>
      <c r="BQ242" s="120">
        <v>7</v>
      </c>
      <c r="BR242" s="120">
        <v>7</v>
      </c>
      <c r="BS242" s="250">
        <f>+BS241/BS239</f>
        <v>7</v>
      </c>
      <c r="BT242" s="120">
        <v>7</v>
      </c>
      <c r="BU242" s="120">
        <v>7</v>
      </c>
      <c r="BV242" s="120">
        <v>7</v>
      </c>
      <c r="BW242" s="120">
        <v>7</v>
      </c>
      <c r="BX242" s="250">
        <f>+BX241/BX239</f>
        <v>7</v>
      </c>
      <c r="BY242" s="120">
        <v>7</v>
      </c>
      <c r="BZ242" s="120">
        <v>7</v>
      </c>
      <c r="CA242" s="120">
        <v>7</v>
      </c>
      <c r="CB242" s="120">
        <v>7</v>
      </c>
      <c r="CC242" s="250">
        <f>+CC241/CC239</f>
        <v>6.9999999999999991</v>
      </c>
      <c r="CD242" s="120">
        <v>7</v>
      </c>
      <c r="CE242" s="120">
        <v>7</v>
      </c>
      <c r="CF242" s="120">
        <v>7</v>
      </c>
      <c r="CG242" s="120">
        <v>7</v>
      </c>
      <c r="CH242" s="250">
        <f>+CH241/CH239</f>
        <v>7</v>
      </c>
      <c r="CI242" s="120">
        <v>7</v>
      </c>
      <c r="CJ242" s="120">
        <v>7</v>
      </c>
      <c r="CK242" s="120">
        <v>7</v>
      </c>
      <c r="CL242" s="120">
        <v>7</v>
      </c>
      <c r="CM242" s="250">
        <f>+CM241/CM239</f>
        <v>7</v>
      </c>
      <c r="CN242" s="120">
        <v>7</v>
      </c>
      <c r="CO242" s="120">
        <v>7</v>
      </c>
      <c r="CP242" s="120">
        <v>7</v>
      </c>
      <c r="CQ242" s="120">
        <v>7</v>
      </c>
      <c r="CR242" s="250">
        <f>+CR241/CR239</f>
        <v>7</v>
      </c>
      <c r="CS242" s="120">
        <v>7</v>
      </c>
      <c r="CT242" s="120">
        <v>7</v>
      </c>
      <c r="CU242" s="120">
        <v>7</v>
      </c>
      <c r="CV242" s="120">
        <v>7</v>
      </c>
      <c r="CW242" s="250">
        <f>+CW241/CW239</f>
        <v>7</v>
      </c>
      <c r="CX242" s="120">
        <v>7</v>
      </c>
      <c r="CY242" s="120">
        <v>7</v>
      </c>
      <c r="CZ242" s="120">
        <v>7</v>
      </c>
      <c r="DA242" s="120">
        <v>7</v>
      </c>
      <c r="DB242" s="250">
        <f>+DB241/DB239</f>
        <v>6.9999999999999991</v>
      </c>
    </row>
    <row r="243" spans="1:106">
      <c r="F243" s="217"/>
      <c r="K243" s="217"/>
      <c r="P243" s="217"/>
      <c r="U243" s="217"/>
      <c r="Z243" s="217"/>
      <c r="AE243" s="217"/>
      <c r="AJ243" s="217"/>
      <c r="AO243" s="217"/>
      <c r="AT243" s="217"/>
      <c r="AY243" s="217"/>
      <c r="BD243" s="217"/>
      <c r="BI243" s="217"/>
      <c r="BN243" s="217"/>
      <c r="BS243" s="217"/>
      <c r="BX243" s="217"/>
      <c r="CC243" s="217"/>
      <c r="CH243" s="217"/>
      <c r="CM243" s="217"/>
      <c r="CR243" s="217"/>
      <c r="CW243" s="217"/>
      <c r="DB243" s="217"/>
    </row>
    <row r="244" spans="1:106" s="51" customFormat="1">
      <c r="A244" s="51" t="s">
        <v>319</v>
      </c>
      <c r="F244" s="233"/>
      <c r="K244" s="233"/>
      <c r="P244" s="233"/>
      <c r="U244" s="233"/>
      <c r="V244" s="213">
        <f>+Z244/4</f>
        <v>9362.5</v>
      </c>
      <c r="W244" s="213">
        <f>+Z244/4</f>
        <v>9362.5</v>
      </c>
      <c r="X244" s="213">
        <f>+Z244/4</f>
        <v>9362.5</v>
      </c>
      <c r="Y244" s="213">
        <f>+Z244/4</f>
        <v>9362.5</v>
      </c>
      <c r="Z244" s="234">
        <v>37450</v>
      </c>
      <c r="AA244" s="213">
        <f>+V244*(1+AA245)</f>
        <v>9643.375</v>
      </c>
      <c r="AB244" s="213">
        <f t="shared" ref="AB244" si="6090">+W244*(1+AB245)</f>
        <v>9643.375</v>
      </c>
      <c r="AC244" s="213">
        <f t="shared" ref="AC244" si="6091">+X244*(1+AC245)</f>
        <v>9643.375</v>
      </c>
      <c r="AD244" s="213">
        <f t="shared" ref="AD244" si="6092">+Y244*(1+AD245)</f>
        <v>9643.375</v>
      </c>
      <c r="AE244" s="234">
        <f>+AA244+AB244+AC244+AD244</f>
        <v>38573.5</v>
      </c>
      <c r="AF244" s="213">
        <f>+AA244*(1+AF245)</f>
        <v>9932.6762500000004</v>
      </c>
      <c r="AG244" s="213">
        <f t="shared" ref="AG244" si="6093">+AB244*(1+AG245)</f>
        <v>9932.6762500000004</v>
      </c>
      <c r="AH244" s="213">
        <f t="shared" ref="AH244" si="6094">+AC244*(1+AH245)</f>
        <v>9932.6762500000004</v>
      </c>
      <c r="AI244" s="213">
        <f t="shared" ref="AI244" si="6095">+AD244*(1+AI245)</f>
        <v>9932.6762500000004</v>
      </c>
      <c r="AJ244" s="234">
        <f>+AF244+AG244+AH244+AI244</f>
        <v>39730.705000000002</v>
      </c>
      <c r="AK244" s="213">
        <f>+AF244*(1+AK245)</f>
        <v>10230.656537500001</v>
      </c>
      <c r="AL244" s="213">
        <f t="shared" ref="AL244" si="6096">+AG244*(1+AL245)</f>
        <v>10230.656537500001</v>
      </c>
      <c r="AM244" s="213">
        <f t="shared" ref="AM244" si="6097">+AH244*(1+AM245)</f>
        <v>10230.656537500001</v>
      </c>
      <c r="AN244" s="213">
        <f t="shared" ref="AN244" si="6098">+AI244*(1+AN245)</f>
        <v>10230.656537500001</v>
      </c>
      <c r="AO244" s="234">
        <f>+AK244+AL244+AM244+AN244</f>
        <v>40922.626150000004</v>
      </c>
      <c r="AP244" s="213">
        <f>+AK244*(1+AP245)</f>
        <v>10537.576233625001</v>
      </c>
      <c r="AQ244" s="213">
        <f t="shared" ref="AQ244" si="6099">+AL244*(1+AQ245)</f>
        <v>10537.576233625001</v>
      </c>
      <c r="AR244" s="213">
        <f t="shared" ref="AR244" si="6100">+AM244*(1+AR245)</f>
        <v>10537.576233625001</v>
      </c>
      <c r="AS244" s="213">
        <f t="shared" ref="AS244" si="6101">+AN244*(1+AS245)</f>
        <v>10537.576233625001</v>
      </c>
      <c r="AT244" s="234">
        <f>+AP244+AQ244+AR244+AS244</f>
        <v>42150.304934500004</v>
      </c>
      <c r="AU244" s="213">
        <f>+AP244*(1+AU245)</f>
        <v>10853.703520633751</v>
      </c>
      <c r="AV244" s="213">
        <f t="shared" ref="AV244" si="6102">+AQ244*(1+AV245)</f>
        <v>10853.703520633751</v>
      </c>
      <c r="AW244" s="213">
        <f t="shared" ref="AW244" si="6103">+AR244*(1+AW245)</f>
        <v>10853.703520633751</v>
      </c>
      <c r="AX244" s="213">
        <f t="shared" ref="AX244" si="6104">+AS244*(1+AX245)</f>
        <v>10853.703520633751</v>
      </c>
      <c r="AY244" s="234">
        <f>+AU244+AV244+AW244+AX244</f>
        <v>43414.814082535006</v>
      </c>
      <c r="AZ244" s="213">
        <f>+AU244*(1+AZ245)</f>
        <v>11179.314626252764</v>
      </c>
      <c r="BA244" s="213">
        <f t="shared" ref="BA244" si="6105">+AV244*(1+BA245)</f>
        <v>11179.314626252764</v>
      </c>
      <c r="BB244" s="213">
        <f t="shared" ref="BB244" si="6106">+AW244*(1+BB245)</f>
        <v>11179.314626252764</v>
      </c>
      <c r="BC244" s="213">
        <f t="shared" ref="BC244" si="6107">+AX244*(1+BC245)</f>
        <v>11179.314626252764</v>
      </c>
      <c r="BD244" s="234">
        <f>+AZ244+BA244+BB244+BC244</f>
        <v>44717.258505011057</v>
      </c>
      <c r="BE244" s="213">
        <f>+AZ244*(1+BE245)</f>
        <v>11514.694065040347</v>
      </c>
      <c r="BF244" s="213">
        <f t="shared" ref="BF244" si="6108">+BA244*(1+BF245)</f>
        <v>11514.694065040347</v>
      </c>
      <c r="BG244" s="213">
        <f t="shared" ref="BG244" si="6109">+BB244*(1+BG245)</f>
        <v>11514.694065040347</v>
      </c>
      <c r="BH244" s="213">
        <f t="shared" ref="BH244" si="6110">+BC244*(1+BH245)</f>
        <v>11514.694065040347</v>
      </c>
      <c r="BI244" s="234">
        <f>+BE244+BF244+BG244+BH244</f>
        <v>46058.776260161387</v>
      </c>
      <c r="BJ244" s="213">
        <f>+BE244*(1+BJ245)</f>
        <v>11860.134886991558</v>
      </c>
      <c r="BK244" s="213">
        <f t="shared" ref="BK244" si="6111">+BF244*(1+BK245)</f>
        <v>11860.134886991558</v>
      </c>
      <c r="BL244" s="213">
        <f t="shared" ref="BL244" si="6112">+BG244*(1+BL245)</f>
        <v>11860.134886991558</v>
      </c>
      <c r="BM244" s="213">
        <f t="shared" ref="BM244" si="6113">+BH244*(1+BM245)</f>
        <v>11860.134886991558</v>
      </c>
      <c r="BN244" s="234">
        <f>+BJ244+BK244+BL244+BM244</f>
        <v>47440.539547966233</v>
      </c>
      <c r="BO244" s="213">
        <f>+BJ244*(1+BO245)</f>
        <v>12215.938933601305</v>
      </c>
      <c r="BP244" s="213">
        <f t="shared" ref="BP244" si="6114">+BK244*(1+BP245)</f>
        <v>12215.938933601305</v>
      </c>
      <c r="BQ244" s="213">
        <f t="shared" ref="BQ244" si="6115">+BL244*(1+BQ245)</f>
        <v>12215.938933601305</v>
      </c>
      <c r="BR244" s="213">
        <f t="shared" ref="BR244" si="6116">+BM244*(1+BR245)</f>
        <v>12215.938933601305</v>
      </c>
      <c r="BS244" s="234">
        <f>+BO244+BP244+BQ244+BR244</f>
        <v>48863.755734405218</v>
      </c>
      <c r="BT244" s="213">
        <f>+BO244*(1+BT245)</f>
        <v>12582.417101609344</v>
      </c>
      <c r="BU244" s="213">
        <f t="shared" ref="BU244" si="6117">+BP244*(1+BU245)</f>
        <v>12582.417101609344</v>
      </c>
      <c r="BV244" s="213">
        <f t="shared" ref="BV244" si="6118">+BQ244*(1+BV245)</f>
        <v>12582.417101609344</v>
      </c>
      <c r="BW244" s="213">
        <f t="shared" ref="BW244" si="6119">+BR244*(1+BW245)</f>
        <v>12582.417101609344</v>
      </c>
      <c r="BX244" s="234">
        <f>+BT244+BU244+BV244+BW244</f>
        <v>50329.668406437377</v>
      </c>
      <c r="BY244" s="213">
        <f>+BT244*(1+BY245)</f>
        <v>12959.889614657624</v>
      </c>
      <c r="BZ244" s="213">
        <f t="shared" ref="BZ244" si="6120">+BU244*(1+BZ245)</f>
        <v>12959.889614657624</v>
      </c>
      <c r="CA244" s="213">
        <f t="shared" ref="CA244" si="6121">+BV244*(1+CA245)</f>
        <v>12959.889614657624</v>
      </c>
      <c r="CB244" s="213">
        <f t="shared" ref="CB244" si="6122">+BW244*(1+CB245)</f>
        <v>12959.889614657624</v>
      </c>
      <c r="CC244" s="234">
        <f>+BY244+BZ244+CA244+CB244</f>
        <v>51839.558458630498</v>
      </c>
      <c r="CD244" s="213">
        <f>+BY244*(1+CD245)</f>
        <v>13348.686303097353</v>
      </c>
      <c r="CE244" s="213">
        <f t="shared" ref="CE244" si="6123">+BZ244*(1+CE245)</f>
        <v>13348.686303097353</v>
      </c>
      <c r="CF244" s="213">
        <f t="shared" ref="CF244" si="6124">+CA244*(1+CF245)</f>
        <v>13348.686303097353</v>
      </c>
      <c r="CG244" s="213">
        <f t="shared" ref="CG244" si="6125">+CB244*(1+CG245)</f>
        <v>13348.686303097353</v>
      </c>
      <c r="CH244" s="234">
        <f>+CD244+CE244+CF244+CG244</f>
        <v>53394.745212389411</v>
      </c>
      <c r="CI244" s="213">
        <f>+CD244*(1+CI245)</f>
        <v>13749.146892190274</v>
      </c>
      <c r="CJ244" s="213">
        <f t="shared" ref="CJ244" si="6126">+CE244*(1+CJ245)</f>
        <v>13749.146892190274</v>
      </c>
      <c r="CK244" s="213">
        <f t="shared" ref="CK244" si="6127">+CF244*(1+CK245)</f>
        <v>13749.146892190274</v>
      </c>
      <c r="CL244" s="213">
        <f t="shared" ref="CL244" si="6128">+CG244*(1+CL245)</f>
        <v>13749.146892190274</v>
      </c>
      <c r="CM244" s="234">
        <f>+CI244+CJ244+CK244+CL244</f>
        <v>54996.587568761097</v>
      </c>
      <c r="CN244" s="213">
        <f>+CI244*(1+CN245)</f>
        <v>14161.621298955983</v>
      </c>
      <c r="CO244" s="213">
        <f t="shared" ref="CO244" si="6129">+CJ244*(1+CO245)</f>
        <v>14161.621298955983</v>
      </c>
      <c r="CP244" s="213">
        <f t="shared" ref="CP244" si="6130">+CK244*(1+CP245)</f>
        <v>14161.621298955983</v>
      </c>
      <c r="CQ244" s="213">
        <f t="shared" ref="CQ244" si="6131">+CL244*(1+CQ245)</f>
        <v>14161.621298955983</v>
      </c>
      <c r="CR244" s="234">
        <f>+CN244+CO244+CP244+CQ244</f>
        <v>56646.485195823931</v>
      </c>
      <c r="CS244" s="213">
        <f>+CN244*(1+CS245)</f>
        <v>14586.469937924663</v>
      </c>
      <c r="CT244" s="213">
        <f t="shared" ref="CT244" si="6132">+CO244*(1+CT245)</f>
        <v>14586.469937924663</v>
      </c>
      <c r="CU244" s="213">
        <f t="shared" ref="CU244" si="6133">+CP244*(1+CU245)</f>
        <v>14586.469937924663</v>
      </c>
      <c r="CV244" s="213">
        <f t="shared" ref="CV244" si="6134">+CQ244*(1+CV245)</f>
        <v>14586.469937924663</v>
      </c>
      <c r="CW244" s="234">
        <f>+CS244+CT244+CU244+CV244</f>
        <v>58345.879751698652</v>
      </c>
      <c r="CX244" s="213">
        <f>+CS244*(1+CX245)</f>
        <v>15024.064036062404</v>
      </c>
      <c r="CY244" s="213">
        <f t="shared" ref="CY244" si="6135">+CT244*(1+CY245)</f>
        <v>15024.064036062404</v>
      </c>
      <c r="CZ244" s="213">
        <f t="shared" ref="CZ244" si="6136">+CU244*(1+CZ245)</f>
        <v>15024.064036062404</v>
      </c>
      <c r="DA244" s="213">
        <f t="shared" ref="DA244" si="6137">+CV244*(1+DA245)</f>
        <v>15024.064036062404</v>
      </c>
      <c r="DB244" s="234">
        <f>+CX244+CY244+CZ244+DA244</f>
        <v>60096.256144249615</v>
      </c>
    </row>
    <row r="245" spans="1:106">
      <c r="A245" s="117" t="s">
        <v>281</v>
      </c>
      <c r="F245" s="217"/>
      <c r="K245" s="217"/>
      <c r="P245" s="217"/>
      <c r="U245" s="217"/>
      <c r="V245" s="119" t="s">
        <v>326</v>
      </c>
      <c r="W245" s="119" t="s">
        <v>326</v>
      </c>
      <c r="X245" s="119" t="s">
        <v>326</v>
      </c>
      <c r="Y245" s="119" t="s">
        <v>326</v>
      </c>
      <c r="Z245" s="235" t="s">
        <v>326</v>
      </c>
      <c r="AA245" s="118">
        <v>0.03</v>
      </c>
      <c r="AB245" s="118">
        <v>0.03</v>
      </c>
      <c r="AC245" s="118">
        <v>0.03</v>
      </c>
      <c r="AD245" s="118">
        <v>0.03</v>
      </c>
      <c r="AE245" s="239">
        <f>+AE244/Z244-1</f>
        <v>3.0000000000000027E-2</v>
      </c>
      <c r="AF245" s="118">
        <v>0.03</v>
      </c>
      <c r="AG245" s="118">
        <v>0.03</v>
      </c>
      <c r="AH245" s="118">
        <v>0.03</v>
      </c>
      <c r="AI245" s="118">
        <v>0.03</v>
      </c>
      <c r="AJ245" s="239">
        <f>+AJ244/AE244-1</f>
        <v>3.0000000000000027E-2</v>
      </c>
      <c r="AK245" s="118">
        <v>0.03</v>
      </c>
      <c r="AL245" s="118">
        <v>0.03</v>
      </c>
      <c r="AM245" s="118">
        <v>0.03</v>
      </c>
      <c r="AN245" s="118">
        <v>0.03</v>
      </c>
      <c r="AO245" s="239">
        <f>+AO244/AJ244-1</f>
        <v>3.0000000000000027E-2</v>
      </c>
      <c r="AP245" s="118">
        <v>0.03</v>
      </c>
      <c r="AQ245" s="118">
        <v>0.03</v>
      </c>
      <c r="AR245" s="118">
        <v>0.03</v>
      </c>
      <c r="AS245" s="118">
        <v>0.03</v>
      </c>
      <c r="AT245" s="239">
        <f>+AT244/AO244-1</f>
        <v>3.0000000000000027E-2</v>
      </c>
      <c r="AU245" s="118">
        <v>0.03</v>
      </c>
      <c r="AV245" s="118">
        <v>0.03</v>
      </c>
      <c r="AW245" s="118">
        <v>0.03</v>
      </c>
      <c r="AX245" s="118">
        <v>0.03</v>
      </c>
      <c r="AY245" s="239">
        <f>+AY244/AT244-1</f>
        <v>3.0000000000000027E-2</v>
      </c>
      <c r="AZ245" s="118">
        <v>0.03</v>
      </c>
      <c r="BA245" s="118">
        <v>0.03</v>
      </c>
      <c r="BB245" s="118">
        <v>0.03</v>
      </c>
      <c r="BC245" s="118">
        <v>0.03</v>
      </c>
      <c r="BD245" s="239">
        <f>+BD244/AY244-1</f>
        <v>3.0000000000000027E-2</v>
      </c>
      <c r="BE245" s="118">
        <v>0.03</v>
      </c>
      <c r="BF245" s="118">
        <v>0.03</v>
      </c>
      <c r="BG245" s="118">
        <v>0.03</v>
      </c>
      <c r="BH245" s="118">
        <v>0.03</v>
      </c>
      <c r="BI245" s="239">
        <f>+BI244/BD244-1</f>
        <v>3.0000000000000027E-2</v>
      </c>
      <c r="BJ245" s="118">
        <v>0.03</v>
      </c>
      <c r="BK245" s="118">
        <v>0.03</v>
      </c>
      <c r="BL245" s="118">
        <v>0.03</v>
      </c>
      <c r="BM245" s="118">
        <v>0.03</v>
      </c>
      <c r="BN245" s="239">
        <f>+BN244/BI244-1</f>
        <v>3.0000000000000027E-2</v>
      </c>
      <c r="BO245" s="118">
        <v>0.03</v>
      </c>
      <c r="BP245" s="118">
        <v>0.03</v>
      </c>
      <c r="BQ245" s="118">
        <v>0.03</v>
      </c>
      <c r="BR245" s="118">
        <v>0.03</v>
      </c>
      <c r="BS245" s="239">
        <f>+BS244/BN244-1</f>
        <v>3.0000000000000027E-2</v>
      </c>
      <c r="BT245" s="118">
        <v>0.03</v>
      </c>
      <c r="BU245" s="118">
        <v>0.03</v>
      </c>
      <c r="BV245" s="118">
        <v>0.03</v>
      </c>
      <c r="BW245" s="118">
        <v>0.03</v>
      </c>
      <c r="BX245" s="239">
        <f>+BX244/BS244-1</f>
        <v>3.0000000000000027E-2</v>
      </c>
      <c r="BY245" s="118">
        <v>0.03</v>
      </c>
      <c r="BZ245" s="118">
        <v>0.03</v>
      </c>
      <c r="CA245" s="118">
        <v>0.03</v>
      </c>
      <c r="CB245" s="118">
        <v>0.03</v>
      </c>
      <c r="CC245" s="239">
        <f>+CC244/BX244-1</f>
        <v>3.0000000000000027E-2</v>
      </c>
      <c r="CD245" s="118">
        <v>0.03</v>
      </c>
      <c r="CE245" s="118">
        <v>0.03</v>
      </c>
      <c r="CF245" s="118">
        <v>0.03</v>
      </c>
      <c r="CG245" s="118">
        <v>0.03</v>
      </c>
      <c r="CH245" s="239">
        <f>+CH244/CC244-1</f>
        <v>3.0000000000000027E-2</v>
      </c>
      <c r="CI245" s="118">
        <v>0.03</v>
      </c>
      <c r="CJ245" s="118">
        <v>0.03</v>
      </c>
      <c r="CK245" s="118">
        <v>0.03</v>
      </c>
      <c r="CL245" s="118">
        <v>0.03</v>
      </c>
      <c r="CM245" s="239">
        <f>+CM244/CH244-1</f>
        <v>3.0000000000000027E-2</v>
      </c>
      <c r="CN245" s="118">
        <v>0.03</v>
      </c>
      <c r="CO245" s="118">
        <v>0.03</v>
      </c>
      <c r="CP245" s="118">
        <v>0.03</v>
      </c>
      <c r="CQ245" s="118">
        <v>0.03</v>
      </c>
      <c r="CR245" s="239">
        <f>+CR244/CM244-1</f>
        <v>3.0000000000000027E-2</v>
      </c>
      <c r="CS245" s="118">
        <v>0.03</v>
      </c>
      <c r="CT245" s="118">
        <v>0.03</v>
      </c>
      <c r="CU245" s="118">
        <v>0.03</v>
      </c>
      <c r="CV245" s="118">
        <v>0.03</v>
      </c>
      <c r="CW245" s="239">
        <f>+CW244/CR244-1</f>
        <v>3.0000000000000027E-2</v>
      </c>
      <c r="CX245" s="118">
        <v>0.03</v>
      </c>
      <c r="CY245" s="118">
        <v>0.03</v>
      </c>
      <c r="CZ245" s="118">
        <v>0.03</v>
      </c>
      <c r="DA245" s="118">
        <v>0.03</v>
      </c>
      <c r="DB245" s="239">
        <f>+DB244/CW244-1</f>
        <v>3.0000000000000027E-2</v>
      </c>
    </row>
    <row r="246" spans="1:106" s="51" customFormat="1">
      <c r="A246" s="51" t="s">
        <v>313</v>
      </c>
      <c r="F246" s="233"/>
      <c r="K246" s="233"/>
      <c r="P246" s="233"/>
      <c r="U246" s="233"/>
      <c r="V246" s="213">
        <f>+V244*V247</f>
        <v>37450</v>
      </c>
      <c r="W246" s="213">
        <f t="shared" ref="W246" si="6138">+W244*W247</f>
        <v>37450</v>
      </c>
      <c r="X246" s="213">
        <f t="shared" ref="X246" si="6139">+X244*X247</f>
        <v>37450</v>
      </c>
      <c r="Y246" s="213">
        <f t="shared" ref="Y246" si="6140">+Y244*Y247</f>
        <v>37450</v>
      </c>
      <c r="Z246" s="234">
        <f>+V246+W246+X246+Y246</f>
        <v>149800</v>
      </c>
      <c r="AA246" s="213">
        <f>+AA244*AA247</f>
        <v>38573.5</v>
      </c>
      <c r="AB246" s="213">
        <f t="shared" ref="AB246" si="6141">+AB244*AB247</f>
        <v>38573.5</v>
      </c>
      <c r="AC246" s="213">
        <f t="shared" ref="AC246" si="6142">+AC244*AC247</f>
        <v>38573.5</v>
      </c>
      <c r="AD246" s="213">
        <f t="shared" ref="AD246" si="6143">+AD244*AD247</f>
        <v>38573.5</v>
      </c>
      <c r="AE246" s="234">
        <f>+AA246+AB246+AC246+AD246</f>
        <v>154294</v>
      </c>
      <c r="AF246" s="213">
        <f>+AF244*AF247</f>
        <v>39730.705000000002</v>
      </c>
      <c r="AG246" s="213">
        <f t="shared" ref="AG246" si="6144">+AG244*AG247</f>
        <v>39730.705000000002</v>
      </c>
      <c r="AH246" s="213">
        <f t="shared" ref="AH246" si="6145">+AH244*AH247</f>
        <v>39730.705000000002</v>
      </c>
      <c r="AI246" s="213">
        <f t="shared" ref="AI246" si="6146">+AI244*AI247</f>
        <v>39730.705000000002</v>
      </c>
      <c r="AJ246" s="234">
        <f>+AF246+AG246+AH246+AI246</f>
        <v>158922.82</v>
      </c>
      <c r="AK246" s="213">
        <f>+AK244*AK247</f>
        <v>40922.626150000004</v>
      </c>
      <c r="AL246" s="213">
        <f t="shared" ref="AL246" si="6147">+AL244*AL247</f>
        <v>40922.626150000004</v>
      </c>
      <c r="AM246" s="213">
        <f t="shared" ref="AM246" si="6148">+AM244*AM247</f>
        <v>40922.626150000004</v>
      </c>
      <c r="AN246" s="213">
        <f t="shared" ref="AN246" si="6149">+AN244*AN247</f>
        <v>40922.626150000004</v>
      </c>
      <c r="AO246" s="234">
        <f>+AK246+AL246+AM246+AN246</f>
        <v>163690.50460000001</v>
      </c>
      <c r="AP246" s="213">
        <f>+AP244*AP247</f>
        <v>42150.304934500004</v>
      </c>
      <c r="AQ246" s="213">
        <f t="shared" ref="AQ246" si="6150">+AQ244*AQ247</f>
        <v>42150.304934500004</v>
      </c>
      <c r="AR246" s="213">
        <f t="shared" ref="AR246" si="6151">+AR244*AR247</f>
        <v>42150.304934500004</v>
      </c>
      <c r="AS246" s="213">
        <f t="shared" ref="AS246" si="6152">+AS244*AS247</f>
        <v>42150.304934500004</v>
      </c>
      <c r="AT246" s="234">
        <f>+AP246+AQ246+AR246+AS246</f>
        <v>168601.21973800001</v>
      </c>
      <c r="AU246" s="213">
        <f>+AU244*AU247</f>
        <v>43414.814082535006</v>
      </c>
      <c r="AV246" s="213">
        <f t="shared" ref="AV246" si="6153">+AV244*AV247</f>
        <v>43414.814082535006</v>
      </c>
      <c r="AW246" s="213">
        <f t="shared" ref="AW246" si="6154">+AW244*AW247</f>
        <v>43414.814082535006</v>
      </c>
      <c r="AX246" s="213">
        <f t="shared" ref="AX246" si="6155">+AX244*AX247</f>
        <v>43414.814082535006</v>
      </c>
      <c r="AY246" s="234">
        <f>+AU246+AV246+AW246+AX246</f>
        <v>173659.25633014002</v>
      </c>
      <c r="AZ246" s="213">
        <f>+AZ244*AZ247</f>
        <v>44717.258505011057</v>
      </c>
      <c r="BA246" s="213">
        <f t="shared" ref="BA246" si="6156">+BA244*BA247</f>
        <v>44717.258505011057</v>
      </c>
      <c r="BB246" s="213">
        <f t="shared" ref="BB246" si="6157">+BB244*BB247</f>
        <v>44717.258505011057</v>
      </c>
      <c r="BC246" s="213">
        <f t="shared" ref="BC246" si="6158">+BC244*BC247</f>
        <v>44717.258505011057</v>
      </c>
      <c r="BD246" s="234">
        <f>+AZ246+BA246+BB246+BC246</f>
        <v>178869.03402004423</v>
      </c>
      <c r="BE246" s="213">
        <f>+BE244*BE247</f>
        <v>46058.776260161387</v>
      </c>
      <c r="BF246" s="213">
        <f t="shared" ref="BF246" si="6159">+BF244*BF247</f>
        <v>46058.776260161387</v>
      </c>
      <c r="BG246" s="213">
        <f t="shared" ref="BG246" si="6160">+BG244*BG247</f>
        <v>46058.776260161387</v>
      </c>
      <c r="BH246" s="213">
        <f t="shared" ref="BH246" si="6161">+BH244*BH247</f>
        <v>46058.776260161387</v>
      </c>
      <c r="BI246" s="234">
        <f>+BE246+BF246+BG246+BH246</f>
        <v>184235.10504064555</v>
      </c>
      <c r="BJ246" s="213">
        <f>+BJ244*BJ247</f>
        <v>47440.539547966233</v>
      </c>
      <c r="BK246" s="213">
        <f t="shared" ref="BK246" si="6162">+BK244*BK247</f>
        <v>47440.539547966233</v>
      </c>
      <c r="BL246" s="213">
        <f t="shared" ref="BL246" si="6163">+BL244*BL247</f>
        <v>47440.539547966233</v>
      </c>
      <c r="BM246" s="213">
        <f t="shared" ref="BM246" si="6164">+BM244*BM247</f>
        <v>47440.539547966233</v>
      </c>
      <c r="BN246" s="234">
        <f>+BJ246+BK246+BL246+BM246</f>
        <v>189762.15819186493</v>
      </c>
      <c r="BO246" s="213">
        <f>+BO244*BO247</f>
        <v>48863.755734405218</v>
      </c>
      <c r="BP246" s="213">
        <f t="shared" ref="BP246" si="6165">+BP244*BP247</f>
        <v>48863.755734405218</v>
      </c>
      <c r="BQ246" s="213">
        <f t="shared" ref="BQ246" si="6166">+BQ244*BQ247</f>
        <v>48863.755734405218</v>
      </c>
      <c r="BR246" s="213">
        <f t="shared" ref="BR246" si="6167">+BR244*BR247</f>
        <v>48863.755734405218</v>
      </c>
      <c r="BS246" s="234">
        <f>+BO246+BP246+BQ246+BR246</f>
        <v>195455.02293762087</v>
      </c>
      <c r="BT246" s="213">
        <f>+BT244*BT247</f>
        <v>50329.668406437377</v>
      </c>
      <c r="BU246" s="213">
        <f t="shared" ref="BU246" si="6168">+BU244*BU247</f>
        <v>50329.668406437377</v>
      </c>
      <c r="BV246" s="213">
        <f t="shared" ref="BV246" si="6169">+BV244*BV247</f>
        <v>50329.668406437377</v>
      </c>
      <c r="BW246" s="213">
        <f t="shared" ref="BW246" si="6170">+BW244*BW247</f>
        <v>50329.668406437377</v>
      </c>
      <c r="BX246" s="234">
        <f>+BT246+BU246+BV246+BW246</f>
        <v>201318.67362574951</v>
      </c>
      <c r="BY246" s="213">
        <f>+BY244*BY247</f>
        <v>51839.558458630498</v>
      </c>
      <c r="BZ246" s="213">
        <f t="shared" ref="BZ246" si="6171">+BZ244*BZ247</f>
        <v>51839.558458630498</v>
      </c>
      <c r="CA246" s="213">
        <f t="shared" ref="CA246" si="6172">+CA244*CA247</f>
        <v>51839.558458630498</v>
      </c>
      <c r="CB246" s="213">
        <f t="shared" ref="CB246" si="6173">+CB244*CB247</f>
        <v>51839.558458630498</v>
      </c>
      <c r="CC246" s="234">
        <f>+BY246+BZ246+CA246+CB246</f>
        <v>207358.23383452199</v>
      </c>
      <c r="CD246" s="213">
        <f>+CD244*CD247</f>
        <v>53394.745212389411</v>
      </c>
      <c r="CE246" s="213">
        <f t="shared" ref="CE246" si="6174">+CE244*CE247</f>
        <v>53394.745212389411</v>
      </c>
      <c r="CF246" s="213">
        <f t="shared" ref="CF246" si="6175">+CF244*CF247</f>
        <v>53394.745212389411</v>
      </c>
      <c r="CG246" s="213">
        <f t="shared" ref="CG246" si="6176">+CG244*CG247</f>
        <v>53394.745212389411</v>
      </c>
      <c r="CH246" s="234">
        <f>+CD246+CE246+CF246+CG246</f>
        <v>213578.98084955764</v>
      </c>
      <c r="CI246" s="213">
        <f>+CI244*CI247</f>
        <v>54996.587568761097</v>
      </c>
      <c r="CJ246" s="213">
        <f t="shared" ref="CJ246" si="6177">+CJ244*CJ247</f>
        <v>54996.587568761097</v>
      </c>
      <c r="CK246" s="213">
        <f t="shared" ref="CK246" si="6178">+CK244*CK247</f>
        <v>54996.587568761097</v>
      </c>
      <c r="CL246" s="213">
        <f t="shared" ref="CL246" si="6179">+CL244*CL247</f>
        <v>54996.587568761097</v>
      </c>
      <c r="CM246" s="234">
        <f>+CI246+CJ246+CK246+CL246</f>
        <v>219986.35027504439</v>
      </c>
      <c r="CN246" s="213">
        <f>+CN244*CN247</f>
        <v>56646.485195823931</v>
      </c>
      <c r="CO246" s="213">
        <f t="shared" ref="CO246" si="6180">+CO244*CO247</f>
        <v>56646.485195823931</v>
      </c>
      <c r="CP246" s="213">
        <f t="shared" ref="CP246" si="6181">+CP244*CP247</f>
        <v>56646.485195823931</v>
      </c>
      <c r="CQ246" s="213">
        <f t="shared" ref="CQ246" si="6182">+CQ244*CQ247</f>
        <v>56646.485195823931</v>
      </c>
      <c r="CR246" s="234">
        <f>+CN246+CO246+CP246+CQ246</f>
        <v>226585.94078329572</v>
      </c>
      <c r="CS246" s="213">
        <f>+CS244*CS247</f>
        <v>58345.879751698652</v>
      </c>
      <c r="CT246" s="213">
        <f t="shared" ref="CT246" si="6183">+CT244*CT247</f>
        <v>58345.879751698652</v>
      </c>
      <c r="CU246" s="213">
        <f t="shared" ref="CU246" si="6184">+CU244*CU247</f>
        <v>58345.879751698652</v>
      </c>
      <c r="CV246" s="213">
        <f t="shared" ref="CV246" si="6185">+CV244*CV247</f>
        <v>58345.879751698652</v>
      </c>
      <c r="CW246" s="234">
        <f>+CS246+CT246+CU246+CV246</f>
        <v>233383.51900679461</v>
      </c>
      <c r="CX246" s="213">
        <f>+CX244*CX247</f>
        <v>60096.256144249615</v>
      </c>
      <c r="CY246" s="213">
        <f t="shared" ref="CY246" si="6186">+CY244*CY247</f>
        <v>60096.256144249615</v>
      </c>
      <c r="CZ246" s="213">
        <f t="shared" ref="CZ246" si="6187">+CZ244*CZ247</f>
        <v>60096.256144249615</v>
      </c>
      <c r="DA246" s="213">
        <f t="shared" ref="DA246" si="6188">+DA244*DA247</f>
        <v>60096.256144249615</v>
      </c>
      <c r="DB246" s="234">
        <f>+CX246+CY246+CZ246+DA246</f>
        <v>240385.02457699846</v>
      </c>
    </row>
    <row r="247" spans="1:106">
      <c r="A247" s="117" t="s">
        <v>311</v>
      </c>
      <c r="F247" s="217"/>
      <c r="K247" s="217"/>
      <c r="P247" s="217"/>
      <c r="U247" s="217"/>
      <c r="V247" s="120">
        <v>4</v>
      </c>
      <c r="W247" s="120">
        <v>4</v>
      </c>
      <c r="X247" s="120">
        <v>4</v>
      </c>
      <c r="Y247" s="120">
        <v>4</v>
      </c>
      <c r="Z247" s="250">
        <f>+Z246/Z244</f>
        <v>4</v>
      </c>
      <c r="AA247" s="120">
        <v>4</v>
      </c>
      <c r="AB247" s="120">
        <v>4</v>
      </c>
      <c r="AC247" s="120">
        <v>4</v>
      </c>
      <c r="AD247" s="120">
        <v>4</v>
      </c>
      <c r="AE247" s="250">
        <f>+AE246/AE244</f>
        <v>4</v>
      </c>
      <c r="AF247" s="120">
        <v>4</v>
      </c>
      <c r="AG247" s="120">
        <v>4</v>
      </c>
      <c r="AH247" s="120">
        <v>4</v>
      </c>
      <c r="AI247" s="120">
        <v>4</v>
      </c>
      <c r="AJ247" s="250">
        <f>+AJ246/AJ244</f>
        <v>4</v>
      </c>
      <c r="AK247" s="120">
        <v>4</v>
      </c>
      <c r="AL247" s="120">
        <v>4</v>
      </c>
      <c r="AM247" s="120">
        <v>4</v>
      </c>
      <c r="AN247" s="120">
        <v>4</v>
      </c>
      <c r="AO247" s="250">
        <f>+AO246/AO244</f>
        <v>4</v>
      </c>
      <c r="AP247" s="120">
        <v>4</v>
      </c>
      <c r="AQ247" s="120">
        <v>4</v>
      </c>
      <c r="AR247" s="120">
        <v>4</v>
      </c>
      <c r="AS247" s="120">
        <v>4</v>
      </c>
      <c r="AT247" s="250">
        <f>+AT246/AT244</f>
        <v>4</v>
      </c>
      <c r="AU247" s="120">
        <v>4</v>
      </c>
      <c r="AV247" s="120">
        <v>4</v>
      </c>
      <c r="AW247" s="120">
        <v>4</v>
      </c>
      <c r="AX247" s="120">
        <v>4</v>
      </c>
      <c r="AY247" s="250">
        <f>+AY246/AY244</f>
        <v>4</v>
      </c>
      <c r="AZ247" s="120">
        <v>4</v>
      </c>
      <c r="BA247" s="120">
        <v>4</v>
      </c>
      <c r="BB247" s="120">
        <v>4</v>
      </c>
      <c r="BC247" s="120">
        <v>4</v>
      </c>
      <c r="BD247" s="250">
        <f>+BD246/BD244</f>
        <v>4</v>
      </c>
      <c r="BE247" s="120">
        <v>4</v>
      </c>
      <c r="BF247" s="120">
        <v>4</v>
      </c>
      <c r="BG247" s="120">
        <v>4</v>
      </c>
      <c r="BH247" s="120">
        <v>4</v>
      </c>
      <c r="BI247" s="250">
        <f>+BI246/BI244</f>
        <v>4</v>
      </c>
      <c r="BJ247" s="120">
        <v>4</v>
      </c>
      <c r="BK247" s="120">
        <v>4</v>
      </c>
      <c r="BL247" s="120">
        <v>4</v>
      </c>
      <c r="BM247" s="120">
        <v>4</v>
      </c>
      <c r="BN247" s="250">
        <f>+BN246/BN244</f>
        <v>4</v>
      </c>
      <c r="BO247" s="120">
        <v>4</v>
      </c>
      <c r="BP247" s="120">
        <v>4</v>
      </c>
      <c r="BQ247" s="120">
        <v>4</v>
      </c>
      <c r="BR247" s="120">
        <v>4</v>
      </c>
      <c r="BS247" s="250">
        <f>+BS246/BS244</f>
        <v>4</v>
      </c>
      <c r="BT247" s="120">
        <v>4</v>
      </c>
      <c r="BU247" s="120">
        <v>4</v>
      </c>
      <c r="BV247" s="120">
        <v>4</v>
      </c>
      <c r="BW247" s="120">
        <v>4</v>
      </c>
      <c r="BX247" s="250">
        <f>+BX246/BX244</f>
        <v>4</v>
      </c>
      <c r="BY247" s="120">
        <v>4</v>
      </c>
      <c r="BZ247" s="120">
        <v>4</v>
      </c>
      <c r="CA247" s="120">
        <v>4</v>
      </c>
      <c r="CB247" s="120">
        <v>4</v>
      </c>
      <c r="CC247" s="250">
        <f>+CC246/CC244</f>
        <v>4</v>
      </c>
      <c r="CD247" s="120">
        <v>4</v>
      </c>
      <c r="CE247" s="120">
        <v>4</v>
      </c>
      <c r="CF247" s="120">
        <v>4</v>
      </c>
      <c r="CG247" s="120">
        <v>4</v>
      </c>
      <c r="CH247" s="250">
        <f>+CH246/CH244</f>
        <v>4</v>
      </c>
      <c r="CI247" s="120">
        <v>4</v>
      </c>
      <c r="CJ247" s="120">
        <v>4</v>
      </c>
      <c r="CK247" s="120">
        <v>4</v>
      </c>
      <c r="CL247" s="120">
        <v>4</v>
      </c>
      <c r="CM247" s="250">
        <f>+CM246/CM244</f>
        <v>4</v>
      </c>
      <c r="CN247" s="120">
        <v>4</v>
      </c>
      <c r="CO247" s="120">
        <v>4</v>
      </c>
      <c r="CP247" s="120">
        <v>4</v>
      </c>
      <c r="CQ247" s="120">
        <v>4</v>
      </c>
      <c r="CR247" s="250">
        <f>+CR246/CR244</f>
        <v>4</v>
      </c>
      <c r="CS247" s="120">
        <v>4</v>
      </c>
      <c r="CT247" s="120">
        <v>4</v>
      </c>
      <c r="CU247" s="120">
        <v>4</v>
      </c>
      <c r="CV247" s="120">
        <v>4</v>
      </c>
      <c r="CW247" s="250">
        <f>+CW246/CW244</f>
        <v>4</v>
      </c>
      <c r="CX247" s="120">
        <v>4</v>
      </c>
      <c r="CY247" s="120">
        <v>4</v>
      </c>
      <c r="CZ247" s="120">
        <v>4</v>
      </c>
      <c r="DA247" s="120">
        <v>4</v>
      </c>
      <c r="DB247" s="250">
        <f>+DB246/DB244</f>
        <v>4</v>
      </c>
    </row>
    <row r="248" spans="1:106">
      <c r="F248" s="217"/>
      <c r="K248" s="217"/>
      <c r="P248" s="217"/>
      <c r="U248" s="217"/>
      <c r="Z248" s="217"/>
      <c r="AE248" s="217"/>
      <c r="AJ248" s="217"/>
      <c r="AO248" s="217"/>
      <c r="AT248" s="217"/>
      <c r="AY248" s="217"/>
      <c r="BD248" s="217"/>
      <c r="BI248" s="217"/>
      <c r="BN248" s="217"/>
      <c r="BS248" s="217"/>
      <c r="BX248" s="217"/>
      <c r="CC248" s="217"/>
      <c r="CH248" s="217"/>
      <c r="CM248" s="217"/>
      <c r="CR248" s="217"/>
      <c r="CW248" s="217"/>
      <c r="DB248" s="217"/>
    </row>
    <row r="249" spans="1:106" s="51" customFormat="1">
      <c r="A249" s="51" t="s">
        <v>314</v>
      </c>
      <c r="F249" s="233"/>
      <c r="K249" s="233"/>
      <c r="P249" s="233"/>
      <c r="U249" s="233"/>
      <c r="V249" s="213">
        <f>+V241+V246</f>
        <v>43779.75</v>
      </c>
      <c r="W249" s="213">
        <f t="shared" ref="W249:Y249" si="6189">+W241+W246</f>
        <v>43779.75</v>
      </c>
      <c r="X249" s="213">
        <f t="shared" si="6189"/>
        <v>43779.75</v>
      </c>
      <c r="Y249" s="213">
        <f t="shared" si="6189"/>
        <v>43779.75</v>
      </c>
      <c r="Z249" s="234">
        <f>+V249+W249+X249+Y249</f>
        <v>175119</v>
      </c>
      <c r="AA249" s="213">
        <f>+AA241+AA246</f>
        <v>45093.142500000002</v>
      </c>
      <c r="AB249" s="213">
        <f t="shared" ref="AB249:AD249" si="6190">+AB241+AB246</f>
        <v>45093.142500000002</v>
      </c>
      <c r="AC249" s="213">
        <f t="shared" si="6190"/>
        <v>45093.142500000002</v>
      </c>
      <c r="AD249" s="213">
        <f t="shared" si="6190"/>
        <v>45093.142500000002</v>
      </c>
      <c r="AE249" s="234">
        <f>+AA249+AB249+AC249+AD249</f>
        <v>180372.57</v>
      </c>
      <c r="AF249" s="213">
        <f>+AF241+AF246</f>
        <v>46445.936775000002</v>
      </c>
      <c r="AG249" s="213">
        <f t="shared" ref="AG249:AI249" si="6191">+AG241+AG246</f>
        <v>46445.936775000002</v>
      </c>
      <c r="AH249" s="213">
        <f t="shared" si="6191"/>
        <v>46445.936775000002</v>
      </c>
      <c r="AI249" s="213">
        <f t="shared" si="6191"/>
        <v>46445.936775000002</v>
      </c>
      <c r="AJ249" s="234">
        <f>+AF249+AG249+AH249+AI249</f>
        <v>185783.74710000001</v>
      </c>
      <c r="AK249" s="213">
        <f>+AK241+AK246</f>
        <v>47839.314878250007</v>
      </c>
      <c r="AL249" s="213">
        <f t="shared" ref="AL249:AN249" si="6192">+AL241+AL246</f>
        <v>47839.314878250007</v>
      </c>
      <c r="AM249" s="213">
        <f t="shared" si="6192"/>
        <v>47839.314878250007</v>
      </c>
      <c r="AN249" s="213">
        <f t="shared" si="6192"/>
        <v>47839.314878250007</v>
      </c>
      <c r="AO249" s="234">
        <f>+AK249+AL249+AM249+AN249</f>
        <v>191357.25951300003</v>
      </c>
      <c r="AP249" s="213">
        <f>+AP241+AP246</f>
        <v>49274.494324597501</v>
      </c>
      <c r="AQ249" s="213">
        <f t="shared" ref="AQ249:AS249" si="6193">+AQ241+AQ246</f>
        <v>49274.494324597501</v>
      </c>
      <c r="AR249" s="213">
        <f t="shared" si="6193"/>
        <v>49274.494324597501</v>
      </c>
      <c r="AS249" s="213">
        <f t="shared" si="6193"/>
        <v>49274.494324597501</v>
      </c>
      <c r="AT249" s="234">
        <f>+AP249+AQ249+AR249+AS249</f>
        <v>197097.97729839</v>
      </c>
      <c r="AU249" s="213">
        <f>+AU241+AU246</f>
        <v>50752.729154335429</v>
      </c>
      <c r="AV249" s="213">
        <f t="shared" ref="AV249:AX249" si="6194">+AV241+AV246</f>
        <v>50752.729154335429</v>
      </c>
      <c r="AW249" s="213">
        <f t="shared" si="6194"/>
        <v>50752.729154335429</v>
      </c>
      <c r="AX249" s="213">
        <f t="shared" si="6194"/>
        <v>50752.729154335429</v>
      </c>
      <c r="AY249" s="234">
        <f>+AU249+AV249+AW249+AX249</f>
        <v>203010.91661734172</v>
      </c>
      <c r="AZ249" s="213">
        <f>+AZ241+AZ246</f>
        <v>52275.311028965494</v>
      </c>
      <c r="BA249" s="213">
        <f t="shared" ref="BA249:BC249" si="6195">+BA241+BA246</f>
        <v>52275.311028965494</v>
      </c>
      <c r="BB249" s="213">
        <f t="shared" si="6195"/>
        <v>52275.311028965494</v>
      </c>
      <c r="BC249" s="213">
        <f t="shared" si="6195"/>
        <v>52275.311028965494</v>
      </c>
      <c r="BD249" s="234">
        <f>+AZ249+BA249+BB249+BC249</f>
        <v>209101.24411586198</v>
      </c>
      <c r="BE249" s="213">
        <f>+BE241+BE246</f>
        <v>53843.570359834463</v>
      </c>
      <c r="BF249" s="213">
        <f t="shared" ref="BF249:BH249" si="6196">+BF241+BF246</f>
        <v>53843.570359834463</v>
      </c>
      <c r="BG249" s="213">
        <f t="shared" si="6196"/>
        <v>53843.570359834463</v>
      </c>
      <c r="BH249" s="213">
        <f t="shared" si="6196"/>
        <v>53843.570359834463</v>
      </c>
      <c r="BI249" s="234">
        <f>+BE249+BF249+BG249+BH249</f>
        <v>215374.28143933785</v>
      </c>
      <c r="BJ249" s="213">
        <f>+BJ241+BJ246</f>
        <v>55458.877470629493</v>
      </c>
      <c r="BK249" s="213">
        <f t="shared" ref="BK249:BM249" si="6197">+BK241+BK246</f>
        <v>55458.877470629493</v>
      </c>
      <c r="BL249" s="213">
        <f t="shared" si="6197"/>
        <v>55458.877470629493</v>
      </c>
      <c r="BM249" s="213">
        <f t="shared" si="6197"/>
        <v>55458.877470629493</v>
      </c>
      <c r="BN249" s="234">
        <f>+BJ249+BK249+BL249+BM249</f>
        <v>221835.50988251797</v>
      </c>
      <c r="BO249" s="213">
        <f>+BO241+BO246</f>
        <v>57122.643794748379</v>
      </c>
      <c r="BP249" s="213">
        <f t="shared" ref="BP249:BR249" si="6198">+BP241+BP246</f>
        <v>57122.643794748379</v>
      </c>
      <c r="BQ249" s="213">
        <f t="shared" si="6198"/>
        <v>57122.643794748379</v>
      </c>
      <c r="BR249" s="213">
        <f t="shared" si="6198"/>
        <v>57122.643794748379</v>
      </c>
      <c r="BS249" s="234">
        <f>+BO249+BP249+BQ249+BR249</f>
        <v>228490.57517899352</v>
      </c>
      <c r="BT249" s="213">
        <f>+BT241+BT246</f>
        <v>58836.323108590834</v>
      </c>
      <c r="BU249" s="213">
        <f t="shared" ref="BU249:BW249" si="6199">+BU241+BU246</f>
        <v>58836.323108590834</v>
      </c>
      <c r="BV249" s="213">
        <f t="shared" si="6199"/>
        <v>58836.323108590834</v>
      </c>
      <c r="BW249" s="213">
        <f t="shared" si="6199"/>
        <v>58836.323108590834</v>
      </c>
      <c r="BX249" s="234">
        <f>+BT249+BU249+BV249+BW249</f>
        <v>235345.29243436333</v>
      </c>
      <c r="BY249" s="213">
        <f>+BY241+BY246</f>
        <v>60601.412801848557</v>
      </c>
      <c r="BZ249" s="213">
        <f t="shared" ref="BZ249:CB249" si="6200">+BZ241+BZ246</f>
        <v>60601.412801848557</v>
      </c>
      <c r="CA249" s="213">
        <f t="shared" si="6200"/>
        <v>60601.412801848557</v>
      </c>
      <c r="CB249" s="213">
        <f t="shared" si="6200"/>
        <v>60601.412801848557</v>
      </c>
      <c r="CC249" s="234">
        <f>+BY249+BZ249+CA249+CB249</f>
        <v>242405.65120739423</v>
      </c>
      <c r="CD249" s="213">
        <f>+CD241+CD246</f>
        <v>62419.455185904015</v>
      </c>
      <c r="CE249" s="213">
        <f t="shared" ref="CE249:CG249" si="6201">+CE241+CE246</f>
        <v>62419.455185904015</v>
      </c>
      <c r="CF249" s="213">
        <f t="shared" si="6201"/>
        <v>62419.455185904015</v>
      </c>
      <c r="CG249" s="213">
        <f t="shared" si="6201"/>
        <v>62419.455185904015</v>
      </c>
      <c r="CH249" s="234">
        <f>+CD249+CE249+CF249+CG249</f>
        <v>249677.82074361606</v>
      </c>
      <c r="CI249" s="213">
        <f>+CI241+CI246</f>
        <v>64292.038841481139</v>
      </c>
      <c r="CJ249" s="213">
        <f t="shared" ref="CJ249:CL249" si="6202">+CJ241+CJ246</f>
        <v>64292.038841481139</v>
      </c>
      <c r="CK249" s="213">
        <f t="shared" si="6202"/>
        <v>64292.038841481139</v>
      </c>
      <c r="CL249" s="213">
        <f t="shared" si="6202"/>
        <v>64292.038841481139</v>
      </c>
      <c r="CM249" s="234">
        <f>+CI249+CJ249+CK249+CL249</f>
        <v>257168.15536592455</v>
      </c>
      <c r="CN249" s="213">
        <f>+CN241+CN246</f>
        <v>66220.800006725578</v>
      </c>
      <c r="CO249" s="213">
        <f t="shared" ref="CO249:CQ249" si="6203">+CO241+CO246</f>
        <v>66220.800006725578</v>
      </c>
      <c r="CP249" s="213">
        <f t="shared" si="6203"/>
        <v>66220.800006725578</v>
      </c>
      <c r="CQ249" s="213">
        <f t="shared" si="6203"/>
        <v>66220.800006725578</v>
      </c>
      <c r="CR249" s="234">
        <f>+CN249+CO249+CP249+CQ249</f>
        <v>264883.20002690231</v>
      </c>
      <c r="CS249" s="213">
        <f>+CS241+CS246</f>
        <v>68207.424006927351</v>
      </c>
      <c r="CT249" s="213">
        <f t="shared" ref="CT249:CV249" si="6204">+CT241+CT246</f>
        <v>68207.424006927351</v>
      </c>
      <c r="CU249" s="213">
        <f t="shared" si="6204"/>
        <v>68207.424006927351</v>
      </c>
      <c r="CV249" s="213">
        <f t="shared" si="6204"/>
        <v>68207.424006927351</v>
      </c>
      <c r="CW249" s="234">
        <f>+CS249+CT249+CU249+CV249</f>
        <v>272829.6960277094</v>
      </c>
      <c r="CX249" s="213">
        <f>+CX241+CX246</f>
        <v>70253.646727135172</v>
      </c>
      <c r="CY249" s="213">
        <f t="shared" ref="CY249:DA249" si="6205">+CY241+CY246</f>
        <v>70253.646727135172</v>
      </c>
      <c r="CZ249" s="213">
        <f t="shared" si="6205"/>
        <v>70253.646727135172</v>
      </c>
      <c r="DA249" s="213">
        <f t="shared" si="6205"/>
        <v>70253.646727135172</v>
      </c>
      <c r="DB249" s="234">
        <f>+CX249+CY249+CZ249+DA249</f>
        <v>281014.58690854069</v>
      </c>
    </row>
    <row r="250" spans="1:106">
      <c r="A250" s="117" t="s">
        <v>281</v>
      </c>
      <c r="F250" s="217"/>
      <c r="K250" s="217"/>
      <c r="P250" s="217"/>
      <c r="U250" s="217"/>
      <c r="V250" s="119" t="s">
        <v>290</v>
      </c>
      <c r="W250" s="119" t="s">
        <v>290</v>
      </c>
      <c r="X250" s="119" t="s">
        <v>290</v>
      </c>
      <c r="Y250" s="119" t="s">
        <v>290</v>
      </c>
      <c r="Z250" s="235" t="s">
        <v>290</v>
      </c>
      <c r="AA250" s="13">
        <f>+AA249/V249-1</f>
        <v>3.0000000000000027E-2</v>
      </c>
      <c r="AB250" s="13">
        <f t="shared" ref="AB250" si="6206">+AB249/W249-1</f>
        <v>3.0000000000000027E-2</v>
      </c>
      <c r="AC250" s="13">
        <f t="shared" ref="AC250" si="6207">+AC249/X249-1</f>
        <v>3.0000000000000027E-2</v>
      </c>
      <c r="AD250" s="13">
        <f t="shared" ref="AD250" si="6208">+AD249/Y249-1</f>
        <v>3.0000000000000027E-2</v>
      </c>
      <c r="AE250" s="239">
        <f t="shared" ref="AE250" si="6209">+AE249/Z249-1</f>
        <v>3.0000000000000027E-2</v>
      </c>
      <c r="AF250" s="13">
        <f>+AF249/AA249-1</f>
        <v>3.0000000000000027E-2</v>
      </c>
      <c r="AG250" s="13">
        <f t="shared" ref="AG250" si="6210">+AG249/AB249-1</f>
        <v>3.0000000000000027E-2</v>
      </c>
      <c r="AH250" s="13">
        <f t="shared" ref="AH250" si="6211">+AH249/AC249-1</f>
        <v>3.0000000000000027E-2</v>
      </c>
      <c r="AI250" s="13">
        <f t="shared" ref="AI250" si="6212">+AI249/AD249-1</f>
        <v>3.0000000000000027E-2</v>
      </c>
      <c r="AJ250" s="239">
        <f t="shared" ref="AJ250" si="6213">+AJ249/AE249-1</f>
        <v>3.0000000000000027E-2</v>
      </c>
      <c r="AK250" s="13">
        <f>+AK249/AF249-1</f>
        <v>3.0000000000000027E-2</v>
      </c>
      <c r="AL250" s="13">
        <f t="shared" ref="AL250" si="6214">+AL249/AG249-1</f>
        <v>3.0000000000000027E-2</v>
      </c>
      <c r="AM250" s="13">
        <f t="shared" ref="AM250" si="6215">+AM249/AH249-1</f>
        <v>3.0000000000000027E-2</v>
      </c>
      <c r="AN250" s="13">
        <f t="shared" ref="AN250" si="6216">+AN249/AI249-1</f>
        <v>3.0000000000000027E-2</v>
      </c>
      <c r="AO250" s="239">
        <f t="shared" ref="AO250" si="6217">+AO249/AJ249-1</f>
        <v>3.0000000000000027E-2</v>
      </c>
      <c r="AP250" s="13">
        <f>+AP249/AK249-1</f>
        <v>2.9999999999999805E-2</v>
      </c>
      <c r="AQ250" s="13">
        <f t="shared" ref="AQ250" si="6218">+AQ249/AL249-1</f>
        <v>2.9999999999999805E-2</v>
      </c>
      <c r="AR250" s="13">
        <f t="shared" ref="AR250" si="6219">+AR249/AM249-1</f>
        <v>2.9999999999999805E-2</v>
      </c>
      <c r="AS250" s="13">
        <f t="shared" ref="AS250" si="6220">+AS249/AN249-1</f>
        <v>2.9999999999999805E-2</v>
      </c>
      <c r="AT250" s="239">
        <f t="shared" ref="AT250" si="6221">+AT249/AO249-1</f>
        <v>2.9999999999999805E-2</v>
      </c>
      <c r="AU250" s="13">
        <f>+AU249/AP249-1</f>
        <v>3.0000000000000027E-2</v>
      </c>
      <c r="AV250" s="13">
        <f t="shared" ref="AV250" si="6222">+AV249/AQ249-1</f>
        <v>3.0000000000000027E-2</v>
      </c>
      <c r="AW250" s="13">
        <f t="shared" ref="AW250" si="6223">+AW249/AR249-1</f>
        <v>3.0000000000000027E-2</v>
      </c>
      <c r="AX250" s="13">
        <f t="shared" ref="AX250" si="6224">+AX249/AS249-1</f>
        <v>3.0000000000000027E-2</v>
      </c>
      <c r="AY250" s="239">
        <f t="shared" ref="AY250" si="6225">+AY249/AT249-1</f>
        <v>3.0000000000000027E-2</v>
      </c>
      <c r="AZ250" s="13">
        <f>+AZ249/AU249-1</f>
        <v>3.0000000000000027E-2</v>
      </c>
      <c r="BA250" s="13">
        <f t="shared" ref="BA250" si="6226">+BA249/AV249-1</f>
        <v>3.0000000000000027E-2</v>
      </c>
      <c r="BB250" s="13">
        <f t="shared" ref="BB250" si="6227">+BB249/AW249-1</f>
        <v>3.0000000000000027E-2</v>
      </c>
      <c r="BC250" s="13">
        <f t="shared" ref="BC250" si="6228">+BC249/AX249-1</f>
        <v>3.0000000000000027E-2</v>
      </c>
      <c r="BD250" s="239">
        <f t="shared" ref="BD250" si="6229">+BD249/AY249-1</f>
        <v>3.0000000000000027E-2</v>
      </c>
      <c r="BE250" s="13">
        <f>+BE249/AZ249-1</f>
        <v>3.0000000000000027E-2</v>
      </c>
      <c r="BF250" s="13">
        <f t="shared" ref="BF250" si="6230">+BF249/BA249-1</f>
        <v>3.0000000000000027E-2</v>
      </c>
      <c r="BG250" s="13">
        <f t="shared" ref="BG250" si="6231">+BG249/BB249-1</f>
        <v>3.0000000000000027E-2</v>
      </c>
      <c r="BH250" s="13">
        <f t="shared" ref="BH250" si="6232">+BH249/BC249-1</f>
        <v>3.0000000000000027E-2</v>
      </c>
      <c r="BI250" s="239">
        <f t="shared" ref="BI250" si="6233">+BI249/BD249-1</f>
        <v>3.0000000000000027E-2</v>
      </c>
      <c r="BJ250" s="13">
        <f>+BJ249/BE249-1</f>
        <v>3.0000000000000027E-2</v>
      </c>
      <c r="BK250" s="13">
        <f t="shared" ref="BK250" si="6234">+BK249/BF249-1</f>
        <v>3.0000000000000027E-2</v>
      </c>
      <c r="BL250" s="13">
        <f t="shared" ref="BL250" si="6235">+BL249/BG249-1</f>
        <v>3.0000000000000027E-2</v>
      </c>
      <c r="BM250" s="13">
        <f t="shared" ref="BM250" si="6236">+BM249/BH249-1</f>
        <v>3.0000000000000027E-2</v>
      </c>
      <c r="BN250" s="239">
        <f t="shared" ref="BN250" si="6237">+BN249/BI249-1</f>
        <v>3.0000000000000027E-2</v>
      </c>
      <c r="BO250" s="13">
        <f>+BO249/BJ249-1</f>
        <v>3.0000000000000027E-2</v>
      </c>
      <c r="BP250" s="13">
        <f t="shared" ref="BP250" si="6238">+BP249/BK249-1</f>
        <v>3.0000000000000027E-2</v>
      </c>
      <c r="BQ250" s="13">
        <f t="shared" ref="BQ250" si="6239">+BQ249/BL249-1</f>
        <v>3.0000000000000027E-2</v>
      </c>
      <c r="BR250" s="13">
        <f t="shared" ref="BR250" si="6240">+BR249/BM249-1</f>
        <v>3.0000000000000027E-2</v>
      </c>
      <c r="BS250" s="239">
        <f t="shared" ref="BS250" si="6241">+BS249/BN249-1</f>
        <v>3.0000000000000027E-2</v>
      </c>
      <c r="BT250" s="13">
        <f>+BT249/BO249-1</f>
        <v>3.0000000000000027E-2</v>
      </c>
      <c r="BU250" s="13">
        <f t="shared" ref="BU250" si="6242">+BU249/BP249-1</f>
        <v>3.0000000000000027E-2</v>
      </c>
      <c r="BV250" s="13">
        <f t="shared" ref="BV250" si="6243">+BV249/BQ249-1</f>
        <v>3.0000000000000027E-2</v>
      </c>
      <c r="BW250" s="13">
        <f t="shared" ref="BW250" si="6244">+BW249/BR249-1</f>
        <v>3.0000000000000027E-2</v>
      </c>
      <c r="BX250" s="239">
        <f t="shared" ref="BX250" si="6245">+BX249/BS249-1</f>
        <v>3.0000000000000027E-2</v>
      </c>
      <c r="BY250" s="13">
        <f>+BY249/BT249-1</f>
        <v>3.0000000000000027E-2</v>
      </c>
      <c r="BZ250" s="13">
        <f t="shared" ref="BZ250" si="6246">+BZ249/BU249-1</f>
        <v>3.0000000000000027E-2</v>
      </c>
      <c r="CA250" s="13">
        <f t="shared" ref="CA250" si="6247">+CA249/BV249-1</f>
        <v>3.0000000000000027E-2</v>
      </c>
      <c r="CB250" s="13">
        <f t="shared" ref="CB250" si="6248">+CB249/BW249-1</f>
        <v>3.0000000000000027E-2</v>
      </c>
      <c r="CC250" s="239">
        <f t="shared" ref="CC250" si="6249">+CC249/BX249-1</f>
        <v>3.0000000000000027E-2</v>
      </c>
      <c r="CD250" s="13">
        <f>+CD249/BY249-1</f>
        <v>3.0000000000000027E-2</v>
      </c>
      <c r="CE250" s="13">
        <f t="shared" ref="CE250" si="6250">+CE249/BZ249-1</f>
        <v>3.0000000000000027E-2</v>
      </c>
      <c r="CF250" s="13">
        <f t="shared" ref="CF250" si="6251">+CF249/CA249-1</f>
        <v>3.0000000000000027E-2</v>
      </c>
      <c r="CG250" s="13">
        <f t="shared" ref="CG250" si="6252">+CG249/CB249-1</f>
        <v>3.0000000000000027E-2</v>
      </c>
      <c r="CH250" s="239">
        <f t="shared" ref="CH250" si="6253">+CH249/CC249-1</f>
        <v>3.0000000000000027E-2</v>
      </c>
      <c r="CI250" s="13">
        <f>+CI249/CD249-1</f>
        <v>3.0000000000000027E-2</v>
      </c>
      <c r="CJ250" s="13">
        <f t="shared" ref="CJ250" si="6254">+CJ249/CE249-1</f>
        <v>3.0000000000000027E-2</v>
      </c>
      <c r="CK250" s="13">
        <f t="shared" ref="CK250" si="6255">+CK249/CF249-1</f>
        <v>3.0000000000000027E-2</v>
      </c>
      <c r="CL250" s="13">
        <f t="shared" ref="CL250" si="6256">+CL249/CG249-1</f>
        <v>3.0000000000000027E-2</v>
      </c>
      <c r="CM250" s="239">
        <f t="shared" ref="CM250" si="6257">+CM249/CH249-1</f>
        <v>3.0000000000000027E-2</v>
      </c>
      <c r="CN250" s="13">
        <f>+CN249/CI249-1</f>
        <v>3.0000000000000027E-2</v>
      </c>
      <c r="CO250" s="13">
        <f t="shared" ref="CO250" si="6258">+CO249/CJ249-1</f>
        <v>3.0000000000000027E-2</v>
      </c>
      <c r="CP250" s="13">
        <f t="shared" ref="CP250" si="6259">+CP249/CK249-1</f>
        <v>3.0000000000000027E-2</v>
      </c>
      <c r="CQ250" s="13">
        <f t="shared" ref="CQ250" si="6260">+CQ249/CL249-1</f>
        <v>3.0000000000000027E-2</v>
      </c>
      <c r="CR250" s="239">
        <f t="shared" ref="CR250" si="6261">+CR249/CM249-1</f>
        <v>3.0000000000000027E-2</v>
      </c>
      <c r="CS250" s="13">
        <f>+CS249/CN249-1</f>
        <v>3.0000000000000027E-2</v>
      </c>
      <c r="CT250" s="13">
        <f t="shared" ref="CT250" si="6262">+CT249/CO249-1</f>
        <v>3.0000000000000027E-2</v>
      </c>
      <c r="CU250" s="13">
        <f t="shared" ref="CU250" si="6263">+CU249/CP249-1</f>
        <v>3.0000000000000027E-2</v>
      </c>
      <c r="CV250" s="13">
        <f t="shared" ref="CV250" si="6264">+CV249/CQ249-1</f>
        <v>3.0000000000000027E-2</v>
      </c>
      <c r="CW250" s="239">
        <f t="shared" ref="CW250" si="6265">+CW249/CR249-1</f>
        <v>3.0000000000000027E-2</v>
      </c>
      <c r="CX250" s="13">
        <f>+CX249/CS249-1</f>
        <v>3.0000000000000027E-2</v>
      </c>
      <c r="CY250" s="13">
        <f t="shared" ref="CY250" si="6266">+CY249/CT249-1</f>
        <v>3.0000000000000027E-2</v>
      </c>
      <c r="CZ250" s="13">
        <f t="shared" ref="CZ250" si="6267">+CZ249/CU249-1</f>
        <v>3.0000000000000027E-2</v>
      </c>
      <c r="DA250" s="13">
        <f t="shared" ref="DA250" si="6268">+DA249/CV249-1</f>
        <v>3.0000000000000027E-2</v>
      </c>
      <c r="DB250" s="239">
        <f t="shared" ref="DB250" si="6269">+DB249/CW249-1</f>
        <v>3.0000000000000027E-2</v>
      </c>
    </row>
    <row r="251" spans="1:106">
      <c r="F251" s="217"/>
      <c r="K251" s="217"/>
      <c r="P251" s="217"/>
      <c r="U251" s="217"/>
      <c r="Z251" s="217"/>
      <c r="AE251" s="217"/>
      <c r="AJ251" s="217"/>
      <c r="AO251" s="217"/>
      <c r="AT251" s="217"/>
      <c r="AY251" s="217"/>
      <c r="BD251" s="217"/>
      <c r="BI251" s="217"/>
      <c r="BN251" s="217"/>
      <c r="BS251" s="217"/>
      <c r="BX251" s="217"/>
      <c r="CC251" s="217"/>
      <c r="CH251" s="217"/>
      <c r="CM251" s="217"/>
      <c r="CR251" s="217"/>
      <c r="CW251" s="217"/>
      <c r="DB251" s="217"/>
    </row>
    <row r="252" spans="1:106" s="51" customFormat="1">
      <c r="A252" s="51" t="s">
        <v>320</v>
      </c>
      <c r="F252" s="233"/>
      <c r="K252" s="233"/>
      <c r="P252" s="233"/>
      <c r="U252" s="233"/>
      <c r="V252" s="213">
        <f>+V249*V255</f>
        <v>0</v>
      </c>
      <c r="W252" s="213">
        <f t="shared" ref="W252:Y252" si="6270">+W249*W255</f>
        <v>0</v>
      </c>
      <c r="X252" s="213">
        <f t="shared" si="6270"/>
        <v>0</v>
      </c>
      <c r="Y252" s="213">
        <f t="shared" si="6270"/>
        <v>0</v>
      </c>
      <c r="Z252" s="234">
        <f>+V252+W252+X252+Y252</f>
        <v>0</v>
      </c>
      <c r="AA252" s="213">
        <f>+AA249*AA255</f>
        <v>0</v>
      </c>
      <c r="AB252" s="213">
        <f t="shared" ref="AB252:AD252" si="6271">+AB249*AB255</f>
        <v>0</v>
      </c>
      <c r="AC252" s="213">
        <f t="shared" si="6271"/>
        <v>0</v>
      </c>
      <c r="AD252" s="213">
        <f t="shared" si="6271"/>
        <v>0</v>
      </c>
      <c r="AE252" s="234">
        <f>+AA252+AB252+AC252+AD252</f>
        <v>0</v>
      </c>
      <c r="AF252" s="213">
        <f>+AF249*AF255</f>
        <v>0</v>
      </c>
      <c r="AG252" s="213">
        <f t="shared" ref="AG252:AI252" si="6272">+AG249*AG255</f>
        <v>0</v>
      </c>
      <c r="AH252" s="213">
        <f t="shared" si="6272"/>
        <v>0</v>
      </c>
      <c r="AI252" s="213">
        <f t="shared" si="6272"/>
        <v>0</v>
      </c>
      <c r="AJ252" s="234">
        <f>+AF252+AG252+AH252+AI252</f>
        <v>0</v>
      </c>
      <c r="AK252" s="213">
        <f>+AK249*AK255</f>
        <v>0</v>
      </c>
      <c r="AL252" s="213">
        <f t="shared" ref="AL252:AN252" si="6273">+AL249*AL255</f>
        <v>0</v>
      </c>
      <c r="AM252" s="213">
        <f t="shared" si="6273"/>
        <v>0</v>
      </c>
      <c r="AN252" s="213">
        <f t="shared" si="6273"/>
        <v>0</v>
      </c>
      <c r="AO252" s="234">
        <f>+AK252+AL252+AM252+AN252</f>
        <v>0</v>
      </c>
      <c r="AP252" s="213">
        <f>+AP249*AP255</f>
        <v>98.54898864919501</v>
      </c>
      <c r="AQ252" s="213">
        <f t="shared" ref="AQ252:AS252" si="6274">+AQ249*AQ255</f>
        <v>98.54898864919501</v>
      </c>
      <c r="AR252" s="213">
        <f t="shared" si="6274"/>
        <v>147.82348297379249</v>
      </c>
      <c r="AS252" s="213">
        <f t="shared" si="6274"/>
        <v>147.82348297379249</v>
      </c>
      <c r="AT252" s="234">
        <f>+AP252+AQ252+AR252+AS252</f>
        <v>492.74494324597504</v>
      </c>
      <c r="AU252" s="213">
        <f>+AU249*AU255</f>
        <v>761.29093731503144</v>
      </c>
      <c r="AV252" s="213">
        <f t="shared" ref="AV252:AX252" si="6275">+AV249*AV255</f>
        <v>1015.0545830867086</v>
      </c>
      <c r="AW252" s="213">
        <f t="shared" si="6275"/>
        <v>1522.5818746300629</v>
      </c>
      <c r="AX252" s="213">
        <f t="shared" si="6275"/>
        <v>1776.3455204017403</v>
      </c>
      <c r="AY252" s="234">
        <f>+AU252+AV252+AW252+AX252</f>
        <v>5075.2729154335429</v>
      </c>
      <c r="AZ252" s="213">
        <f>+AZ249*AZ255</f>
        <v>1934.1865080717232</v>
      </c>
      <c r="BA252" s="213">
        <f t="shared" ref="BA252:BC252" si="6276">+BA249*BA255</f>
        <v>2091.0124411586198</v>
      </c>
      <c r="BB252" s="213">
        <f t="shared" si="6276"/>
        <v>2352.3889963034471</v>
      </c>
      <c r="BC252" s="213">
        <f t="shared" si="6276"/>
        <v>2613.7655514482749</v>
      </c>
      <c r="BD252" s="234">
        <f>+AZ252+BA252+BB252+BC252</f>
        <v>8991.3534969820648</v>
      </c>
      <c r="BE252" s="213">
        <f>+BE249*BE255</f>
        <v>2530.6478069122199</v>
      </c>
      <c r="BF252" s="213">
        <f t="shared" ref="BF252:BH252" si="6277">+BF249*BF255</f>
        <v>2692.1785179917233</v>
      </c>
      <c r="BG252" s="213">
        <f t="shared" si="6277"/>
        <v>2961.3963697908953</v>
      </c>
      <c r="BH252" s="213">
        <f t="shared" si="6277"/>
        <v>3230.6142215900682</v>
      </c>
      <c r="BI252" s="234">
        <f>+BE252+BF252+BG252+BH252</f>
        <v>11414.836916284905</v>
      </c>
      <c r="BJ252" s="213">
        <f>+BJ249*BJ255</f>
        <v>3161.1560158258812</v>
      </c>
      <c r="BK252" s="213">
        <f t="shared" ref="BK252:BM252" si="6278">+BK249*BK255</f>
        <v>3327.53264823777</v>
      </c>
      <c r="BL252" s="213">
        <f t="shared" si="6278"/>
        <v>3604.8270355909171</v>
      </c>
      <c r="BM252" s="213">
        <f t="shared" si="6278"/>
        <v>3882.1214229440648</v>
      </c>
      <c r="BN252" s="234">
        <f>+BJ252+BK252+BL252+BM252</f>
        <v>13975.637122598633</v>
      </c>
      <c r="BO252" s="213">
        <f>+BO249*BO255</f>
        <v>3827.2171342481415</v>
      </c>
      <c r="BP252" s="213">
        <f t="shared" ref="BP252:BR252" si="6279">+BP249*BP255</f>
        <v>3998.5850656323869</v>
      </c>
      <c r="BQ252" s="213">
        <f t="shared" si="6279"/>
        <v>4284.1982846061283</v>
      </c>
      <c r="BR252" s="213">
        <f t="shared" si="6279"/>
        <v>4569.8115035798701</v>
      </c>
      <c r="BS252" s="234">
        <f>+BO252+BP252+BQ252+BR252</f>
        <v>16679.811988066525</v>
      </c>
      <c r="BT252" s="213">
        <f>+BT249*BT255</f>
        <v>4530.396879361494</v>
      </c>
      <c r="BU252" s="213">
        <f t="shared" ref="BU252:BW252" si="6280">+BU249*BU255</f>
        <v>4706.9058486872664</v>
      </c>
      <c r="BV252" s="213">
        <f t="shared" si="6280"/>
        <v>5001.0874642302206</v>
      </c>
      <c r="BW252" s="213">
        <f t="shared" si="6280"/>
        <v>5295.2690797731748</v>
      </c>
      <c r="BX252" s="234">
        <f>+BT252+BU252+BV252+BW252</f>
        <v>19533.659272052155</v>
      </c>
      <c r="BY252" s="213">
        <f>+BY249*BY255</f>
        <v>5272.3229137608241</v>
      </c>
      <c r="BZ252" s="213">
        <f t="shared" ref="BZ252:CB252" si="6281">+BZ249*BZ255</f>
        <v>5454.1271521663703</v>
      </c>
      <c r="CA252" s="213">
        <f t="shared" si="6281"/>
        <v>5757.134216175612</v>
      </c>
      <c r="CB252" s="213">
        <f t="shared" si="6281"/>
        <v>6060.1412801848555</v>
      </c>
      <c r="CC252" s="234">
        <f>+BY252+BZ252+CA252+CB252</f>
        <v>22543.725562287662</v>
      </c>
      <c r="CD252" s="213">
        <f>+CD249*CD255</f>
        <v>6054.6871530326889</v>
      </c>
      <c r="CE252" s="213">
        <f t="shared" ref="CE252:CG252" si="6282">+CE249*CE255</f>
        <v>6241.9455185904008</v>
      </c>
      <c r="CF252" s="213">
        <f t="shared" si="6282"/>
        <v>6554.0427945199208</v>
      </c>
      <c r="CG252" s="213">
        <f t="shared" si="6282"/>
        <v>6866.1400704494408</v>
      </c>
      <c r="CH252" s="234">
        <f>+CD252+CE252+CF252+CG252</f>
        <v>25716.81553659245</v>
      </c>
      <c r="CI252" s="213">
        <f>+CI249*CI255</f>
        <v>6879.2481560384804</v>
      </c>
      <c r="CJ252" s="213">
        <f t="shared" ref="CJ252:CL252" si="6283">+CJ249*CJ255</f>
        <v>7072.1242725629245</v>
      </c>
      <c r="CK252" s="213">
        <f t="shared" si="6283"/>
        <v>7393.5844667703295</v>
      </c>
      <c r="CL252" s="213">
        <f t="shared" si="6283"/>
        <v>7715.0446609777355</v>
      </c>
      <c r="CM252" s="234">
        <f>+CI252+CJ252+CK252+CL252</f>
        <v>29060.001556349467</v>
      </c>
      <c r="CN252" s="213">
        <f>+CN249*CN255</f>
        <v>7747.8336007868911</v>
      </c>
      <c r="CO252" s="213">
        <f t="shared" ref="CO252:CQ252" si="6284">+CO249*CO255</f>
        <v>7946.4960008070684</v>
      </c>
      <c r="CP252" s="213">
        <f t="shared" si="6284"/>
        <v>8277.6000008406954</v>
      </c>
      <c r="CQ252" s="213">
        <f t="shared" si="6284"/>
        <v>8608.7040008743243</v>
      </c>
      <c r="CR252" s="234">
        <f>+CN252+CO252+CP252+CQ252</f>
        <v>32580.633603308979</v>
      </c>
      <c r="CS252" s="213">
        <f>+CS249*CS255</f>
        <v>8662.3428488797726</v>
      </c>
      <c r="CT252" s="213">
        <f t="shared" ref="CT252:CV252" si="6285">+CT249*CT255</f>
        <v>8866.9651209005533</v>
      </c>
      <c r="CU252" s="213">
        <f t="shared" si="6285"/>
        <v>9208.0022409351914</v>
      </c>
      <c r="CV252" s="213">
        <f t="shared" si="6285"/>
        <v>9549.0393609698276</v>
      </c>
      <c r="CW252" s="234">
        <f>+CS252+CT252+CU252+CV252</f>
        <v>36286.349571685343</v>
      </c>
      <c r="CX252" s="213">
        <f>+CX249*CX255</f>
        <v>9624.7496016175173</v>
      </c>
      <c r="CY252" s="213">
        <f t="shared" ref="CY252:DA252" si="6286">+CY249*CY255</f>
        <v>9835.5105417989234</v>
      </c>
      <c r="CZ252" s="213">
        <f t="shared" si="6286"/>
        <v>10186.778775434599</v>
      </c>
      <c r="DA252" s="213">
        <f t="shared" si="6286"/>
        <v>10538.047009070275</v>
      </c>
      <c r="DB252" s="234">
        <f>+CX252+CY252+CZ252+DA252</f>
        <v>40185.085927921311</v>
      </c>
    </row>
    <row r="253" spans="1:106">
      <c r="A253" s="117" t="s">
        <v>281</v>
      </c>
      <c r="F253" s="217"/>
      <c r="K253" s="217"/>
      <c r="P253" s="217"/>
      <c r="U253" s="217"/>
      <c r="V253" s="119" t="s">
        <v>290</v>
      </c>
      <c r="W253" s="119" t="s">
        <v>290</v>
      </c>
      <c r="X253" s="119" t="s">
        <v>290</v>
      </c>
      <c r="Y253" s="119" t="s">
        <v>290</v>
      </c>
      <c r="Z253" s="235" t="s">
        <v>290</v>
      </c>
      <c r="AA253" s="13" t="e">
        <f>+AA252/V252-1</f>
        <v>#DIV/0!</v>
      </c>
      <c r="AB253" s="13" t="e">
        <f t="shared" ref="AB253" si="6287">+AB252/W252-1</f>
        <v>#DIV/0!</v>
      </c>
      <c r="AC253" s="13" t="e">
        <f t="shared" ref="AC253" si="6288">+AC252/X252-1</f>
        <v>#DIV/0!</v>
      </c>
      <c r="AD253" s="13" t="e">
        <f t="shared" ref="AD253" si="6289">+AD252/Y252-1</f>
        <v>#DIV/0!</v>
      </c>
      <c r="AE253" s="239" t="e">
        <f t="shared" ref="AE253" si="6290">+AE252/Z252-1</f>
        <v>#DIV/0!</v>
      </c>
      <c r="AF253" s="13" t="e">
        <f>+AF252/AA252-1</f>
        <v>#DIV/0!</v>
      </c>
      <c r="AG253" s="13" t="e">
        <f t="shared" ref="AG253" si="6291">+AG252/AB252-1</f>
        <v>#DIV/0!</v>
      </c>
      <c r="AH253" s="13" t="e">
        <f t="shared" ref="AH253" si="6292">+AH252/AC252-1</f>
        <v>#DIV/0!</v>
      </c>
      <c r="AI253" s="13" t="e">
        <f t="shared" ref="AI253" si="6293">+AI252/AD252-1</f>
        <v>#DIV/0!</v>
      </c>
      <c r="AJ253" s="239" t="e">
        <f t="shared" ref="AJ253" si="6294">+AJ252/AE252-1</f>
        <v>#DIV/0!</v>
      </c>
      <c r="AK253" s="13" t="e">
        <f>+AK252/AF252-1</f>
        <v>#DIV/0!</v>
      </c>
      <c r="AL253" s="13" t="e">
        <f t="shared" ref="AL253" si="6295">+AL252/AG252-1</f>
        <v>#DIV/0!</v>
      </c>
      <c r="AM253" s="13" t="e">
        <f t="shared" ref="AM253" si="6296">+AM252/AH252-1</f>
        <v>#DIV/0!</v>
      </c>
      <c r="AN253" s="13" t="e">
        <f t="shared" ref="AN253" si="6297">+AN252/AI252-1</f>
        <v>#DIV/0!</v>
      </c>
      <c r="AO253" s="239" t="e">
        <f t="shared" ref="AO253" si="6298">+AO252/AJ252-1</f>
        <v>#DIV/0!</v>
      </c>
      <c r="AP253" s="13" t="e">
        <f>+AP252/AK252-1</f>
        <v>#DIV/0!</v>
      </c>
      <c r="AQ253" s="13" t="e">
        <f t="shared" ref="AQ253" si="6299">+AQ252/AL252-1</f>
        <v>#DIV/0!</v>
      </c>
      <c r="AR253" s="13" t="e">
        <f t="shared" ref="AR253" si="6300">+AR252/AM252-1</f>
        <v>#DIV/0!</v>
      </c>
      <c r="AS253" s="13" t="e">
        <f t="shared" ref="AS253" si="6301">+AS252/AN252-1</f>
        <v>#DIV/0!</v>
      </c>
      <c r="AT253" s="239" t="e">
        <f t="shared" ref="AT253" si="6302">+AT252/AO252-1</f>
        <v>#DIV/0!</v>
      </c>
      <c r="AU253" s="13">
        <f>+AU252/AP252-1</f>
        <v>6.7249999999999996</v>
      </c>
      <c r="AV253" s="13">
        <f t="shared" ref="AV253" si="6303">+AV252/AQ252-1</f>
        <v>9.3000000000000007</v>
      </c>
      <c r="AW253" s="13">
        <f t="shared" ref="AW253" si="6304">+AW252/AR252-1</f>
        <v>9.3000000000000007</v>
      </c>
      <c r="AX253" s="13">
        <f t="shared" ref="AX253" si="6305">+AX252/AS252-1</f>
        <v>11.016666666666669</v>
      </c>
      <c r="AY253" s="239">
        <f t="shared" ref="AY253" si="6306">+AY252/AT252-1</f>
        <v>9.3000000000000007</v>
      </c>
      <c r="AZ253" s="13">
        <f>+AZ252/AU252-1</f>
        <v>1.5406666666666666</v>
      </c>
      <c r="BA253" s="13">
        <f t="shared" ref="BA253" si="6307">+BA252/AV252-1</f>
        <v>1.06</v>
      </c>
      <c r="BB253" s="13">
        <f t="shared" ref="BB253" si="6308">+BB252/AW252-1</f>
        <v>0.54499999999999993</v>
      </c>
      <c r="BC253" s="13">
        <f t="shared" ref="BC253" si="6309">+BC252/AX252-1</f>
        <v>0.47142857142857131</v>
      </c>
      <c r="BD253" s="239">
        <f t="shared" ref="BD253" si="6310">+BD252/AY252-1</f>
        <v>0.77160000000000006</v>
      </c>
      <c r="BE253" s="13">
        <f>+BE252/AZ252-1</f>
        <v>0.30837837837837867</v>
      </c>
      <c r="BF253" s="13">
        <f t="shared" ref="BF253" si="6311">+BF252/BA252-1</f>
        <v>0.28750000000000009</v>
      </c>
      <c r="BG253" s="13">
        <f t="shared" ref="BG253" si="6312">+BG252/BB252-1</f>
        <v>0.25888888888888895</v>
      </c>
      <c r="BH253" s="13">
        <f t="shared" ref="BH253" si="6313">+BH252/BC252-1</f>
        <v>0.23600000000000021</v>
      </c>
      <c r="BI253" s="239">
        <f t="shared" ref="BI253" si="6314">+BI252/BD252-1</f>
        <v>0.26953488372093015</v>
      </c>
      <c r="BJ253" s="13">
        <f>+BJ252/BE252-1</f>
        <v>0.24914893617021261</v>
      </c>
      <c r="BK253" s="13">
        <f t="shared" ref="BK253" si="6315">+BK252/BF252-1</f>
        <v>0.23599999999999999</v>
      </c>
      <c r="BL253" s="13">
        <f t="shared" ref="BL253" si="6316">+BL252/BG252-1</f>
        <v>0.21727272727272728</v>
      </c>
      <c r="BM253" s="13">
        <f t="shared" ref="BM253" si="6317">+BM252/BH252-1</f>
        <v>0.20166666666666644</v>
      </c>
      <c r="BN253" s="239">
        <f t="shared" ref="BN253" si="6318">+BN252/BI252-1</f>
        <v>0.22433962264150953</v>
      </c>
      <c r="BO253" s="13">
        <f>+BO252/BJ252-1</f>
        <v>0.21070175438596483</v>
      </c>
      <c r="BP253" s="13">
        <f t="shared" ref="BP253" si="6319">+BP252/BK252-1</f>
        <v>0.20166666666666666</v>
      </c>
      <c r="BQ253" s="13">
        <f t="shared" ref="BQ253" si="6320">+BQ252/BL252-1</f>
        <v>0.18846153846153846</v>
      </c>
      <c r="BR253" s="13">
        <f t="shared" ref="BR253" si="6321">+BR252/BM252-1</f>
        <v>0.17714285714285705</v>
      </c>
      <c r="BS253" s="239">
        <f t="shared" ref="BS253" si="6322">+BS252/BN252-1</f>
        <v>0.19349206349206338</v>
      </c>
      <c r="BT253" s="13">
        <f>+BT252/BO252-1</f>
        <v>0.18373134328358209</v>
      </c>
      <c r="BU253" s="13">
        <f t="shared" ref="BU253" si="6323">+BU252/BP252-1</f>
        <v>0.17714285714285705</v>
      </c>
      <c r="BV253" s="13">
        <f t="shared" ref="BV253" si="6324">+BV252/BQ252-1</f>
        <v>0.16733333333333333</v>
      </c>
      <c r="BW253" s="13">
        <f t="shared" ref="BW253" si="6325">+BW252/BR252-1</f>
        <v>0.15875000000000017</v>
      </c>
      <c r="BX253" s="239">
        <f t="shared" ref="BX253" si="6326">+BX252/BS252-1</f>
        <v>0.17109589041095896</v>
      </c>
      <c r="BY253" s="13">
        <f>+BY252/BT252-1</f>
        <v>0.16376623376623378</v>
      </c>
      <c r="BZ253" s="13">
        <f t="shared" ref="BZ253" si="6327">+BZ252/BU252-1</f>
        <v>0.15875000000000017</v>
      </c>
      <c r="CA253" s="13">
        <f t="shared" ref="CA253" si="6328">+CA252/BV252-1</f>
        <v>0.15117647058823525</v>
      </c>
      <c r="CB253" s="13">
        <f t="shared" ref="CB253" si="6329">+CB252/BW252-1</f>
        <v>0.14444444444444438</v>
      </c>
      <c r="CC253" s="239">
        <f t="shared" ref="CC253" si="6330">+CC252/BX252-1</f>
        <v>0.15409638554216865</v>
      </c>
      <c r="CD253" s="13">
        <f>+CD252/BY252-1</f>
        <v>0.14839080459770115</v>
      </c>
      <c r="CE253" s="13">
        <f t="shared" ref="CE253" si="6331">+CE252/BZ252-1</f>
        <v>0.14444444444444438</v>
      </c>
      <c r="CF253" s="13">
        <f t="shared" ref="CF253" si="6332">+CF252/CA252-1</f>
        <v>0.138421052631579</v>
      </c>
      <c r="CG253" s="13">
        <f t="shared" ref="CG253" si="6333">+CG252/CB252-1</f>
        <v>0.13300000000000001</v>
      </c>
      <c r="CH253" s="239">
        <f t="shared" ref="CH253" si="6334">+CH252/CC252-1</f>
        <v>0.14075268817204289</v>
      </c>
      <c r="CI253" s="13">
        <f>+CI252/CD252-1</f>
        <v>0.13618556701030915</v>
      </c>
      <c r="CJ253" s="13">
        <f t="shared" ref="CJ253" si="6335">+CJ252/CE252-1</f>
        <v>0.13300000000000001</v>
      </c>
      <c r="CK253" s="13">
        <f t="shared" ref="CK253" si="6336">+CK252/CF252-1</f>
        <v>0.12809523809523804</v>
      </c>
      <c r="CL253" s="13">
        <f t="shared" ref="CL253" si="6337">+CL252/CG252-1</f>
        <v>0.12363636363636377</v>
      </c>
      <c r="CM253" s="239">
        <f t="shared" ref="CM253" si="6338">+CM252/CH252-1</f>
        <v>0.12999999999999989</v>
      </c>
      <c r="CN253" s="13">
        <f>+CN252/CI252-1</f>
        <v>0.12626168224299072</v>
      </c>
      <c r="CO253" s="13">
        <f t="shared" ref="CO253" si="6339">+CO252/CJ252-1</f>
        <v>0.12363636363636377</v>
      </c>
      <c r="CP253" s="13">
        <f t="shared" ref="CP253" si="6340">+CP252/CK252-1</f>
        <v>0.11956521739130443</v>
      </c>
      <c r="CQ253" s="13">
        <f t="shared" ref="CQ253" si="6341">+CQ252/CL252-1</f>
        <v>0.11583333333333345</v>
      </c>
      <c r="CR253" s="239">
        <f t="shared" ref="CR253" si="6342">+CR252/CM252-1</f>
        <v>0.12115044247787621</v>
      </c>
      <c r="CS253" s="13">
        <f>+CS252/CN252-1</f>
        <v>0.11803418803418819</v>
      </c>
      <c r="CT253" s="13">
        <f t="shared" ref="CT253" si="6343">+CT252/CO252-1</f>
        <v>0.11583333333333323</v>
      </c>
      <c r="CU253" s="13">
        <f t="shared" ref="CU253" si="6344">+CU252/CP252-1</f>
        <v>0.11240000000000028</v>
      </c>
      <c r="CV253" s="13">
        <f t="shared" ref="CV253" si="6345">+CV252/CQ252-1</f>
        <v>0.10923076923076924</v>
      </c>
      <c r="CW253" s="239">
        <f t="shared" ref="CW253" si="6346">+CW252/CR252-1</f>
        <v>0.11373983739837401</v>
      </c>
      <c r="CX253" s="13">
        <f>+CX252/CS252-1</f>
        <v>0.11110236220472447</v>
      </c>
      <c r="CY253" s="13">
        <f t="shared" ref="CY253" si="6347">+CY252/CT252-1</f>
        <v>0.10923076923076946</v>
      </c>
      <c r="CZ253" s="13">
        <f t="shared" ref="CZ253" si="6348">+CZ252/CU252-1</f>
        <v>0.10629629629629633</v>
      </c>
      <c r="DA253" s="13">
        <f t="shared" ref="DA253" si="6349">+DA252/CV252-1</f>
        <v>0.10357142857142865</v>
      </c>
      <c r="DB253" s="239">
        <f t="shared" ref="DB253" si="6350">+DB252/CW252-1</f>
        <v>0.10744360902255634</v>
      </c>
    </row>
    <row r="254" spans="1:106">
      <c r="A254" s="117" t="s">
        <v>288</v>
      </c>
      <c r="F254" s="217"/>
      <c r="K254" s="217"/>
      <c r="P254" s="217"/>
      <c r="U254" s="217"/>
      <c r="V254" s="119" t="s">
        <v>290</v>
      </c>
      <c r="W254" s="13" t="e">
        <f>+W252/V252-1</f>
        <v>#DIV/0!</v>
      </c>
      <c r="X254" s="13" t="e">
        <f t="shared" ref="X254:Y254" si="6351">+X252/W252-1</f>
        <v>#DIV/0!</v>
      </c>
      <c r="Y254" s="13" t="e">
        <f t="shared" si="6351"/>
        <v>#DIV/0!</v>
      </c>
      <c r="Z254" s="235" t="s">
        <v>290</v>
      </c>
      <c r="AA254" s="13" t="e">
        <f>+AA252/Y252-1</f>
        <v>#DIV/0!</v>
      </c>
      <c r="AB254" s="13" t="e">
        <f>+AB252/AA252-1</f>
        <v>#DIV/0!</v>
      </c>
      <c r="AC254" s="13" t="e">
        <f t="shared" ref="AC254:AD254" si="6352">+AC252/AB252-1</f>
        <v>#DIV/0!</v>
      </c>
      <c r="AD254" s="13" t="e">
        <f t="shared" si="6352"/>
        <v>#DIV/0!</v>
      </c>
      <c r="AE254" s="235" t="s">
        <v>290</v>
      </c>
      <c r="AF254" s="13" t="e">
        <f>+AF252/AD252-1</f>
        <v>#DIV/0!</v>
      </c>
      <c r="AG254" s="13" t="e">
        <f>+AG252/AF252-1</f>
        <v>#DIV/0!</v>
      </c>
      <c r="AH254" s="13" t="e">
        <f t="shared" ref="AH254:AI254" si="6353">+AH252/AG252-1</f>
        <v>#DIV/0!</v>
      </c>
      <c r="AI254" s="13" t="e">
        <f t="shared" si="6353"/>
        <v>#DIV/0!</v>
      </c>
      <c r="AJ254" s="235" t="s">
        <v>290</v>
      </c>
      <c r="AK254" s="13" t="e">
        <f>+AK252/AI252-1</f>
        <v>#DIV/0!</v>
      </c>
      <c r="AL254" s="13" t="e">
        <f>+AL252/AK252-1</f>
        <v>#DIV/0!</v>
      </c>
      <c r="AM254" s="13" t="e">
        <f t="shared" ref="AM254:AN254" si="6354">+AM252/AL252-1</f>
        <v>#DIV/0!</v>
      </c>
      <c r="AN254" s="13" t="e">
        <f t="shared" si="6354"/>
        <v>#DIV/0!</v>
      </c>
      <c r="AO254" s="235" t="s">
        <v>290</v>
      </c>
      <c r="AP254" s="13" t="e">
        <f>+AP252/AN252-1</f>
        <v>#DIV/0!</v>
      </c>
      <c r="AQ254" s="13">
        <f>+AQ252/AP252-1</f>
        <v>0</v>
      </c>
      <c r="AR254" s="13">
        <f t="shared" ref="AR254:AS254" si="6355">+AR252/AQ252-1</f>
        <v>0.49999999999999978</v>
      </c>
      <c r="AS254" s="13">
        <f t="shared" si="6355"/>
        <v>0</v>
      </c>
      <c r="AT254" s="235" t="s">
        <v>290</v>
      </c>
      <c r="AU254" s="13">
        <f>+AU252/AS252-1</f>
        <v>4.1500000000000004</v>
      </c>
      <c r="AV254" s="13">
        <f>+AV252/AU252-1</f>
        <v>0.33333333333333326</v>
      </c>
      <c r="AW254" s="13">
        <f t="shared" ref="AW254:AX254" si="6356">+AW252/AV252-1</f>
        <v>0.5</v>
      </c>
      <c r="AX254" s="13">
        <f t="shared" si="6356"/>
        <v>0.16666666666666674</v>
      </c>
      <c r="AY254" s="235" t="s">
        <v>290</v>
      </c>
      <c r="AZ254" s="13">
        <f>+AZ252/AX252-1</f>
        <v>8.8857142857142746E-2</v>
      </c>
      <c r="BA254" s="13">
        <f>+BA252/AZ252-1</f>
        <v>8.1081081081081141E-2</v>
      </c>
      <c r="BB254" s="13">
        <f t="shared" ref="BB254:BC254" si="6357">+BB252/BA252-1</f>
        <v>0.125</v>
      </c>
      <c r="BC254" s="13">
        <f t="shared" si="6357"/>
        <v>0.11111111111111116</v>
      </c>
      <c r="BD254" s="235" t="s">
        <v>290</v>
      </c>
      <c r="BE254" s="13">
        <f>+BE252/BC252-1</f>
        <v>-3.1799999999999939E-2</v>
      </c>
      <c r="BF254" s="13">
        <f>+BF252/BE252-1</f>
        <v>6.3829787234042534E-2</v>
      </c>
      <c r="BG254" s="13">
        <f t="shared" ref="BG254:BH254" si="6358">+BG252/BF252-1</f>
        <v>9.9999999999999867E-2</v>
      </c>
      <c r="BH254" s="13">
        <f t="shared" si="6358"/>
        <v>9.090909090909105E-2</v>
      </c>
      <c r="BI254" s="235" t="s">
        <v>290</v>
      </c>
      <c r="BJ254" s="13">
        <f>+BJ252/BH252-1</f>
        <v>-2.1500000000000186E-2</v>
      </c>
      <c r="BK254" s="13">
        <f>+BK252/BJ252-1</f>
        <v>5.2631578947368585E-2</v>
      </c>
      <c r="BL254" s="13">
        <f t="shared" ref="BL254:BM254" si="6359">+BL252/BK252-1</f>
        <v>8.3333333333333259E-2</v>
      </c>
      <c r="BM254" s="13">
        <f t="shared" si="6359"/>
        <v>7.6923076923076872E-2</v>
      </c>
      <c r="BN254" s="235" t="s">
        <v>290</v>
      </c>
      <c r="BO254" s="13">
        <f>+BO252/BM252-1</f>
        <v>-1.4142857142857124E-2</v>
      </c>
      <c r="BP254" s="13">
        <f>+BP252/BO252-1</f>
        <v>4.4776119402985204E-2</v>
      </c>
      <c r="BQ254" s="13">
        <f t="shared" ref="BQ254:BR254" si="6360">+BQ252/BP252-1</f>
        <v>7.1428571428571397E-2</v>
      </c>
      <c r="BR254" s="13">
        <f t="shared" si="6360"/>
        <v>6.6666666666666652E-2</v>
      </c>
      <c r="BS254" s="235" t="s">
        <v>290</v>
      </c>
      <c r="BT254" s="13">
        <f>+BT252/BR252-1</f>
        <v>-8.6249999999998828E-3</v>
      </c>
      <c r="BU254" s="13">
        <f>+BU252/BT252-1</f>
        <v>3.8961038961038863E-2</v>
      </c>
      <c r="BV254" s="13">
        <f t="shared" ref="BV254:BW254" si="6361">+BV252/BU252-1</f>
        <v>6.25E-2</v>
      </c>
      <c r="BW254" s="13">
        <f t="shared" si="6361"/>
        <v>5.8823529411764719E-2</v>
      </c>
      <c r="BX254" s="235" t="s">
        <v>290</v>
      </c>
      <c r="BY254" s="13">
        <f>+BY252/BW252-1</f>
        <v>-4.3333333333334112E-3</v>
      </c>
      <c r="BZ254" s="13">
        <f>+BZ252/BY252-1</f>
        <v>3.4482758620689724E-2</v>
      </c>
      <c r="CA254" s="13">
        <f t="shared" ref="CA254:CB254" si="6362">+CA252/BZ252-1</f>
        <v>5.5555555555555358E-2</v>
      </c>
      <c r="CB254" s="13">
        <f t="shared" si="6362"/>
        <v>5.2631578947368585E-2</v>
      </c>
      <c r="CC254" s="235" t="s">
        <v>290</v>
      </c>
      <c r="CD254" s="13">
        <f>+CD252/CB252-1</f>
        <v>-9.000000000000119E-4</v>
      </c>
      <c r="CE254" s="13">
        <f>+CE252/CD252-1</f>
        <v>3.0927835051546282E-2</v>
      </c>
      <c r="CF254" s="13">
        <f t="shared" ref="CF254:CG254" si="6363">+CF252/CE252-1</f>
        <v>5.0000000000000044E-2</v>
      </c>
      <c r="CG254" s="13">
        <f t="shared" si="6363"/>
        <v>4.7619047619047672E-2</v>
      </c>
      <c r="CH254" s="235" t="s">
        <v>290</v>
      </c>
      <c r="CI254" s="13">
        <f>+CI252/CG252-1</f>
        <v>1.9090909090908603E-3</v>
      </c>
      <c r="CJ254" s="13">
        <f>+CJ252/CI252-1</f>
        <v>2.8037383177570208E-2</v>
      </c>
      <c r="CK254" s="13">
        <f t="shared" ref="CK254:CL254" si="6364">+CK252/CJ252-1</f>
        <v>4.5454545454545414E-2</v>
      </c>
      <c r="CL254" s="13">
        <f t="shared" si="6364"/>
        <v>4.3478260869565188E-2</v>
      </c>
      <c r="CM254" s="235" t="s">
        <v>290</v>
      </c>
      <c r="CN254" s="13">
        <f>+CN252/CL252-1</f>
        <v>4.250000000000087E-3</v>
      </c>
      <c r="CO254" s="13">
        <f>+CO252/CN252-1</f>
        <v>2.5641025641025772E-2</v>
      </c>
      <c r="CP254" s="13">
        <f t="shared" ref="CP254:CQ254" si="6365">+CP252/CO252-1</f>
        <v>4.1666666666666519E-2</v>
      </c>
      <c r="CQ254" s="13">
        <f t="shared" si="6365"/>
        <v>4.0000000000000036E-2</v>
      </c>
      <c r="CR254" s="235" t="s">
        <v>290</v>
      </c>
      <c r="CS254" s="13">
        <f>+CS252/CQ252-1</f>
        <v>6.2307692307692619E-3</v>
      </c>
      <c r="CT254" s="13">
        <f>+CT252/CS252-1</f>
        <v>2.3622047244094224E-2</v>
      </c>
      <c r="CU254" s="13">
        <f t="shared" ref="CU254:CV254" si="6366">+CU252/CT252-1</f>
        <v>3.8461538461538547E-2</v>
      </c>
      <c r="CV254" s="13">
        <f t="shared" si="6366"/>
        <v>3.7037037037036979E-2</v>
      </c>
      <c r="CW254" s="235" t="s">
        <v>290</v>
      </c>
      <c r="CX254" s="13">
        <f>+CX252/CV252-1</f>
        <v>7.928571428571507E-3</v>
      </c>
      <c r="CY254" s="13">
        <f>+CY252/CX252-1</f>
        <v>2.1897810218978186E-2</v>
      </c>
      <c r="CZ254" s="13">
        <f t="shared" ref="CZ254:DA254" si="6367">+CZ252/CY252-1</f>
        <v>3.5714285714285587E-2</v>
      </c>
      <c r="DA254" s="13">
        <f t="shared" si="6367"/>
        <v>3.4482758620689724E-2</v>
      </c>
      <c r="DB254" s="235" t="s">
        <v>290</v>
      </c>
    </row>
    <row r="255" spans="1:106">
      <c r="A255" s="117" t="s">
        <v>505</v>
      </c>
      <c r="F255" s="217"/>
      <c r="K255" s="217"/>
      <c r="P255" s="217"/>
      <c r="U255" s="217"/>
      <c r="V255" s="118">
        <v>0</v>
      </c>
      <c r="W255" s="118">
        <v>0</v>
      </c>
      <c r="X255" s="118">
        <v>0</v>
      </c>
      <c r="Y255" s="118">
        <v>0</v>
      </c>
      <c r="Z255" s="239">
        <f>+Z252/Z249</f>
        <v>0</v>
      </c>
      <c r="AA255" s="118">
        <v>0</v>
      </c>
      <c r="AB255" s="118">
        <v>0</v>
      </c>
      <c r="AC255" s="118">
        <v>0</v>
      </c>
      <c r="AD255" s="118">
        <v>0</v>
      </c>
      <c r="AE255" s="239">
        <f>+AE252/AE249</f>
        <v>0</v>
      </c>
      <c r="AF255" s="118">
        <v>0</v>
      </c>
      <c r="AG255" s="118">
        <v>0</v>
      </c>
      <c r="AH255" s="118">
        <v>0</v>
      </c>
      <c r="AI255" s="118">
        <v>0</v>
      </c>
      <c r="AJ255" s="239">
        <f>+AJ252/AJ249</f>
        <v>0</v>
      </c>
      <c r="AK255" s="118">
        <v>0</v>
      </c>
      <c r="AL255" s="118">
        <v>0</v>
      </c>
      <c r="AM255" s="118">
        <v>0</v>
      </c>
      <c r="AN255" s="118">
        <v>0</v>
      </c>
      <c r="AO255" s="239">
        <f>+AO252/AO249</f>
        <v>0</v>
      </c>
      <c r="AP255" s="118">
        <v>2E-3</v>
      </c>
      <c r="AQ255" s="118">
        <v>2E-3</v>
      </c>
      <c r="AR255" s="118">
        <v>3.0000000000000001E-3</v>
      </c>
      <c r="AS255" s="118">
        <v>3.0000000000000001E-3</v>
      </c>
      <c r="AT255" s="239">
        <f>+AT252/AT249</f>
        <v>2.5000000000000001E-3</v>
      </c>
      <c r="AU255" s="118">
        <v>1.4999999999999999E-2</v>
      </c>
      <c r="AV255" s="118">
        <v>0.02</v>
      </c>
      <c r="AW255" s="118">
        <v>0.03</v>
      </c>
      <c r="AX255" s="118">
        <v>3.5000000000000003E-2</v>
      </c>
      <c r="AY255" s="239">
        <f>+AY252/AY249</f>
        <v>2.5000000000000001E-2</v>
      </c>
      <c r="AZ255" s="118">
        <v>3.6999999999999998E-2</v>
      </c>
      <c r="BA255" s="118">
        <v>0.04</v>
      </c>
      <c r="BB255" s="118">
        <v>4.4999999999999998E-2</v>
      </c>
      <c r="BC255" s="118">
        <v>0.05</v>
      </c>
      <c r="BD255" s="239">
        <f>+BD252/BD249</f>
        <v>4.2999999999999997E-2</v>
      </c>
      <c r="BE255" s="118">
        <f>+AZ255+0.01</f>
        <v>4.7E-2</v>
      </c>
      <c r="BF255" s="118">
        <f t="shared" ref="BF255" si="6368">+BA255+0.01</f>
        <v>0.05</v>
      </c>
      <c r="BG255" s="118">
        <f t="shared" ref="BG255" si="6369">+BB255+0.01</f>
        <v>5.5E-2</v>
      </c>
      <c r="BH255" s="118">
        <f t="shared" ref="BH255" si="6370">+BC255+0.01</f>
        <v>6.0000000000000005E-2</v>
      </c>
      <c r="BI255" s="239">
        <f>+BI252/BI249</f>
        <v>5.2999999999999992E-2</v>
      </c>
      <c r="BJ255" s="118">
        <f>+BE255+0.01</f>
        <v>5.7000000000000002E-2</v>
      </c>
      <c r="BK255" s="118">
        <f t="shared" ref="BK255" si="6371">+BF255+0.01</f>
        <v>6.0000000000000005E-2</v>
      </c>
      <c r="BL255" s="118">
        <f t="shared" ref="BL255" si="6372">+BG255+0.01</f>
        <v>6.5000000000000002E-2</v>
      </c>
      <c r="BM255" s="118">
        <f t="shared" ref="BM255" si="6373">+BH255+0.01</f>
        <v>7.0000000000000007E-2</v>
      </c>
      <c r="BN255" s="239">
        <f>+BN252/BN249</f>
        <v>6.3E-2</v>
      </c>
      <c r="BO255" s="118">
        <f>+BJ255+0.01</f>
        <v>6.7000000000000004E-2</v>
      </c>
      <c r="BP255" s="118">
        <f t="shared" ref="BP255" si="6374">+BK255+0.01</f>
        <v>7.0000000000000007E-2</v>
      </c>
      <c r="BQ255" s="118">
        <f t="shared" ref="BQ255" si="6375">+BL255+0.01</f>
        <v>7.4999999999999997E-2</v>
      </c>
      <c r="BR255" s="118">
        <f t="shared" ref="BR255" si="6376">+BM255+0.01</f>
        <v>0.08</v>
      </c>
      <c r="BS255" s="239">
        <f>+BS252/BS249</f>
        <v>7.2999999999999995E-2</v>
      </c>
      <c r="BT255" s="118">
        <f>+BO255+0.01</f>
        <v>7.6999999999999999E-2</v>
      </c>
      <c r="BU255" s="118">
        <f t="shared" ref="BU255" si="6377">+BP255+0.01</f>
        <v>0.08</v>
      </c>
      <c r="BV255" s="118">
        <f t="shared" ref="BV255" si="6378">+BQ255+0.01</f>
        <v>8.4999999999999992E-2</v>
      </c>
      <c r="BW255" s="118">
        <f t="shared" ref="BW255" si="6379">+BR255+0.01</f>
        <v>0.09</v>
      </c>
      <c r="BX255" s="239">
        <f>+BX252/BX249</f>
        <v>8.299999999999999E-2</v>
      </c>
      <c r="BY255" s="118">
        <f>+BT255+0.01</f>
        <v>8.6999999999999994E-2</v>
      </c>
      <c r="BZ255" s="118">
        <f t="shared" ref="BZ255" si="6380">+BU255+0.01</f>
        <v>0.09</v>
      </c>
      <c r="CA255" s="118">
        <f t="shared" ref="CA255" si="6381">+BV255+0.01</f>
        <v>9.4999999999999987E-2</v>
      </c>
      <c r="CB255" s="118">
        <f t="shared" ref="CB255" si="6382">+BW255+0.01</f>
        <v>9.9999999999999992E-2</v>
      </c>
      <c r="CC255" s="239">
        <f>+CC252/CC249</f>
        <v>9.2999999999999999E-2</v>
      </c>
      <c r="CD255" s="118">
        <f>+BY255+0.01</f>
        <v>9.6999999999999989E-2</v>
      </c>
      <c r="CE255" s="118">
        <f t="shared" ref="CE255" si="6383">+BZ255+0.01</f>
        <v>9.9999999999999992E-2</v>
      </c>
      <c r="CF255" s="118">
        <f t="shared" ref="CF255" si="6384">+CA255+0.01</f>
        <v>0.10499999999999998</v>
      </c>
      <c r="CG255" s="118">
        <f t="shared" ref="CG255" si="6385">+CB255+0.01</f>
        <v>0.10999999999999999</v>
      </c>
      <c r="CH255" s="239">
        <f>+CH252/CH249</f>
        <v>0.10299999999999998</v>
      </c>
      <c r="CI255" s="118">
        <f>+CD255+0.01</f>
        <v>0.10699999999999998</v>
      </c>
      <c r="CJ255" s="118">
        <f t="shared" ref="CJ255" si="6386">+CE255+0.01</f>
        <v>0.10999999999999999</v>
      </c>
      <c r="CK255" s="118">
        <f t="shared" ref="CK255" si="6387">+CF255+0.01</f>
        <v>0.11499999999999998</v>
      </c>
      <c r="CL255" s="118">
        <f t="shared" ref="CL255" si="6388">+CG255+0.01</f>
        <v>0.11999999999999998</v>
      </c>
      <c r="CM255" s="239">
        <f>+CM252/CM249</f>
        <v>0.11299999999999998</v>
      </c>
      <c r="CN255" s="118">
        <f>+CI255+0.01</f>
        <v>0.11699999999999998</v>
      </c>
      <c r="CO255" s="118">
        <f t="shared" ref="CO255" si="6389">+CJ255+0.01</f>
        <v>0.11999999999999998</v>
      </c>
      <c r="CP255" s="118">
        <f t="shared" ref="CP255" si="6390">+CK255+0.01</f>
        <v>0.12499999999999997</v>
      </c>
      <c r="CQ255" s="118">
        <f t="shared" ref="CQ255" si="6391">+CL255+0.01</f>
        <v>0.12999999999999998</v>
      </c>
      <c r="CR255" s="239">
        <f>+CR252/CR249</f>
        <v>0.12299999999999998</v>
      </c>
      <c r="CS255" s="118">
        <f>+CN255+0.01</f>
        <v>0.12699999999999997</v>
      </c>
      <c r="CT255" s="118">
        <f t="shared" ref="CT255" si="6392">+CO255+0.01</f>
        <v>0.12999999999999998</v>
      </c>
      <c r="CU255" s="118">
        <f t="shared" ref="CU255" si="6393">+CP255+0.01</f>
        <v>0.13499999999999998</v>
      </c>
      <c r="CV255" s="118">
        <f t="shared" ref="CV255" si="6394">+CQ255+0.01</f>
        <v>0.13999999999999999</v>
      </c>
      <c r="CW255" s="239">
        <f>+CW252/CW249</f>
        <v>0.13299999999999998</v>
      </c>
      <c r="CX255" s="118">
        <f>+CS255+0.01</f>
        <v>0.13699999999999998</v>
      </c>
      <c r="CY255" s="118">
        <f t="shared" ref="CY255" si="6395">+CT255+0.01</f>
        <v>0.13999999999999999</v>
      </c>
      <c r="CZ255" s="118">
        <f t="shared" ref="CZ255" si="6396">+CU255+0.01</f>
        <v>0.14499999999999999</v>
      </c>
      <c r="DA255" s="118">
        <f t="shared" ref="DA255" si="6397">+CV255+0.01</f>
        <v>0.15</v>
      </c>
      <c r="DB255" s="239">
        <f>+DB252/DB249</f>
        <v>0.14299999999999996</v>
      </c>
    </row>
    <row r="256" spans="1:106">
      <c r="F256" s="217"/>
      <c r="K256" s="217"/>
      <c r="P256" s="217"/>
      <c r="U256" s="217"/>
      <c r="Z256" s="217"/>
      <c r="AE256" s="217"/>
      <c r="AJ256" s="217"/>
      <c r="AO256" s="217"/>
      <c r="AT256" s="217"/>
      <c r="AY256" s="217"/>
      <c r="BD256" s="217"/>
      <c r="BI256" s="217"/>
      <c r="BN256" s="217"/>
      <c r="BS256" s="217"/>
      <c r="BX256" s="217"/>
      <c r="CC256" s="217"/>
      <c r="CH256" s="217"/>
      <c r="CM256" s="217"/>
      <c r="CR256" s="217"/>
      <c r="CW256" s="217"/>
      <c r="DB256" s="217"/>
    </row>
    <row r="257" spans="1:106" s="51" customFormat="1">
      <c r="A257" s="51" t="s">
        <v>289</v>
      </c>
      <c r="F257" s="233"/>
      <c r="K257" s="233"/>
      <c r="P257" s="233"/>
      <c r="U257" s="233"/>
      <c r="V257" s="226">
        <f>+V231</f>
        <v>1500</v>
      </c>
      <c r="W257" s="226">
        <f t="shared" ref="W257:Y257" si="6398">+W231</f>
        <v>1500</v>
      </c>
      <c r="X257" s="226">
        <f t="shared" si="6398"/>
        <v>1500</v>
      </c>
      <c r="Y257" s="226">
        <f t="shared" si="6398"/>
        <v>1500</v>
      </c>
      <c r="Z257" s="242" t="s">
        <v>290</v>
      </c>
      <c r="AA257" s="226">
        <f>+AA231</f>
        <v>1500</v>
      </c>
      <c r="AB257" s="226">
        <f t="shared" ref="AB257:AD257" si="6399">+AB231</f>
        <v>1500</v>
      </c>
      <c r="AC257" s="226">
        <f t="shared" si="6399"/>
        <v>1500</v>
      </c>
      <c r="AD257" s="226">
        <f t="shared" si="6399"/>
        <v>1500</v>
      </c>
      <c r="AE257" s="242" t="s">
        <v>290</v>
      </c>
      <c r="AF257" s="226">
        <f>+AF231</f>
        <v>1867</v>
      </c>
      <c r="AG257" s="226">
        <f t="shared" ref="AG257:AI257" si="6400">+AG231</f>
        <v>1466</v>
      </c>
      <c r="AH257" s="226">
        <f t="shared" si="6400"/>
        <v>1532</v>
      </c>
      <c r="AI257" s="226">
        <f t="shared" si="6400"/>
        <v>1465</v>
      </c>
      <c r="AJ257" s="236" t="e">
        <f>+AJ260/AJ252*1000000</f>
        <v>#DIV/0!</v>
      </c>
      <c r="AK257" s="226">
        <f>+AK231</f>
        <v>1277</v>
      </c>
      <c r="AL257" s="226">
        <f t="shared" ref="AL257:AN257" si="6401">+AL231</f>
        <v>1300</v>
      </c>
      <c r="AM257" s="226">
        <f t="shared" si="6401"/>
        <v>1313</v>
      </c>
      <c r="AN257" s="226">
        <f t="shared" si="6401"/>
        <v>1300</v>
      </c>
      <c r="AO257" s="236" t="e">
        <f>+AO260/AO252*1000000</f>
        <v>#DIV/0!</v>
      </c>
      <c r="AP257" s="226">
        <f>+AP231</f>
        <v>1300</v>
      </c>
      <c r="AQ257" s="226">
        <f t="shared" ref="AQ257:AS257" si="6402">+AQ231</f>
        <v>1300</v>
      </c>
      <c r="AR257" s="226">
        <f t="shared" si="6402"/>
        <v>1300</v>
      </c>
      <c r="AS257" s="226">
        <f t="shared" si="6402"/>
        <v>1300</v>
      </c>
      <c r="AT257" s="236">
        <f>+AT260/AT252*1000000</f>
        <v>1300</v>
      </c>
      <c r="AU257" s="226">
        <f>+AU231</f>
        <v>1200</v>
      </c>
      <c r="AV257" s="226">
        <f t="shared" ref="AV257:AX257" si="6403">+AV231</f>
        <v>1270</v>
      </c>
      <c r="AW257" s="226">
        <f t="shared" si="6403"/>
        <v>1255</v>
      </c>
      <c r="AX257" s="226">
        <f t="shared" si="6403"/>
        <v>1269</v>
      </c>
      <c r="AY257" s="236">
        <f>+AY260/AY252*1000000</f>
        <v>1254.6500000000001</v>
      </c>
      <c r="AZ257" s="226">
        <f>+AZ231</f>
        <v>1275</v>
      </c>
      <c r="BA257" s="226">
        <f t="shared" ref="BA257:BC257" si="6404">+BA231</f>
        <v>1275</v>
      </c>
      <c r="BB257" s="226">
        <f t="shared" si="6404"/>
        <v>1275</v>
      </c>
      <c r="BC257" s="226">
        <f t="shared" si="6404"/>
        <v>1275</v>
      </c>
      <c r="BD257" s="236">
        <f>+BD260/BD252*1000000</f>
        <v>1274.9999999999998</v>
      </c>
      <c r="BE257" s="226">
        <f>+BE231</f>
        <v>1300</v>
      </c>
      <c r="BF257" s="226">
        <f t="shared" ref="BF257:BH257" si="6405">+BF231</f>
        <v>1300</v>
      </c>
      <c r="BG257" s="226">
        <f t="shared" si="6405"/>
        <v>1305</v>
      </c>
      <c r="BH257" s="226">
        <f t="shared" si="6405"/>
        <v>1310</v>
      </c>
      <c r="BI257" s="236">
        <f>+BI260/BI252*1000000</f>
        <v>1304.1273584905662</v>
      </c>
      <c r="BJ257" s="226">
        <f>+BJ231</f>
        <v>1275</v>
      </c>
      <c r="BK257" s="226">
        <f t="shared" ref="BK257:BM257" si="6406">+BK231</f>
        <v>1275</v>
      </c>
      <c r="BL257" s="226">
        <f t="shared" si="6406"/>
        <v>1275</v>
      </c>
      <c r="BM257" s="226">
        <f t="shared" si="6406"/>
        <v>1275</v>
      </c>
      <c r="BN257" s="236">
        <f>+BN260/BN252*1000000</f>
        <v>1275</v>
      </c>
      <c r="BO257" s="226">
        <f>+BO231</f>
        <v>1275</v>
      </c>
      <c r="BP257" s="226">
        <f t="shared" ref="BP257:BR257" si="6407">+BP231</f>
        <v>1275</v>
      </c>
      <c r="BQ257" s="226">
        <f t="shared" si="6407"/>
        <v>1275</v>
      </c>
      <c r="BR257" s="226">
        <f t="shared" si="6407"/>
        <v>1275</v>
      </c>
      <c r="BS257" s="236">
        <f>+BS260/BS252*1000000</f>
        <v>1275</v>
      </c>
      <c r="BT257" s="226">
        <f>+BT231</f>
        <v>1275</v>
      </c>
      <c r="BU257" s="226">
        <f t="shared" ref="BU257:BW257" si="6408">+BU231</f>
        <v>1275</v>
      </c>
      <c r="BV257" s="226">
        <f t="shared" si="6408"/>
        <v>1275</v>
      </c>
      <c r="BW257" s="226">
        <f t="shared" si="6408"/>
        <v>1275</v>
      </c>
      <c r="BX257" s="236">
        <f>+BX260/BX252*1000000</f>
        <v>1274.9999999999998</v>
      </c>
      <c r="BY257" s="226">
        <f>+BY231</f>
        <v>1275</v>
      </c>
      <c r="BZ257" s="226">
        <f t="shared" ref="BZ257:CB257" si="6409">+BZ231</f>
        <v>1275</v>
      </c>
      <c r="CA257" s="226">
        <f t="shared" si="6409"/>
        <v>1275</v>
      </c>
      <c r="CB257" s="226">
        <f t="shared" si="6409"/>
        <v>1275</v>
      </c>
      <c r="CC257" s="236">
        <f>+CC260/CC252*1000000</f>
        <v>1275</v>
      </c>
      <c r="CD257" s="226">
        <f>+CD231</f>
        <v>1275</v>
      </c>
      <c r="CE257" s="226">
        <f t="shared" ref="CE257:CG257" si="6410">+CE231</f>
        <v>1275</v>
      </c>
      <c r="CF257" s="226">
        <f t="shared" si="6410"/>
        <v>1275</v>
      </c>
      <c r="CG257" s="226">
        <f t="shared" si="6410"/>
        <v>1275</v>
      </c>
      <c r="CH257" s="236">
        <f>+CH260/CH252*1000000</f>
        <v>1274.9999999999998</v>
      </c>
      <c r="CI257" s="226">
        <f>+CI231</f>
        <v>1275</v>
      </c>
      <c r="CJ257" s="226">
        <f t="shared" ref="CJ257:CL257" si="6411">+CJ231</f>
        <v>1275</v>
      </c>
      <c r="CK257" s="226">
        <f t="shared" si="6411"/>
        <v>1275</v>
      </c>
      <c r="CL257" s="226">
        <f t="shared" si="6411"/>
        <v>1275</v>
      </c>
      <c r="CM257" s="236">
        <f>+CM260/CM252*1000000</f>
        <v>1275</v>
      </c>
      <c r="CN257" s="226">
        <f>+CN231</f>
        <v>1275</v>
      </c>
      <c r="CO257" s="226">
        <f t="shared" ref="CO257:CQ257" si="6412">+CO231</f>
        <v>1275</v>
      </c>
      <c r="CP257" s="226">
        <f t="shared" si="6412"/>
        <v>1275</v>
      </c>
      <c r="CQ257" s="226">
        <f t="shared" si="6412"/>
        <v>1275</v>
      </c>
      <c r="CR257" s="236">
        <f>+CR260/CR252*1000000</f>
        <v>1274.9999999999998</v>
      </c>
      <c r="CS257" s="226">
        <f>+CS231</f>
        <v>1275</v>
      </c>
      <c r="CT257" s="226">
        <f t="shared" ref="CT257:CV257" si="6413">+CT231</f>
        <v>1275</v>
      </c>
      <c r="CU257" s="226">
        <f t="shared" si="6413"/>
        <v>1275</v>
      </c>
      <c r="CV257" s="226">
        <f t="shared" si="6413"/>
        <v>1275</v>
      </c>
      <c r="CW257" s="236">
        <f>+CW260/CW252*1000000</f>
        <v>1275</v>
      </c>
      <c r="CX257" s="226">
        <f>+CX231</f>
        <v>1275</v>
      </c>
      <c r="CY257" s="226">
        <f t="shared" ref="CY257:DA257" si="6414">+CY231</f>
        <v>1275</v>
      </c>
      <c r="CZ257" s="226">
        <f t="shared" si="6414"/>
        <v>1275</v>
      </c>
      <c r="DA257" s="226">
        <f t="shared" si="6414"/>
        <v>1275</v>
      </c>
      <c r="DB257" s="236">
        <f>+DB260/DB252*1000000</f>
        <v>1275</v>
      </c>
    </row>
    <row r="258" spans="1:106">
      <c r="A258" s="117" t="s">
        <v>281</v>
      </c>
      <c r="F258" s="217"/>
      <c r="K258" s="217"/>
      <c r="P258" s="217"/>
      <c r="U258" s="217"/>
      <c r="V258" s="119" t="s">
        <v>290</v>
      </c>
      <c r="W258" s="119" t="s">
        <v>290</v>
      </c>
      <c r="X258" s="119" t="s">
        <v>290</v>
      </c>
      <c r="Y258" s="119" t="s">
        <v>290</v>
      </c>
      <c r="Z258" s="235" t="s">
        <v>290</v>
      </c>
      <c r="AA258" s="13">
        <f>+AA257/V257-1</f>
        <v>0</v>
      </c>
      <c r="AB258" s="13">
        <f t="shared" ref="AB258" si="6415">+AB257/W257-1</f>
        <v>0</v>
      </c>
      <c r="AC258" s="13">
        <f t="shared" ref="AC258" si="6416">+AC257/X257-1</f>
        <v>0</v>
      </c>
      <c r="AD258" s="13">
        <f t="shared" ref="AD258" si="6417">+AD257/Y257-1</f>
        <v>0</v>
      </c>
      <c r="AE258" s="239" t="e">
        <f t="shared" ref="AE258" si="6418">+AE257/Z257-1</f>
        <v>#VALUE!</v>
      </c>
      <c r="AF258" s="13">
        <f>+AF257/AA257-1</f>
        <v>0.24466666666666659</v>
      </c>
      <c r="AG258" s="13">
        <f t="shared" ref="AG258" si="6419">+AG257/AB257-1</f>
        <v>-2.2666666666666613E-2</v>
      </c>
      <c r="AH258" s="13">
        <f t="shared" ref="AH258" si="6420">+AH257/AC257-1</f>
        <v>2.1333333333333426E-2</v>
      </c>
      <c r="AI258" s="13">
        <f t="shared" ref="AI258" si="6421">+AI257/AD257-1</f>
        <v>-2.3333333333333317E-2</v>
      </c>
      <c r="AJ258" s="239" t="e">
        <f t="shared" ref="AJ258" si="6422">+AJ257/AE257-1</f>
        <v>#DIV/0!</v>
      </c>
      <c r="AK258" s="13">
        <f>+AK257/AF257-1</f>
        <v>-0.31601499732190685</v>
      </c>
      <c r="AL258" s="13">
        <f t="shared" ref="AL258" si="6423">+AL257/AG257-1</f>
        <v>-0.11323328785811737</v>
      </c>
      <c r="AM258" s="13">
        <f t="shared" ref="AM258" si="6424">+AM257/AH257-1</f>
        <v>-0.14295039164490864</v>
      </c>
      <c r="AN258" s="13">
        <f t="shared" ref="AN258" si="6425">+AN257/AI257-1</f>
        <v>-0.11262798634812288</v>
      </c>
      <c r="AO258" s="239" t="e">
        <f t="shared" ref="AO258" si="6426">+AO257/AJ257-1</f>
        <v>#DIV/0!</v>
      </c>
      <c r="AP258" s="13">
        <f>+AP257/AK257-1</f>
        <v>1.8010963194988294E-2</v>
      </c>
      <c r="AQ258" s="13">
        <f t="shared" ref="AQ258" si="6427">+AQ257/AL257-1</f>
        <v>0</v>
      </c>
      <c r="AR258" s="13">
        <f t="shared" ref="AR258" si="6428">+AR257/AM257-1</f>
        <v>-9.9009900990099098E-3</v>
      </c>
      <c r="AS258" s="13">
        <f t="shared" ref="AS258" si="6429">+AS257/AN257-1</f>
        <v>0</v>
      </c>
      <c r="AT258" s="239" t="e">
        <f t="shared" ref="AT258" si="6430">+AT257/AO257-1</f>
        <v>#DIV/0!</v>
      </c>
      <c r="AU258" s="13">
        <f>+AU257/AP257-1</f>
        <v>-7.6923076923076872E-2</v>
      </c>
      <c r="AV258" s="13">
        <f t="shared" ref="AV258" si="6431">+AV257/AQ257-1</f>
        <v>-2.3076923076923106E-2</v>
      </c>
      <c r="AW258" s="13">
        <f t="shared" ref="AW258" si="6432">+AW257/AR257-1</f>
        <v>-3.4615384615384603E-2</v>
      </c>
      <c r="AX258" s="13">
        <f t="shared" ref="AX258" si="6433">+AX257/AS257-1</f>
        <v>-2.384615384615385E-2</v>
      </c>
      <c r="AY258" s="239">
        <f t="shared" ref="AY258" si="6434">+AY257/AT257-1</f>
        <v>-3.4884615384615292E-2</v>
      </c>
      <c r="AZ258" s="13">
        <f>+AZ257/AU257-1</f>
        <v>6.25E-2</v>
      </c>
      <c r="BA258" s="13">
        <f t="shared" ref="BA258" si="6435">+BA257/AV257-1</f>
        <v>3.937007874015741E-3</v>
      </c>
      <c r="BB258" s="13">
        <f t="shared" ref="BB258" si="6436">+BB257/AW257-1</f>
        <v>1.5936254980079667E-2</v>
      </c>
      <c r="BC258" s="13">
        <f t="shared" ref="BC258" si="6437">+BC257/AX257-1</f>
        <v>4.7281323877068626E-3</v>
      </c>
      <c r="BD258" s="239">
        <f t="shared" ref="BD258" si="6438">+BD257/AY257-1</f>
        <v>1.6219662854182193E-2</v>
      </c>
      <c r="BE258" s="13">
        <f>+BE257/AZ257-1</f>
        <v>1.9607843137254832E-2</v>
      </c>
      <c r="BF258" s="13">
        <f t="shared" ref="BF258" si="6439">+BF257/BA257-1</f>
        <v>1.9607843137254832E-2</v>
      </c>
      <c r="BG258" s="13">
        <f t="shared" ref="BG258" si="6440">+BG257/BB257-1</f>
        <v>2.3529411764705799E-2</v>
      </c>
      <c r="BH258" s="13">
        <f t="shared" ref="BH258" si="6441">+BH257/BC257-1</f>
        <v>2.7450980392156765E-2</v>
      </c>
      <c r="BI258" s="239">
        <f t="shared" ref="BI258" si="6442">+BI257/BD257-1</f>
        <v>2.2844987051424681E-2</v>
      </c>
      <c r="BJ258" s="13">
        <f>+BJ257/BE257-1</f>
        <v>-1.9230769230769273E-2</v>
      </c>
      <c r="BK258" s="13">
        <f t="shared" ref="BK258" si="6443">+BK257/BF257-1</f>
        <v>-1.9230769230769273E-2</v>
      </c>
      <c r="BL258" s="13">
        <f t="shared" ref="BL258" si="6444">+BL257/BG257-1</f>
        <v>-2.2988505747126409E-2</v>
      </c>
      <c r="BM258" s="13">
        <f t="shared" ref="BM258" si="6445">+BM257/BH257-1</f>
        <v>-2.6717557251908386E-2</v>
      </c>
      <c r="BN258" s="239">
        <f t="shared" ref="BN258" si="6446">+BN257/BI257-1</f>
        <v>-2.2334749977394042E-2</v>
      </c>
      <c r="BO258" s="13">
        <f>+BO257/BJ257-1</f>
        <v>0</v>
      </c>
      <c r="BP258" s="13">
        <f t="shared" ref="BP258" si="6447">+BP257/BK257-1</f>
        <v>0</v>
      </c>
      <c r="BQ258" s="13">
        <f t="shared" ref="BQ258" si="6448">+BQ257/BL257-1</f>
        <v>0</v>
      </c>
      <c r="BR258" s="13">
        <f t="shared" ref="BR258" si="6449">+BR257/BM257-1</f>
        <v>0</v>
      </c>
      <c r="BS258" s="239">
        <f t="shared" ref="BS258" si="6450">+BS257/BN257-1</f>
        <v>0</v>
      </c>
      <c r="BT258" s="13">
        <f>+BT257/BO257-1</f>
        <v>0</v>
      </c>
      <c r="BU258" s="13">
        <f t="shared" ref="BU258" si="6451">+BU257/BP257-1</f>
        <v>0</v>
      </c>
      <c r="BV258" s="13">
        <f t="shared" ref="BV258" si="6452">+BV257/BQ257-1</f>
        <v>0</v>
      </c>
      <c r="BW258" s="13">
        <f t="shared" ref="BW258" si="6453">+BW257/BR257-1</f>
        <v>0</v>
      </c>
      <c r="BX258" s="239">
        <f t="shared" ref="BX258" si="6454">+BX257/BS257-1</f>
        <v>0</v>
      </c>
      <c r="BY258" s="13">
        <f>+BY257/BT257-1</f>
        <v>0</v>
      </c>
      <c r="BZ258" s="13">
        <f t="shared" ref="BZ258" si="6455">+BZ257/BU257-1</f>
        <v>0</v>
      </c>
      <c r="CA258" s="13">
        <f t="shared" ref="CA258" si="6456">+CA257/BV257-1</f>
        <v>0</v>
      </c>
      <c r="CB258" s="13">
        <f t="shared" ref="CB258" si="6457">+CB257/BW257-1</f>
        <v>0</v>
      </c>
      <c r="CC258" s="239">
        <f t="shared" ref="CC258" si="6458">+CC257/BX257-1</f>
        <v>0</v>
      </c>
      <c r="CD258" s="13">
        <f>+CD257/BY257-1</f>
        <v>0</v>
      </c>
      <c r="CE258" s="13">
        <f t="shared" ref="CE258" si="6459">+CE257/BZ257-1</f>
        <v>0</v>
      </c>
      <c r="CF258" s="13">
        <f t="shared" ref="CF258" si="6460">+CF257/CA257-1</f>
        <v>0</v>
      </c>
      <c r="CG258" s="13">
        <f t="shared" ref="CG258" si="6461">+CG257/CB257-1</f>
        <v>0</v>
      </c>
      <c r="CH258" s="239">
        <f t="shared" ref="CH258" si="6462">+CH257/CC257-1</f>
        <v>0</v>
      </c>
      <c r="CI258" s="13">
        <f>+CI257/CD257-1</f>
        <v>0</v>
      </c>
      <c r="CJ258" s="13">
        <f t="shared" ref="CJ258" si="6463">+CJ257/CE257-1</f>
        <v>0</v>
      </c>
      <c r="CK258" s="13">
        <f t="shared" ref="CK258" si="6464">+CK257/CF257-1</f>
        <v>0</v>
      </c>
      <c r="CL258" s="13">
        <f t="shared" ref="CL258" si="6465">+CL257/CG257-1</f>
        <v>0</v>
      </c>
      <c r="CM258" s="239">
        <f t="shared" ref="CM258" si="6466">+CM257/CH257-1</f>
        <v>0</v>
      </c>
      <c r="CN258" s="13">
        <f>+CN257/CI257-1</f>
        <v>0</v>
      </c>
      <c r="CO258" s="13">
        <f t="shared" ref="CO258" si="6467">+CO257/CJ257-1</f>
        <v>0</v>
      </c>
      <c r="CP258" s="13">
        <f t="shared" ref="CP258" si="6468">+CP257/CK257-1</f>
        <v>0</v>
      </c>
      <c r="CQ258" s="13">
        <f t="shared" ref="CQ258" si="6469">+CQ257/CL257-1</f>
        <v>0</v>
      </c>
      <c r="CR258" s="239">
        <f t="shared" ref="CR258" si="6470">+CR257/CM257-1</f>
        <v>0</v>
      </c>
      <c r="CS258" s="13">
        <f>+CS257/CN257-1</f>
        <v>0</v>
      </c>
      <c r="CT258" s="13">
        <f t="shared" ref="CT258" si="6471">+CT257/CO257-1</f>
        <v>0</v>
      </c>
      <c r="CU258" s="13">
        <f t="shared" ref="CU258" si="6472">+CU257/CP257-1</f>
        <v>0</v>
      </c>
      <c r="CV258" s="13">
        <f t="shared" ref="CV258" si="6473">+CV257/CQ257-1</f>
        <v>0</v>
      </c>
      <c r="CW258" s="239">
        <f t="shared" ref="CW258" si="6474">+CW257/CR257-1</f>
        <v>0</v>
      </c>
      <c r="CX258" s="13">
        <f>+CX257/CS257-1</f>
        <v>0</v>
      </c>
      <c r="CY258" s="13">
        <f t="shared" ref="CY258" si="6475">+CY257/CT257-1</f>
        <v>0</v>
      </c>
      <c r="CZ258" s="13">
        <f t="shared" ref="CZ258" si="6476">+CZ257/CU257-1</f>
        <v>0</v>
      </c>
      <c r="DA258" s="13">
        <f t="shared" ref="DA258" si="6477">+DA257/CV257-1</f>
        <v>0</v>
      </c>
      <c r="DB258" s="239">
        <f t="shared" ref="DB258" si="6478">+DB257/CW257-1</f>
        <v>0</v>
      </c>
    </row>
    <row r="259" spans="1:106">
      <c r="F259" s="217"/>
      <c r="K259" s="217"/>
      <c r="P259" s="217"/>
      <c r="U259" s="217"/>
      <c r="Z259" s="217"/>
      <c r="AE259" s="217"/>
      <c r="AJ259" s="217"/>
      <c r="AO259" s="217"/>
      <c r="AT259" s="217"/>
      <c r="AY259" s="217"/>
      <c r="BD259" s="217"/>
      <c r="BI259" s="217"/>
      <c r="BN259" s="217"/>
      <c r="BS259" s="217"/>
      <c r="BX259" s="217"/>
      <c r="CC259" s="217"/>
      <c r="CH259" s="217"/>
      <c r="CM259" s="217"/>
      <c r="CR259" s="217"/>
      <c r="CW259" s="217"/>
      <c r="DB259" s="217"/>
    </row>
    <row r="260" spans="1:106" s="51" customFormat="1">
      <c r="A260" s="51" t="s">
        <v>321</v>
      </c>
      <c r="F260" s="233"/>
      <c r="K260" s="233"/>
      <c r="P260" s="233"/>
      <c r="U260" s="233"/>
      <c r="V260" s="135">
        <f>+V257*V252/1000000</f>
        <v>0</v>
      </c>
      <c r="W260" s="135">
        <f>+W257*W252/1000000</f>
        <v>0</v>
      </c>
      <c r="X260" s="135">
        <f>+X257*X252/1000000</f>
        <v>0</v>
      </c>
      <c r="Y260" s="135">
        <f>+Y257*Y252/1000000</f>
        <v>0</v>
      </c>
      <c r="Z260" s="216">
        <f>+V260+W260+X260+Y260</f>
        <v>0</v>
      </c>
      <c r="AA260" s="135">
        <f>+AA257*AA252/1000000</f>
        <v>0</v>
      </c>
      <c r="AB260" s="135">
        <f>+AB257*AB252/1000000</f>
        <v>0</v>
      </c>
      <c r="AC260" s="135">
        <f>+AC257*AC252/1000000</f>
        <v>0</v>
      </c>
      <c r="AD260" s="135">
        <f>+AD257*AD252/1000000</f>
        <v>0</v>
      </c>
      <c r="AE260" s="216">
        <f>+AA260+AB260+AC260+AD260</f>
        <v>0</v>
      </c>
      <c r="AF260" s="135">
        <f>+AF257*AF252/1000000</f>
        <v>0</v>
      </c>
      <c r="AG260" s="135">
        <f>+AG257*AG252/1000000</f>
        <v>0</v>
      </c>
      <c r="AH260" s="135">
        <f>+AH257*AH252/1000000</f>
        <v>0</v>
      </c>
      <c r="AI260" s="135">
        <f>+AI257*AI252/1000000</f>
        <v>0</v>
      </c>
      <c r="AJ260" s="216">
        <f>+AF260+AG260+AH260+AI260</f>
        <v>0</v>
      </c>
      <c r="AK260" s="135">
        <f>+AK257*AK252/1000000</f>
        <v>0</v>
      </c>
      <c r="AL260" s="135">
        <f>+AL257*AL252/1000000</f>
        <v>0</v>
      </c>
      <c r="AM260" s="135">
        <f>+AM257*AM252/1000000</f>
        <v>0</v>
      </c>
      <c r="AN260" s="135">
        <f>+AN257*AN252/1000000</f>
        <v>0</v>
      </c>
      <c r="AO260" s="216">
        <f>+AK260+AL260+AM260+AN260</f>
        <v>0</v>
      </c>
      <c r="AP260" s="135">
        <f>+AP257*AP252/1000000</f>
        <v>0.1281136852439535</v>
      </c>
      <c r="AQ260" s="135">
        <f>+AQ257*AQ252/1000000</f>
        <v>0.1281136852439535</v>
      </c>
      <c r="AR260" s="135">
        <f>+AR257*AR252/1000000</f>
        <v>0.19217052786593025</v>
      </c>
      <c r="AS260" s="135">
        <f>+AS257*AS252/1000000</f>
        <v>0.19217052786593025</v>
      </c>
      <c r="AT260" s="216">
        <f>+AP260+AQ260+AR260+AS260</f>
        <v>0.64056842621976751</v>
      </c>
      <c r="AU260" s="135">
        <f>+AU257*AU252/1000000</f>
        <v>0.91354912477803774</v>
      </c>
      <c r="AV260" s="135">
        <f>+AV257*AV252/1000000</f>
        <v>1.2891193205201199</v>
      </c>
      <c r="AW260" s="135">
        <f>+AW257*AW252/1000000</f>
        <v>1.9108402526607291</v>
      </c>
      <c r="AX260" s="135">
        <f>+AX257*AX252/1000000</f>
        <v>2.2541824653898082</v>
      </c>
      <c r="AY260" s="216">
        <f>+AU260+AV260+AW260+AX260</f>
        <v>6.3676911633486952</v>
      </c>
      <c r="AZ260" s="135">
        <f>+AZ257*AZ252/1000000</f>
        <v>2.466087797791447</v>
      </c>
      <c r="BA260" s="135">
        <f>+BA257*BA252/1000000</f>
        <v>2.66604086247724</v>
      </c>
      <c r="BB260" s="135">
        <f>+BB257*BB252/1000000</f>
        <v>2.9992959702868949</v>
      </c>
      <c r="BC260" s="135">
        <f>+BC257*BC252/1000000</f>
        <v>3.3325510780965506</v>
      </c>
      <c r="BD260" s="216">
        <f>+AZ260+BA260+BB260+BC260</f>
        <v>11.463975708652132</v>
      </c>
      <c r="BE260" s="135">
        <f>+BE257*BE252/1000000</f>
        <v>3.289842148985886</v>
      </c>
      <c r="BF260" s="135">
        <f>+BF257*BF252/1000000</f>
        <v>3.4998320733892401</v>
      </c>
      <c r="BG260" s="135">
        <f>+BG257*BG252/1000000</f>
        <v>3.8646222625771185</v>
      </c>
      <c r="BH260" s="135">
        <f>+BH257*BH252/1000000</f>
        <v>4.2321046302829899</v>
      </c>
      <c r="BI260" s="216">
        <f>+BE260+BF260+BG260+BH260</f>
        <v>14.886401115235234</v>
      </c>
      <c r="BJ260" s="135">
        <f>+BJ257*BJ252/1000000</f>
        <v>4.0304739201779984</v>
      </c>
      <c r="BK260" s="135">
        <f>+BK257*BK252/1000000</f>
        <v>4.2426041265031564</v>
      </c>
      <c r="BL260" s="135">
        <f>+BL257*BL252/1000000</f>
        <v>4.5961544703784192</v>
      </c>
      <c r="BM260" s="135">
        <f>+BM257*BM252/1000000</f>
        <v>4.9497048142536819</v>
      </c>
      <c r="BN260" s="216">
        <f>+BJ260+BK260+BL260+BM260</f>
        <v>17.818937331313258</v>
      </c>
      <c r="BO260" s="135">
        <f>+BO257*BO252/1000000</f>
        <v>4.8797018461663804</v>
      </c>
      <c r="BP260" s="135">
        <f>+BP257*BP252/1000000</f>
        <v>5.098195958681293</v>
      </c>
      <c r="BQ260" s="135">
        <f>+BQ257*BQ252/1000000</f>
        <v>5.4623528128728127</v>
      </c>
      <c r="BR260" s="135">
        <f>+BR257*BR252/1000000</f>
        <v>5.8265096670643342</v>
      </c>
      <c r="BS260" s="216">
        <f>+BO260+BP260+BQ260+BR260</f>
        <v>21.266760284784823</v>
      </c>
      <c r="BT260" s="135">
        <f>+BT257*BT252/1000000</f>
        <v>5.7762560211859046</v>
      </c>
      <c r="BU260" s="135">
        <f>+BU257*BU252/1000000</f>
        <v>6.0013049570762647</v>
      </c>
      <c r="BV260" s="135">
        <f>+BV257*BV252/1000000</f>
        <v>6.3763865168935308</v>
      </c>
      <c r="BW260" s="135">
        <f>+BW257*BW252/1000000</f>
        <v>6.7514680767107977</v>
      </c>
      <c r="BX260" s="216">
        <f>+BT260+BU260+BV260+BW260</f>
        <v>24.905415571866495</v>
      </c>
      <c r="BY260" s="135">
        <f>+BY257*BY252/1000000</f>
        <v>6.7222117150450504</v>
      </c>
      <c r="BZ260" s="135">
        <f>+BZ257*BZ252/1000000</f>
        <v>6.9540121190121225</v>
      </c>
      <c r="CA260" s="135">
        <f>+CA257*CA252/1000000</f>
        <v>7.3403461256239053</v>
      </c>
      <c r="CB260" s="135">
        <f>+CB257*CB252/1000000</f>
        <v>7.7266801322356908</v>
      </c>
      <c r="CC260" s="216">
        <f>+BY260+BZ260+CA260+CB260</f>
        <v>28.743250091916771</v>
      </c>
      <c r="CD260" s="135">
        <f>+CD257*CD252/1000000</f>
        <v>7.719726120116678</v>
      </c>
      <c r="CE260" s="135">
        <f>+CE257*CE252/1000000</f>
        <v>7.9584805362027611</v>
      </c>
      <c r="CF260" s="135">
        <f>+CF257*CF252/1000000</f>
        <v>8.356404563012898</v>
      </c>
      <c r="CG260" s="135">
        <f>+CG257*CG252/1000000</f>
        <v>8.7543285898230376</v>
      </c>
      <c r="CH260" s="216">
        <f>+CD260+CE260+CF260+CG260</f>
        <v>32.788939809155373</v>
      </c>
      <c r="CI260" s="135">
        <f>+CI257*CI252/1000000</f>
        <v>8.7710413989490625</v>
      </c>
      <c r="CJ260" s="135">
        <f>+CJ257*CJ252/1000000</f>
        <v>9.0169584475177285</v>
      </c>
      <c r="CK260" s="135">
        <f>+CK257*CK252/1000000</f>
        <v>9.4268201951321693</v>
      </c>
      <c r="CL260" s="135">
        <f>+CL257*CL252/1000000</f>
        <v>9.8366819427466137</v>
      </c>
      <c r="CM260" s="216">
        <f>+CI260+CJ260+CK260+CL260</f>
        <v>37.05150198434557</v>
      </c>
      <c r="CN260" s="135">
        <f>+CN257*CN252/1000000</f>
        <v>9.8784878410032864</v>
      </c>
      <c r="CO260" s="135">
        <f>+CO257*CO252/1000000</f>
        <v>10.131782401029014</v>
      </c>
      <c r="CP260" s="135">
        <f>+CP257*CP252/1000000</f>
        <v>10.553940001071886</v>
      </c>
      <c r="CQ260" s="135">
        <f>+CQ257*CQ252/1000000</f>
        <v>10.976097601114763</v>
      </c>
      <c r="CR260" s="216">
        <f>+CN260+CO260+CP260+CQ260</f>
        <v>41.540307844218944</v>
      </c>
      <c r="CS260" s="135">
        <f>+CS257*CS252/1000000</f>
        <v>11.044487132321709</v>
      </c>
      <c r="CT260" s="135">
        <f>+CT257*CT252/1000000</f>
        <v>11.305380529148206</v>
      </c>
      <c r="CU260" s="135">
        <f>+CU257*CU252/1000000</f>
        <v>11.740202857192369</v>
      </c>
      <c r="CV260" s="135">
        <f>+CV257*CV252/1000000</f>
        <v>12.17502518523653</v>
      </c>
      <c r="CW260" s="216">
        <f>+CS260+CT260+CU260+CV260</f>
        <v>46.265095703898815</v>
      </c>
      <c r="CX260" s="135">
        <f>+CX257*CX252/1000000</f>
        <v>12.271555742062334</v>
      </c>
      <c r="CY260" s="135">
        <f>+CY257*CY252/1000000</f>
        <v>12.540275940793627</v>
      </c>
      <c r="CZ260" s="135">
        <f>+CZ257*CZ252/1000000</f>
        <v>12.988142938679115</v>
      </c>
      <c r="DA260" s="135">
        <f>+DA257*DA252/1000000</f>
        <v>13.4360099365646</v>
      </c>
      <c r="DB260" s="216">
        <f>+CX260+CY260+CZ260+DA260</f>
        <v>51.235984558099673</v>
      </c>
    </row>
    <row r="261" spans="1:106">
      <c r="A261" s="117" t="s">
        <v>281</v>
      </c>
      <c r="F261" s="217"/>
      <c r="K261" s="217"/>
      <c r="P261" s="217"/>
      <c r="U261" s="217"/>
      <c r="V261" s="119" t="s">
        <v>290</v>
      </c>
      <c r="W261" s="119" t="s">
        <v>290</v>
      </c>
      <c r="X261" s="119" t="s">
        <v>290</v>
      </c>
      <c r="Y261" s="119" t="s">
        <v>290</v>
      </c>
      <c r="Z261" s="235" t="s">
        <v>290</v>
      </c>
      <c r="AA261" s="13" t="e">
        <f>+AA260/V260-1</f>
        <v>#DIV/0!</v>
      </c>
      <c r="AB261" s="13" t="e">
        <f t="shared" ref="AB261" si="6479">+AB260/W260-1</f>
        <v>#DIV/0!</v>
      </c>
      <c r="AC261" s="13" t="e">
        <f t="shared" ref="AC261" si="6480">+AC260/X260-1</f>
        <v>#DIV/0!</v>
      </c>
      <c r="AD261" s="13" t="e">
        <f t="shared" ref="AD261" si="6481">+AD260/Y260-1</f>
        <v>#DIV/0!</v>
      </c>
      <c r="AE261" s="239" t="e">
        <f t="shared" ref="AE261" si="6482">+AE260/Z260-1</f>
        <v>#DIV/0!</v>
      </c>
      <c r="AF261" s="13" t="e">
        <f>+AF260/AA260-1</f>
        <v>#DIV/0!</v>
      </c>
      <c r="AG261" s="13" t="e">
        <f t="shared" ref="AG261" si="6483">+AG260/AB260-1</f>
        <v>#DIV/0!</v>
      </c>
      <c r="AH261" s="13" t="e">
        <f t="shared" ref="AH261" si="6484">+AH260/AC260-1</f>
        <v>#DIV/0!</v>
      </c>
      <c r="AI261" s="13" t="e">
        <f t="shared" ref="AI261" si="6485">+AI260/AD260-1</f>
        <v>#DIV/0!</v>
      </c>
      <c r="AJ261" s="239" t="e">
        <f t="shared" ref="AJ261" si="6486">+AJ260/AE260-1</f>
        <v>#DIV/0!</v>
      </c>
      <c r="AK261" s="13" t="e">
        <f>+AK260/AF260-1</f>
        <v>#DIV/0!</v>
      </c>
      <c r="AL261" s="13" t="e">
        <f t="shared" ref="AL261" si="6487">+AL260/AG260-1</f>
        <v>#DIV/0!</v>
      </c>
      <c r="AM261" s="13" t="e">
        <f t="shared" ref="AM261" si="6488">+AM260/AH260-1</f>
        <v>#DIV/0!</v>
      </c>
      <c r="AN261" s="13" t="e">
        <f t="shared" ref="AN261" si="6489">+AN260/AI260-1</f>
        <v>#DIV/0!</v>
      </c>
      <c r="AO261" s="239" t="e">
        <f t="shared" ref="AO261" si="6490">+AO260/AJ260-1</f>
        <v>#DIV/0!</v>
      </c>
      <c r="AP261" s="13" t="e">
        <f>+AP260/AK260-1</f>
        <v>#DIV/0!</v>
      </c>
      <c r="AQ261" s="13" t="e">
        <f t="shared" ref="AQ261" si="6491">+AQ260/AL260-1</f>
        <v>#DIV/0!</v>
      </c>
      <c r="AR261" s="13" t="e">
        <f t="shared" ref="AR261" si="6492">+AR260/AM260-1</f>
        <v>#DIV/0!</v>
      </c>
      <c r="AS261" s="13" t="e">
        <f t="shared" ref="AS261" si="6493">+AS260/AN260-1</f>
        <v>#DIV/0!</v>
      </c>
      <c r="AT261" s="239" t="e">
        <f t="shared" ref="AT261" si="6494">+AT260/AO260-1</f>
        <v>#DIV/0!</v>
      </c>
      <c r="AU261" s="13">
        <f>+AU260/AP260-1</f>
        <v>6.1307692307692312</v>
      </c>
      <c r="AV261" s="13">
        <f t="shared" ref="AV261" si="6495">+AV260/AQ260-1</f>
        <v>9.0623076923076926</v>
      </c>
      <c r="AW261" s="13">
        <f t="shared" ref="AW261" si="6496">+AW260/AR260-1</f>
        <v>8.9434615384615395</v>
      </c>
      <c r="AX261" s="13">
        <f t="shared" ref="AX261" si="6497">+AX260/AS260-1</f>
        <v>10.730115384615386</v>
      </c>
      <c r="AY261" s="239">
        <f t="shared" ref="AY261" si="6498">+AY260/AT260-1</f>
        <v>8.9406884615384641</v>
      </c>
      <c r="AZ261" s="13">
        <f>+AZ260/AU260-1</f>
        <v>1.6994583333333333</v>
      </c>
      <c r="BA261" s="13">
        <f t="shared" ref="BA261" si="6499">+BA260/AV260-1</f>
        <v>1.0681102362204724</v>
      </c>
      <c r="BB261" s="13">
        <f t="shared" ref="BB261" si="6500">+BB260/AW260-1</f>
        <v>0.56962151394422289</v>
      </c>
      <c r="BC261" s="13">
        <f t="shared" ref="BC261" si="6501">+BC260/AX260-1</f>
        <v>0.47838568051334018</v>
      </c>
      <c r="BD261" s="239">
        <f t="shared" ref="BD261" si="6502">+BD260/AY260-1</f>
        <v>0.80033475471246929</v>
      </c>
      <c r="BE261" s="13">
        <f>+BE260/AZ260-1</f>
        <v>0.33403285638579794</v>
      </c>
      <c r="BF261" s="13">
        <f t="shared" ref="BF261" si="6503">+BF260/BA260-1</f>
        <v>0.31274509803921591</v>
      </c>
      <c r="BG261" s="13">
        <f t="shared" ref="BG261" si="6504">+BG260/BB260-1</f>
        <v>0.28850980392156877</v>
      </c>
      <c r="BH261" s="13">
        <f t="shared" ref="BH261" si="6505">+BH260/BC260-1</f>
        <v>0.2699294117647062</v>
      </c>
      <c r="BI261" s="239">
        <f t="shared" ref="BI261" si="6506">+BI260/BD260-1</f>
        <v>0.29853739170086668</v>
      </c>
      <c r="BJ261" s="13">
        <f>+BJ260/BE260-1</f>
        <v>0.22512684124386229</v>
      </c>
      <c r="BK261" s="13">
        <f t="shared" ref="BK261" si="6507">+BK260/BF260-1</f>
        <v>0.21223076923076922</v>
      </c>
      <c r="BL261" s="13">
        <f t="shared" ref="BL261" si="6508">+BL260/BG260-1</f>
        <v>0.18928944618599775</v>
      </c>
      <c r="BM261" s="13">
        <f t="shared" ref="BM261" si="6509">+BM260/BH260-1</f>
        <v>0.16956106870228971</v>
      </c>
      <c r="BN261" s="239">
        <f t="shared" ref="BN261" si="6510">+BN260/BI260-1</f>
        <v>0.19699430328239442</v>
      </c>
      <c r="BO261" s="13">
        <f>+BO260/BJ260-1</f>
        <v>0.21070175438596506</v>
      </c>
      <c r="BP261" s="13">
        <f t="shared" ref="BP261" si="6511">+BP260/BK260-1</f>
        <v>0.20166666666666666</v>
      </c>
      <c r="BQ261" s="13">
        <f t="shared" ref="BQ261" si="6512">+BQ260/BL260-1</f>
        <v>0.18846153846153824</v>
      </c>
      <c r="BR261" s="13">
        <f t="shared" ref="BR261" si="6513">+BR260/BM260-1</f>
        <v>0.17714285714285705</v>
      </c>
      <c r="BS261" s="239">
        <f t="shared" ref="BS261" si="6514">+BS260/BN260-1</f>
        <v>0.19349206349206338</v>
      </c>
      <c r="BT261" s="13">
        <f>+BT260/BO260-1</f>
        <v>0.18373134328358209</v>
      </c>
      <c r="BU261" s="13">
        <f t="shared" ref="BU261" si="6515">+BU260/BP260-1</f>
        <v>0.17714285714285705</v>
      </c>
      <c r="BV261" s="13">
        <f t="shared" ref="BV261" si="6516">+BV260/BQ260-1</f>
        <v>0.16733333333333356</v>
      </c>
      <c r="BW261" s="13">
        <f t="shared" ref="BW261" si="6517">+BW260/BR260-1</f>
        <v>0.15875000000000017</v>
      </c>
      <c r="BX261" s="239">
        <f t="shared" ref="BX261" si="6518">+BX260/BS260-1</f>
        <v>0.17109589041095874</v>
      </c>
      <c r="BY261" s="13">
        <f>+BY260/BT260-1</f>
        <v>0.16376623376623378</v>
      </c>
      <c r="BZ261" s="13">
        <f t="shared" ref="BZ261" si="6519">+BZ260/BU260-1</f>
        <v>0.15875000000000017</v>
      </c>
      <c r="CA261" s="13">
        <f t="shared" ref="CA261" si="6520">+CA260/BV260-1</f>
        <v>0.15117647058823525</v>
      </c>
      <c r="CB261" s="13">
        <f t="shared" ref="CB261" si="6521">+CB260/BW260-1</f>
        <v>0.14444444444444438</v>
      </c>
      <c r="CC261" s="239">
        <f t="shared" ref="CC261" si="6522">+CC260/BX260-1</f>
        <v>0.15409638554216887</v>
      </c>
      <c r="CD261" s="13">
        <f>+CD260/BY260-1</f>
        <v>0.14839080459770115</v>
      </c>
      <c r="CE261" s="13">
        <f t="shared" ref="CE261" si="6523">+CE260/BZ260-1</f>
        <v>0.14444444444444415</v>
      </c>
      <c r="CF261" s="13">
        <f t="shared" ref="CF261" si="6524">+CF260/CA260-1</f>
        <v>0.13842105263157878</v>
      </c>
      <c r="CG261" s="13">
        <f t="shared" ref="CG261" si="6525">+CG260/CB260-1</f>
        <v>0.13300000000000001</v>
      </c>
      <c r="CH261" s="239">
        <f t="shared" ref="CH261" si="6526">+CH260/CC260-1</f>
        <v>0.14075268817204289</v>
      </c>
      <c r="CI261" s="13">
        <f>+CI260/CD260-1</f>
        <v>0.13618556701030915</v>
      </c>
      <c r="CJ261" s="13">
        <f t="shared" ref="CJ261" si="6527">+CJ260/CE260-1</f>
        <v>0.13300000000000001</v>
      </c>
      <c r="CK261" s="13">
        <f t="shared" ref="CK261" si="6528">+CK260/CF260-1</f>
        <v>0.12809523809523804</v>
      </c>
      <c r="CL261" s="13">
        <f t="shared" ref="CL261" si="6529">+CL260/CG260-1</f>
        <v>0.12363636363636377</v>
      </c>
      <c r="CM261" s="239">
        <f t="shared" ref="CM261" si="6530">+CM260/CH260-1</f>
        <v>0.12999999999999989</v>
      </c>
      <c r="CN261" s="13">
        <f>+CN260/CI260-1</f>
        <v>0.12626168224299072</v>
      </c>
      <c r="CO261" s="13">
        <f t="shared" ref="CO261" si="6531">+CO260/CJ260-1</f>
        <v>0.12363636363636399</v>
      </c>
      <c r="CP261" s="13">
        <f t="shared" ref="CP261" si="6532">+CP260/CK260-1</f>
        <v>0.11956521739130443</v>
      </c>
      <c r="CQ261" s="13">
        <f t="shared" ref="CQ261" si="6533">+CQ260/CL260-1</f>
        <v>0.11583333333333323</v>
      </c>
      <c r="CR261" s="239">
        <f t="shared" ref="CR261" si="6534">+CR260/CM260-1</f>
        <v>0.12115044247787621</v>
      </c>
      <c r="CS261" s="13">
        <f>+CS260/CN260-1</f>
        <v>0.11803418803418819</v>
      </c>
      <c r="CT261" s="13">
        <f t="shared" ref="CT261" si="6535">+CT260/CO260-1</f>
        <v>0.11583333333333301</v>
      </c>
      <c r="CU261" s="13">
        <f t="shared" ref="CU261" si="6536">+CU260/CP260-1</f>
        <v>0.11240000000000028</v>
      </c>
      <c r="CV261" s="13">
        <f t="shared" ref="CV261" si="6537">+CV260/CQ260-1</f>
        <v>0.10923076923076924</v>
      </c>
      <c r="CW261" s="239">
        <f t="shared" ref="CW261" si="6538">+CW260/CR260-1</f>
        <v>0.11373983739837423</v>
      </c>
      <c r="CX261" s="13">
        <f>+CX260/CS260-1</f>
        <v>0.11110236220472447</v>
      </c>
      <c r="CY261" s="13">
        <f t="shared" ref="CY261" si="6539">+CY260/CT260-1</f>
        <v>0.10923076923076946</v>
      </c>
      <c r="CZ261" s="13">
        <f t="shared" ref="CZ261" si="6540">+CZ260/CU260-1</f>
        <v>0.10629629629629633</v>
      </c>
      <c r="DA261" s="13">
        <f t="shared" ref="DA261" si="6541">+DA260/CV260-1</f>
        <v>0.10357142857142865</v>
      </c>
      <c r="DB261" s="239">
        <f t="shared" ref="DB261" si="6542">+DB260/CW260-1</f>
        <v>0.10744360902255634</v>
      </c>
    </row>
    <row r="262" spans="1:106">
      <c r="A262" s="117" t="s">
        <v>288</v>
      </c>
      <c r="F262" s="217"/>
      <c r="K262" s="217"/>
      <c r="P262" s="217"/>
      <c r="U262" s="217"/>
      <c r="V262" s="119" t="s">
        <v>290</v>
      </c>
      <c r="W262" s="13" t="e">
        <f>+W260/V260-1</f>
        <v>#DIV/0!</v>
      </c>
      <c r="X262" s="13" t="e">
        <f t="shared" ref="X262:Y262" si="6543">+X260/W260-1</f>
        <v>#DIV/0!</v>
      </c>
      <c r="Y262" s="13" t="e">
        <f t="shared" si="6543"/>
        <v>#DIV/0!</v>
      </c>
      <c r="Z262" s="235" t="s">
        <v>290</v>
      </c>
      <c r="AA262" s="13" t="e">
        <f>+AA260/Y260-1</f>
        <v>#DIV/0!</v>
      </c>
      <c r="AB262" s="13" t="e">
        <f>+AB260/AA260-1</f>
        <v>#DIV/0!</v>
      </c>
      <c r="AC262" s="13" t="e">
        <f t="shared" ref="AC262:AD262" si="6544">+AC260/AB260-1</f>
        <v>#DIV/0!</v>
      </c>
      <c r="AD262" s="13" t="e">
        <f t="shared" si="6544"/>
        <v>#DIV/0!</v>
      </c>
      <c r="AE262" s="235" t="s">
        <v>290</v>
      </c>
      <c r="AF262" s="13" t="e">
        <f>+AF260/AD260-1</f>
        <v>#DIV/0!</v>
      </c>
      <c r="AG262" s="13" t="e">
        <f>+AG260/AF260-1</f>
        <v>#DIV/0!</v>
      </c>
      <c r="AH262" s="13" t="e">
        <f t="shared" ref="AH262:AI262" si="6545">+AH260/AG260-1</f>
        <v>#DIV/0!</v>
      </c>
      <c r="AI262" s="13" t="e">
        <f t="shared" si="6545"/>
        <v>#DIV/0!</v>
      </c>
      <c r="AJ262" s="235" t="s">
        <v>290</v>
      </c>
      <c r="AK262" s="13" t="e">
        <f>+AK260/AI260-1</f>
        <v>#DIV/0!</v>
      </c>
      <c r="AL262" s="13" t="e">
        <f>+AL260/AK260-1</f>
        <v>#DIV/0!</v>
      </c>
      <c r="AM262" s="13" t="e">
        <f t="shared" ref="AM262:AN262" si="6546">+AM260/AL260-1</f>
        <v>#DIV/0!</v>
      </c>
      <c r="AN262" s="13" t="e">
        <f t="shared" si="6546"/>
        <v>#DIV/0!</v>
      </c>
      <c r="AO262" s="235" t="s">
        <v>290</v>
      </c>
      <c r="AP262" s="13" t="e">
        <f>+AP260/AN260-1</f>
        <v>#DIV/0!</v>
      </c>
      <c r="AQ262" s="13">
        <f>+AQ260/AP260-1</f>
        <v>0</v>
      </c>
      <c r="AR262" s="13">
        <f t="shared" ref="AR262:AS262" si="6547">+AR260/AQ260-1</f>
        <v>0.5</v>
      </c>
      <c r="AS262" s="13">
        <f t="shared" si="6547"/>
        <v>0</v>
      </c>
      <c r="AT262" s="235" t="s">
        <v>290</v>
      </c>
      <c r="AU262" s="13">
        <f>+AU260/AS260-1</f>
        <v>3.7538461538461538</v>
      </c>
      <c r="AV262" s="13">
        <f>+AV260/AU260-1</f>
        <v>0.4111111111111112</v>
      </c>
      <c r="AW262" s="13">
        <f t="shared" ref="AW262:AX262" si="6548">+AW260/AV260-1</f>
        <v>0.48228346456692939</v>
      </c>
      <c r="AX262" s="13">
        <f t="shared" si="6548"/>
        <v>0.17968127490039842</v>
      </c>
      <c r="AY262" s="235" t="s">
        <v>290</v>
      </c>
      <c r="AZ262" s="13">
        <f>+AZ260/AX260-1</f>
        <v>9.4005403579871638E-2</v>
      </c>
      <c r="BA262" s="13">
        <f>+BA260/AZ260-1</f>
        <v>8.1081081081081141E-2</v>
      </c>
      <c r="BB262" s="13">
        <f t="shared" ref="BB262:BC262" si="6549">+BB260/BA260-1</f>
        <v>0.125</v>
      </c>
      <c r="BC262" s="13">
        <f t="shared" si="6549"/>
        <v>0.11111111111111138</v>
      </c>
      <c r="BD262" s="235" t="s">
        <v>290</v>
      </c>
      <c r="BE262" s="13">
        <f>+BE260/BC260-1</f>
        <v>-1.2815686274509686E-2</v>
      </c>
      <c r="BF262" s="13">
        <f>+BF260/BE260-1</f>
        <v>6.3829787234042534E-2</v>
      </c>
      <c r="BG262" s="13">
        <f t="shared" ref="BG262:BH262" si="6550">+BG260/BF260-1</f>
        <v>0.10423076923076913</v>
      </c>
      <c r="BH262" s="13">
        <f t="shared" si="6550"/>
        <v>9.5088819226750498E-2</v>
      </c>
      <c r="BI262" s="235" t="s">
        <v>290</v>
      </c>
      <c r="BJ262" s="13">
        <f>+BJ260/BH260-1</f>
        <v>-4.764312977099272E-2</v>
      </c>
      <c r="BK262" s="13">
        <f>+BK260/BJ260-1</f>
        <v>5.2631578947368363E-2</v>
      </c>
      <c r="BL262" s="13">
        <f t="shared" ref="BL262:BM262" si="6551">+BL260/BK260-1</f>
        <v>8.3333333333333259E-2</v>
      </c>
      <c r="BM262" s="13">
        <f t="shared" si="6551"/>
        <v>7.6923076923076872E-2</v>
      </c>
      <c r="BN262" s="235" t="s">
        <v>290</v>
      </c>
      <c r="BO262" s="13">
        <f>+BO260/BM260-1</f>
        <v>-1.4142857142857013E-2</v>
      </c>
      <c r="BP262" s="13">
        <f>+BP260/BO260-1</f>
        <v>4.4776119402985204E-2</v>
      </c>
      <c r="BQ262" s="13">
        <f t="shared" ref="BQ262:BR262" si="6552">+BQ260/BP260-1</f>
        <v>7.1428571428571175E-2</v>
      </c>
      <c r="BR262" s="13">
        <f t="shared" si="6552"/>
        <v>6.6666666666666874E-2</v>
      </c>
      <c r="BS262" s="235" t="s">
        <v>290</v>
      </c>
      <c r="BT262" s="13">
        <f>+BT260/BR260-1</f>
        <v>-8.6249999999998828E-3</v>
      </c>
      <c r="BU262" s="13">
        <f>+BU260/BT260-1</f>
        <v>3.8961038961039085E-2</v>
      </c>
      <c r="BV262" s="13">
        <f t="shared" ref="BV262:BW262" si="6553">+BV260/BU260-1</f>
        <v>6.25E-2</v>
      </c>
      <c r="BW262" s="13">
        <f t="shared" si="6553"/>
        <v>5.8823529411764719E-2</v>
      </c>
      <c r="BX262" s="235" t="s">
        <v>290</v>
      </c>
      <c r="BY262" s="13">
        <f>+BY260/BW260-1</f>
        <v>-4.3333333333334112E-3</v>
      </c>
      <c r="BZ262" s="13">
        <f>+BZ260/BY260-1</f>
        <v>3.4482758620689946E-2</v>
      </c>
      <c r="CA262" s="13">
        <f t="shared" ref="CA262:CB262" si="6554">+CA260/BZ260-1</f>
        <v>5.5555555555555358E-2</v>
      </c>
      <c r="CB262" s="13">
        <f t="shared" si="6554"/>
        <v>5.2631578947368585E-2</v>
      </c>
      <c r="CC262" s="235" t="s">
        <v>290</v>
      </c>
      <c r="CD262" s="13">
        <f>+CD260/CB260-1</f>
        <v>-9.0000000000012292E-4</v>
      </c>
      <c r="CE262" s="13">
        <f>+CE260/CD260-1</f>
        <v>3.0927835051546504E-2</v>
      </c>
      <c r="CF262" s="13">
        <f t="shared" ref="CF262:CG262" si="6555">+CF260/CE260-1</f>
        <v>4.9999999999999822E-2</v>
      </c>
      <c r="CG262" s="13">
        <f t="shared" si="6555"/>
        <v>4.7619047619047894E-2</v>
      </c>
      <c r="CH262" s="235" t="s">
        <v>290</v>
      </c>
      <c r="CI262" s="13">
        <f>+CI260/CG260-1</f>
        <v>1.9090909090908603E-3</v>
      </c>
      <c r="CJ262" s="13">
        <f>+CJ260/CI260-1</f>
        <v>2.8037383177570208E-2</v>
      </c>
      <c r="CK262" s="13">
        <f t="shared" ref="CK262:CL262" si="6556">+CK260/CJ260-1</f>
        <v>4.5454545454545192E-2</v>
      </c>
      <c r="CL262" s="13">
        <f t="shared" si="6556"/>
        <v>4.347826086956541E-2</v>
      </c>
      <c r="CM262" s="235" t="s">
        <v>290</v>
      </c>
      <c r="CN262" s="13">
        <f>+CN260/CL260-1</f>
        <v>4.249999999999865E-3</v>
      </c>
      <c r="CO262" s="13">
        <f>+CO260/CN260-1</f>
        <v>2.5641025641025772E-2</v>
      </c>
      <c r="CP262" s="13">
        <f t="shared" ref="CP262:CQ262" si="6557">+CP260/CO260-1</f>
        <v>4.1666666666666297E-2</v>
      </c>
      <c r="CQ262" s="13">
        <f t="shared" si="6557"/>
        <v>4.0000000000000036E-2</v>
      </c>
      <c r="CR262" s="235" t="s">
        <v>290</v>
      </c>
      <c r="CS262" s="13">
        <f>+CS260/CQ260-1</f>
        <v>6.2307692307692619E-3</v>
      </c>
      <c r="CT262" s="13">
        <f>+CT260/CS260-1</f>
        <v>2.3622047244094446E-2</v>
      </c>
      <c r="CU262" s="13">
        <f t="shared" ref="CU262:CV262" si="6558">+CU260/CT260-1</f>
        <v>3.8461538461538547E-2</v>
      </c>
      <c r="CV262" s="13">
        <f t="shared" si="6558"/>
        <v>3.7037037037036979E-2</v>
      </c>
      <c r="CW262" s="235" t="s">
        <v>290</v>
      </c>
      <c r="CX262" s="13">
        <f>+CX260/CV260-1</f>
        <v>7.928571428571507E-3</v>
      </c>
      <c r="CY262" s="13">
        <f>+CY260/CX260-1</f>
        <v>2.1897810218978186E-2</v>
      </c>
      <c r="CZ262" s="13">
        <f t="shared" ref="CZ262:DA262" si="6559">+CZ260/CY260-1</f>
        <v>3.5714285714285809E-2</v>
      </c>
      <c r="DA262" s="13">
        <f t="shared" si="6559"/>
        <v>3.4482758620689502E-2</v>
      </c>
      <c r="DB262" s="235" t="s">
        <v>290</v>
      </c>
    </row>
    <row r="263" spans="1:106">
      <c r="F263" s="217"/>
      <c r="K263" s="217"/>
      <c r="P263" s="217"/>
      <c r="U263" s="217"/>
      <c r="Z263" s="217"/>
      <c r="AE263" s="217"/>
      <c r="AJ263" s="217"/>
      <c r="AO263" s="217"/>
      <c r="AT263" s="217"/>
      <c r="AY263" s="217"/>
      <c r="BD263" s="217"/>
      <c r="BI263" s="217"/>
      <c r="BN263" s="217"/>
      <c r="BS263" s="217"/>
      <c r="BX263" s="217"/>
      <c r="CC263" s="217"/>
      <c r="CH263" s="217"/>
      <c r="CM263" s="217"/>
      <c r="CR263" s="217"/>
      <c r="CW263" s="217"/>
      <c r="DB263" s="217"/>
    </row>
    <row r="264" spans="1:106" s="124" customFormat="1">
      <c r="A264" s="124" t="s">
        <v>278</v>
      </c>
      <c r="F264" s="243"/>
      <c r="K264" s="243"/>
      <c r="P264" s="243"/>
      <c r="U264" s="243"/>
      <c r="Z264" s="243"/>
      <c r="AE264" s="243"/>
      <c r="AJ264" s="243"/>
      <c r="AO264" s="243"/>
      <c r="AT264" s="243"/>
      <c r="AY264" s="243"/>
      <c r="BD264" s="243"/>
      <c r="BI264" s="243"/>
      <c r="BN264" s="243"/>
      <c r="BS264" s="243"/>
      <c r="BX264" s="243"/>
      <c r="CC264" s="243"/>
      <c r="CH264" s="243"/>
      <c r="CM264" s="243"/>
      <c r="CR264" s="243"/>
      <c r="CW264" s="243"/>
      <c r="DB264" s="243"/>
    </row>
    <row r="265" spans="1:106" s="51" customFormat="1">
      <c r="A265" s="51" t="s">
        <v>322</v>
      </c>
      <c r="F265" s="233"/>
      <c r="K265" s="233"/>
      <c r="P265" s="233"/>
      <c r="U265" s="233"/>
      <c r="V265" s="213">
        <f>+Z265/4</f>
        <v>675</v>
      </c>
      <c r="W265" s="213">
        <f>+Z265/4</f>
        <v>675</v>
      </c>
      <c r="X265" s="213">
        <f>+Z265/4</f>
        <v>675</v>
      </c>
      <c r="Y265" s="213">
        <f>+Z265/4</f>
        <v>675</v>
      </c>
      <c r="Z265" s="234">
        <v>2700</v>
      </c>
      <c r="AA265" s="213">
        <f>+V265*(1+AA266)</f>
        <v>695.25</v>
      </c>
      <c r="AB265" s="213">
        <f t="shared" ref="AB265" si="6560">+W265*(1+AB266)</f>
        <v>695.25</v>
      </c>
      <c r="AC265" s="213">
        <f t="shared" ref="AC265" si="6561">+X265*(1+AC266)</f>
        <v>695.25</v>
      </c>
      <c r="AD265" s="213">
        <f t="shared" ref="AD265" si="6562">+Y265*(1+AD266)</f>
        <v>695.25</v>
      </c>
      <c r="AE265" s="234">
        <f>+AA265+AB265+AC265+AD265</f>
        <v>2781</v>
      </c>
      <c r="AF265" s="213">
        <f>+AA265*(1+AF266)</f>
        <v>716.10750000000007</v>
      </c>
      <c r="AG265" s="213">
        <f t="shared" ref="AG265" si="6563">+AB265*(1+AG266)</f>
        <v>716.10750000000007</v>
      </c>
      <c r="AH265" s="213">
        <f t="shared" ref="AH265" si="6564">+AC265*(1+AH266)</f>
        <v>716.10750000000007</v>
      </c>
      <c r="AI265" s="213">
        <f t="shared" ref="AI265" si="6565">+AD265*(1+AI266)</f>
        <v>716.10750000000007</v>
      </c>
      <c r="AJ265" s="234">
        <f>+AF265+AG265+AH265+AI265</f>
        <v>2864.4300000000003</v>
      </c>
      <c r="AK265" s="213">
        <f>+AF265*(1+AK266)</f>
        <v>737.59072500000013</v>
      </c>
      <c r="AL265" s="213">
        <f t="shared" ref="AL265" si="6566">+AG265*(1+AL266)</f>
        <v>737.59072500000013</v>
      </c>
      <c r="AM265" s="213">
        <f t="shared" ref="AM265" si="6567">+AH265*(1+AM266)</f>
        <v>737.59072500000013</v>
      </c>
      <c r="AN265" s="213">
        <f t="shared" ref="AN265" si="6568">+AI265*(1+AN266)</f>
        <v>737.59072500000013</v>
      </c>
      <c r="AO265" s="234">
        <f>+AK265+AL265+AM265+AN265</f>
        <v>2950.3629000000005</v>
      </c>
      <c r="AP265" s="213">
        <f>+AK265*(1+AP266)</f>
        <v>759.71844675000011</v>
      </c>
      <c r="AQ265" s="213">
        <f t="shared" ref="AQ265" si="6569">+AL265*(1+AQ266)</f>
        <v>759.71844675000011</v>
      </c>
      <c r="AR265" s="213">
        <f t="shared" ref="AR265" si="6570">+AM265*(1+AR266)</f>
        <v>759.71844675000011</v>
      </c>
      <c r="AS265" s="213">
        <f t="shared" ref="AS265" si="6571">+AN265*(1+AS266)</f>
        <v>759.71844675000011</v>
      </c>
      <c r="AT265" s="234">
        <f>+AP265+AQ265+AR265+AS265</f>
        <v>3038.8737870000004</v>
      </c>
      <c r="AU265" s="213">
        <f>+AP265*(1+AU266)</f>
        <v>782.51000015250008</v>
      </c>
      <c r="AV265" s="213">
        <f t="shared" ref="AV265" si="6572">+AQ265*(1+AV266)</f>
        <v>782.51000015250008</v>
      </c>
      <c r="AW265" s="213">
        <f t="shared" ref="AW265" si="6573">+AR265*(1+AW266)</f>
        <v>782.51000015250008</v>
      </c>
      <c r="AX265" s="213">
        <f t="shared" ref="AX265" si="6574">+AS265*(1+AX266)</f>
        <v>782.51000015250008</v>
      </c>
      <c r="AY265" s="234">
        <f>+AU265+AV265+AW265+AX265</f>
        <v>3130.0400006100003</v>
      </c>
      <c r="AZ265" s="213">
        <f>+AU265*(1+AZ266)</f>
        <v>805.98530015707513</v>
      </c>
      <c r="BA265" s="213">
        <f t="shared" ref="BA265" si="6575">+AV265*(1+BA266)</f>
        <v>805.98530015707513</v>
      </c>
      <c r="BB265" s="213">
        <f t="shared" ref="BB265" si="6576">+AW265*(1+BB266)</f>
        <v>805.98530015707513</v>
      </c>
      <c r="BC265" s="213">
        <f t="shared" ref="BC265" si="6577">+AX265*(1+BC266)</f>
        <v>805.98530015707513</v>
      </c>
      <c r="BD265" s="234">
        <f>+AZ265+BA265+BB265+BC265</f>
        <v>3223.9412006283005</v>
      </c>
      <c r="BE265" s="213">
        <f>+AZ265*(1+BE266)</f>
        <v>830.16485916178738</v>
      </c>
      <c r="BF265" s="213">
        <f t="shared" ref="BF265" si="6578">+BA265*(1+BF266)</f>
        <v>830.16485916178738</v>
      </c>
      <c r="BG265" s="213">
        <f t="shared" ref="BG265" si="6579">+BB265*(1+BG266)</f>
        <v>830.16485916178738</v>
      </c>
      <c r="BH265" s="213">
        <f t="shared" ref="BH265" si="6580">+BC265*(1+BH266)</f>
        <v>830.16485916178738</v>
      </c>
      <c r="BI265" s="234">
        <f>+BE265+BF265+BG265+BH265</f>
        <v>3320.6594366471495</v>
      </c>
      <c r="BJ265" s="213">
        <f>+BE265*(1+BJ266)</f>
        <v>855.06980493664105</v>
      </c>
      <c r="BK265" s="213">
        <f t="shared" ref="BK265" si="6581">+BF265*(1+BK266)</f>
        <v>855.06980493664105</v>
      </c>
      <c r="BL265" s="213">
        <f t="shared" ref="BL265" si="6582">+BG265*(1+BL266)</f>
        <v>855.06980493664105</v>
      </c>
      <c r="BM265" s="213">
        <f t="shared" ref="BM265" si="6583">+BH265*(1+BM266)</f>
        <v>855.06980493664105</v>
      </c>
      <c r="BN265" s="234">
        <f>+BJ265+BK265+BL265+BM265</f>
        <v>3420.2792197465642</v>
      </c>
      <c r="BO265" s="213">
        <f>+BJ265*(1+BO266)</f>
        <v>880.72189908474036</v>
      </c>
      <c r="BP265" s="213">
        <f t="shared" ref="BP265" si="6584">+BK265*(1+BP266)</f>
        <v>880.72189908474036</v>
      </c>
      <c r="BQ265" s="213">
        <f t="shared" ref="BQ265" si="6585">+BL265*(1+BQ266)</f>
        <v>880.72189908474036</v>
      </c>
      <c r="BR265" s="213">
        <f t="shared" ref="BR265" si="6586">+BM265*(1+BR266)</f>
        <v>880.72189908474036</v>
      </c>
      <c r="BS265" s="234">
        <f>+BO265+BP265+BQ265+BR265</f>
        <v>3522.8875963389614</v>
      </c>
      <c r="BT265" s="213">
        <f>+BO265*(1+BT266)</f>
        <v>907.14355605728258</v>
      </c>
      <c r="BU265" s="213">
        <f t="shared" ref="BU265" si="6587">+BP265*(1+BU266)</f>
        <v>907.14355605728258</v>
      </c>
      <c r="BV265" s="213">
        <f t="shared" ref="BV265" si="6588">+BQ265*(1+BV266)</f>
        <v>907.14355605728258</v>
      </c>
      <c r="BW265" s="213">
        <f t="shared" ref="BW265" si="6589">+BR265*(1+BW266)</f>
        <v>907.14355605728258</v>
      </c>
      <c r="BX265" s="234">
        <f>+BT265+BU265+BV265+BW265</f>
        <v>3628.5742242291303</v>
      </c>
      <c r="BY265" s="213">
        <f>+BT265*(1+BY266)</f>
        <v>934.35786273900112</v>
      </c>
      <c r="BZ265" s="213">
        <f t="shared" ref="BZ265" si="6590">+BU265*(1+BZ266)</f>
        <v>934.35786273900112</v>
      </c>
      <c r="CA265" s="213">
        <f t="shared" ref="CA265" si="6591">+BV265*(1+CA266)</f>
        <v>934.35786273900112</v>
      </c>
      <c r="CB265" s="213">
        <f t="shared" ref="CB265" si="6592">+BW265*(1+CB266)</f>
        <v>934.35786273900112</v>
      </c>
      <c r="CC265" s="234">
        <f>+BY265+BZ265+CA265+CB265</f>
        <v>3737.4314509560045</v>
      </c>
      <c r="CD265" s="213">
        <f>+BY265*(1+CD266)</f>
        <v>962.38859862117113</v>
      </c>
      <c r="CE265" s="213">
        <f t="shared" ref="CE265" si="6593">+BZ265*(1+CE266)</f>
        <v>962.38859862117113</v>
      </c>
      <c r="CF265" s="213">
        <f t="shared" ref="CF265" si="6594">+CA265*(1+CF266)</f>
        <v>962.38859862117113</v>
      </c>
      <c r="CG265" s="213">
        <f t="shared" ref="CG265" si="6595">+CB265*(1+CG266)</f>
        <v>962.38859862117113</v>
      </c>
      <c r="CH265" s="234">
        <f>+CD265+CE265+CF265+CG265</f>
        <v>3849.5543944846845</v>
      </c>
      <c r="CI265" s="213">
        <f>+CD265*(1+CI266)</f>
        <v>991.26025657980631</v>
      </c>
      <c r="CJ265" s="213">
        <f t="shared" ref="CJ265" si="6596">+CE265*(1+CJ266)</f>
        <v>991.26025657980631</v>
      </c>
      <c r="CK265" s="213">
        <f t="shared" ref="CK265" si="6597">+CF265*(1+CK266)</f>
        <v>991.26025657980631</v>
      </c>
      <c r="CL265" s="213">
        <f t="shared" ref="CL265" si="6598">+CG265*(1+CL266)</f>
        <v>991.26025657980631</v>
      </c>
      <c r="CM265" s="234">
        <f>+CI265+CJ265+CK265+CL265</f>
        <v>3965.0410263192252</v>
      </c>
      <c r="CN265" s="213">
        <f>+CI265*(1+CN266)</f>
        <v>1020.9980642772006</v>
      </c>
      <c r="CO265" s="213">
        <f t="shared" ref="CO265" si="6599">+CJ265*(1+CO266)</f>
        <v>1020.9980642772006</v>
      </c>
      <c r="CP265" s="213">
        <f t="shared" ref="CP265" si="6600">+CK265*(1+CP266)</f>
        <v>1020.9980642772006</v>
      </c>
      <c r="CQ265" s="213">
        <f t="shared" ref="CQ265" si="6601">+CL265*(1+CQ266)</f>
        <v>1020.9980642772006</v>
      </c>
      <c r="CR265" s="234">
        <f>+CN265+CO265+CP265+CQ265</f>
        <v>4083.9922571088023</v>
      </c>
      <c r="CS265" s="213">
        <f>+CN265*(1+CS266)</f>
        <v>1051.6280062055166</v>
      </c>
      <c r="CT265" s="213">
        <f t="shared" ref="CT265" si="6602">+CO265*(1+CT266)</f>
        <v>1051.6280062055166</v>
      </c>
      <c r="CU265" s="213">
        <f t="shared" ref="CU265" si="6603">+CP265*(1+CU266)</f>
        <v>1051.6280062055166</v>
      </c>
      <c r="CV265" s="213">
        <f t="shared" ref="CV265" si="6604">+CQ265*(1+CV266)</f>
        <v>1051.6280062055166</v>
      </c>
      <c r="CW265" s="234">
        <f>+CS265+CT265+CU265+CV265</f>
        <v>4206.5120248220665</v>
      </c>
      <c r="CX265" s="213">
        <f>+CS265*(1+CX266)</f>
        <v>1083.1768463916821</v>
      </c>
      <c r="CY265" s="213">
        <f t="shared" ref="CY265" si="6605">+CT265*(1+CY266)</f>
        <v>1083.1768463916821</v>
      </c>
      <c r="CZ265" s="213">
        <f t="shared" ref="CZ265" si="6606">+CU265*(1+CZ266)</f>
        <v>1083.1768463916821</v>
      </c>
      <c r="DA265" s="213">
        <f t="shared" ref="DA265" si="6607">+CV265*(1+DA266)</f>
        <v>1083.1768463916821</v>
      </c>
      <c r="DB265" s="234">
        <f>+CX265+CY265+CZ265+DA265</f>
        <v>4332.7073855667286</v>
      </c>
    </row>
    <row r="266" spans="1:106">
      <c r="A266" s="117" t="s">
        <v>281</v>
      </c>
      <c r="F266" s="217"/>
      <c r="K266" s="217"/>
      <c r="P266" s="217"/>
      <c r="U266" s="217"/>
      <c r="V266" s="119" t="s">
        <v>326</v>
      </c>
      <c r="W266" s="119" t="s">
        <v>326</v>
      </c>
      <c r="X266" s="119" t="s">
        <v>326</v>
      </c>
      <c r="Y266" s="119" t="s">
        <v>326</v>
      </c>
      <c r="Z266" s="235" t="s">
        <v>326</v>
      </c>
      <c r="AA266" s="118">
        <v>0.03</v>
      </c>
      <c r="AB266" s="118">
        <v>0.03</v>
      </c>
      <c r="AC266" s="118">
        <v>0.03</v>
      </c>
      <c r="AD266" s="118">
        <v>0.03</v>
      </c>
      <c r="AE266" s="239">
        <f>+AE265/Z265-1</f>
        <v>3.0000000000000027E-2</v>
      </c>
      <c r="AF266" s="118">
        <v>0.03</v>
      </c>
      <c r="AG266" s="118">
        <v>0.03</v>
      </c>
      <c r="AH266" s="118">
        <v>0.03</v>
      </c>
      <c r="AI266" s="118">
        <v>0.03</v>
      </c>
      <c r="AJ266" s="239">
        <f>+AJ265/AE265-1</f>
        <v>3.0000000000000027E-2</v>
      </c>
      <c r="AK266" s="118">
        <v>0.03</v>
      </c>
      <c r="AL266" s="118">
        <v>0.03</v>
      </c>
      <c r="AM266" s="118">
        <v>0.03</v>
      </c>
      <c r="AN266" s="118">
        <v>0.03</v>
      </c>
      <c r="AO266" s="239">
        <f>+AO265/AJ265-1</f>
        <v>3.0000000000000027E-2</v>
      </c>
      <c r="AP266" s="118">
        <v>0.03</v>
      </c>
      <c r="AQ266" s="118">
        <v>0.03</v>
      </c>
      <c r="AR266" s="118">
        <v>0.03</v>
      </c>
      <c r="AS266" s="118">
        <v>0.03</v>
      </c>
      <c r="AT266" s="239">
        <f>+AT265/AO265-1</f>
        <v>3.0000000000000027E-2</v>
      </c>
      <c r="AU266" s="118">
        <v>0.03</v>
      </c>
      <c r="AV266" s="118">
        <v>0.03</v>
      </c>
      <c r="AW266" s="118">
        <v>0.03</v>
      </c>
      <c r="AX266" s="118">
        <v>0.03</v>
      </c>
      <c r="AY266" s="239">
        <f>+AY265/AT265-1</f>
        <v>3.0000000000000027E-2</v>
      </c>
      <c r="AZ266" s="118">
        <v>0.03</v>
      </c>
      <c r="BA266" s="118">
        <v>0.03</v>
      </c>
      <c r="BB266" s="118">
        <v>0.03</v>
      </c>
      <c r="BC266" s="118">
        <v>0.03</v>
      </c>
      <c r="BD266" s="239">
        <f>+BD265/AY265-1</f>
        <v>3.0000000000000027E-2</v>
      </c>
      <c r="BE266" s="118">
        <v>0.03</v>
      </c>
      <c r="BF266" s="118">
        <v>0.03</v>
      </c>
      <c r="BG266" s="118">
        <v>0.03</v>
      </c>
      <c r="BH266" s="118">
        <v>0.03</v>
      </c>
      <c r="BI266" s="239">
        <f>+BI265/BD265-1</f>
        <v>3.0000000000000027E-2</v>
      </c>
      <c r="BJ266" s="118">
        <v>0.03</v>
      </c>
      <c r="BK266" s="118">
        <v>0.03</v>
      </c>
      <c r="BL266" s="118">
        <v>0.03</v>
      </c>
      <c r="BM266" s="118">
        <v>0.03</v>
      </c>
      <c r="BN266" s="239">
        <f>+BN265/BI265-1</f>
        <v>3.0000000000000027E-2</v>
      </c>
      <c r="BO266" s="118">
        <v>0.03</v>
      </c>
      <c r="BP266" s="118">
        <v>0.03</v>
      </c>
      <c r="BQ266" s="118">
        <v>0.03</v>
      </c>
      <c r="BR266" s="118">
        <v>0.03</v>
      </c>
      <c r="BS266" s="239">
        <f>+BS265/BN265-1</f>
        <v>3.0000000000000027E-2</v>
      </c>
      <c r="BT266" s="118">
        <v>0.03</v>
      </c>
      <c r="BU266" s="118">
        <v>0.03</v>
      </c>
      <c r="BV266" s="118">
        <v>0.03</v>
      </c>
      <c r="BW266" s="118">
        <v>0.03</v>
      </c>
      <c r="BX266" s="239">
        <f>+BX265/BS265-1</f>
        <v>3.0000000000000027E-2</v>
      </c>
      <c r="BY266" s="118">
        <v>0.03</v>
      </c>
      <c r="BZ266" s="118">
        <v>0.03</v>
      </c>
      <c r="CA266" s="118">
        <v>0.03</v>
      </c>
      <c r="CB266" s="118">
        <v>0.03</v>
      </c>
      <c r="CC266" s="239">
        <f>+CC265/BX265-1</f>
        <v>3.0000000000000027E-2</v>
      </c>
      <c r="CD266" s="118">
        <v>0.03</v>
      </c>
      <c r="CE266" s="118">
        <v>0.03</v>
      </c>
      <c r="CF266" s="118">
        <v>0.03</v>
      </c>
      <c r="CG266" s="118">
        <v>0.03</v>
      </c>
      <c r="CH266" s="239">
        <f>+CH265/CC265-1</f>
        <v>3.0000000000000027E-2</v>
      </c>
      <c r="CI266" s="118">
        <v>0.03</v>
      </c>
      <c r="CJ266" s="118">
        <v>0.03</v>
      </c>
      <c r="CK266" s="118">
        <v>0.03</v>
      </c>
      <c r="CL266" s="118">
        <v>0.03</v>
      </c>
      <c r="CM266" s="239">
        <f>+CM265/CH265-1</f>
        <v>3.0000000000000027E-2</v>
      </c>
      <c r="CN266" s="118">
        <v>0.03</v>
      </c>
      <c r="CO266" s="118">
        <v>0.03</v>
      </c>
      <c r="CP266" s="118">
        <v>0.03</v>
      </c>
      <c r="CQ266" s="118">
        <v>0.03</v>
      </c>
      <c r="CR266" s="239">
        <f>+CR265/CM265-1</f>
        <v>3.0000000000000027E-2</v>
      </c>
      <c r="CS266" s="118">
        <v>0.03</v>
      </c>
      <c r="CT266" s="118">
        <v>0.03</v>
      </c>
      <c r="CU266" s="118">
        <v>0.03</v>
      </c>
      <c r="CV266" s="118">
        <v>0.03</v>
      </c>
      <c r="CW266" s="239">
        <f>+CW265/CR265-1</f>
        <v>3.0000000000000027E-2</v>
      </c>
      <c r="CX266" s="118">
        <v>0.03</v>
      </c>
      <c r="CY266" s="118">
        <v>0.03</v>
      </c>
      <c r="CZ266" s="118">
        <v>0.03</v>
      </c>
      <c r="DA266" s="118">
        <v>0.03</v>
      </c>
      <c r="DB266" s="239">
        <f>+DB265/CW265-1</f>
        <v>3.0000000000000027E-2</v>
      </c>
    </row>
    <row r="267" spans="1:106" s="51" customFormat="1">
      <c r="A267" s="51" t="s">
        <v>310</v>
      </c>
      <c r="F267" s="233"/>
      <c r="K267" s="233"/>
      <c r="P267" s="233"/>
      <c r="U267" s="233"/>
      <c r="V267" s="213">
        <f>+V265*V268</f>
        <v>4725</v>
      </c>
      <c r="W267" s="213">
        <f t="shared" ref="W267" si="6608">+W265*W268</f>
        <v>4725</v>
      </c>
      <c r="X267" s="213">
        <f t="shared" ref="X267" si="6609">+X265*X268</f>
        <v>4725</v>
      </c>
      <c r="Y267" s="213">
        <f t="shared" ref="Y267" si="6610">+Y265*Y268</f>
        <v>4725</v>
      </c>
      <c r="Z267" s="234">
        <f>+V267+W267+X267+Y267</f>
        <v>18900</v>
      </c>
      <c r="AA267" s="213">
        <f>+AA265*AA268</f>
        <v>4866.75</v>
      </c>
      <c r="AB267" s="213">
        <f t="shared" ref="AB267" si="6611">+AB265*AB268</f>
        <v>4866.75</v>
      </c>
      <c r="AC267" s="213">
        <f t="shared" ref="AC267" si="6612">+AC265*AC268</f>
        <v>4866.75</v>
      </c>
      <c r="AD267" s="213">
        <f t="shared" ref="AD267" si="6613">+AD265*AD268</f>
        <v>4866.75</v>
      </c>
      <c r="AE267" s="234">
        <f>+AA267+AB267+AC267+AD267</f>
        <v>19467</v>
      </c>
      <c r="AF267" s="213">
        <f>+AF265*AF268</f>
        <v>5012.7525000000005</v>
      </c>
      <c r="AG267" s="213">
        <f t="shared" ref="AG267" si="6614">+AG265*AG268</f>
        <v>5012.7525000000005</v>
      </c>
      <c r="AH267" s="213">
        <f t="shared" ref="AH267" si="6615">+AH265*AH268</f>
        <v>5012.7525000000005</v>
      </c>
      <c r="AI267" s="213">
        <f t="shared" ref="AI267" si="6616">+AI265*AI268</f>
        <v>5012.7525000000005</v>
      </c>
      <c r="AJ267" s="234">
        <f>+AF267+AG267+AH267+AI267</f>
        <v>20051.010000000002</v>
      </c>
      <c r="AK267" s="213">
        <f>+AK265*AK268</f>
        <v>5163.1350750000011</v>
      </c>
      <c r="AL267" s="213">
        <f t="shared" ref="AL267" si="6617">+AL265*AL268</f>
        <v>5163.1350750000011</v>
      </c>
      <c r="AM267" s="213">
        <f t="shared" ref="AM267" si="6618">+AM265*AM268</f>
        <v>5163.1350750000011</v>
      </c>
      <c r="AN267" s="213">
        <f t="shared" ref="AN267" si="6619">+AN265*AN268</f>
        <v>5163.1350750000011</v>
      </c>
      <c r="AO267" s="234">
        <f>+AK267+AL267+AM267+AN267</f>
        <v>20652.540300000004</v>
      </c>
      <c r="AP267" s="213">
        <f>+AP265*AP268</f>
        <v>5318.0291272500008</v>
      </c>
      <c r="AQ267" s="213">
        <f t="shared" ref="AQ267" si="6620">+AQ265*AQ268</f>
        <v>5318.0291272500008</v>
      </c>
      <c r="AR267" s="213">
        <f t="shared" ref="AR267" si="6621">+AR265*AR268</f>
        <v>5318.0291272500008</v>
      </c>
      <c r="AS267" s="213">
        <f t="shared" ref="AS267" si="6622">+AS265*AS268</f>
        <v>5318.0291272500008</v>
      </c>
      <c r="AT267" s="234">
        <f>+AP267+AQ267+AR267+AS267</f>
        <v>21272.116509000003</v>
      </c>
      <c r="AU267" s="213">
        <f>+AU265*AU268</f>
        <v>5477.5700010675009</v>
      </c>
      <c r="AV267" s="213">
        <f t="shared" ref="AV267" si="6623">+AV265*AV268</f>
        <v>5477.5700010675009</v>
      </c>
      <c r="AW267" s="213">
        <f t="shared" ref="AW267" si="6624">+AW265*AW268</f>
        <v>5477.5700010675009</v>
      </c>
      <c r="AX267" s="213">
        <f t="shared" ref="AX267" si="6625">+AX265*AX268</f>
        <v>5477.5700010675009</v>
      </c>
      <c r="AY267" s="234">
        <f>+AU267+AV267+AW267+AX267</f>
        <v>21910.280004270004</v>
      </c>
      <c r="AZ267" s="213">
        <f>+AZ265*AZ268</f>
        <v>5641.8971010995256</v>
      </c>
      <c r="BA267" s="213">
        <f t="shared" ref="BA267" si="6626">+BA265*BA268</f>
        <v>5641.8971010995256</v>
      </c>
      <c r="BB267" s="213">
        <f t="shared" ref="BB267" si="6627">+BB265*BB268</f>
        <v>5641.8971010995256</v>
      </c>
      <c r="BC267" s="213">
        <f t="shared" ref="BC267" si="6628">+BC265*BC268</f>
        <v>5641.8971010995256</v>
      </c>
      <c r="BD267" s="234">
        <f>+AZ267+BA267+BB267+BC267</f>
        <v>22567.588404398102</v>
      </c>
      <c r="BE267" s="213">
        <f>+BE265*BE268</f>
        <v>5811.1540141325113</v>
      </c>
      <c r="BF267" s="213">
        <f t="shared" ref="BF267" si="6629">+BF265*BF268</f>
        <v>5811.1540141325113</v>
      </c>
      <c r="BG267" s="213">
        <f t="shared" ref="BG267" si="6630">+BG265*BG268</f>
        <v>5811.1540141325113</v>
      </c>
      <c r="BH267" s="213">
        <f t="shared" ref="BH267" si="6631">+BH265*BH268</f>
        <v>5811.1540141325113</v>
      </c>
      <c r="BI267" s="234">
        <f>+BE267+BF267+BG267+BH267</f>
        <v>23244.616056530045</v>
      </c>
      <c r="BJ267" s="213">
        <f>+BJ265*BJ268</f>
        <v>5985.4886345564873</v>
      </c>
      <c r="BK267" s="213">
        <f t="shared" ref="BK267" si="6632">+BK265*BK268</f>
        <v>5985.4886345564873</v>
      </c>
      <c r="BL267" s="213">
        <f t="shared" ref="BL267" si="6633">+BL265*BL268</f>
        <v>5985.4886345564873</v>
      </c>
      <c r="BM267" s="213">
        <f t="shared" ref="BM267" si="6634">+BM265*BM268</f>
        <v>5985.4886345564873</v>
      </c>
      <c r="BN267" s="234">
        <f>+BJ267+BK267+BL267+BM267</f>
        <v>23941.954538225949</v>
      </c>
      <c r="BO267" s="213">
        <f>+BO265*BO268</f>
        <v>6165.0532935931824</v>
      </c>
      <c r="BP267" s="213">
        <f t="shared" ref="BP267" si="6635">+BP265*BP268</f>
        <v>6165.0532935931824</v>
      </c>
      <c r="BQ267" s="213">
        <f t="shared" ref="BQ267" si="6636">+BQ265*BQ268</f>
        <v>6165.0532935931824</v>
      </c>
      <c r="BR267" s="213">
        <f t="shared" ref="BR267" si="6637">+BR265*BR268</f>
        <v>6165.0532935931824</v>
      </c>
      <c r="BS267" s="234">
        <f>+BO267+BP267+BQ267+BR267</f>
        <v>24660.21317437273</v>
      </c>
      <c r="BT267" s="213">
        <f>+BT265*BT268</f>
        <v>6350.004892400978</v>
      </c>
      <c r="BU267" s="213">
        <f t="shared" ref="BU267" si="6638">+BU265*BU268</f>
        <v>6350.004892400978</v>
      </c>
      <c r="BV267" s="213">
        <f t="shared" ref="BV267" si="6639">+BV265*BV268</f>
        <v>6350.004892400978</v>
      </c>
      <c r="BW267" s="213">
        <f t="shared" ref="BW267" si="6640">+BW265*BW268</f>
        <v>6350.004892400978</v>
      </c>
      <c r="BX267" s="234">
        <f>+BT267+BU267+BV267+BW267</f>
        <v>25400.019569603912</v>
      </c>
      <c r="BY267" s="213">
        <f>+BY265*BY268</f>
        <v>6540.5050391730074</v>
      </c>
      <c r="BZ267" s="213">
        <f t="shared" ref="BZ267" si="6641">+BZ265*BZ268</f>
        <v>6540.5050391730074</v>
      </c>
      <c r="CA267" s="213">
        <f t="shared" ref="CA267" si="6642">+CA265*CA268</f>
        <v>6540.5050391730074</v>
      </c>
      <c r="CB267" s="213">
        <f t="shared" ref="CB267" si="6643">+CB265*CB268</f>
        <v>6540.5050391730074</v>
      </c>
      <c r="CC267" s="234">
        <f>+BY267+BZ267+CA267+CB267</f>
        <v>26162.02015669203</v>
      </c>
      <c r="CD267" s="213">
        <f>+CD265*CD268</f>
        <v>6736.7201903481982</v>
      </c>
      <c r="CE267" s="213">
        <f t="shared" ref="CE267" si="6644">+CE265*CE268</f>
        <v>6736.7201903481982</v>
      </c>
      <c r="CF267" s="213">
        <f t="shared" ref="CF267" si="6645">+CF265*CF268</f>
        <v>6736.7201903481982</v>
      </c>
      <c r="CG267" s="213">
        <f t="shared" ref="CG267" si="6646">+CG265*CG268</f>
        <v>6736.7201903481982</v>
      </c>
      <c r="CH267" s="234">
        <f>+CD267+CE267+CF267+CG267</f>
        <v>26946.880761392793</v>
      </c>
      <c r="CI267" s="213">
        <f>+CI265*CI268</f>
        <v>6938.8217960586444</v>
      </c>
      <c r="CJ267" s="213">
        <f t="shared" ref="CJ267" si="6647">+CJ265*CJ268</f>
        <v>6938.8217960586444</v>
      </c>
      <c r="CK267" s="213">
        <f t="shared" ref="CK267" si="6648">+CK265*CK268</f>
        <v>6938.8217960586444</v>
      </c>
      <c r="CL267" s="213">
        <f t="shared" ref="CL267" si="6649">+CL265*CL268</f>
        <v>6938.8217960586444</v>
      </c>
      <c r="CM267" s="234">
        <f>+CI267+CJ267+CK267+CL267</f>
        <v>27755.287184234578</v>
      </c>
      <c r="CN267" s="213">
        <f>+CN265*CN268</f>
        <v>7146.9864499404039</v>
      </c>
      <c r="CO267" s="213">
        <f t="shared" ref="CO267" si="6650">+CO265*CO268</f>
        <v>7146.9864499404039</v>
      </c>
      <c r="CP267" s="213">
        <f t="shared" ref="CP267" si="6651">+CP265*CP268</f>
        <v>7146.9864499404039</v>
      </c>
      <c r="CQ267" s="213">
        <f t="shared" ref="CQ267" si="6652">+CQ265*CQ268</f>
        <v>7146.9864499404039</v>
      </c>
      <c r="CR267" s="234">
        <f>+CN267+CO267+CP267+CQ267</f>
        <v>28587.945799761615</v>
      </c>
      <c r="CS267" s="213">
        <f>+CS265*CS268</f>
        <v>7361.3960434386163</v>
      </c>
      <c r="CT267" s="213">
        <f t="shared" ref="CT267" si="6653">+CT265*CT268</f>
        <v>7361.3960434386163</v>
      </c>
      <c r="CU267" s="213">
        <f t="shared" ref="CU267" si="6654">+CU265*CU268</f>
        <v>7361.3960434386163</v>
      </c>
      <c r="CV267" s="213">
        <f t="shared" ref="CV267" si="6655">+CV265*CV268</f>
        <v>7361.3960434386163</v>
      </c>
      <c r="CW267" s="234">
        <f>+CS267+CT267+CU267+CV267</f>
        <v>29445.584173754465</v>
      </c>
      <c r="CX267" s="213">
        <f>+CX265*CX268</f>
        <v>7582.2379247417748</v>
      </c>
      <c r="CY267" s="213">
        <f t="shared" ref="CY267" si="6656">+CY265*CY268</f>
        <v>7582.2379247417748</v>
      </c>
      <c r="CZ267" s="213">
        <f t="shared" ref="CZ267" si="6657">+CZ265*CZ268</f>
        <v>7582.2379247417748</v>
      </c>
      <c r="DA267" s="213">
        <f t="shared" ref="DA267" si="6658">+DA265*DA268</f>
        <v>7582.2379247417748</v>
      </c>
      <c r="DB267" s="234">
        <f>+CX267+CY267+CZ267+DA267</f>
        <v>30328.951698967099</v>
      </c>
    </row>
    <row r="268" spans="1:106">
      <c r="A268" s="117" t="s">
        <v>311</v>
      </c>
      <c r="F268" s="217"/>
      <c r="K268" s="217"/>
      <c r="P268" s="217"/>
      <c r="U268" s="217"/>
      <c r="V268" s="120">
        <v>7</v>
      </c>
      <c r="W268" s="120">
        <v>7</v>
      </c>
      <c r="X268" s="120">
        <v>7</v>
      </c>
      <c r="Y268" s="120">
        <v>7</v>
      </c>
      <c r="Z268" s="250">
        <f>+Z267/Z265</f>
        <v>7</v>
      </c>
      <c r="AA268" s="120">
        <v>7</v>
      </c>
      <c r="AB268" s="120">
        <v>7</v>
      </c>
      <c r="AC268" s="120">
        <v>7</v>
      </c>
      <c r="AD268" s="120">
        <v>7</v>
      </c>
      <c r="AE268" s="250">
        <f>+AE267/AE265</f>
        <v>7</v>
      </c>
      <c r="AF268" s="120">
        <v>7</v>
      </c>
      <c r="AG268" s="120">
        <v>7</v>
      </c>
      <c r="AH268" s="120">
        <v>7</v>
      </c>
      <c r="AI268" s="120">
        <v>7</v>
      </c>
      <c r="AJ268" s="250">
        <f>+AJ267/AJ265</f>
        <v>7</v>
      </c>
      <c r="AK268" s="120">
        <v>7</v>
      </c>
      <c r="AL268" s="120">
        <v>7</v>
      </c>
      <c r="AM268" s="120">
        <v>7</v>
      </c>
      <c r="AN268" s="120">
        <v>7</v>
      </c>
      <c r="AO268" s="250">
        <f>+AO267/AO265</f>
        <v>7</v>
      </c>
      <c r="AP268" s="120">
        <v>7</v>
      </c>
      <c r="AQ268" s="120">
        <v>7</v>
      </c>
      <c r="AR268" s="120">
        <v>7</v>
      </c>
      <c r="AS268" s="120">
        <v>7</v>
      </c>
      <c r="AT268" s="250">
        <f>+AT267/AT265</f>
        <v>7</v>
      </c>
      <c r="AU268" s="120">
        <v>7</v>
      </c>
      <c r="AV268" s="120">
        <v>7</v>
      </c>
      <c r="AW268" s="120">
        <v>7</v>
      </c>
      <c r="AX268" s="120">
        <v>7</v>
      </c>
      <c r="AY268" s="250">
        <f>+AY267/AY265</f>
        <v>7</v>
      </c>
      <c r="AZ268" s="120">
        <v>7</v>
      </c>
      <c r="BA268" s="120">
        <v>7</v>
      </c>
      <c r="BB268" s="120">
        <v>7</v>
      </c>
      <c r="BC268" s="120">
        <v>7</v>
      </c>
      <c r="BD268" s="250">
        <f>+BD267/BD265</f>
        <v>7</v>
      </c>
      <c r="BE268" s="120">
        <v>7</v>
      </c>
      <c r="BF268" s="120">
        <v>7</v>
      </c>
      <c r="BG268" s="120">
        <v>7</v>
      </c>
      <c r="BH268" s="120">
        <v>7</v>
      </c>
      <c r="BI268" s="250">
        <f>+BI267/BI265</f>
        <v>7</v>
      </c>
      <c r="BJ268" s="120">
        <v>7</v>
      </c>
      <c r="BK268" s="120">
        <v>7</v>
      </c>
      <c r="BL268" s="120">
        <v>7</v>
      </c>
      <c r="BM268" s="120">
        <v>7</v>
      </c>
      <c r="BN268" s="250">
        <f>+BN267/BN265</f>
        <v>7</v>
      </c>
      <c r="BO268" s="120">
        <v>7</v>
      </c>
      <c r="BP268" s="120">
        <v>7</v>
      </c>
      <c r="BQ268" s="120">
        <v>7</v>
      </c>
      <c r="BR268" s="120">
        <v>7</v>
      </c>
      <c r="BS268" s="250">
        <f>+BS267/BS265</f>
        <v>7</v>
      </c>
      <c r="BT268" s="120">
        <v>7</v>
      </c>
      <c r="BU268" s="120">
        <v>7</v>
      </c>
      <c r="BV268" s="120">
        <v>7</v>
      </c>
      <c r="BW268" s="120">
        <v>7</v>
      </c>
      <c r="BX268" s="250">
        <f>+BX267/BX265</f>
        <v>7</v>
      </c>
      <c r="BY268" s="120">
        <v>7</v>
      </c>
      <c r="BZ268" s="120">
        <v>7</v>
      </c>
      <c r="CA268" s="120">
        <v>7</v>
      </c>
      <c r="CB268" s="120">
        <v>7</v>
      </c>
      <c r="CC268" s="250">
        <f>+CC267/CC265</f>
        <v>6.9999999999999991</v>
      </c>
      <c r="CD268" s="120">
        <v>7</v>
      </c>
      <c r="CE268" s="120">
        <v>7</v>
      </c>
      <c r="CF268" s="120">
        <v>7</v>
      </c>
      <c r="CG268" s="120">
        <v>7</v>
      </c>
      <c r="CH268" s="250">
        <f>+CH267/CH265</f>
        <v>7</v>
      </c>
      <c r="CI268" s="120">
        <v>7</v>
      </c>
      <c r="CJ268" s="120">
        <v>7</v>
      </c>
      <c r="CK268" s="120">
        <v>7</v>
      </c>
      <c r="CL268" s="120">
        <v>7</v>
      </c>
      <c r="CM268" s="250">
        <f>+CM267/CM265</f>
        <v>7</v>
      </c>
      <c r="CN268" s="120">
        <v>7</v>
      </c>
      <c r="CO268" s="120">
        <v>7</v>
      </c>
      <c r="CP268" s="120">
        <v>7</v>
      </c>
      <c r="CQ268" s="120">
        <v>7</v>
      </c>
      <c r="CR268" s="250">
        <f>+CR267/CR265</f>
        <v>7</v>
      </c>
      <c r="CS268" s="120">
        <v>7</v>
      </c>
      <c r="CT268" s="120">
        <v>7</v>
      </c>
      <c r="CU268" s="120">
        <v>7</v>
      </c>
      <c r="CV268" s="120">
        <v>7</v>
      </c>
      <c r="CW268" s="250">
        <f>+CW267/CW265</f>
        <v>7</v>
      </c>
      <c r="CX268" s="120">
        <v>7</v>
      </c>
      <c r="CY268" s="120">
        <v>7</v>
      </c>
      <c r="CZ268" s="120">
        <v>7</v>
      </c>
      <c r="DA268" s="120">
        <v>7</v>
      </c>
      <c r="DB268" s="250">
        <f>+DB267/DB265</f>
        <v>7</v>
      </c>
    </row>
    <row r="269" spans="1:106">
      <c r="A269" s="117"/>
      <c r="F269" s="217"/>
      <c r="K269" s="217"/>
      <c r="P269" s="217"/>
      <c r="U269" s="217"/>
      <c r="Z269" s="217"/>
      <c r="AE269" s="217"/>
      <c r="AJ269" s="217"/>
      <c r="AO269" s="217"/>
      <c r="AT269" s="217"/>
      <c r="AY269" s="217"/>
      <c r="BD269" s="217"/>
      <c r="BI269" s="217"/>
      <c r="BN269" s="217"/>
      <c r="BS269" s="217"/>
      <c r="BX269" s="217"/>
      <c r="CC269" s="217"/>
      <c r="CH269" s="217"/>
      <c r="CM269" s="217"/>
      <c r="CR269" s="217"/>
      <c r="CW269" s="217"/>
      <c r="DB269" s="217"/>
    </row>
    <row r="270" spans="1:106" s="51" customFormat="1">
      <c r="A270" s="228" t="s">
        <v>323</v>
      </c>
      <c r="F270" s="233"/>
      <c r="K270" s="233"/>
      <c r="P270" s="233"/>
      <c r="U270" s="233"/>
      <c r="V270" s="213">
        <f>+Z270/4</f>
        <v>4075</v>
      </c>
      <c r="W270" s="213">
        <f>+Z270/4</f>
        <v>4075</v>
      </c>
      <c r="X270" s="213">
        <f>+Z270/4</f>
        <v>4075</v>
      </c>
      <c r="Y270" s="213">
        <f>+Z270/4</f>
        <v>4075</v>
      </c>
      <c r="Z270" s="234">
        <v>16300</v>
      </c>
      <c r="AA270" s="213">
        <f>+V270*(1+AA271)</f>
        <v>4197.25</v>
      </c>
      <c r="AB270" s="213">
        <f t="shared" ref="AB270" si="6659">+W270*(1+AB271)</f>
        <v>4197.25</v>
      </c>
      <c r="AC270" s="213">
        <f t="shared" ref="AC270" si="6660">+X270*(1+AC271)</f>
        <v>4197.25</v>
      </c>
      <c r="AD270" s="213">
        <f t="shared" ref="AD270" si="6661">+Y270*(1+AD271)</f>
        <v>4197.25</v>
      </c>
      <c r="AE270" s="234">
        <f>+AA270+AB270+AC270+AD270</f>
        <v>16789</v>
      </c>
      <c r="AF270" s="213">
        <f>+AA270*(1+AF271)</f>
        <v>4323.1675000000005</v>
      </c>
      <c r="AG270" s="213">
        <f t="shared" ref="AG270" si="6662">+AB270*(1+AG271)</f>
        <v>4323.1675000000005</v>
      </c>
      <c r="AH270" s="213">
        <f t="shared" ref="AH270" si="6663">+AC270*(1+AH271)</f>
        <v>4323.1675000000005</v>
      </c>
      <c r="AI270" s="213">
        <f t="shared" ref="AI270" si="6664">+AD270*(1+AI271)</f>
        <v>4323.1675000000005</v>
      </c>
      <c r="AJ270" s="234">
        <f>+AF270+AG270+AH270+AI270</f>
        <v>17292.670000000002</v>
      </c>
      <c r="AK270" s="213">
        <f>+AF270*(1+AK271)</f>
        <v>4452.8625250000005</v>
      </c>
      <c r="AL270" s="213">
        <f t="shared" ref="AL270" si="6665">+AG270*(1+AL271)</f>
        <v>4452.8625250000005</v>
      </c>
      <c r="AM270" s="213">
        <f t="shared" ref="AM270" si="6666">+AH270*(1+AM271)</f>
        <v>4452.8625250000005</v>
      </c>
      <c r="AN270" s="213">
        <f t="shared" ref="AN270" si="6667">+AI270*(1+AN271)</f>
        <v>4452.8625250000005</v>
      </c>
      <c r="AO270" s="234">
        <f>+AK270+AL270+AM270+AN270</f>
        <v>17811.450100000002</v>
      </c>
      <c r="AP270" s="213">
        <f>+AK270*(1+AP271)</f>
        <v>4586.4484007500005</v>
      </c>
      <c r="AQ270" s="213">
        <f t="shared" ref="AQ270" si="6668">+AL270*(1+AQ271)</f>
        <v>4586.4484007500005</v>
      </c>
      <c r="AR270" s="213">
        <f t="shared" ref="AR270" si="6669">+AM270*(1+AR271)</f>
        <v>4586.4484007500005</v>
      </c>
      <c r="AS270" s="213">
        <f t="shared" ref="AS270" si="6670">+AN270*(1+AS271)</f>
        <v>4586.4484007500005</v>
      </c>
      <c r="AT270" s="234">
        <f>+AP270+AQ270+AR270+AS270</f>
        <v>18345.793603000002</v>
      </c>
      <c r="AU270" s="213">
        <f>+AP270*(1+AU271)</f>
        <v>4724.0418527725005</v>
      </c>
      <c r="AV270" s="213">
        <f t="shared" ref="AV270" si="6671">+AQ270*(1+AV271)</f>
        <v>4724.0418527725005</v>
      </c>
      <c r="AW270" s="213">
        <f t="shared" ref="AW270" si="6672">+AR270*(1+AW271)</f>
        <v>4724.0418527725005</v>
      </c>
      <c r="AX270" s="213">
        <f t="shared" ref="AX270" si="6673">+AS270*(1+AX271)</f>
        <v>4724.0418527725005</v>
      </c>
      <c r="AY270" s="234">
        <f>+AU270+AV270+AW270+AX270</f>
        <v>18896.167411090002</v>
      </c>
      <c r="AZ270" s="213">
        <f>+AU270*(1+AZ271)</f>
        <v>4865.7631083556753</v>
      </c>
      <c r="BA270" s="213">
        <f t="shared" ref="BA270" si="6674">+AV270*(1+BA271)</f>
        <v>4865.7631083556753</v>
      </c>
      <c r="BB270" s="213">
        <f t="shared" ref="BB270" si="6675">+AW270*(1+BB271)</f>
        <v>4865.7631083556753</v>
      </c>
      <c r="BC270" s="213">
        <f t="shared" ref="BC270" si="6676">+AX270*(1+BC271)</f>
        <v>4865.7631083556753</v>
      </c>
      <c r="BD270" s="234">
        <f>+AZ270+BA270+BB270+BC270</f>
        <v>19463.052433422701</v>
      </c>
      <c r="BE270" s="213">
        <f>+AZ270*(1+BE271)</f>
        <v>5011.7360016063458</v>
      </c>
      <c r="BF270" s="213">
        <f t="shared" ref="BF270" si="6677">+BA270*(1+BF271)</f>
        <v>5011.7360016063458</v>
      </c>
      <c r="BG270" s="213">
        <f t="shared" ref="BG270" si="6678">+BB270*(1+BG271)</f>
        <v>5011.7360016063458</v>
      </c>
      <c r="BH270" s="213">
        <f t="shared" ref="BH270" si="6679">+BC270*(1+BH271)</f>
        <v>5011.7360016063458</v>
      </c>
      <c r="BI270" s="234">
        <f>+BE270+BF270+BG270+BH270</f>
        <v>20046.944006425383</v>
      </c>
      <c r="BJ270" s="213">
        <f>+BE270*(1+BJ271)</f>
        <v>5162.0880816545359</v>
      </c>
      <c r="BK270" s="213">
        <f t="shared" ref="BK270" si="6680">+BF270*(1+BK271)</f>
        <v>5162.0880816545359</v>
      </c>
      <c r="BL270" s="213">
        <f t="shared" ref="BL270" si="6681">+BG270*(1+BL271)</f>
        <v>5162.0880816545359</v>
      </c>
      <c r="BM270" s="213">
        <f t="shared" ref="BM270" si="6682">+BH270*(1+BM271)</f>
        <v>5162.0880816545359</v>
      </c>
      <c r="BN270" s="234">
        <f>+BJ270+BK270+BL270+BM270</f>
        <v>20648.352326618144</v>
      </c>
      <c r="BO270" s="213">
        <f>+BJ270*(1+BO271)</f>
        <v>5316.950724104172</v>
      </c>
      <c r="BP270" s="213">
        <f t="shared" ref="BP270" si="6683">+BK270*(1+BP271)</f>
        <v>5316.950724104172</v>
      </c>
      <c r="BQ270" s="213">
        <f t="shared" ref="BQ270" si="6684">+BL270*(1+BQ271)</f>
        <v>5316.950724104172</v>
      </c>
      <c r="BR270" s="213">
        <f t="shared" ref="BR270" si="6685">+BM270*(1+BR271)</f>
        <v>5316.950724104172</v>
      </c>
      <c r="BS270" s="234">
        <f>+BO270+BP270+BQ270+BR270</f>
        <v>21267.802896416688</v>
      </c>
      <c r="BT270" s="213">
        <f>+BO270*(1+BT271)</f>
        <v>5476.4592458272973</v>
      </c>
      <c r="BU270" s="213">
        <f t="shared" ref="BU270" si="6686">+BP270*(1+BU271)</f>
        <v>5476.4592458272973</v>
      </c>
      <c r="BV270" s="213">
        <f t="shared" ref="BV270" si="6687">+BQ270*(1+BV271)</f>
        <v>5476.4592458272973</v>
      </c>
      <c r="BW270" s="213">
        <f t="shared" ref="BW270" si="6688">+BR270*(1+BW271)</f>
        <v>5476.4592458272973</v>
      </c>
      <c r="BX270" s="234">
        <f>+BT270+BU270+BV270+BW270</f>
        <v>21905.836983309189</v>
      </c>
      <c r="BY270" s="213">
        <f>+BT270*(1+BY271)</f>
        <v>5640.7530232021163</v>
      </c>
      <c r="BZ270" s="213">
        <f t="shared" ref="BZ270" si="6689">+BU270*(1+BZ271)</f>
        <v>5640.7530232021163</v>
      </c>
      <c r="CA270" s="213">
        <f t="shared" ref="CA270" si="6690">+BV270*(1+CA271)</f>
        <v>5640.7530232021163</v>
      </c>
      <c r="CB270" s="213">
        <f t="shared" ref="CB270" si="6691">+BW270*(1+CB271)</f>
        <v>5640.7530232021163</v>
      </c>
      <c r="CC270" s="234">
        <f>+BY270+BZ270+CA270+CB270</f>
        <v>22563.012092808465</v>
      </c>
      <c r="CD270" s="213">
        <f>+BY270*(1+CD271)</f>
        <v>5809.9756138981802</v>
      </c>
      <c r="CE270" s="213">
        <f t="shared" ref="CE270" si="6692">+BZ270*(1+CE271)</f>
        <v>5809.9756138981802</v>
      </c>
      <c r="CF270" s="213">
        <f t="shared" ref="CF270" si="6693">+CA270*(1+CF271)</f>
        <v>5809.9756138981802</v>
      </c>
      <c r="CG270" s="213">
        <f t="shared" ref="CG270" si="6694">+CB270*(1+CG271)</f>
        <v>5809.9756138981802</v>
      </c>
      <c r="CH270" s="234">
        <f>+CD270+CE270+CF270+CG270</f>
        <v>23239.902455592721</v>
      </c>
      <c r="CI270" s="213">
        <f>+CD270*(1+CI271)</f>
        <v>5984.274882315126</v>
      </c>
      <c r="CJ270" s="213">
        <f t="shared" ref="CJ270" si="6695">+CE270*(1+CJ271)</f>
        <v>5984.274882315126</v>
      </c>
      <c r="CK270" s="213">
        <f t="shared" ref="CK270" si="6696">+CF270*(1+CK271)</f>
        <v>5984.274882315126</v>
      </c>
      <c r="CL270" s="213">
        <f t="shared" ref="CL270" si="6697">+CG270*(1+CL271)</f>
        <v>5984.274882315126</v>
      </c>
      <c r="CM270" s="234">
        <f>+CI270+CJ270+CK270+CL270</f>
        <v>23937.099529260504</v>
      </c>
      <c r="CN270" s="213">
        <f>+CI270*(1+CN271)</f>
        <v>6163.8031287845797</v>
      </c>
      <c r="CO270" s="213">
        <f t="shared" ref="CO270" si="6698">+CJ270*(1+CO271)</f>
        <v>6163.8031287845797</v>
      </c>
      <c r="CP270" s="213">
        <f t="shared" ref="CP270" si="6699">+CK270*(1+CP271)</f>
        <v>6163.8031287845797</v>
      </c>
      <c r="CQ270" s="213">
        <f t="shared" ref="CQ270" si="6700">+CL270*(1+CQ271)</f>
        <v>6163.8031287845797</v>
      </c>
      <c r="CR270" s="234">
        <f>+CN270+CO270+CP270+CQ270</f>
        <v>24655.212515138319</v>
      </c>
      <c r="CS270" s="213">
        <f>+CN270*(1+CS271)</f>
        <v>6348.7172226481171</v>
      </c>
      <c r="CT270" s="213">
        <f t="shared" ref="CT270" si="6701">+CO270*(1+CT271)</f>
        <v>6348.7172226481171</v>
      </c>
      <c r="CU270" s="213">
        <f t="shared" ref="CU270" si="6702">+CP270*(1+CU271)</f>
        <v>6348.7172226481171</v>
      </c>
      <c r="CV270" s="213">
        <f t="shared" ref="CV270" si="6703">+CQ270*(1+CV271)</f>
        <v>6348.7172226481171</v>
      </c>
      <c r="CW270" s="234">
        <f>+CS270+CT270+CU270+CV270</f>
        <v>25394.868890592468</v>
      </c>
      <c r="CX270" s="213">
        <f>+CS270*(1+CX271)</f>
        <v>6539.1787393275608</v>
      </c>
      <c r="CY270" s="213">
        <f t="shared" ref="CY270" si="6704">+CT270*(1+CY271)</f>
        <v>6539.1787393275608</v>
      </c>
      <c r="CZ270" s="213">
        <f t="shared" ref="CZ270" si="6705">+CU270*(1+CZ271)</f>
        <v>6539.1787393275608</v>
      </c>
      <c r="DA270" s="213">
        <f t="shared" ref="DA270" si="6706">+CV270*(1+DA271)</f>
        <v>6539.1787393275608</v>
      </c>
      <c r="DB270" s="234">
        <f>+CX270+CY270+CZ270+DA270</f>
        <v>26156.714957310243</v>
      </c>
    </row>
    <row r="271" spans="1:106">
      <c r="A271" s="117" t="s">
        <v>281</v>
      </c>
      <c r="F271" s="217"/>
      <c r="K271" s="217"/>
      <c r="P271" s="217"/>
      <c r="U271" s="217"/>
      <c r="V271" s="119" t="s">
        <v>326</v>
      </c>
      <c r="W271" s="119" t="s">
        <v>326</v>
      </c>
      <c r="X271" s="119" t="s">
        <v>326</v>
      </c>
      <c r="Y271" s="119" t="s">
        <v>326</v>
      </c>
      <c r="Z271" s="235" t="s">
        <v>326</v>
      </c>
      <c r="AA271" s="118">
        <v>0.03</v>
      </c>
      <c r="AB271" s="118">
        <v>0.03</v>
      </c>
      <c r="AC271" s="118">
        <v>0.03</v>
      </c>
      <c r="AD271" s="118">
        <v>0.03</v>
      </c>
      <c r="AE271" s="239">
        <f>+AE270/Z270-1</f>
        <v>3.0000000000000027E-2</v>
      </c>
      <c r="AF271" s="118">
        <v>0.03</v>
      </c>
      <c r="AG271" s="118">
        <v>0.03</v>
      </c>
      <c r="AH271" s="118">
        <v>0.03</v>
      </c>
      <c r="AI271" s="118">
        <v>0.03</v>
      </c>
      <c r="AJ271" s="239">
        <f>+AJ270/AE270-1</f>
        <v>3.0000000000000027E-2</v>
      </c>
      <c r="AK271" s="118">
        <v>0.03</v>
      </c>
      <c r="AL271" s="118">
        <v>0.03</v>
      </c>
      <c r="AM271" s="118">
        <v>0.03</v>
      </c>
      <c r="AN271" s="118">
        <v>0.03</v>
      </c>
      <c r="AO271" s="239">
        <f>+AO270/AJ270-1</f>
        <v>3.0000000000000027E-2</v>
      </c>
      <c r="AP271" s="118">
        <v>0.03</v>
      </c>
      <c r="AQ271" s="118">
        <v>0.03</v>
      </c>
      <c r="AR271" s="118">
        <v>0.03</v>
      </c>
      <c r="AS271" s="118">
        <v>0.03</v>
      </c>
      <c r="AT271" s="239">
        <f>+AT270/AO270-1</f>
        <v>3.0000000000000027E-2</v>
      </c>
      <c r="AU271" s="118">
        <v>0.03</v>
      </c>
      <c r="AV271" s="118">
        <v>0.03</v>
      </c>
      <c r="AW271" s="118">
        <v>0.03</v>
      </c>
      <c r="AX271" s="118">
        <v>0.03</v>
      </c>
      <c r="AY271" s="239">
        <f>+AY270/AT270-1</f>
        <v>3.0000000000000027E-2</v>
      </c>
      <c r="AZ271" s="118">
        <v>0.03</v>
      </c>
      <c r="BA271" s="118">
        <v>0.03</v>
      </c>
      <c r="BB271" s="118">
        <v>0.03</v>
      </c>
      <c r="BC271" s="118">
        <v>0.03</v>
      </c>
      <c r="BD271" s="239">
        <f>+BD270/AY270-1</f>
        <v>3.0000000000000027E-2</v>
      </c>
      <c r="BE271" s="118">
        <v>0.03</v>
      </c>
      <c r="BF271" s="118">
        <v>0.03</v>
      </c>
      <c r="BG271" s="118">
        <v>0.03</v>
      </c>
      <c r="BH271" s="118">
        <v>0.03</v>
      </c>
      <c r="BI271" s="239">
        <f>+BI270/BD270-1</f>
        <v>3.0000000000000027E-2</v>
      </c>
      <c r="BJ271" s="118">
        <v>0.03</v>
      </c>
      <c r="BK271" s="118">
        <v>0.03</v>
      </c>
      <c r="BL271" s="118">
        <v>0.03</v>
      </c>
      <c r="BM271" s="118">
        <v>0.03</v>
      </c>
      <c r="BN271" s="239">
        <f>+BN270/BI270-1</f>
        <v>3.0000000000000027E-2</v>
      </c>
      <c r="BO271" s="118">
        <v>0.03</v>
      </c>
      <c r="BP271" s="118">
        <v>0.03</v>
      </c>
      <c r="BQ271" s="118">
        <v>0.03</v>
      </c>
      <c r="BR271" s="118">
        <v>0.03</v>
      </c>
      <c r="BS271" s="239">
        <f>+BS270/BN270-1</f>
        <v>3.0000000000000027E-2</v>
      </c>
      <c r="BT271" s="118">
        <v>0.03</v>
      </c>
      <c r="BU271" s="118">
        <v>0.03</v>
      </c>
      <c r="BV271" s="118">
        <v>0.03</v>
      </c>
      <c r="BW271" s="118">
        <v>0.03</v>
      </c>
      <c r="BX271" s="239">
        <f>+BX270/BS270-1</f>
        <v>3.0000000000000027E-2</v>
      </c>
      <c r="BY271" s="118">
        <v>0.03</v>
      </c>
      <c r="BZ271" s="118">
        <v>0.03</v>
      </c>
      <c r="CA271" s="118">
        <v>0.03</v>
      </c>
      <c r="CB271" s="118">
        <v>0.03</v>
      </c>
      <c r="CC271" s="239">
        <f>+CC270/BX270-1</f>
        <v>3.0000000000000027E-2</v>
      </c>
      <c r="CD271" s="118">
        <v>0.03</v>
      </c>
      <c r="CE271" s="118">
        <v>0.03</v>
      </c>
      <c r="CF271" s="118">
        <v>0.03</v>
      </c>
      <c r="CG271" s="118">
        <v>0.03</v>
      </c>
      <c r="CH271" s="239">
        <f>+CH270/CC270-1</f>
        <v>3.0000000000000027E-2</v>
      </c>
      <c r="CI271" s="118">
        <v>0.03</v>
      </c>
      <c r="CJ271" s="118">
        <v>0.03</v>
      </c>
      <c r="CK271" s="118">
        <v>0.03</v>
      </c>
      <c r="CL271" s="118">
        <v>0.03</v>
      </c>
      <c r="CM271" s="239">
        <f>+CM270/CH270-1</f>
        <v>3.0000000000000027E-2</v>
      </c>
      <c r="CN271" s="118">
        <v>0.03</v>
      </c>
      <c r="CO271" s="118">
        <v>0.03</v>
      </c>
      <c r="CP271" s="118">
        <v>0.03</v>
      </c>
      <c r="CQ271" s="118">
        <v>0.03</v>
      </c>
      <c r="CR271" s="239">
        <f>+CR270/CM270-1</f>
        <v>3.0000000000000027E-2</v>
      </c>
      <c r="CS271" s="118">
        <v>0.03</v>
      </c>
      <c r="CT271" s="118">
        <v>0.03</v>
      </c>
      <c r="CU271" s="118">
        <v>0.03</v>
      </c>
      <c r="CV271" s="118">
        <v>0.03</v>
      </c>
      <c r="CW271" s="239">
        <f>+CW270/CR270-1</f>
        <v>3.0000000000000027E-2</v>
      </c>
      <c r="CX271" s="118">
        <v>0.03</v>
      </c>
      <c r="CY271" s="118">
        <v>0.03</v>
      </c>
      <c r="CZ271" s="118">
        <v>0.03</v>
      </c>
      <c r="DA271" s="118">
        <v>0.03</v>
      </c>
      <c r="DB271" s="239">
        <f>+DB270/CW270-1</f>
        <v>3.0000000000000027E-2</v>
      </c>
    </row>
    <row r="272" spans="1:106" s="51" customFormat="1">
      <c r="A272" s="51" t="s">
        <v>313</v>
      </c>
      <c r="F272" s="233"/>
      <c r="K272" s="233"/>
      <c r="P272" s="233"/>
      <c r="U272" s="233"/>
      <c r="V272" s="213">
        <f>+V270*V273</f>
        <v>16300</v>
      </c>
      <c r="W272" s="213">
        <f t="shared" ref="W272" si="6707">+W270*W273</f>
        <v>16300</v>
      </c>
      <c r="X272" s="213">
        <f t="shared" ref="X272" si="6708">+X270*X273</f>
        <v>16300</v>
      </c>
      <c r="Y272" s="213">
        <f t="shared" ref="Y272" si="6709">+Y270*Y273</f>
        <v>16300</v>
      </c>
      <c r="Z272" s="234">
        <f>+V272+W272+X272+Y272</f>
        <v>65200</v>
      </c>
      <c r="AA272" s="213">
        <f>+AA270*AA273</f>
        <v>16789</v>
      </c>
      <c r="AB272" s="213">
        <f t="shared" ref="AB272" si="6710">+AB270*AB273</f>
        <v>16789</v>
      </c>
      <c r="AC272" s="213">
        <f t="shared" ref="AC272" si="6711">+AC270*AC273</f>
        <v>16789</v>
      </c>
      <c r="AD272" s="213">
        <f t="shared" ref="AD272" si="6712">+AD270*AD273</f>
        <v>16789</v>
      </c>
      <c r="AE272" s="234">
        <f>+AA272+AB272+AC272+AD272</f>
        <v>67156</v>
      </c>
      <c r="AF272" s="213">
        <f>+AF270*AF273</f>
        <v>17292.670000000002</v>
      </c>
      <c r="AG272" s="213">
        <f t="shared" ref="AG272" si="6713">+AG270*AG273</f>
        <v>17292.670000000002</v>
      </c>
      <c r="AH272" s="213">
        <f t="shared" ref="AH272" si="6714">+AH270*AH273</f>
        <v>17292.670000000002</v>
      </c>
      <c r="AI272" s="213">
        <f t="shared" ref="AI272" si="6715">+AI270*AI273</f>
        <v>17292.670000000002</v>
      </c>
      <c r="AJ272" s="234">
        <f>+AF272+AG272+AH272+AI272</f>
        <v>69170.680000000008</v>
      </c>
      <c r="AK272" s="213">
        <f>+AK270*AK273</f>
        <v>17811.450100000002</v>
      </c>
      <c r="AL272" s="213">
        <f t="shared" ref="AL272" si="6716">+AL270*AL273</f>
        <v>17811.450100000002</v>
      </c>
      <c r="AM272" s="213">
        <f t="shared" ref="AM272" si="6717">+AM270*AM273</f>
        <v>17811.450100000002</v>
      </c>
      <c r="AN272" s="213">
        <f t="shared" ref="AN272" si="6718">+AN270*AN273</f>
        <v>17811.450100000002</v>
      </c>
      <c r="AO272" s="234">
        <f>+AK272+AL272+AM272+AN272</f>
        <v>71245.800400000007</v>
      </c>
      <c r="AP272" s="213">
        <f>+AP270*AP273</f>
        <v>18345.793603000002</v>
      </c>
      <c r="AQ272" s="213">
        <f t="shared" ref="AQ272" si="6719">+AQ270*AQ273</f>
        <v>18345.793603000002</v>
      </c>
      <c r="AR272" s="213">
        <f t="shared" ref="AR272" si="6720">+AR270*AR273</f>
        <v>18345.793603000002</v>
      </c>
      <c r="AS272" s="213">
        <f t="shared" ref="AS272" si="6721">+AS270*AS273</f>
        <v>18345.793603000002</v>
      </c>
      <c r="AT272" s="234">
        <f>+AP272+AQ272+AR272+AS272</f>
        <v>73383.174412000008</v>
      </c>
      <c r="AU272" s="213">
        <f>+AU270*AU273</f>
        <v>18896.167411090002</v>
      </c>
      <c r="AV272" s="213">
        <f t="shared" ref="AV272" si="6722">+AV270*AV273</f>
        <v>18896.167411090002</v>
      </c>
      <c r="AW272" s="213">
        <f t="shared" ref="AW272" si="6723">+AW270*AW273</f>
        <v>18896.167411090002</v>
      </c>
      <c r="AX272" s="213">
        <f t="shared" ref="AX272" si="6724">+AX270*AX273</f>
        <v>18896.167411090002</v>
      </c>
      <c r="AY272" s="234">
        <f>+AU272+AV272+AW272+AX272</f>
        <v>75584.669644360009</v>
      </c>
      <c r="AZ272" s="213">
        <f>+AZ270*AZ273</f>
        <v>19463.052433422701</v>
      </c>
      <c r="BA272" s="213">
        <f t="shared" ref="BA272" si="6725">+BA270*BA273</f>
        <v>19463.052433422701</v>
      </c>
      <c r="BB272" s="213">
        <f t="shared" ref="BB272" si="6726">+BB270*BB273</f>
        <v>19463.052433422701</v>
      </c>
      <c r="BC272" s="213">
        <f t="shared" ref="BC272" si="6727">+BC270*BC273</f>
        <v>19463.052433422701</v>
      </c>
      <c r="BD272" s="234">
        <f>+AZ272+BA272+BB272+BC272</f>
        <v>77852.209733690805</v>
      </c>
      <c r="BE272" s="213">
        <f>+BE270*BE273</f>
        <v>20046.944006425383</v>
      </c>
      <c r="BF272" s="213">
        <f t="shared" ref="BF272" si="6728">+BF270*BF273</f>
        <v>20046.944006425383</v>
      </c>
      <c r="BG272" s="213">
        <f t="shared" ref="BG272" si="6729">+BG270*BG273</f>
        <v>20046.944006425383</v>
      </c>
      <c r="BH272" s="213">
        <f t="shared" ref="BH272" si="6730">+BH270*BH273</f>
        <v>20046.944006425383</v>
      </c>
      <c r="BI272" s="234">
        <f>+BE272+BF272+BG272+BH272</f>
        <v>80187.776025701532</v>
      </c>
      <c r="BJ272" s="213">
        <f>+BJ270*BJ273</f>
        <v>20648.352326618144</v>
      </c>
      <c r="BK272" s="213">
        <f t="shared" ref="BK272" si="6731">+BK270*BK273</f>
        <v>20648.352326618144</v>
      </c>
      <c r="BL272" s="213">
        <f t="shared" ref="BL272" si="6732">+BL270*BL273</f>
        <v>20648.352326618144</v>
      </c>
      <c r="BM272" s="213">
        <f t="shared" ref="BM272" si="6733">+BM270*BM273</f>
        <v>20648.352326618144</v>
      </c>
      <c r="BN272" s="234">
        <f>+BJ272+BK272+BL272+BM272</f>
        <v>82593.409306472575</v>
      </c>
      <c r="BO272" s="213">
        <f>+BO270*BO273</f>
        <v>21267.802896416688</v>
      </c>
      <c r="BP272" s="213">
        <f t="shared" ref="BP272" si="6734">+BP270*BP273</f>
        <v>21267.802896416688</v>
      </c>
      <c r="BQ272" s="213">
        <f t="shared" ref="BQ272" si="6735">+BQ270*BQ273</f>
        <v>21267.802896416688</v>
      </c>
      <c r="BR272" s="213">
        <f t="shared" ref="BR272" si="6736">+BR270*BR273</f>
        <v>21267.802896416688</v>
      </c>
      <c r="BS272" s="234">
        <f>+BO272+BP272+BQ272+BR272</f>
        <v>85071.211585666751</v>
      </c>
      <c r="BT272" s="213">
        <f>+BT270*BT273</f>
        <v>21905.836983309189</v>
      </c>
      <c r="BU272" s="213">
        <f t="shared" ref="BU272" si="6737">+BU270*BU273</f>
        <v>21905.836983309189</v>
      </c>
      <c r="BV272" s="213">
        <f t="shared" ref="BV272" si="6738">+BV270*BV273</f>
        <v>21905.836983309189</v>
      </c>
      <c r="BW272" s="213">
        <f t="shared" ref="BW272" si="6739">+BW270*BW273</f>
        <v>21905.836983309189</v>
      </c>
      <c r="BX272" s="234">
        <f>+BT272+BU272+BV272+BW272</f>
        <v>87623.347933236757</v>
      </c>
      <c r="BY272" s="213">
        <f>+BY270*BY273</f>
        <v>22563.012092808465</v>
      </c>
      <c r="BZ272" s="213">
        <f t="shared" ref="BZ272" si="6740">+BZ270*BZ273</f>
        <v>22563.012092808465</v>
      </c>
      <c r="CA272" s="213">
        <f t="shared" ref="CA272" si="6741">+CA270*CA273</f>
        <v>22563.012092808465</v>
      </c>
      <c r="CB272" s="213">
        <f t="shared" ref="CB272" si="6742">+CB270*CB273</f>
        <v>22563.012092808465</v>
      </c>
      <c r="CC272" s="234">
        <f>+BY272+BZ272+CA272+CB272</f>
        <v>90252.048371233861</v>
      </c>
      <c r="CD272" s="213">
        <f>+CD270*CD273</f>
        <v>23239.902455592721</v>
      </c>
      <c r="CE272" s="213">
        <f t="shared" ref="CE272" si="6743">+CE270*CE273</f>
        <v>23239.902455592721</v>
      </c>
      <c r="CF272" s="213">
        <f t="shared" ref="CF272" si="6744">+CF270*CF273</f>
        <v>23239.902455592721</v>
      </c>
      <c r="CG272" s="213">
        <f t="shared" ref="CG272" si="6745">+CG270*CG273</f>
        <v>23239.902455592721</v>
      </c>
      <c r="CH272" s="234">
        <f>+CD272+CE272+CF272+CG272</f>
        <v>92959.609822370883</v>
      </c>
      <c r="CI272" s="213">
        <f>+CI270*CI273</f>
        <v>23937.099529260504</v>
      </c>
      <c r="CJ272" s="213">
        <f t="shared" ref="CJ272" si="6746">+CJ270*CJ273</f>
        <v>23937.099529260504</v>
      </c>
      <c r="CK272" s="213">
        <f t="shared" ref="CK272" si="6747">+CK270*CK273</f>
        <v>23937.099529260504</v>
      </c>
      <c r="CL272" s="213">
        <f t="shared" ref="CL272" si="6748">+CL270*CL273</f>
        <v>23937.099529260504</v>
      </c>
      <c r="CM272" s="234">
        <f>+CI272+CJ272+CK272+CL272</f>
        <v>95748.398117042016</v>
      </c>
      <c r="CN272" s="213">
        <f>+CN270*CN273</f>
        <v>24655.212515138319</v>
      </c>
      <c r="CO272" s="213">
        <f t="shared" ref="CO272" si="6749">+CO270*CO273</f>
        <v>24655.212515138319</v>
      </c>
      <c r="CP272" s="213">
        <f t="shared" ref="CP272" si="6750">+CP270*CP273</f>
        <v>24655.212515138319</v>
      </c>
      <c r="CQ272" s="213">
        <f t="shared" ref="CQ272" si="6751">+CQ270*CQ273</f>
        <v>24655.212515138319</v>
      </c>
      <c r="CR272" s="234">
        <f>+CN272+CO272+CP272+CQ272</f>
        <v>98620.850060553275</v>
      </c>
      <c r="CS272" s="213">
        <f>+CS270*CS273</f>
        <v>25394.868890592468</v>
      </c>
      <c r="CT272" s="213">
        <f t="shared" ref="CT272" si="6752">+CT270*CT273</f>
        <v>25394.868890592468</v>
      </c>
      <c r="CU272" s="213">
        <f t="shared" ref="CU272" si="6753">+CU270*CU273</f>
        <v>25394.868890592468</v>
      </c>
      <c r="CV272" s="213">
        <f t="shared" ref="CV272" si="6754">+CV270*CV273</f>
        <v>25394.868890592468</v>
      </c>
      <c r="CW272" s="234">
        <f>+CS272+CT272+CU272+CV272</f>
        <v>101579.47556236987</v>
      </c>
      <c r="CX272" s="213">
        <f>+CX270*CX273</f>
        <v>26156.714957310243</v>
      </c>
      <c r="CY272" s="213">
        <f t="shared" ref="CY272" si="6755">+CY270*CY273</f>
        <v>26156.714957310243</v>
      </c>
      <c r="CZ272" s="213">
        <f t="shared" ref="CZ272" si="6756">+CZ270*CZ273</f>
        <v>26156.714957310243</v>
      </c>
      <c r="DA272" s="213">
        <f t="shared" ref="DA272" si="6757">+DA270*DA273</f>
        <v>26156.714957310243</v>
      </c>
      <c r="DB272" s="234">
        <f>+CX272+CY272+CZ272+DA272</f>
        <v>104626.85982924097</v>
      </c>
    </row>
    <row r="273" spans="1:106">
      <c r="A273" s="117" t="s">
        <v>311</v>
      </c>
      <c r="F273" s="217"/>
      <c r="K273" s="217"/>
      <c r="P273" s="217"/>
      <c r="U273" s="217"/>
      <c r="V273" s="120">
        <v>4</v>
      </c>
      <c r="W273" s="120">
        <v>4</v>
      </c>
      <c r="X273" s="120">
        <v>4</v>
      </c>
      <c r="Y273" s="120">
        <v>4</v>
      </c>
      <c r="Z273" s="250">
        <f>+Z272/Z270</f>
        <v>4</v>
      </c>
      <c r="AA273" s="120">
        <v>4</v>
      </c>
      <c r="AB273" s="120">
        <v>4</v>
      </c>
      <c r="AC273" s="120">
        <v>4</v>
      </c>
      <c r="AD273" s="120">
        <v>4</v>
      </c>
      <c r="AE273" s="250">
        <f>+AE272/AE270</f>
        <v>4</v>
      </c>
      <c r="AF273" s="120">
        <v>4</v>
      </c>
      <c r="AG273" s="120">
        <v>4</v>
      </c>
      <c r="AH273" s="120">
        <v>4</v>
      </c>
      <c r="AI273" s="120">
        <v>4</v>
      </c>
      <c r="AJ273" s="250">
        <f>+AJ272/AJ270</f>
        <v>4</v>
      </c>
      <c r="AK273" s="120">
        <v>4</v>
      </c>
      <c r="AL273" s="120">
        <v>4</v>
      </c>
      <c r="AM273" s="120">
        <v>4</v>
      </c>
      <c r="AN273" s="120">
        <v>4</v>
      </c>
      <c r="AO273" s="250">
        <f>+AO272/AO270</f>
        <v>4</v>
      </c>
      <c r="AP273" s="120">
        <v>4</v>
      </c>
      <c r="AQ273" s="120">
        <v>4</v>
      </c>
      <c r="AR273" s="120">
        <v>4</v>
      </c>
      <c r="AS273" s="120">
        <v>4</v>
      </c>
      <c r="AT273" s="250">
        <f>+AT272/AT270</f>
        <v>4</v>
      </c>
      <c r="AU273" s="120">
        <v>4</v>
      </c>
      <c r="AV273" s="120">
        <v>4</v>
      </c>
      <c r="AW273" s="120">
        <v>4</v>
      </c>
      <c r="AX273" s="120">
        <v>4</v>
      </c>
      <c r="AY273" s="250">
        <f>+AY272/AY270</f>
        <v>4</v>
      </c>
      <c r="AZ273" s="120">
        <v>4</v>
      </c>
      <c r="BA273" s="120">
        <v>4</v>
      </c>
      <c r="BB273" s="120">
        <v>4</v>
      </c>
      <c r="BC273" s="120">
        <v>4</v>
      </c>
      <c r="BD273" s="250">
        <f>+BD272/BD270</f>
        <v>4</v>
      </c>
      <c r="BE273" s="120">
        <v>4</v>
      </c>
      <c r="BF273" s="120">
        <v>4</v>
      </c>
      <c r="BG273" s="120">
        <v>4</v>
      </c>
      <c r="BH273" s="120">
        <v>4</v>
      </c>
      <c r="BI273" s="250">
        <f>+BI272/BI270</f>
        <v>4</v>
      </c>
      <c r="BJ273" s="120">
        <v>4</v>
      </c>
      <c r="BK273" s="120">
        <v>4</v>
      </c>
      <c r="BL273" s="120">
        <v>4</v>
      </c>
      <c r="BM273" s="120">
        <v>4</v>
      </c>
      <c r="BN273" s="250">
        <f>+BN272/BN270</f>
        <v>4</v>
      </c>
      <c r="BO273" s="120">
        <v>4</v>
      </c>
      <c r="BP273" s="120">
        <v>4</v>
      </c>
      <c r="BQ273" s="120">
        <v>4</v>
      </c>
      <c r="BR273" s="120">
        <v>4</v>
      </c>
      <c r="BS273" s="250">
        <f>+BS272/BS270</f>
        <v>4</v>
      </c>
      <c r="BT273" s="120">
        <v>4</v>
      </c>
      <c r="BU273" s="120">
        <v>4</v>
      </c>
      <c r="BV273" s="120">
        <v>4</v>
      </c>
      <c r="BW273" s="120">
        <v>4</v>
      </c>
      <c r="BX273" s="250">
        <f>+BX272/BX270</f>
        <v>4</v>
      </c>
      <c r="BY273" s="120">
        <v>4</v>
      </c>
      <c r="BZ273" s="120">
        <v>4</v>
      </c>
      <c r="CA273" s="120">
        <v>4</v>
      </c>
      <c r="CB273" s="120">
        <v>4</v>
      </c>
      <c r="CC273" s="250">
        <f>+CC272/CC270</f>
        <v>4</v>
      </c>
      <c r="CD273" s="120">
        <v>4</v>
      </c>
      <c r="CE273" s="120">
        <v>4</v>
      </c>
      <c r="CF273" s="120">
        <v>4</v>
      </c>
      <c r="CG273" s="120">
        <v>4</v>
      </c>
      <c r="CH273" s="250">
        <f>+CH272/CH270</f>
        <v>4</v>
      </c>
      <c r="CI273" s="120">
        <v>4</v>
      </c>
      <c r="CJ273" s="120">
        <v>4</v>
      </c>
      <c r="CK273" s="120">
        <v>4</v>
      </c>
      <c r="CL273" s="120">
        <v>4</v>
      </c>
      <c r="CM273" s="250">
        <f>+CM272/CM270</f>
        <v>4</v>
      </c>
      <c r="CN273" s="120">
        <v>4</v>
      </c>
      <c r="CO273" s="120">
        <v>4</v>
      </c>
      <c r="CP273" s="120">
        <v>4</v>
      </c>
      <c r="CQ273" s="120">
        <v>4</v>
      </c>
      <c r="CR273" s="250">
        <f>+CR272/CR270</f>
        <v>4</v>
      </c>
      <c r="CS273" s="120">
        <v>4</v>
      </c>
      <c r="CT273" s="120">
        <v>4</v>
      </c>
      <c r="CU273" s="120">
        <v>4</v>
      </c>
      <c r="CV273" s="120">
        <v>4</v>
      </c>
      <c r="CW273" s="250">
        <f>+CW272/CW270</f>
        <v>4</v>
      </c>
      <c r="CX273" s="120">
        <v>4</v>
      </c>
      <c r="CY273" s="120">
        <v>4</v>
      </c>
      <c r="CZ273" s="120">
        <v>4</v>
      </c>
      <c r="DA273" s="120">
        <v>4</v>
      </c>
      <c r="DB273" s="250">
        <f>+DB272/DB270</f>
        <v>4</v>
      </c>
    </row>
    <row r="274" spans="1:106">
      <c r="F274" s="217"/>
      <c r="K274" s="217"/>
      <c r="P274" s="217"/>
      <c r="U274" s="217"/>
      <c r="Z274" s="217"/>
      <c r="AE274" s="217"/>
      <c r="AJ274" s="217"/>
      <c r="AO274" s="217"/>
      <c r="AT274" s="217"/>
      <c r="AY274" s="217"/>
      <c r="BD274" s="217"/>
      <c r="BI274" s="217"/>
      <c r="BN274" s="217"/>
      <c r="BS274" s="217"/>
      <c r="BX274" s="217"/>
      <c r="CC274" s="217"/>
      <c r="CH274" s="217"/>
      <c r="CM274" s="217"/>
      <c r="CR274" s="217"/>
      <c r="CW274" s="217"/>
      <c r="DB274" s="217"/>
    </row>
    <row r="275" spans="1:106" s="51" customFormat="1">
      <c r="A275" s="51" t="s">
        <v>314</v>
      </c>
      <c r="F275" s="233"/>
      <c r="K275" s="233"/>
      <c r="P275" s="233"/>
      <c r="U275" s="233"/>
      <c r="V275" s="213">
        <f>+V267+V272</f>
        <v>21025</v>
      </c>
      <c r="W275" s="213">
        <f t="shared" ref="W275:Y275" si="6758">+W267+W272</f>
        <v>21025</v>
      </c>
      <c r="X275" s="213">
        <f t="shared" si="6758"/>
        <v>21025</v>
      </c>
      <c r="Y275" s="213">
        <f t="shared" si="6758"/>
        <v>21025</v>
      </c>
      <c r="Z275" s="234">
        <f>+V275+W275+X275+Y275</f>
        <v>84100</v>
      </c>
      <c r="AA275" s="213">
        <f>+AA267+AA272</f>
        <v>21655.75</v>
      </c>
      <c r="AB275" s="213">
        <f t="shared" ref="AB275:AD275" si="6759">+AB267+AB272</f>
        <v>21655.75</v>
      </c>
      <c r="AC275" s="213">
        <f t="shared" si="6759"/>
        <v>21655.75</v>
      </c>
      <c r="AD275" s="213">
        <f t="shared" si="6759"/>
        <v>21655.75</v>
      </c>
      <c r="AE275" s="234">
        <f>+AA275+AB275+AC275+AD275</f>
        <v>86623</v>
      </c>
      <c r="AF275" s="213">
        <f>+AF267+AF272</f>
        <v>22305.422500000001</v>
      </c>
      <c r="AG275" s="213">
        <f t="shared" ref="AG275:AI275" si="6760">+AG267+AG272</f>
        <v>22305.422500000001</v>
      </c>
      <c r="AH275" s="213">
        <f t="shared" si="6760"/>
        <v>22305.422500000001</v>
      </c>
      <c r="AI275" s="213">
        <f t="shared" si="6760"/>
        <v>22305.422500000001</v>
      </c>
      <c r="AJ275" s="234">
        <f>+AF275+AG275+AH275+AI275</f>
        <v>89221.69</v>
      </c>
      <c r="AK275" s="213">
        <f>+AK267+AK272</f>
        <v>22974.585175000004</v>
      </c>
      <c r="AL275" s="213">
        <f t="shared" ref="AL275:AN275" si="6761">+AL267+AL272</f>
        <v>22974.585175000004</v>
      </c>
      <c r="AM275" s="213">
        <f t="shared" si="6761"/>
        <v>22974.585175000004</v>
      </c>
      <c r="AN275" s="213">
        <f t="shared" si="6761"/>
        <v>22974.585175000004</v>
      </c>
      <c r="AO275" s="234">
        <f>+AK275+AL275+AM275+AN275</f>
        <v>91898.340700000015</v>
      </c>
      <c r="AP275" s="213">
        <f>+AP267+AP272</f>
        <v>23663.822730250002</v>
      </c>
      <c r="AQ275" s="213">
        <f t="shared" ref="AQ275:AS275" si="6762">+AQ267+AQ272</f>
        <v>23663.822730250002</v>
      </c>
      <c r="AR275" s="213">
        <f t="shared" si="6762"/>
        <v>23663.822730250002</v>
      </c>
      <c r="AS275" s="213">
        <f t="shared" si="6762"/>
        <v>23663.822730250002</v>
      </c>
      <c r="AT275" s="234">
        <f>+AP275+AQ275+AR275+AS275</f>
        <v>94655.290921000007</v>
      </c>
      <c r="AU275" s="213">
        <f>+AU267+AU272</f>
        <v>24373.737412157505</v>
      </c>
      <c r="AV275" s="213">
        <f t="shared" ref="AV275:AX275" si="6763">+AV267+AV272</f>
        <v>24373.737412157505</v>
      </c>
      <c r="AW275" s="213">
        <f t="shared" si="6763"/>
        <v>24373.737412157505</v>
      </c>
      <c r="AX275" s="213">
        <f t="shared" si="6763"/>
        <v>24373.737412157505</v>
      </c>
      <c r="AY275" s="234">
        <f>+AU275+AV275+AW275+AX275</f>
        <v>97494.94964863002</v>
      </c>
      <c r="AZ275" s="213">
        <f>+AZ267+AZ272</f>
        <v>25104.949534522228</v>
      </c>
      <c r="BA275" s="213">
        <f t="shared" ref="BA275:BC275" si="6764">+BA267+BA272</f>
        <v>25104.949534522228</v>
      </c>
      <c r="BB275" s="213">
        <f t="shared" si="6764"/>
        <v>25104.949534522228</v>
      </c>
      <c r="BC275" s="213">
        <f t="shared" si="6764"/>
        <v>25104.949534522228</v>
      </c>
      <c r="BD275" s="234">
        <f>+AZ275+BA275+BB275+BC275</f>
        <v>100419.79813808891</v>
      </c>
      <c r="BE275" s="213">
        <f>+BE267+BE272</f>
        <v>25858.098020557896</v>
      </c>
      <c r="BF275" s="213">
        <f t="shared" ref="BF275:BH275" si="6765">+BF267+BF272</f>
        <v>25858.098020557896</v>
      </c>
      <c r="BG275" s="213">
        <f t="shared" si="6765"/>
        <v>25858.098020557896</v>
      </c>
      <c r="BH275" s="213">
        <f t="shared" si="6765"/>
        <v>25858.098020557896</v>
      </c>
      <c r="BI275" s="234">
        <f>+BE275+BF275+BG275+BH275</f>
        <v>103432.39208223158</v>
      </c>
      <c r="BJ275" s="213">
        <f>+BJ267+BJ272</f>
        <v>26633.840961174632</v>
      </c>
      <c r="BK275" s="213">
        <f t="shared" ref="BK275:BM275" si="6766">+BK267+BK272</f>
        <v>26633.840961174632</v>
      </c>
      <c r="BL275" s="213">
        <f t="shared" si="6766"/>
        <v>26633.840961174632</v>
      </c>
      <c r="BM275" s="213">
        <f t="shared" si="6766"/>
        <v>26633.840961174632</v>
      </c>
      <c r="BN275" s="234">
        <f>+BJ275+BK275+BL275+BM275</f>
        <v>106535.36384469853</v>
      </c>
      <c r="BO275" s="213">
        <f>+BO267+BO272</f>
        <v>27432.856190009872</v>
      </c>
      <c r="BP275" s="213">
        <f t="shared" ref="BP275:BR275" si="6767">+BP267+BP272</f>
        <v>27432.856190009872</v>
      </c>
      <c r="BQ275" s="213">
        <f t="shared" si="6767"/>
        <v>27432.856190009872</v>
      </c>
      <c r="BR275" s="213">
        <f t="shared" si="6767"/>
        <v>27432.856190009872</v>
      </c>
      <c r="BS275" s="234">
        <f>+BO275+BP275+BQ275+BR275</f>
        <v>109731.42476003949</v>
      </c>
      <c r="BT275" s="213">
        <f>+BT267+BT272</f>
        <v>28255.841875710168</v>
      </c>
      <c r="BU275" s="213">
        <f t="shared" ref="BU275:BW275" si="6768">+BU267+BU272</f>
        <v>28255.841875710168</v>
      </c>
      <c r="BV275" s="213">
        <f t="shared" si="6768"/>
        <v>28255.841875710168</v>
      </c>
      <c r="BW275" s="213">
        <f t="shared" si="6768"/>
        <v>28255.841875710168</v>
      </c>
      <c r="BX275" s="234">
        <f>+BT275+BU275+BV275+BW275</f>
        <v>113023.36750284067</v>
      </c>
      <c r="BY275" s="213">
        <f>+BY267+BY272</f>
        <v>29103.517131981473</v>
      </c>
      <c r="BZ275" s="213">
        <f t="shared" ref="BZ275:CB275" si="6769">+BZ267+BZ272</f>
        <v>29103.517131981473</v>
      </c>
      <c r="CA275" s="213">
        <f t="shared" si="6769"/>
        <v>29103.517131981473</v>
      </c>
      <c r="CB275" s="213">
        <f t="shared" si="6769"/>
        <v>29103.517131981473</v>
      </c>
      <c r="CC275" s="234">
        <f>+BY275+BZ275+CA275+CB275</f>
        <v>116414.06852792589</v>
      </c>
      <c r="CD275" s="213">
        <f>+CD267+CD272</f>
        <v>29976.622645940919</v>
      </c>
      <c r="CE275" s="213">
        <f t="shared" ref="CE275:CG275" si="6770">+CE267+CE272</f>
        <v>29976.622645940919</v>
      </c>
      <c r="CF275" s="213">
        <f t="shared" si="6770"/>
        <v>29976.622645940919</v>
      </c>
      <c r="CG275" s="213">
        <f t="shared" si="6770"/>
        <v>29976.622645940919</v>
      </c>
      <c r="CH275" s="234">
        <f>+CD275+CE275+CF275+CG275</f>
        <v>119906.49058376368</v>
      </c>
      <c r="CI275" s="213">
        <f>+CI267+CI272</f>
        <v>30875.921325319148</v>
      </c>
      <c r="CJ275" s="213">
        <f t="shared" ref="CJ275:CL275" si="6771">+CJ267+CJ272</f>
        <v>30875.921325319148</v>
      </c>
      <c r="CK275" s="213">
        <f t="shared" si="6771"/>
        <v>30875.921325319148</v>
      </c>
      <c r="CL275" s="213">
        <f t="shared" si="6771"/>
        <v>30875.921325319148</v>
      </c>
      <c r="CM275" s="234">
        <f>+CI275+CJ275+CK275+CL275</f>
        <v>123503.68530127659</v>
      </c>
      <c r="CN275" s="213">
        <f>+CN267+CN272</f>
        <v>31802.198965078722</v>
      </c>
      <c r="CO275" s="213">
        <f t="shared" ref="CO275:CQ275" si="6772">+CO267+CO272</f>
        <v>31802.198965078722</v>
      </c>
      <c r="CP275" s="213">
        <f t="shared" si="6772"/>
        <v>31802.198965078722</v>
      </c>
      <c r="CQ275" s="213">
        <f t="shared" si="6772"/>
        <v>31802.198965078722</v>
      </c>
      <c r="CR275" s="234">
        <f>+CN275+CO275+CP275+CQ275</f>
        <v>127208.79586031489</v>
      </c>
      <c r="CS275" s="213">
        <f>+CS267+CS272</f>
        <v>32756.264934031085</v>
      </c>
      <c r="CT275" s="213">
        <f t="shared" ref="CT275:CV275" si="6773">+CT267+CT272</f>
        <v>32756.264934031085</v>
      </c>
      <c r="CU275" s="213">
        <f t="shared" si="6773"/>
        <v>32756.264934031085</v>
      </c>
      <c r="CV275" s="213">
        <f t="shared" si="6773"/>
        <v>32756.264934031085</v>
      </c>
      <c r="CW275" s="234">
        <f>+CS275+CT275+CU275+CV275</f>
        <v>131025.05973612434</v>
      </c>
      <c r="CX275" s="213">
        <f>+CX267+CX272</f>
        <v>33738.952882052021</v>
      </c>
      <c r="CY275" s="213">
        <f t="shared" ref="CY275:DA275" si="6774">+CY267+CY272</f>
        <v>33738.952882052021</v>
      </c>
      <c r="CZ275" s="213">
        <f t="shared" si="6774"/>
        <v>33738.952882052021</v>
      </c>
      <c r="DA275" s="213">
        <f t="shared" si="6774"/>
        <v>33738.952882052021</v>
      </c>
      <c r="DB275" s="234">
        <f>+CX275+CY275+CZ275+DA275</f>
        <v>134955.81152820808</v>
      </c>
    </row>
    <row r="276" spans="1:106">
      <c r="A276" s="117" t="s">
        <v>281</v>
      </c>
      <c r="F276" s="217"/>
      <c r="K276" s="217"/>
      <c r="P276" s="217"/>
      <c r="U276" s="217"/>
      <c r="V276" s="119" t="s">
        <v>290</v>
      </c>
      <c r="W276" s="119" t="s">
        <v>290</v>
      </c>
      <c r="X276" s="119" t="s">
        <v>290</v>
      </c>
      <c r="Y276" s="119" t="s">
        <v>290</v>
      </c>
      <c r="Z276" s="235" t="s">
        <v>290</v>
      </c>
      <c r="AA276" s="13">
        <f>+AA275/V275-1</f>
        <v>3.0000000000000027E-2</v>
      </c>
      <c r="AB276" s="13">
        <f t="shared" ref="AB276" si="6775">+AB275/W275-1</f>
        <v>3.0000000000000027E-2</v>
      </c>
      <c r="AC276" s="13">
        <f t="shared" ref="AC276" si="6776">+AC275/X275-1</f>
        <v>3.0000000000000027E-2</v>
      </c>
      <c r="AD276" s="13">
        <f t="shared" ref="AD276" si="6777">+AD275/Y275-1</f>
        <v>3.0000000000000027E-2</v>
      </c>
      <c r="AE276" s="239">
        <f t="shared" ref="AE276" si="6778">+AE275/Z275-1</f>
        <v>3.0000000000000027E-2</v>
      </c>
      <c r="AF276" s="13">
        <f>+AF275/AA275-1</f>
        <v>3.0000000000000027E-2</v>
      </c>
      <c r="AG276" s="13">
        <f t="shared" ref="AG276" si="6779">+AG275/AB275-1</f>
        <v>3.0000000000000027E-2</v>
      </c>
      <c r="AH276" s="13">
        <f t="shared" ref="AH276" si="6780">+AH275/AC275-1</f>
        <v>3.0000000000000027E-2</v>
      </c>
      <c r="AI276" s="13">
        <f t="shared" ref="AI276" si="6781">+AI275/AD275-1</f>
        <v>3.0000000000000027E-2</v>
      </c>
      <c r="AJ276" s="239">
        <f t="shared" ref="AJ276" si="6782">+AJ275/AE275-1</f>
        <v>3.0000000000000027E-2</v>
      </c>
      <c r="AK276" s="13">
        <f>+AK275/AF275-1</f>
        <v>3.0000000000000249E-2</v>
      </c>
      <c r="AL276" s="13">
        <f t="shared" ref="AL276" si="6783">+AL275/AG275-1</f>
        <v>3.0000000000000249E-2</v>
      </c>
      <c r="AM276" s="13">
        <f t="shared" ref="AM276" si="6784">+AM275/AH275-1</f>
        <v>3.0000000000000249E-2</v>
      </c>
      <c r="AN276" s="13">
        <f t="shared" ref="AN276" si="6785">+AN275/AI275-1</f>
        <v>3.0000000000000249E-2</v>
      </c>
      <c r="AO276" s="239">
        <f t="shared" ref="AO276" si="6786">+AO275/AJ275-1</f>
        <v>3.0000000000000249E-2</v>
      </c>
      <c r="AP276" s="13">
        <f>+AP275/AK275-1</f>
        <v>2.9999999999999805E-2</v>
      </c>
      <c r="AQ276" s="13">
        <f t="shared" ref="AQ276" si="6787">+AQ275/AL275-1</f>
        <v>2.9999999999999805E-2</v>
      </c>
      <c r="AR276" s="13">
        <f t="shared" ref="AR276" si="6788">+AR275/AM275-1</f>
        <v>2.9999999999999805E-2</v>
      </c>
      <c r="AS276" s="13">
        <f t="shared" ref="AS276" si="6789">+AS275/AN275-1</f>
        <v>2.9999999999999805E-2</v>
      </c>
      <c r="AT276" s="239">
        <f t="shared" ref="AT276" si="6790">+AT275/AO275-1</f>
        <v>2.9999999999999805E-2</v>
      </c>
      <c r="AU276" s="13">
        <f>+AU275/AP275-1</f>
        <v>3.0000000000000027E-2</v>
      </c>
      <c r="AV276" s="13">
        <f t="shared" ref="AV276" si="6791">+AV275/AQ275-1</f>
        <v>3.0000000000000027E-2</v>
      </c>
      <c r="AW276" s="13">
        <f t="shared" ref="AW276" si="6792">+AW275/AR275-1</f>
        <v>3.0000000000000027E-2</v>
      </c>
      <c r="AX276" s="13">
        <f t="shared" ref="AX276" si="6793">+AX275/AS275-1</f>
        <v>3.0000000000000027E-2</v>
      </c>
      <c r="AY276" s="239">
        <f t="shared" ref="AY276" si="6794">+AY275/AT275-1</f>
        <v>3.0000000000000027E-2</v>
      </c>
      <c r="AZ276" s="13">
        <f>+AZ275/AU275-1</f>
        <v>2.9999999999999805E-2</v>
      </c>
      <c r="BA276" s="13">
        <f t="shared" ref="BA276" si="6795">+BA275/AV275-1</f>
        <v>2.9999999999999805E-2</v>
      </c>
      <c r="BB276" s="13">
        <f t="shared" ref="BB276" si="6796">+BB275/AW275-1</f>
        <v>2.9999999999999805E-2</v>
      </c>
      <c r="BC276" s="13">
        <f t="shared" ref="BC276" si="6797">+BC275/AX275-1</f>
        <v>2.9999999999999805E-2</v>
      </c>
      <c r="BD276" s="239">
        <f t="shared" ref="BD276" si="6798">+BD275/AY275-1</f>
        <v>2.9999999999999805E-2</v>
      </c>
      <c r="BE276" s="13">
        <f>+BE275/AZ275-1</f>
        <v>3.0000000000000027E-2</v>
      </c>
      <c r="BF276" s="13">
        <f t="shared" ref="BF276" si="6799">+BF275/BA275-1</f>
        <v>3.0000000000000027E-2</v>
      </c>
      <c r="BG276" s="13">
        <f t="shared" ref="BG276" si="6800">+BG275/BB275-1</f>
        <v>3.0000000000000027E-2</v>
      </c>
      <c r="BH276" s="13">
        <f t="shared" ref="BH276" si="6801">+BH275/BC275-1</f>
        <v>3.0000000000000027E-2</v>
      </c>
      <c r="BI276" s="239">
        <f t="shared" ref="BI276" si="6802">+BI275/BD275-1</f>
        <v>3.0000000000000027E-2</v>
      </c>
      <c r="BJ276" s="13">
        <f>+BJ275/BE275-1</f>
        <v>3.0000000000000027E-2</v>
      </c>
      <c r="BK276" s="13">
        <f t="shared" ref="BK276" si="6803">+BK275/BF275-1</f>
        <v>3.0000000000000027E-2</v>
      </c>
      <c r="BL276" s="13">
        <f t="shared" ref="BL276" si="6804">+BL275/BG275-1</f>
        <v>3.0000000000000027E-2</v>
      </c>
      <c r="BM276" s="13">
        <f t="shared" ref="BM276" si="6805">+BM275/BH275-1</f>
        <v>3.0000000000000027E-2</v>
      </c>
      <c r="BN276" s="239">
        <f t="shared" ref="BN276" si="6806">+BN275/BI275-1</f>
        <v>3.0000000000000027E-2</v>
      </c>
      <c r="BO276" s="13">
        <f>+BO275/BJ275-1</f>
        <v>3.0000000000000027E-2</v>
      </c>
      <c r="BP276" s="13">
        <f t="shared" ref="BP276" si="6807">+BP275/BK275-1</f>
        <v>3.0000000000000027E-2</v>
      </c>
      <c r="BQ276" s="13">
        <f t="shared" ref="BQ276" si="6808">+BQ275/BL275-1</f>
        <v>3.0000000000000027E-2</v>
      </c>
      <c r="BR276" s="13">
        <f t="shared" ref="BR276" si="6809">+BR275/BM275-1</f>
        <v>3.0000000000000027E-2</v>
      </c>
      <c r="BS276" s="239">
        <f t="shared" ref="BS276" si="6810">+BS275/BN275-1</f>
        <v>3.0000000000000027E-2</v>
      </c>
      <c r="BT276" s="13">
        <f>+BT275/BO275-1</f>
        <v>3.0000000000000027E-2</v>
      </c>
      <c r="BU276" s="13">
        <f t="shared" ref="BU276" si="6811">+BU275/BP275-1</f>
        <v>3.0000000000000027E-2</v>
      </c>
      <c r="BV276" s="13">
        <f t="shared" ref="BV276" si="6812">+BV275/BQ275-1</f>
        <v>3.0000000000000027E-2</v>
      </c>
      <c r="BW276" s="13">
        <f t="shared" ref="BW276" si="6813">+BW275/BR275-1</f>
        <v>3.0000000000000027E-2</v>
      </c>
      <c r="BX276" s="239">
        <f t="shared" ref="BX276" si="6814">+BX275/BS275-1</f>
        <v>3.0000000000000027E-2</v>
      </c>
      <c r="BY276" s="13">
        <f>+BY275/BT275-1</f>
        <v>3.0000000000000027E-2</v>
      </c>
      <c r="BZ276" s="13">
        <f t="shared" ref="BZ276" si="6815">+BZ275/BU275-1</f>
        <v>3.0000000000000027E-2</v>
      </c>
      <c r="CA276" s="13">
        <f t="shared" ref="CA276" si="6816">+CA275/BV275-1</f>
        <v>3.0000000000000027E-2</v>
      </c>
      <c r="CB276" s="13">
        <f t="shared" ref="CB276" si="6817">+CB275/BW275-1</f>
        <v>3.0000000000000027E-2</v>
      </c>
      <c r="CC276" s="239">
        <f t="shared" ref="CC276" si="6818">+CC275/BX275-1</f>
        <v>3.0000000000000027E-2</v>
      </c>
      <c r="CD276" s="13">
        <f>+CD275/BY275-1</f>
        <v>3.0000000000000027E-2</v>
      </c>
      <c r="CE276" s="13">
        <f t="shared" ref="CE276" si="6819">+CE275/BZ275-1</f>
        <v>3.0000000000000027E-2</v>
      </c>
      <c r="CF276" s="13">
        <f t="shared" ref="CF276" si="6820">+CF275/CA275-1</f>
        <v>3.0000000000000027E-2</v>
      </c>
      <c r="CG276" s="13">
        <f t="shared" ref="CG276" si="6821">+CG275/CB275-1</f>
        <v>3.0000000000000027E-2</v>
      </c>
      <c r="CH276" s="239">
        <f t="shared" ref="CH276" si="6822">+CH275/CC275-1</f>
        <v>3.0000000000000027E-2</v>
      </c>
      <c r="CI276" s="13">
        <f>+CI275/CD275-1</f>
        <v>3.0000000000000027E-2</v>
      </c>
      <c r="CJ276" s="13">
        <f t="shared" ref="CJ276" si="6823">+CJ275/CE275-1</f>
        <v>3.0000000000000027E-2</v>
      </c>
      <c r="CK276" s="13">
        <f t="shared" ref="CK276" si="6824">+CK275/CF275-1</f>
        <v>3.0000000000000027E-2</v>
      </c>
      <c r="CL276" s="13">
        <f t="shared" ref="CL276" si="6825">+CL275/CG275-1</f>
        <v>3.0000000000000027E-2</v>
      </c>
      <c r="CM276" s="239">
        <f t="shared" ref="CM276" si="6826">+CM275/CH275-1</f>
        <v>3.0000000000000027E-2</v>
      </c>
      <c r="CN276" s="13">
        <f>+CN275/CI275-1</f>
        <v>3.0000000000000027E-2</v>
      </c>
      <c r="CO276" s="13">
        <f t="shared" ref="CO276" si="6827">+CO275/CJ275-1</f>
        <v>3.0000000000000027E-2</v>
      </c>
      <c r="CP276" s="13">
        <f t="shared" ref="CP276" si="6828">+CP275/CK275-1</f>
        <v>3.0000000000000027E-2</v>
      </c>
      <c r="CQ276" s="13">
        <f t="shared" ref="CQ276" si="6829">+CQ275/CL275-1</f>
        <v>3.0000000000000027E-2</v>
      </c>
      <c r="CR276" s="239">
        <f t="shared" ref="CR276" si="6830">+CR275/CM275-1</f>
        <v>3.0000000000000027E-2</v>
      </c>
      <c r="CS276" s="13">
        <f>+CS275/CN275-1</f>
        <v>3.0000000000000027E-2</v>
      </c>
      <c r="CT276" s="13">
        <f t="shared" ref="CT276" si="6831">+CT275/CO275-1</f>
        <v>3.0000000000000027E-2</v>
      </c>
      <c r="CU276" s="13">
        <f t="shared" ref="CU276" si="6832">+CU275/CP275-1</f>
        <v>3.0000000000000027E-2</v>
      </c>
      <c r="CV276" s="13">
        <f t="shared" ref="CV276" si="6833">+CV275/CQ275-1</f>
        <v>3.0000000000000027E-2</v>
      </c>
      <c r="CW276" s="239">
        <f t="shared" ref="CW276" si="6834">+CW275/CR275-1</f>
        <v>3.0000000000000027E-2</v>
      </c>
      <c r="CX276" s="13">
        <f>+CX275/CS275-1</f>
        <v>3.0000000000000027E-2</v>
      </c>
      <c r="CY276" s="13">
        <f t="shared" ref="CY276" si="6835">+CY275/CT275-1</f>
        <v>3.0000000000000027E-2</v>
      </c>
      <c r="CZ276" s="13">
        <f t="shared" ref="CZ276" si="6836">+CZ275/CU275-1</f>
        <v>3.0000000000000027E-2</v>
      </c>
      <c r="DA276" s="13">
        <f t="shared" ref="DA276" si="6837">+DA275/CV275-1</f>
        <v>3.0000000000000027E-2</v>
      </c>
      <c r="DB276" s="239">
        <f t="shared" ref="DB276" si="6838">+DB275/CW275-1</f>
        <v>3.0000000000000027E-2</v>
      </c>
    </row>
    <row r="277" spans="1:106">
      <c r="F277" s="217"/>
      <c r="K277" s="217"/>
      <c r="P277" s="217"/>
      <c r="U277" s="217"/>
      <c r="Z277" s="217"/>
      <c r="AE277" s="217"/>
      <c r="AJ277" s="217"/>
      <c r="AO277" s="217"/>
      <c r="AT277" s="217"/>
      <c r="AY277" s="217"/>
      <c r="BD277" s="217"/>
      <c r="BI277" s="217"/>
      <c r="BN277" s="217"/>
      <c r="BS277" s="217"/>
      <c r="BX277" s="217"/>
      <c r="CC277" s="217"/>
      <c r="CH277" s="217"/>
      <c r="CM277" s="217"/>
      <c r="CR277" s="217"/>
      <c r="CW277" s="217"/>
      <c r="DB277" s="217"/>
    </row>
    <row r="278" spans="1:106" s="51" customFormat="1">
      <c r="A278" s="51" t="s">
        <v>324</v>
      </c>
      <c r="F278" s="233"/>
      <c r="K278" s="233"/>
      <c r="P278" s="233"/>
      <c r="U278" s="233"/>
      <c r="V278" s="213">
        <f>+V275*V281</f>
        <v>0</v>
      </c>
      <c r="W278" s="213">
        <f t="shared" ref="W278:Y278" si="6839">+W275*W281</f>
        <v>0</v>
      </c>
      <c r="X278" s="213">
        <f t="shared" si="6839"/>
        <v>0</v>
      </c>
      <c r="Y278" s="213">
        <f t="shared" si="6839"/>
        <v>0</v>
      </c>
      <c r="Z278" s="234">
        <f>+V278+W278+X278+Y278</f>
        <v>0</v>
      </c>
      <c r="AA278" s="213">
        <f>+AA275*AA281</f>
        <v>0</v>
      </c>
      <c r="AB278" s="213">
        <f t="shared" ref="AB278:AD278" si="6840">+AB275*AB281</f>
        <v>0</v>
      </c>
      <c r="AC278" s="213">
        <f t="shared" si="6840"/>
        <v>0</v>
      </c>
      <c r="AD278" s="213">
        <f t="shared" si="6840"/>
        <v>0</v>
      </c>
      <c r="AE278" s="234">
        <f>+AA278+AB278+AC278+AD278</f>
        <v>0</v>
      </c>
      <c r="AF278" s="213">
        <f>+AF275*AF281</f>
        <v>0</v>
      </c>
      <c r="AG278" s="213">
        <f t="shared" ref="AG278:AI278" si="6841">+AG275*AG281</f>
        <v>0</v>
      </c>
      <c r="AH278" s="213">
        <f t="shared" si="6841"/>
        <v>0</v>
      </c>
      <c r="AI278" s="213">
        <f t="shared" si="6841"/>
        <v>0</v>
      </c>
      <c r="AJ278" s="234">
        <f>+AF278+AG278+AH278+AI278</f>
        <v>0</v>
      </c>
      <c r="AK278" s="213">
        <f>+AK275*AK281</f>
        <v>0</v>
      </c>
      <c r="AL278" s="213">
        <f t="shared" ref="AL278:AN278" si="6842">+AL275*AL281</f>
        <v>0</v>
      </c>
      <c r="AM278" s="213">
        <f t="shared" si="6842"/>
        <v>0</v>
      </c>
      <c r="AN278" s="213">
        <f t="shared" si="6842"/>
        <v>0</v>
      </c>
      <c r="AO278" s="234">
        <f>+AK278+AL278+AM278+AN278</f>
        <v>0</v>
      </c>
      <c r="AP278" s="213">
        <f>+AP275*AP281</f>
        <v>47.327645460500001</v>
      </c>
      <c r="AQ278" s="213">
        <f t="shared" ref="AQ278:AS278" si="6843">+AQ275*AQ281</f>
        <v>47.327645460500001</v>
      </c>
      <c r="AR278" s="213">
        <f t="shared" si="6843"/>
        <v>70.991468190750012</v>
      </c>
      <c r="AS278" s="213">
        <f t="shared" si="6843"/>
        <v>70.991468190750012</v>
      </c>
      <c r="AT278" s="234">
        <f>+AP278+AQ278+AR278+AS278</f>
        <v>236.63822730250001</v>
      </c>
      <c r="AU278" s="213">
        <f>+AU275*AU281</f>
        <v>365.60606118236257</v>
      </c>
      <c r="AV278" s="213">
        <f t="shared" ref="AV278:AX278" si="6844">+AV275*AV281</f>
        <v>487.47474824315009</v>
      </c>
      <c r="AW278" s="213">
        <f t="shared" si="6844"/>
        <v>731.21212236472513</v>
      </c>
      <c r="AX278" s="213">
        <f t="shared" si="6844"/>
        <v>853.08080942551271</v>
      </c>
      <c r="AY278" s="234">
        <f>+AU278+AV278+AW278+AX278</f>
        <v>2437.3737412157502</v>
      </c>
      <c r="AZ278" s="213">
        <f>+AZ275*AZ281</f>
        <v>928.88313277732243</v>
      </c>
      <c r="BA278" s="213">
        <f t="shared" ref="BA278:BC278" si="6845">+BA275*BA281</f>
        <v>1004.1979813808891</v>
      </c>
      <c r="BB278" s="213">
        <f t="shared" si="6845"/>
        <v>1129.7227290535002</v>
      </c>
      <c r="BC278" s="213">
        <f t="shared" si="6845"/>
        <v>1255.2474767261115</v>
      </c>
      <c r="BD278" s="234">
        <f>+AZ278+BA278+BB278+BC278</f>
        <v>4318.0513199378238</v>
      </c>
      <c r="BE278" s="213">
        <f>+BE275*BE281</f>
        <v>1215.3306069662212</v>
      </c>
      <c r="BF278" s="213">
        <f t="shared" ref="BF278:BH278" si="6846">+BF275*BF281</f>
        <v>1292.904901027895</v>
      </c>
      <c r="BG278" s="213">
        <f t="shared" si="6846"/>
        <v>1422.1953911306844</v>
      </c>
      <c r="BH278" s="213">
        <f t="shared" si="6846"/>
        <v>1551.4858812334739</v>
      </c>
      <c r="BI278" s="234">
        <f>+BE278+BF278+BG278+BH278</f>
        <v>5481.916780358275</v>
      </c>
      <c r="BJ278" s="213">
        <f>+BJ275*BJ281</f>
        <v>1518.128934786954</v>
      </c>
      <c r="BK278" s="213">
        <f t="shared" ref="BK278:BM278" si="6847">+BK275*BK281</f>
        <v>1598.030457670478</v>
      </c>
      <c r="BL278" s="213">
        <f t="shared" si="6847"/>
        <v>1731.199662476351</v>
      </c>
      <c r="BM278" s="213">
        <f t="shared" si="6847"/>
        <v>1864.3688672822245</v>
      </c>
      <c r="BN278" s="234">
        <f>+BJ278+BK278+BL278+BM278</f>
        <v>6711.7279222160068</v>
      </c>
      <c r="BO278" s="213">
        <f>+BO275*BO281</f>
        <v>1838.0013647306616</v>
      </c>
      <c r="BP278" s="213">
        <f t="shared" ref="BP278:BR278" si="6848">+BP275*BP281</f>
        <v>1920.2999333006912</v>
      </c>
      <c r="BQ278" s="213">
        <f t="shared" si="6848"/>
        <v>2057.4642142507405</v>
      </c>
      <c r="BR278" s="213">
        <f t="shared" si="6848"/>
        <v>2194.62849520079</v>
      </c>
      <c r="BS278" s="234">
        <f>+BO278+BP278+BQ278+BR278</f>
        <v>8010.3940074828834</v>
      </c>
      <c r="BT278" s="213">
        <f>+BT275*BT281</f>
        <v>2175.6998244296828</v>
      </c>
      <c r="BU278" s="213">
        <f t="shared" ref="BU278:BW278" si="6849">+BU275*BU281</f>
        <v>2260.4673500568133</v>
      </c>
      <c r="BV278" s="213">
        <f t="shared" si="6849"/>
        <v>2401.7465594353639</v>
      </c>
      <c r="BW278" s="213">
        <f t="shared" si="6849"/>
        <v>2543.025768813915</v>
      </c>
      <c r="BX278" s="234">
        <f>+BT278+BU278+BV278+BW278</f>
        <v>9380.939502735775</v>
      </c>
      <c r="BY278" s="213">
        <f>+BY275*BY281</f>
        <v>2532.0059904823879</v>
      </c>
      <c r="BZ278" s="213">
        <f t="shared" ref="BZ278:CB278" si="6850">+BZ275*BZ281</f>
        <v>2619.3165418783324</v>
      </c>
      <c r="CA278" s="213">
        <f t="shared" si="6850"/>
        <v>2764.8341275382395</v>
      </c>
      <c r="CB278" s="213">
        <f t="shared" si="6850"/>
        <v>2910.3517131981471</v>
      </c>
      <c r="CC278" s="234">
        <f>+BY278+BZ278+CA278+CB278</f>
        <v>10826.508373097106</v>
      </c>
      <c r="CD278" s="213">
        <f>+CD275*CD281</f>
        <v>2907.732396656269</v>
      </c>
      <c r="CE278" s="213">
        <f t="shared" ref="CE278:CG278" si="6851">+CE275*CE281</f>
        <v>2997.6622645940915</v>
      </c>
      <c r="CF278" s="213">
        <f t="shared" si="6851"/>
        <v>3147.5453778237961</v>
      </c>
      <c r="CG278" s="213">
        <f t="shared" si="6851"/>
        <v>3297.4284910535007</v>
      </c>
      <c r="CH278" s="234">
        <f>+CD278+CE278+CF278+CG278</f>
        <v>12350.368530127658</v>
      </c>
      <c r="CI278" s="213">
        <f>+CI275*CI281</f>
        <v>3303.7235818091485</v>
      </c>
      <c r="CJ278" s="213">
        <f t="shared" ref="CJ278:CL278" si="6852">+CJ275*CJ281</f>
        <v>3396.3513457851059</v>
      </c>
      <c r="CK278" s="213">
        <f t="shared" si="6852"/>
        <v>3550.7309524117013</v>
      </c>
      <c r="CL278" s="213">
        <f t="shared" si="6852"/>
        <v>3705.1105590382972</v>
      </c>
      <c r="CM278" s="234">
        <f>+CI278+CJ278+CK278+CL278</f>
        <v>13955.916439044253</v>
      </c>
      <c r="CN278" s="213">
        <f>+CN275*CN281</f>
        <v>3720.8572789142099</v>
      </c>
      <c r="CO278" s="213">
        <f t="shared" ref="CO278:CQ278" si="6853">+CO275*CO281</f>
        <v>3816.2638758094458</v>
      </c>
      <c r="CP278" s="213">
        <f t="shared" si="6853"/>
        <v>3975.2748706348393</v>
      </c>
      <c r="CQ278" s="213">
        <f t="shared" si="6853"/>
        <v>4134.2858654602333</v>
      </c>
      <c r="CR278" s="234">
        <f>+CN278+CO278+CP278+CQ278</f>
        <v>15646.681890818729</v>
      </c>
      <c r="CS278" s="213">
        <f>+CS275*CS281</f>
        <v>4160.0456466219466</v>
      </c>
      <c r="CT278" s="213">
        <f t="shared" ref="CT278:CV278" si="6854">+CT275*CT281</f>
        <v>4258.3144414240405</v>
      </c>
      <c r="CU278" s="213">
        <f t="shared" si="6854"/>
        <v>4422.0957660941958</v>
      </c>
      <c r="CV278" s="213">
        <f t="shared" si="6854"/>
        <v>4585.8770907643511</v>
      </c>
      <c r="CW278" s="234">
        <f>+CS278+CT278+CU278+CV278</f>
        <v>17426.332944904534</v>
      </c>
      <c r="CX278" s="213">
        <f>+CX275*CX281</f>
        <v>4622.2365448411265</v>
      </c>
      <c r="CY278" s="213">
        <f t="shared" ref="CY278:DA278" si="6855">+CY275*CY281</f>
        <v>4723.4534034872822</v>
      </c>
      <c r="CZ278" s="213">
        <f t="shared" si="6855"/>
        <v>4892.1481678975424</v>
      </c>
      <c r="DA278" s="213">
        <f t="shared" si="6855"/>
        <v>5060.8429323078026</v>
      </c>
      <c r="DB278" s="234">
        <f>+CX278+CY278+CZ278+DA278</f>
        <v>19298.681048533752</v>
      </c>
    </row>
    <row r="279" spans="1:106">
      <c r="A279" s="117" t="s">
        <v>281</v>
      </c>
      <c r="F279" s="217"/>
      <c r="K279" s="217"/>
      <c r="P279" s="217"/>
      <c r="U279" s="217"/>
      <c r="V279" s="119" t="s">
        <v>290</v>
      </c>
      <c r="W279" s="119" t="s">
        <v>290</v>
      </c>
      <c r="X279" s="119" t="s">
        <v>290</v>
      </c>
      <c r="Y279" s="119" t="s">
        <v>290</v>
      </c>
      <c r="Z279" s="235" t="s">
        <v>290</v>
      </c>
      <c r="AA279" s="13" t="e">
        <f>+AA278/V278-1</f>
        <v>#DIV/0!</v>
      </c>
      <c r="AB279" s="13" t="e">
        <f t="shared" ref="AB279" si="6856">+AB278/W278-1</f>
        <v>#DIV/0!</v>
      </c>
      <c r="AC279" s="13" t="e">
        <f t="shared" ref="AC279" si="6857">+AC278/X278-1</f>
        <v>#DIV/0!</v>
      </c>
      <c r="AD279" s="13" t="e">
        <f t="shared" ref="AD279" si="6858">+AD278/Y278-1</f>
        <v>#DIV/0!</v>
      </c>
      <c r="AE279" s="239" t="e">
        <f t="shared" ref="AE279" si="6859">+AE278/Z278-1</f>
        <v>#DIV/0!</v>
      </c>
      <c r="AF279" s="13" t="e">
        <f>+AF278/AA278-1</f>
        <v>#DIV/0!</v>
      </c>
      <c r="AG279" s="13" t="e">
        <f t="shared" ref="AG279" si="6860">+AG278/AB278-1</f>
        <v>#DIV/0!</v>
      </c>
      <c r="AH279" s="13" t="e">
        <f t="shared" ref="AH279" si="6861">+AH278/AC278-1</f>
        <v>#DIV/0!</v>
      </c>
      <c r="AI279" s="13" t="e">
        <f t="shared" ref="AI279" si="6862">+AI278/AD278-1</f>
        <v>#DIV/0!</v>
      </c>
      <c r="AJ279" s="239" t="e">
        <f t="shared" ref="AJ279" si="6863">+AJ278/AE278-1</f>
        <v>#DIV/0!</v>
      </c>
      <c r="AK279" s="13" t="e">
        <f>+AK278/AF278-1</f>
        <v>#DIV/0!</v>
      </c>
      <c r="AL279" s="13" t="e">
        <f t="shared" ref="AL279" si="6864">+AL278/AG278-1</f>
        <v>#DIV/0!</v>
      </c>
      <c r="AM279" s="13" t="e">
        <f t="shared" ref="AM279" si="6865">+AM278/AH278-1</f>
        <v>#DIV/0!</v>
      </c>
      <c r="AN279" s="13" t="e">
        <f t="shared" ref="AN279" si="6866">+AN278/AI278-1</f>
        <v>#DIV/0!</v>
      </c>
      <c r="AO279" s="239" t="e">
        <f t="shared" ref="AO279" si="6867">+AO278/AJ278-1</f>
        <v>#DIV/0!</v>
      </c>
      <c r="AP279" s="13" t="e">
        <f>+AP278/AK278-1</f>
        <v>#DIV/0!</v>
      </c>
      <c r="AQ279" s="13" t="e">
        <f t="shared" ref="AQ279" si="6868">+AQ278/AL278-1</f>
        <v>#DIV/0!</v>
      </c>
      <c r="AR279" s="13" t="e">
        <f t="shared" ref="AR279" si="6869">+AR278/AM278-1</f>
        <v>#DIV/0!</v>
      </c>
      <c r="AS279" s="13" t="e">
        <f t="shared" ref="AS279" si="6870">+AS278/AN278-1</f>
        <v>#DIV/0!</v>
      </c>
      <c r="AT279" s="239" t="e">
        <f t="shared" ref="AT279" si="6871">+AT278/AO278-1</f>
        <v>#DIV/0!</v>
      </c>
      <c r="AU279" s="13">
        <f>+AU278/AP278-1</f>
        <v>6.7250000000000014</v>
      </c>
      <c r="AV279" s="13">
        <f t="shared" ref="AV279" si="6872">+AV278/AQ278-1</f>
        <v>9.3000000000000025</v>
      </c>
      <c r="AW279" s="13">
        <f t="shared" ref="AW279" si="6873">+AW278/AR278-1</f>
        <v>9.3000000000000007</v>
      </c>
      <c r="AX279" s="13">
        <f t="shared" ref="AX279" si="6874">+AX278/AS278-1</f>
        <v>11.016666666666667</v>
      </c>
      <c r="AY279" s="239">
        <f t="shared" ref="AY279" si="6875">+AY278/AT278-1</f>
        <v>9.3000000000000007</v>
      </c>
      <c r="AZ279" s="13">
        <f>+AZ278/AU278-1</f>
        <v>1.5406666666666666</v>
      </c>
      <c r="BA279" s="13">
        <f t="shared" ref="BA279" si="6876">+BA278/AV278-1</f>
        <v>1.06</v>
      </c>
      <c r="BB279" s="13">
        <f t="shared" ref="BB279" si="6877">+BB278/AW278-1</f>
        <v>0.54499999999999971</v>
      </c>
      <c r="BC279" s="13">
        <f t="shared" ref="BC279" si="6878">+BC278/AX278-1</f>
        <v>0.47142857142857131</v>
      </c>
      <c r="BD279" s="239">
        <f t="shared" ref="BD279" si="6879">+BD278/AY278-1</f>
        <v>0.77160000000000029</v>
      </c>
      <c r="BE279" s="13">
        <f>+BE278/AZ278-1</f>
        <v>0.30837837837837867</v>
      </c>
      <c r="BF279" s="13">
        <f t="shared" ref="BF279" si="6880">+BF278/BA278-1</f>
        <v>0.28750000000000031</v>
      </c>
      <c r="BG279" s="13">
        <f t="shared" ref="BG279" si="6881">+BG278/BB278-1</f>
        <v>0.25888888888888917</v>
      </c>
      <c r="BH279" s="13">
        <f t="shared" ref="BH279" si="6882">+BH278/BC278-1</f>
        <v>0.23600000000000021</v>
      </c>
      <c r="BI279" s="239">
        <f t="shared" ref="BI279" si="6883">+BI278/BD278-1</f>
        <v>0.26953488372093037</v>
      </c>
      <c r="BJ279" s="13">
        <f>+BJ278/BE278-1</f>
        <v>0.24914893617021261</v>
      </c>
      <c r="BK279" s="13">
        <f t="shared" ref="BK279" si="6884">+BK278/BF278-1</f>
        <v>0.23599999999999977</v>
      </c>
      <c r="BL279" s="13">
        <f t="shared" ref="BL279" si="6885">+BL278/BG278-1</f>
        <v>0.21727272727272706</v>
      </c>
      <c r="BM279" s="13">
        <f t="shared" ref="BM279" si="6886">+BM278/BH278-1</f>
        <v>0.20166666666666666</v>
      </c>
      <c r="BN279" s="239">
        <f t="shared" ref="BN279" si="6887">+BN278/BI278-1</f>
        <v>0.22433962264150908</v>
      </c>
      <c r="BO279" s="13">
        <f>+BO278/BJ278-1</f>
        <v>0.21070175438596506</v>
      </c>
      <c r="BP279" s="13">
        <f t="shared" ref="BP279" si="6888">+BP278/BK278-1</f>
        <v>0.20166666666666688</v>
      </c>
      <c r="BQ279" s="13">
        <f t="shared" ref="BQ279" si="6889">+BQ278/BL278-1</f>
        <v>0.18846153846153868</v>
      </c>
      <c r="BR279" s="13">
        <f t="shared" ref="BR279" si="6890">+BR278/BM278-1</f>
        <v>0.17714285714285705</v>
      </c>
      <c r="BS279" s="239">
        <f t="shared" ref="BS279" si="6891">+BS278/BN278-1</f>
        <v>0.19349206349206383</v>
      </c>
      <c r="BT279" s="13">
        <f>+BT278/BO278-1</f>
        <v>0.18373134328358187</v>
      </c>
      <c r="BU279" s="13">
        <f t="shared" ref="BU279" si="6892">+BU278/BP278-1</f>
        <v>0.17714285714285705</v>
      </c>
      <c r="BV279" s="13">
        <f t="shared" ref="BV279" si="6893">+BV278/BQ278-1</f>
        <v>0.16733333333333311</v>
      </c>
      <c r="BW279" s="13">
        <f t="shared" ref="BW279" si="6894">+BW278/BR278-1</f>
        <v>0.15874999999999972</v>
      </c>
      <c r="BX279" s="239">
        <f t="shared" ref="BX279" si="6895">+BX278/BS278-1</f>
        <v>0.17109589041095874</v>
      </c>
      <c r="BY279" s="13">
        <f>+BY278/BT278-1</f>
        <v>0.16376623376623378</v>
      </c>
      <c r="BZ279" s="13">
        <f t="shared" ref="BZ279" si="6896">+BZ278/BU278-1</f>
        <v>0.15874999999999995</v>
      </c>
      <c r="CA279" s="13">
        <f t="shared" ref="CA279" si="6897">+CA278/BV278-1</f>
        <v>0.15117647058823525</v>
      </c>
      <c r="CB279" s="13">
        <f t="shared" ref="CB279" si="6898">+CB278/BW278-1</f>
        <v>0.14444444444444438</v>
      </c>
      <c r="CC279" s="239">
        <f t="shared" ref="CC279" si="6899">+CC278/BX278-1</f>
        <v>0.15409638554216842</v>
      </c>
      <c r="CD279" s="13">
        <f>+CD278/BY278-1</f>
        <v>0.14839080459770115</v>
      </c>
      <c r="CE279" s="13">
        <f t="shared" ref="CE279" si="6900">+CE278/BZ278-1</f>
        <v>0.14444444444444438</v>
      </c>
      <c r="CF279" s="13">
        <f t="shared" ref="CF279" si="6901">+CF278/CA278-1</f>
        <v>0.138421052631579</v>
      </c>
      <c r="CG279" s="13">
        <f t="shared" ref="CG279" si="6902">+CG278/CB278-1</f>
        <v>0.13300000000000001</v>
      </c>
      <c r="CH279" s="239">
        <f t="shared" ref="CH279" si="6903">+CH278/CC278-1</f>
        <v>0.14075268817204334</v>
      </c>
      <c r="CI279" s="13">
        <f>+CI278/CD278-1</f>
        <v>0.13618556701030937</v>
      </c>
      <c r="CJ279" s="13">
        <f t="shared" ref="CJ279" si="6904">+CJ278/CE278-1</f>
        <v>0.13300000000000001</v>
      </c>
      <c r="CK279" s="13">
        <f t="shared" ref="CK279" si="6905">+CK278/CF278-1</f>
        <v>0.12809523809523804</v>
      </c>
      <c r="CL279" s="13">
        <f t="shared" ref="CL279" si="6906">+CL278/CG278-1</f>
        <v>0.12363636363636354</v>
      </c>
      <c r="CM279" s="239">
        <f t="shared" ref="CM279" si="6907">+CM278/CH278-1</f>
        <v>0.12999999999999989</v>
      </c>
      <c r="CN279" s="13">
        <f>+CN278/CI278-1</f>
        <v>0.1262616822429905</v>
      </c>
      <c r="CO279" s="13">
        <f t="shared" ref="CO279" si="6908">+CO278/CJ278-1</f>
        <v>0.12363636363636354</v>
      </c>
      <c r="CP279" s="13">
        <f t="shared" ref="CP279" si="6909">+CP278/CK278-1</f>
        <v>0.11956521739130421</v>
      </c>
      <c r="CQ279" s="13">
        <f t="shared" ref="CQ279" si="6910">+CQ278/CL278-1</f>
        <v>0.11583333333333323</v>
      </c>
      <c r="CR279" s="239">
        <f t="shared" ref="CR279" si="6911">+CR278/CM278-1</f>
        <v>0.12115044247787599</v>
      </c>
      <c r="CS279" s="13">
        <f>+CS278/CN278-1</f>
        <v>0.11803418803418797</v>
      </c>
      <c r="CT279" s="13">
        <f t="shared" ref="CT279" si="6912">+CT278/CO278-1</f>
        <v>0.11583333333333345</v>
      </c>
      <c r="CU279" s="13">
        <f t="shared" ref="CU279" si="6913">+CU278/CP278-1</f>
        <v>0.11240000000000006</v>
      </c>
      <c r="CV279" s="13">
        <f t="shared" ref="CV279" si="6914">+CV278/CQ278-1</f>
        <v>0.10923076923076924</v>
      </c>
      <c r="CW279" s="239">
        <f t="shared" ref="CW279" si="6915">+CW278/CR278-1</f>
        <v>0.11373983739837401</v>
      </c>
      <c r="CX279" s="13">
        <f>+CX278/CS278-1</f>
        <v>0.11110236220472469</v>
      </c>
      <c r="CY279" s="13">
        <f t="shared" ref="CY279" si="6916">+CY278/CT278-1</f>
        <v>0.10923076923076924</v>
      </c>
      <c r="CZ279" s="13">
        <f t="shared" ref="CZ279" si="6917">+CZ278/CU278-1</f>
        <v>0.10629629629629633</v>
      </c>
      <c r="DA279" s="13">
        <f t="shared" ref="DA279" si="6918">+DA278/CV278-1</f>
        <v>0.10357142857142865</v>
      </c>
      <c r="DB279" s="239">
        <f t="shared" ref="DB279" si="6919">+DB278/CW278-1</f>
        <v>0.10744360902255656</v>
      </c>
    </row>
    <row r="280" spans="1:106">
      <c r="A280" s="117" t="s">
        <v>288</v>
      </c>
      <c r="F280" s="217"/>
      <c r="K280" s="217"/>
      <c r="P280" s="217"/>
      <c r="U280" s="217"/>
      <c r="V280" s="119" t="s">
        <v>290</v>
      </c>
      <c r="W280" s="13" t="e">
        <f>+W278/V278-1</f>
        <v>#DIV/0!</v>
      </c>
      <c r="X280" s="13" t="e">
        <f t="shared" ref="X280:Y280" si="6920">+X278/W278-1</f>
        <v>#DIV/0!</v>
      </c>
      <c r="Y280" s="13" t="e">
        <f t="shared" si="6920"/>
        <v>#DIV/0!</v>
      </c>
      <c r="Z280" s="235" t="s">
        <v>290</v>
      </c>
      <c r="AA280" s="13" t="e">
        <f>+AA278/Y278-1</f>
        <v>#DIV/0!</v>
      </c>
      <c r="AB280" s="13" t="e">
        <f>+AB278/AA278-1</f>
        <v>#DIV/0!</v>
      </c>
      <c r="AC280" s="13" t="e">
        <f t="shared" ref="AC280:AD280" si="6921">+AC278/AB278-1</f>
        <v>#DIV/0!</v>
      </c>
      <c r="AD280" s="13" t="e">
        <f t="shared" si="6921"/>
        <v>#DIV/0!</v>
      </c>
      <c r="AE280" s="235" t="s">
        <v>290</v>
      </c>
      <c r="AF280" s="13" t="e">
        <f>+AF278/AD278-1</f>
        <v>#DIV/0!</v>
      </c>
      <c r="AG280" s="13" t="e">
        <f>+AG278/AF278-1</f>
        <v>#DIV/0!</v>
      </c>
      <c r="AH280" s="13" t="e">
        <f t="shared" ref="AH280:AI280" si="6922">+AH278/AG278-1</f>
        <v>#DIV/0!</v>
      </c>
      <c r="AI280" s="13" t="e">
        <f t="shared" si="6922"/>
        <v>#DIV/0!</v>
      </c>
      <c r="AJ280" s="235" t="s">
        <v>290</v>
      </c>
      <c r="AK280" s="13" t="e">
        <f>+AK278/AI278-1</f>
        <v>#DIV/0!</v>
      </c>
      <c r="AL280" s="13" t="e">
        <f>+AL278/AK278-1</f>
        <v>#DIV/0!</v>
      </c>
      <c r="AM280" s="13" t="e">
        <f t="shared" ref="AM280:AN280" si="6923">+AM278/AL278-1</f>
        <v>#DIV/0!</v>
      </c>
      <c r="AN280" s="13" t="e">
        <f t="shared" si="6923"/>
        <v>#DIV/0!</v>
      </c>
      <c r="AO280" s="235" t="s">
        <v>290</v>
      </c>
      <c r="AP280" s="13" t="e">
        <f>+AP278/AN278-1</f>
        <v>#DIV/0!</v>
      </c>
      <c r="AQ280" s="13">
        <f>+AQ278/AP278-1</f>
        <v>0</v>
      </c>
      <c r="AR280" s="13">
        <f t="shared" ref="AR280:AS280" si="6924">+AR278/AQ278-1</f>
        <v>0.50000000000000022</v>
      </c>
      <c r="AS280" s="13">
        <f t="shared" si="6924"/>
        <v>0</v>
      </c>
      <c r="AT280" s="235" t="s">
        <v>290</v>
      </c>
      <c r="AU280" s="13">
        <f>+AU278/AS278-1</f>
        <v>4.1500000000000004</v>
      </c>
      <c r="AV280" s="13">
        <f>+AV278/AU278-1</f>
        <v>0.33333333333333326</v>
      </c>
      <c r="AW280" s="13">
        <f t="shared" ref="AW280:AX280" si="6925">+AW278/AV278-1</f>
        <v>0.5</v>
      </c>
      <c r="AX280" s="13">
        <f t="shared" si="6925"/>
        <v>0.16666666666666674</v>
      </c>
      <c r="AY280" s="235" t="s">
        <v>290</v>
      </c>
      <c r="AZ280" s="13">
        <f>+AZ278/AX278-1</f>
        <v>8.8857142857142746E-2</v>
      </c>
      <c r="BA280" s="13">
        <f>+BA278/AZ278-1</f>
        <v>8.1081081081081141E-2</v>
      </c>
      <c r="BB280" s="13">
        <f t="shared" ref="BB280:BC280" si="6926">+BB278/BA278-1</f>
        <v>0.125</v>
      </c>
      <c r="BC280" s="13">
        <f t="shared" si="6926"/>
        <v>0.11111111111111116</v>
      </c>
      <c r="BD280" s="235" t="s">
        <v>290</v>
      </c>
      <c r="BE280" s="13">
        <f>+BE278/BC278-1</f>
        <v>-3.1799999999999939E-2</v>
      </c>
      <c r="BF280" s="13">
        <f>+BF278/BE278-1</f>
        <v>6.3829787234042534E-2</v>
      </c>
      <c r="BG280" s="13">
        <f t="shared" ref="BG280:BH280" si="6927">+BG278/BF278-1</f>
        <v>9.9999999999999867E-2</v>
      </c>
      <c r="BH280" s="13">
        <f t="shared" si="6927"/>
        <v>9.090909090909105E-2</v>
      </c>
      <c r="BI280" s="235" t="s">
        <v>290</v>
      </c>
      <c r="BJ280" s="13">
        <f>+BJ278/BH278-1</f>
        <v>-2.1500000000000186E-2</v>
      </c>
      <c r="BK280" s="13">
        <f>+BK278/BJ278-1</f>
        <v>5.2631578947368363E-2</v>
      </c>
      <c r="BL280" s="13">
        <f t="shared" ref="BL280:BM280" si="6928">+BL278/BK278-1</f>
        <v>8.3333333333333259E-2</v>
      </c>
      <c r="BM280" s="13">
        <f t="shared" si="6928"/>
        <v>7.6923076923077094E-2</v>
      </c>
      <c r="BN280" s="235" t="s">
        <v>290</v>
      </c>
      <c r="BO280" s="13">
        <f>+BO278/BM278-1</f>
        <v>-1.4142857142857124E-2</v>
      </c>
      <c r="BP280" s="13">
        <f>+BP278/BO278-1</f>
        <v>4.4776119402984982E-2</v>
      </c>
      <c r="BQ280" s="13">
        <f t="shared" ref="BQ280:BR280" si="6929">+BQ278/BP278-1</f>
        <v>7.1428571428571397E-2</v>
      </c>
      <c r="BR280" s="13">
        <f t="shared" si="6929"/>
        <v>6.6666666666666652E-2</v>
      </c>
      <c r="BS280" s="235" t="s">
        <v>290</v>
      </c>
      <c r="BT280" s="13">
        <f>+BT278/BR278-1</f>
        <v>-8.6250000000001048E-3</v>
      </c>
      <c r="BU280" s="13">
        <f>+BU278/BT278-1</f>
        <v>3.8961038961038863E-2</v>
      </c>
      <c r="BV280" s="13">
        <f t="shared" ref="BV280:BW280" si="6930">+BV278/BU278-1</f>
        <v>6.25E-2</v>
      </c>
      <c r="BW280" s="13">
        <f t="shared" si="6930"/>
        <v>5.8823529411764719E-2</v>
      </c>
      <c r="BX280" s="235" t="s">
        <v>290</v>
      </c>
      <c r="BY280" s="13">
        <f>+BY278/BW278-1</f>
        <v>-4.3333333333334112E-3</v>
      </c>
      <c r="BZ280" s="13">
        <f>+BZ278/BY278-1</f>
        <v>3.4482758620689724E-2</v>
      </c>
      <c r="CA280" s="13">
        <f t="shared" ref="CA280:CB280" si="6931">+CA278/BZ278-1</f>
        <v>5.5555555555555358E-2</v>
      </c>
      <c r="CB280" s="13">
        <f t="shared" si="6931"/>
        <v>5.2631578947368585E-2</v>
      </c>
      <c r="CC280" s="235" t="s">
        <v>290</v>
      </c>
      <c r="CD280" s="13">
        <f>+CD278/CB278-1</f>
        <v>-8.9999999999990088E-4</v>
      </c>
      <c r="CE280" s="13">
        <f>+CE278/CD278-1</f>
        <v>3.0927835051546282E-2</v>
      </c>
      <c r="CF280" s="13">
        <f t="shared" ref="CF280:CG280" si="6932">+CF278/CE278-1</f>
        <v>5.0000000000000044E-2</v>
      </c>
      <c r="CG280" s="13">
        <f t="shared" si="6932"/>
        <v>4.7619047619047672E-2</v>
      </c>
      <c r="CH280" s="235" t="s">
        <v>290</v>
      </c>
      <c r="CI280" s="13">
        <f>+CI278/CG278-1</f>
        <v>1.9090909090910824E-3</v>
      </c>
      <c r="CJ280" s="13">
        <f>+CJ278/CI278-1</f>
        <v>2.8037383177569986E-2</v>
      </c>
      <c r="CK280" s="13">
        <f t="shared" ref="CK280:CL280" si="6933">+CK278/CJ278-1</f>
        <v>4.5454545454545414E-2</v>
      </c>
      <c r="CL280" s="13">
        <f t="shared" si="6933"/>
        <v>4.3478260869565188E-2</v>
      </c>
      <c r="CM280" s="235" t="s">
        <v>290</v>
      </c>
      <c r="CN280" s="13">
        <f>+CN278/CL278-1</f>
        <v>4.250000000000087E-3</v>
      </c>
      <c r="CO280" s="13">
        <f>+CO278/CN278-1</f>
        <v>2.564102564102555E-2</v>
      </c>
      <c r="CP280" s="13">
        <f t="shared" ref="CP280:CQ280" si="6934">+CP278/CO278-1</f>
        <v>4.1666666666666741E-2</v>
      </c>
      <c r="CQ280" s="13">
        <f t="shared" si="6934"/>
        <v>4.0000000000000036E-2</v>
      </c>
      <c r="CR280" s="235" t="s">
        <v>290</v>
      </c>
      <c r="CS280" s="13">
        <f>+CS278/CQ278-1</f>
        <v>6.2307692307690399E-3</v>
      </c>
      <c r="CT280" s="13">
        <f>+CT278/CS278-1</f>
        <v>2.3622047244094668E-2</v>
      </c>
      <c r="CU280" s="13">
        <f t="shared" ref="CU280:CV280" si="6935">+CU278/CT278-1</f>
        <v>3.8461538461538547E-2</v>
      </c>
      <c r="CV280" s="13">
        <f t="shared" si="6935"/>
        <v>3.7037037037036979E-2</v>
      </c>
      <c r="CW280" s="235" t="s">
        <v>290</v>
      </c>
      <c r="CX280" s="13">
        <f>+CX278/CV278-1</f>
        <v>7.928571428571507E-3</v>
      </c>
      <c r="CY280" s="13">
        <f>+CY278/CX278-1</f>
        <v>2.1897810218977964E-2</v>
      </c>
      <c r="CZ280" s="13">
        <f t="shared" ref="CZ280:DA280" si="6936">+CZ278/CY278-1</f>
        <v>3.5714285714285809E-2</v>
      </c>
      <c r="DA280" s="13">
        <f t="shared" si="6936"/>
        <v>3.4482758620689724E-2</v>
      </c>
      <c r="DB280" s="235" t="s">
        <v>290</v>
      </c>
    </row>
    <row r="281" spans="1:106">
      <c r="A281" s="117" t="s">
        <v>505</v>
      </c>
      <c r="F281" s="217"/>
      <c r="K281" s="217"/>
      <c r="P281" s="217"/>
      <c r="U281" s="217"/>
      <c r="V281" s="118">
        <v>0</v>
      </c>
      <c r="W281" s="118">
        <v>0</v>
      </c>
      <c r="X281" s="118">
        <v>0</v>
      </c>
      <c r="Y281" s="118">
        <v>0</v>
      </c>
      <c r="Z281" s="239">
        <f>+Z278/Z275</f>
        <v>0</v>
      </c>
      <c r="AA281" s="118">
        <v>0</v>
      </c>
      <c r="AB281" s="118">
        <v>0</v>
      </c>
      <c r="AC281" s="118">
        <v>0</v>
      </c>
      <c r="AD281" s="118">
        <v>0</v>
      </c>
      <c r="AE281" s="239">
        <f>+AE278/AE275</f>
        <v>0</v>
      </c>
      <c r="AF281" s="118">
        <v>0</v>
      </c>
      <c r="AG281" s="118">
        <v>0</v>
      </c>
      <c r="AH281" s="118">
        <v>0</v>
      </c>
      <c r="AI281" s="118">
        <v>0</v>
      </c>
      <c r="AJ281" s="239">
        <f>+AJ278/AJ275</f>
        <v>0</v>
      </c>
      <c r="AK281" s="118">
        <v>0</v>
      </c>
      <c r="AL281" s="118">
        <v>0</v>
      </c>
      <c r="AM281" s="118">
        <v>0</v>
      </c>
      <c r="AN281" s="118">
        <v>0</v>
      </c>
      <c r="AO281" s="239">
        <f>+AO278/AO275</f>
        <v>0</v>
      </c>
      <c r="AP281" s="118">
        <v>2E-3</v>
      </c>
      <c r="AQ281" s="118">
        <v>2E-3</v>
      </c>
      <c r="AR281" s="118">
        <v>3.0000000000000001E-3</v>
      </c>
      <c r="AS281" s="118">
        <v>3.0000000000000001E-3</v>
      </c>
      <c r="AT281" s="239">
        <f>+AT278/AT275</f>
        <v>2.5000000000000001E-3</v>
      </c>
      <c r="AU281" s="118">
        <v>1.4999999999999999E-2</v>
      </c>
      <c r="AV281" s="118">
        <v>0.02</v>
      </c>
      <c r="AW281" s="118">
        <v>0.03</v>
      </c>
      <c r="AX281" s="118">
        <v>3.5000000000000003E-2</v>
      </c>
      <c r="AY281" s="239">
        <f>+AY278/AY275</f>
        <v>2.4999999999999998E-2</v>
      </c>
      <c r="AZ281" s="118">
        <v>3.6999999999999998E-2</v>
      </c>
      <c r="BA281" s="118">
        <v>0.04</v>
      </c>
      <c r="BB281" s="118">
        <v>4.4999999999999998E-2</v>
      </c>
      <c r="BC281" s="118">
        <v>0.05</v>
      </c>
      <c r="BD281" s="239">
        <f>+BD278/BD275</f>
        <v>4.3000000000000003E-2</v>
      </c>
      <c r="BE281" s="118">
        <f>+AZ281+0.01</f>
        <v>4.7E-2</v>
      </c>
      <c r="BF281" s="118">
        <f t="shared" ref="BF281" si="6937">+BA281+0.01</f>
        <v>0.05</v>
      </c>
      <c r="BG281" s="118">
        <f t="shared" ref="BG281" si="6938">+BB281+0.01</f>
        <v>5.5E-2</v>
      </c>
      <c r="BH281" s="118">
        <f t="shared" ref="BH281" si="6939">+BC281+0.01</f>
        <v>6.0000000000000005E-2</v>
      </c>
      <c r="BI281" s="239">
        <f>+BI278/BI275</f>
        <v>5.3000000000000012E-2</v>
      </c>
      <c r="BJ281" s="118">
        <f>+BE281+0.01</f>
        <v>5.7000000000000002E-2</v>
      </c>
      <c r="BK281" s="118">
        <f t="shared" ref="BK281" si="6940">+BF281+0.01</f>
        <v>6.0000000000000005E-2</v>
      </c>
      <c r="BL281" s="118">
        <f t="shared" ref="BL281" si="6941">+BG281+0.01</f>
        <v>6.5000000000000002E-2</v>
      </c>
      <c r="BM281" s="118">
        <f t="shared" ref="BM281" si="6942">+BH281+0.01</f>
        <v>7.0000000000000007E-2</v>
      </c>
      <c r="BN281" s="239">
        <f>+BN278/BN275</f>
        <v>6.3E-2</v>
      </c>
      <c r="BO281" s="118">
        <f>+BJ281+0.01</f>
        <v>6.7000000000000004E-2</v>
      </c>
      <c r="BP281" s="118">
        <f t="shared" ref="BP281" si="6943">+BK281+0.01</f>
        <v>7.0000000000000007E-2</v>
      </c>
      <c r="BQ281" s="118">
        <f t="shared" ref="BQ281" si="6944">+BL281+0.01</f>
        <v>7.4999999999999997E-2</v>
      </c>
      <c r="BR281" s="118">
        <f t="shared" ref="BR281" si="6945">+BM281+0.01</f>
        <v>0.08</v>
      </c>
      <c r="BS281" s="239">
        <f>+BS278/BS275</f>
        <v>7.3000000000000009E-2</v>
      </c>
      <c r="BT281" s="118">
        <f>+BO281+0.01</f>
        <v>7.6999999999999999E-2</v>
      </c>
      <c r="BU281" s="118">
        <f t="shared" ref="BU281" si="6946">+BP281+0.01</f>
        <v>0.08</v>
      </c>
      <c r="BV281" s="118">
        <f t="shared" ref="BV281" si="6947">+BQ281+0.01</f>
        <v>8.4999999999999992E-2</v>
      </c>
      <c r="BW281" s="118">
        <f t="shared" ref="BW281" si="6948">+BR281+0.01</f>
        <v>0.09</v>
      </c>
      <c r="BX281" s="239">
        <f>+BX278/BX275</f>
        <v>8.299999999999999E-2</v>
      </c>
      <c r="BY281" s="118">
        <f>+BT281+0.01</f>
        <v>8.6999999999999994E-2</v>
      </c>
      <c r="BZ281" s="118">
        <f t="shared" ref="BZ281" si="6949">+BU281+0.01</f>
        <v>0.09</v>
      </c>
      <c r="CA281" s="118">
        <f t="shared" ref="CA281" si="6950">+BV281+0.01</f>
        <v>9.4999999999999987E-2</v>
      </c>
      <c r="CB281" s="118">
        <f t="shared" ref="CB281" si="6951">+BW281+0.01</f>
        <v>9.9999999999999992E-2</v>
      </c>
      <c r="CC281" s="239">
        <f>+CC278/CC275</f>
        <v>9.2999999999999985E-2</v>
      </c>
      <c r="CD281" s="118">
        <f>+BY281+0.01</f>
        <v>9.6999999999999989E-2</v>
      </c>
      <c r="CE281" s="118">
        <f t="shared" ref="CE281" si="6952">+BZ281+0.01</f>
        <v>9.9999999999999992E-2</v>
      </c>
      <c r="CF281" s="118">
        <f t="shared" ref="CF281" si="6953">+CA281+0.01</f>
        <v>0.10499999999999998</v>
      </c>
      <c r="CG281" s="118">
        <f t="shared" ref="CG281" si="6954">+CB281+0.01</f>
        <v>0.10999999999999999</v>
      </c>
      <c r="CH281" s="239">
        <f>+CH278/CH275</f>
        <v>0.10299999999999999</v>
      </c>
      <c r="CI281" s="118">
        <f>+CD281+0.01</f>
        <v>0.10699999999999998</v>
      </c>
      <c r="CJ281" s="118">
        <f t="shared" ref="CJ281" si="6955">+CE281+0.01</f>
        <v>0.10999999999999999</v>
      </c>
      <c r="CK281" s="118">
        <f t="shared" ref="CK281" si="6956">+CF281+0.01</f>
        <v>0.11499999999999998</v>
      </c>
      <c r="CL281" s="118">
        <f t="shared" ref="CL281" si="6957">+CG281+0.01</f>
        <v>0.11999999999999998</v>
      </c>
      <c r="CM281" s="239">
        <f>+CM278/CM275</f>
        <v>0.11299999999999999</v>
      </c>
      <c r="CN281" s="118">
        <f>+CI281+0.01</f>
        <v>0.11699999999999998</v>
      </c>
      <c r="CO281" s="118">
        <f t="shared" ref="CO281" si="6958">+CJ281+0.01</f>
        <v>0.11999999999999998</v>
      </c>
      <c r="CP281" s="118">
        <f t="shared" ref="CP281" si="6959">+CK281+0.01</f>
        <v>0.12499999999999997</v>
      </c>
      <c r="CQ281" s="118">
        <f t="shared" ref="CQ281" si="6960">+CL281+0.01</f>
        <v>0.12999999999999998</v>
      </c>
      <c r="CR281" s="239">
        <f>+CR278/CR275</f>
        <v>0.12299999999999998</v>
      </c>
      <c r="CS281" s="118">
        <f>+CN281+0.01</f>
        <v>0.12699999999999997</v>
      </c>
      <c r="CT281" s="118">
        <f t="shared" ref="CT281" si="6961">+CO281+0.01</f>
        <v>0.12999999999999998</v>
      </c>
      <c r="CU281" s="118">
        <f t="shared" ref="CU281" si="6962">+CP281+0.01</f>
        <v>0.13499999999999998</v>
      </c>
      <c r="CV281" s="118">
        <f t="shared" ref="CV281" si="6963">+CQ281+0.01</f>
        <v>0.13999999999999999</v>
      </c>
      <c r="CW281" s="239">
        <f>+CW278/CW275</f>
        <v>0.13299999999999998</v>
      </c>
      <c r="CX281" s="118">
        <f>+CS281+0.01</f>
        <v>0.13699999999999998</v>
      </c>
      <c r="CY281" s="118">
        <f t="shared" ref="CY281" si="6964">+CT281+0.01</f>
        <v>0.13999999999999999</v>
      </c>
      <c r="CZ281" s="118">
        <f t="shared" ref="CZ281" si="6965">+CU281+0.01</f>
        <v>0.14499999999999999</v>
      </c>
      <c r="DA281" s="118">
        <f t="shared" ref="DA281" si="6966">+CV281+0.01</f>
        <v>0.15</v>
      </c>
      <c r="DB281" s="239">
        <f>+DB278/DB275</f>
        <v>0.14299999999999996</v>
      </c>
    </row>
    <row r="282" spans="1:106">
      <c r="F282" s="217"/>
      <c r="K282" s="217"/>
      <c r="P282" s="217"/>
      <c r="U282" s="217"/>
      <c r="Z282" s="217"/>
      <c r="AE282" s="217"/>
      <c r="AJ282" s="217"/>
      <c r="AO282" s="217"/>
      <c r="AT282" s="217"/>
      <c r="AY282" s="217"/>
      <c r="BD282" s="217"/>
      <c r="BI282" s="217"/>
      <c r="BN282" s="217"/>
      <c r="BS282" s="217"/>
      <c r="BX282" s="217"/>
      <c r="CC282" s="217"/>
      <c r="CH282" s="217"/>
      <c r="CM282" s="217"/>
      <c r="CR282" s="217"/>
      <c r="CW282" s="217"/>
      <c r="DB282" s="217"/>
    </row>
    <row r="283" spans="1:106" s="51" customFormat="1">
      <c r="A283" s="51" t="s">
        <v>289</v>
      </c>
      <c r="F283" s="233"/>
      <c r="K283" s="233"/>
      <c r="P283" s="233"/>
      <c r="U283" s="233"/>
      <c r="V283" s="226">
        <f>+V231</f>
        <v>1500</v>
      </c>
      <c r="W283" s="226">
        <f t="shared" ref="W283:Y283" si="6967">+W231</f>
        <v>1500</v>
      </c>
      <c r="X283" s="226">
        <f t="shared" si="6967"/>
        <v>1500</v>
      </c>
      <c r="Y283" s="226">
        <f t="shared" si="6967"/>
        <v>1500</v>
      </c>
      <c r="Z283" s="242" t="s">
        <v>290</v>
      </c>
      <c r="AA283" s="226">
        <f>+AA231</f>
        <v>1500</v>
      </c>
      <c r="AB283" s="226">
        <f t="shared" ref="AB283:AD283" si="6968">+AB231</f>
        <v>1500</v>
      </c>
      <c r="AC283" s="226">
        <f t="shared" si="6968"/>
        <v>1500</v>
      </c>
      <c r="AD283" s="226">
        <f t="shared" si="6968"/>
        <v>1500</v>
      </c>
      <c r="AE283" s="242" t="s">
        <v>290</v>
      </c>
      <c r="AF283" s="226">
        <f>+AF231</f>
        <v>1867</v>
      </c>
      <c r="AG283" s="226">
        <f t="shared" ref="AG283:AI283" si="6969">+AG231</f>
        <v>1466</v>
      </c>
      <c r="AH283" s="226">
        <f t="shared" si="6969"/>
        <v>1532</v>
      </c>
      <c r="AI283" s="226">
        <f t="shared" si="6969"/>
        <v>1465</v>
      </c>
      <c r="AJ283" s="236" t="e">
        <f>+AJ286/AJ278*1000000</f>
        <v>#DIV/0!</v>
      </c>
      <c r="AK283" s="226">
        <f>+AK231</f>
        <v>1277</v>
      </c>
      <c r="AL283" s="226">
        <f t="shared" ref="AL283:AN283" si="6970">+AL231</f>
        <v>1300</v>
      </c>
      <c r="AM283" s="226">
        <f t="shared" si="6970"/>
        <v>1313</v>
      </c>
      <c r="AN283" s="226">
        <f t="shared" si="6970"/>
        <v>1300</v>
      </c>
      <c r="AO283" s="236" t="e">
        <f>+AO286/AO278*1000000</f>
        <v>#DIV/0!</v>
      </c>
      <c r="AP283" s="226">
        <f>+AP231</f>
        <v>1300</v>
      </c>
      <c r="AQ283" s="226">
        <f t="shared" ref="AQ283:AS283" si="6971">+AQ231</f>
        <v>1300</v>
      </c>
      <c r="AR283" s="226">
        <f t="shared" si="6971"/>
        <v>1300</v>
      </c>
      <c r="AS283" s="226">
        <f t="shared" si="6971"/>
        <v>1300</v>
      </c>
      <c r="AT283" s="236">
        <f>+AT286/AT278*1000000</f>
        <v>1300.0000000000002</v>
      </c>
      <c r="AU283" s="226">
        <f>+AU231</f>
        <v>1200</v>
      </c>
      <c r="AV283" s="226">
        <f t="shared" ref="AV283:AX283" si="6972">+AV231</f>
        <v>1270</v>
      </c>
      <c r="AW283" s="226">
        <f t="shared" si="6972"/>
        <v>1255</v>
      </c>
      <c r="AX283" s="226">
        <f t="shared" si="6972"/>
        <v>1269</v>
      </c>
      <c r="AY283" s="236">
        <f>+AY286/AY278*1000000</f>
        <v>1254.6500000000001</v>
      </c>
      <c r="AZ283" s="226">
        <f>+AZ231</f>
        <v>1275</v>
      </c>
      <c r="BA283" s="226">
        <f t="shared" ref="BA283:BC283" si="6973">+BA231</f>
        <v>1275</v>
      </c>
      <c r="BB283" s="226">
        <f t="shared" si="6973"/>
        <v>1275</v>
      </c>
      <c r="BC283" s="226">
        <f t="shared" si="6973"/>
        <v>1275</v>
      </c>
      <c r="BD283" s="236">
        <f>+BD286/BD278*1000000</f>
        <v>1274.9999999999998</v>
      </c>
      <c r="BE283" s="226">
        <f>+BE231</f>
        <v>1300</v>
      </c>
      <c r="BF283" s="226">
        <f t="shared" ref="BF283:BH283" si="6974">+BF231</f>
        <v>1300</v>
      </c>
      <c r="BG283" s="226">
        <f t="shared" si="6974"/>
        <v>1305</v>
      </c>
      <c r="BH283" s="226">
        <f t="shared" si="6974"/>
        <v>1310</v>
      </c>
      <c r="BI283" s="236">
        <f>+BI286/BI278*1000000</f>
        <v>1304.1273584905662</v>
      </c>
      <c r="BJ283" s="226">
        <f>+BJ231</f>
        <v>1275</v>
      </c>
      <c r="BK283" s="226">
        <f t="shared" ref="BK283:BM283" si="6975">+BK231</f>
        <v>1275</v>
      </c>
      <c r="BL283" s="226">
        <f t="shared" si="6975"/>
        <v>1275</v>
      </c>
      <c r="BM283" s="226">
        <f t="shared" si="6975"/>
        <v>1275</v>
      </c>
      <c r="BN283" s="236">
        <f>+BN286/BN278*1000000</f>
        <v>1275</v>
      </c>
      <c r="BO283" s="226">
        <f>+BO231</f>
        <v>1275</v>
      </c>
      <c r="BP283" s="226">
        <f t="shared" ref="BP283:BR283" si="6976">+BP231</f>
        <v>1275</v>
      </c>
      <c r="BQ283" s="226">
        <f t="shared" si="6976"/>
        <v>1275</v>
      </c>
      <c r="BR283" s="226">
        <f t="shared" si="6976"/>
        <v>1275</v>
      </c>
      <c r="BS283" s="236">
        <f>+BS286/BS278*1000000</f>
        <v>1274.9999999999998</v>
      </c>
      <c r="BT283" s="226">
        <f>+BT231</f>
        <v>1275</v>
      </c>
      <c r="BU283" s="226">
        <f t="shared" ref="BU283:BW283" si="6977">+BU231</f>
        <v>1275</v>
      </c>
      <c r="BV283" s="226">
        <f t="shared" si="6977"/>
        <v>1275</v>
      </c>
      <c r="BW283" s="226">
        <f t="shared" si="6977"/>
        <v>1275</v>
      </c>
      <c r="BX283" s="236">
        <f>+BX286/BX278*1000000</f>
        <v>1274.9999999999998</v>
      </c>
      <c r="BY283" s="226">
        <f>+BY231</f>
        <v>1275</v>
      </c>
      <c r="BZ283" s="226">
        <f t="shared" ref="BZ283:CB283" si="6978">+BZ231</f>
        <v>1275</v>
      </c>
      <c r="CA283" s="226">
        <f t="shared" si="6978"/>
        <v>1275</v>
      </c>
      <c r="CB283" s="226">
        <f t="shared" si="6978"/>
        <v>1275</v>
      </c>
      <c r="CC283" s="236">
        <f>+CC286/CC278*1000000</f>
        <v>1275.0000000000002</v>
      </c>
      <c r="CD283" s="226">
        <f>+CD231</f>
        <v>1275</v>
      </c>
      <c r="CE283" s="226">
        <f t="shared" ref="CE283:CG283" si="6979">+CE231</f>
        <v>1275</v>
      </c>
      <c r="CF283" s="226">
        <f t="shared" si="6979"/>
        <v>1275</v>
      </c>
      <c r="CG283" s="226">
        <f t="shared" si="6979"/>
        <v>1275</v>
      </c>
      <c r="CH283" s="236">
        <f>+CH286/CH278*1000000</f>
        <v>1275</v>
      </c>
      <c r="CI283" s="226">
        <f>+CI231</f>
        <v>1275</v>
      </c>
      <c r="CJ283" s="226">
        <f t="shared" ref="CJ283:CL283" si="6980">+CJ231</f>
        <v>1275</v>
      </c>
      <c r="CK283" s="226">
        <f t="shared" si="6980"/>
        <v>1275</v>
      </c>
      <c r="CL283" s="226">
        <f t="shared" si="6980"/>
        <v>1275</v>
      </c>
      <c r="CM283" s="236">
        <f>+CM286/CM278*1000000</f>
        <v>1275</v>
      </c>
      <c r="CN283" s="226">
        <f>+CN231</f>
        <v>1275</v>
      </c>
      <c r="CO283" s="226">
        <f t="shared" ref="CO283:CQ283" si="6981">+CO231</f>
        <v>1275</v>
      </c>
      <c r="CP283" s="226">
        <f t="shared" si="6981"/>
        <v>1275</v>
      </c>
      <c r="CQ283" s="226">
        <f t="shared" si="6981"/>
        <v>1275</v>
      </c>
      <c r="CR283" s="236">
        <f>+CR286/CR278*1000000</f>
        <v>1275</v>
      </c>
      <c r="CS283" s="226">
        <f>+CS231</f>
        <v>1275</v>
      </c>
      <c r="CT283" s="226">
        <f t="shared" ref="CT283:CV283" si="6982">+CT231</f>
        <v>1275</v>
      </c>
      <c r="CU283" s="226">
        <f t="shared" si="6982"/>
        <v>1275</v>
      </c>
      <c r="CV283" s="226">
        <f t="shared" si="6982"/>
        <v>1275</v>
      </c>
      <c r="CW283" s="236">
        <f>+CW286/CW278*1000000</f>
        <v>1275</v>
      </c>
      <c r="CX283" s="226">
        <f>+CX231</f>
        <v>1275</v>
      </c>
      <c r="CY283" s="226">
        <f t="shared" ref="CY283:DA283" si="6983">+CY231</f>
        <v>1275</v>
      </c>
      <c r="CZ283" s="226">
        <f t="shared" si="6983"/>
        <v>1275</v>
      </c>
      <c r="DA283" s="226">
        <f t="shared" si="6983"/>
        <v>1275</v>
      </c>
      <c r="DB283" s="236">
        <f>+DB286/DB278*1000000</f>
        <v>1275</v>
      </c>
    </row>
    <row r="284" spans="1:106">
      <c r="A284" s="117" t="s">
        <v>281</v>
      </c>
      <c r="F284" s="217"/>
      <c r="K284" s="217"/>
      <c r="P284" s="217"/>
      <c r="U284" s="217"/>
      <c r="V284" s="119" t="s">
        <v>290</v>
      </c>
      <c r="W284" s="119" t="s">
        <v>290</v>
      </c>
      <c r="X284" s="119" t="s">
        <v>290</v>
      </c>
      <c r="Y284" s="119" t="s">
        <v>290</v>
      </c>
      <c r="Z284" s="235" t="s">
        <v>290</v>
      </c>
      <c r="AA284" s="13">
        <f>+AA283/V283-1</f>
        <v>0</v>
      </c>
      <c r="AB284" s="13">
        <f t="shared" ref="AB284" si="6984">+AB283/W283-1</f>
        <v>0</v>
      </c>
      <c r="AC284" s="13">
        <f t="shared" ref="AC284" si="6985">+AC283/X283-1</f>
        <v>0</v>
      </c>
      <c r="AD284" s="13">
        <f t="shared" ref="AD284" si="6986">+AD283/Y283-1</f>
        <v>0</v>
      </c>
      <c r="AE284" s="239" t="e">
        <f t="shared" ref="AE284" si="6987">+AE283/Z283-1</f>
        <v>#VALUE!</v>
      </c>
      <c r="AF284" s="13">
        <f>+AF283/AA283-1</f>
        <v>0.24466666666666659</v>
      </c>
      <c r="AG284" s="13">
        <f t="shared" ref="AG284" si="6988">+AG283/AB283-1</f>
        <v>-2.2666666666666613E-2</v>
      </c>
      <c r="AH284" s="13">
        <f t="shared" ref="AH284" si="6989">+AH283/AC283-1</f>
        <v>2.1333333333333426E-2</v>
      </c>
      <c r="AI284" s="13">
        <f t="shared" ref="AI284" si="6990">+AI283/AD283-1</f>
        <v>-2.3333333333333317E-2</v>
      </c>
      <c r="AJ284" s="239" t="e">
        <f t="shared" ref="AJ284" si="6991">+AJ283/AE283-1</f>
        <v>#DIV/0!</v>
      </c>
      <c r="AK284" s="13">
        <f>+AK283/AF283-1</f>
        <v>-0.31601499732190685</v>
      </c>
      <c r="AL284" s="13">
        <f t="shared" ref="AL284" si="6992">+AL283/AG283-1</f>
        <v>-0.11323328785811737</v>
      </c>
      <c r="AM284" s="13">
        <f t="shared" ref="AM284" si="6993">+AM283/AH283-1</f>
        <v>-0.14295039164490864</v>
      </c>
      <c r="AN284" s="13">
        <f t="shared" ref="AN284" si="6994">+AN283/AI283-1</f>
        <v>-0.11262798634812288</v>
      </c>
      <c r="AO284" s="239" t="e">
        <f t="shared" ref="AO284" si="6995">+AO283/AJ283-1</f>
        <v>#DIV/0!</v>
      </c>
      <c r="AP284" s="13">
        <f>+AP283/AK283-1</f>
        <v>1.8010963194988294E-2</v>
      </c>
      <c r="AQ284" s="13">
        <f t="shared" ref="AQ284" si="6996">+AQ283/AL283-1</f>
        <v>0</v>
      </c>
      <c r="AR284" s="13">
        <f t="shared" ref="AR284" si="6997">+AR283/AM283-1</f>
        <v>-9.9009900990099098E-3</v>
      </c>
      <c r="AS284" s="13">
        <f t="shared" ref="AS284" si="6998">+AS283/AN283-1</f>
        <v>0</v>
      </c>
      <c r="AT284" s="239" t="e">
        <f t="shared" ref="AT284" si="6999">+AT283/AO283-1</f>
        <v>#DIV/0!</v>
      </c>
      <c r="AU284" s="13">
        <f>+AU283/AP283-1</f>
        <v>-7.6923076923076872E-2</v>
      </c>
      <c r="AV284" s="13">
        <f t="shared" ref="AV284" si="7000">+AV283/AQ283-1</f>
        <v>-2.3076923076923106E-2</v>
      </c>
      <c r="AW284" s="13">
        <f t="shared" ref="AW284" si="7001">+AW283/AR283-1</f>
        <v>-3.4615384615384603E-2</v>
      </c>
      <c r="AX284" s="13">
        <f t="shared" ref="AX284" si="7002">+AX283/AS283-1</f>
        <v>-2.384615384615385E-2</v>
      </c>
      <c r="AY284" s="239">
        <f t="shared" ref="AY284" si="7003">+AY283/AT283-1</f>
        <v>-3.4884615384615514E-2</v>
      </c>
      <c r="AZ284" s="13">
        <f>+AZ283/AU283-1</f>
        <v>6.25E-2</v>
      </c>
      <c r="BA284" s="13">
        <f t="shared" ref="BA284" si="7004">+BA283/AV283-1</f>
        <v>3.937007874015741E-3</v>
      </c>
      <c r="BB284" s="13">
        <f t="shared" ref="BB284" si="7005">+BB283/AW283-1</f>
        <v>1.5936254980079667E-2</v>
      </c>
      <c r="BC284" s="13">
        <f t="shared" ref="BC284" si="7006">+BC283/AX283-1</f>
        <v>4.7281323877068626E-3</v>
      </c>
      <c r="BD284" s="239">
        <f t="shared" ref="BD284" si="7007">+BD283/AY283-1</f>
        <v>1.6219662854182193E-2</v>
      </c>
      <c r="BE284" s="13">
        <f>+BE283/AZ283-1</f>
        <v>1.9607843137254832E-2</v>
      </c>
      <c r="BF284" s="13">
        <f t="shared" ref="BF284" si="7008">+BF283/BA283-1</f>
        <v>1.9607843137254832E-2</v>
      </c>
      <c r="BG284" s="13">
        <f t="shared" ref="BG284" si="7009">+BG283/BB283-1</f>
        <v>2.3529411764705799E-2</v>
      </c>
      <c r="BH284" s="13">
        <f t="shared" ref="BH284" si="7010">+BH283/BC283-1</f>
        <v>2.7450980392156765E-2</v>
      </c>
      <c r="BI284" s="239">
        <f t="shared" ref="BI284" si="7011">+BI283/BD283-1</f>
        <v>2.2844987051424681E-2</v>
      </c>
      <c r="BJ284" s="13">
        <f>+BJ283/BE283-1</f>
        <v>-1.9230769230769273E-2</v>
      </c>
      <c r="BK284" s="13">
        <f t="shared" ref="BK284" si="7012">+BK283/BF283-1</f>
        <v>-1.9230769230769273E-2</v>
      </c>
      <c r="BL284" s="13">
        <f t="shared" ref="BL284" si="7013">+BL283/BG283-1</f>
        <v>-2.2988505747126409E-2</v>
      </c>
      <c r="BM284" s="13">
        <f t="shared" ref="BM284" si="7014">+BM283/BH283-1</f>
        <v>-2.6717557251908386E-2</v>
      </c>
      <c r="BN284" s="239">
        <f t="shared" ref="BN284" si="7015">+BN283/BI283-1</f>
        <v>-2.2334749977394042E-2</v>
      </c>
      <c r="BO284" s="13">
        <f>+BO283/BJ283-1</f>
        <v>0</v>
      </c>
      <c r="BP284" s="13">
        <f t="shared" ref="BP284" si="7016">+BP283/BK283-1</f>
        <v>0</v>
      </c>
      <c r="BQ284" s="13">
        <f t="shared" ref="BQ284" si="7017">+BQ283/BL283-1</f>
        <v>0</v>
      </c>
      <c r="BR284" s="13">
        <f t="shared" ref="BR284" si="7018">+BR283/BM283-1</f>
        <v>0</v>
      </c>
      <c r="BS284" s="239">
        <f t="shared" ref="BS284" si="7019">+BS283/BN283-1</f>
        <v>0</v>
      </c>
      <c r="BT284" s="13">
        <f>+BT283/BO283-1</f>
        <v>0</v>
      </c>
      <c r="BU284" s="13">
        <f t="shared" ref="BU284" si="7020">+BU283/BP283-1</f>
        <v>0</v>
      </c>
      <c r="BV284" s="13">
        <f t="shared" ref="BV284" si="7021">+BV283/BQ283-1</f>
        <v>0</v>
      </c>
      <c r="BW284" s="13">
        <f t="shared" ref="BW284" si="7022">+BW283/BR283-1</f>
        <v>0</v>
      </c>
      <c r="BX284" s="239">
        <f t="shared" ref="BX284" si="7023">+BX283/BS283-1</f>
        <v>0</v>
      </c>
      <c r="BY284" s="13">
        <f>+BY283/BT283-1</f>
        <v>0</v>
      </c>
      <c r="BZ284" s="13">
        <f t="shared" ref="BZ284" si="7024">+BZ283/BU283-1</f>
        <v>0</v>
      </c>
      <c r="CA284" s="13">
        <f t="shared" ref="CA284" si="7025">+CA283/BV283-1</f>
        <v>0</v>
      </c>
      <c r="CB284" s="13">
        <f t="shared" ref="CB284" si="7026">+CB283/BW283-1</f>
        <v>0</v>
      </c>
      <c r="CC284" s="239">
        <f t="shared" ref="CC284" si="7027">+CC283/BX283-1</f>
        <v>0</v>
      </c>
      <c r="CD284" s="13">
        <f>+CD283/BY283-1</f>
        <v>0</v>
      </c>
      <c r="CE284" s="13">
        <f t="shared" ref="CE284" si="7028">+CE283/BZ283-1</f>
        <v>0</v>
      </c>
      <c r="CF284" s="13">
        <f t="shared" ref="CF284" si="7029">+CF283/CA283-1</f>
        <v>0</v>
      </c>
      <c r="CG284" s="13">
        <f t="shared" ref="CG284" si="7030">+CG283/CB283-1</f>
        <v>0</v>
      </c>
      <c r="CH284" s="239">
        <f t="shared" ref="CH284" si="7031">+CH283/CC283-1</f>
        <v>0</v>
      </c>
      <c r="CI284" s="13">
        <f>+CI283/CD283-1</f>
        <v>0</v>
      </c>
      <c r="CJ284" s="13">
        <f t="shared" ref="CJ284" si="7032">+CJ283/CE283-1</f>
        <v>0</v>
      </c>
      <c r="CK284" s="13">
        <f t="shared" ref="CK284" si="7033">+CK283/CF283-1</f>
        <v>0</v>
      </c>
      <c r="CL284" s="13">
        <f t="shared" ref="CL284" si="7034">+CL283/CG283-1</f>
        <v>0</v>
      </c>
      <c r="CM284" s="239">
        <f t="shared" ref="CM284" si="7035">+CM283/CH283-1</f>
        <v>0</v>
      </c>
      <c r="CN284" s="13">
        <f>+CN283/CI283-1</f>
        <v>0</v>
      </c>
      <c r="CO284" s="13">
        <f t="shared" ref="CO284" si="7036">+CO283/CJ283-1</f>
        <v>0</v>
      </c>
      <c r="CP284" s="13">
        <f t="shared" ref="CP284" si="7037">+CP283/CK283-1</f>
        <v>0</v>
      </c>
      <c r="CQ284" s="13">
        <f t="shared" ref="CQ284" si="7038">+CQ283/CL283-1</f>
        <v>0</v>
      </c>
      <c r="CR284" s="239">
        <f t="shared" ref="CR284" si="7039">+CR283/CM283-1</f>
        <v>0</v>
      </c>
      <c r="CS284" s="13">
        <f>+CS283/CN283-1</f>
        <v>0</v>
      </c>
      <c r="CT284" s="13">
        <f t="shared" ref="CT284" si="7040">+CT283/CO283-1</f>
        <v>0</v>
      </c>
      <c r="CU284" s="13">
        <f t="shared" ref="CU284" si="7041">+CU283/CP283-1</f>
        <v>0</v>
      </c>
      <c r="CV284" s="13">
        <f t="shared" ref="CV284" si="7042">+CV283/CQ283-1</f>
        <v>0</v>
      </c>
      <c r="CW284" s="239">
        <f t="shared" ref="CW284" si="7043">+CW283/CR283-1</f>
        <v>0</v>
      </c>
      <c r="CX284" s="13">
        <f>+CX283/CS283-1</f>
        <v>0</v>
      </c>
      <c r="CY284" s="13">
        <f t="shared" ref="CY284" si="7044">+CY283/CT283-1</f>
        <v>0</v>
      </c>
      <c r="CZ284" s="13">
        <f t="shared" ref="CZ284" si="7045">+CZ283/CU283-1</f>
        <v>0</v>
      </c>
      <c r="DA284" s="13">
        <f t="shared" ref="DA284" si="7046">+DA283/CV283-1</f>
        <v>0</v>
      </c>
      <c r="DB284" s="239">
        <f t="shared" ref="DB284" si="7047">+DB283/CW283-1</f>
        <v>0</v>
      </c>
    </row>
    <row r="285" spans="1:106">
      <c r="F285" s="217"/>
      <c r="K285" s="217"/>
      <c r="P285" s="217"/>
      <c r="U285" s="217"/>
      <c r="Z285" s="217"/>
      <c r="AE285" s="217"/>
      <c r="AJ285" s="217"/>
      <c r="AO285" s="217"/>
      <c r="AT285" s="217"/>
      <c r="AY285" s="217"/>
      <c r="BD285" s="217"/>
      <c r="BI285" s="217"/>
      <c r="BN285" s="217"/>
      <c r="BS285" s="217"/>
      <c r="BX285" s="217"/>
      <c r="CC285" s="217"/>
      <c r="CH285" s="217"/>
      <c r="CM285" s="217"/>
      <c r="CR285" s="217"/>
      <c r="CW285" s="217"/>
      <c r="DB285" s="217"/>
    </row>
    <row r="286" spans="1:106" s="51" customFormat="1">
      <c r="A286" s="51" t="s">
        <v>325</v>
      </c>
      <c r="F286" s="233"/>
      <c r="K286" s="233"/>
      <c r="P286" s="233"/>
      <c r="U286" s="233"/>
      <c r="V286" s="135">
        <f>+V283*V278/1000000</f>
        <v>0</v>
      </c>
      <c r="W286" s="135">
        <f>+W283*W278/1000000</f>
        <v>0</v>
      </c>
      <c r="X286" s="135">
        <f>+X283*X278/1000000</f>
        <v>0</v>
      </c>
      <c r="Y286" s="135">
        <f>+Y283*Y278/1000000</f>
        <v>0</v>
      </c>
      <c r="Z286" s="216">
        <f>+V286+W286+X286+Y286</f>
        <v>0</v>
      </c>
      <c r="AA286" s="135">
        <f>+AA283*AA278/1000000</f>
        <v>0</v>
      </c>
      <c r="AB286" s="135">
        <f>+AB283*AB278/1000000</f>
        <v>0</v>
      </c>
      <c r="AC286" s="135">
        <f>+AC283*AC278/1000000</f>
        <v>0</v>
      </c>
      <c r="AD286" s="135">
        <f>+AD283*AD278/1000000</f>
        <v>0</v>
      </c>
      <c r="AE286" s="216">
        <f>+AA286+AB286+AC286+AD286</f>
        <v>0</v>
      </c>
      <c r="AF286" s="135">
        <f>+AF283*AF278/1000000</f>
        <v>0</v>
      </c>
      <c r="AG286" s="135">
        <f>+AG283*AG278/1000000</f>
        <v>0</v>
      </c>
      <c r="AH286" s="135">
        <f>+AH283*AH278/1000000</f>
        <v>0</v>
      </c>
      <c r="AI286" s="135">
        <f>+AI283*AI278/1000000</f>
        <v>0</v>
      </c>
      <c r="AJ286" s="216">
        <f>+AF286+AG286+AH286+AI286</f>
        <v>0</v>
      </c>
      <c r="AK286" s="135">
        <f>+AK283*AK278/1000000</f>
        <v>0</v>
      </c>
      <c r="AL286" s="135">
        <f>+AL283*AL278/1000000</f>
        <v>0</v>
      </c>
      <c r="AM286" s="135">
        <f>+AM283*AM278/1000000</f>
        <v>0</v>
      </c>
      <c r="AN286" s="135">
        <f>+AN283*AN278/1000000</f>
        <v>0</v>
      </c>
      <c r="AO286" s="216">
        <f>+AK286+AL286+AM286+AN286</f>
        <v>0</v>
      </c>
      <c r="AP286" s="135">
        <f>+AP283*AP278/1000000</f>
        <v>6.152593909865E-2</v>
      </c>
      <c r="AQ286" s="135">
        <f>+AQ283*AQ278/1000000</f>
        <v>6.152593909865E-2</v>
      </c>
      <c r="AR286" s="135">
        <f>+AR283*AR278/1000000</f>
        <v>9.228890864797501E-2</v>
      </c>
      <c r="AS286" s="135">
        <f>+AS283*AS278/1000000</f>
        <v>9.228890864797501E-2</v>
      </c>
      <c r="AT286" s="216">
        <f>+AP286+AQ286+AR286+AS286</f>
        <v>0.30762969549325003</v>
      </c>
      <c r="AU286" s="135">
        <f>+AU283*AU278/1000000</f>
        <v>0.43872727341883505</v>
      </c>
      <c r="AV286" s="135">
        <f>+AV283*AV278/1000000</f>
        <v>0.61909293026880063</v>
      </c>
      <c r="AW286" s="135">
        <f>+AW283*AW278/1000000</f>
        <v>0.91767121356773007</v>
      </c>
      <c r="AX286" s="135">
        <f>+AX283*AX278/1000000</f>
        <v>1.0825595471609757</v>
      </c>
      <c r="AY286" s="216">
        <f>+AU286+AV286+AW286+AX286</f>
        <v>3.0580509644163412</v>
      </c>
      <c r="AZ286" s="135">
        <f>+AZ283*AZ278/1000000</f>
        <v>1.184325994291086</v>
      </c>
      <c r="BA286" s="135">
        <f>+BA283*BA278/1000000</f>
        <v>1.2803524262606336</v>
      </c>
      <c r="BB286" s="135">
        <f>+BB283*BB278/1000000</f>
        <v>1.4403964795432127</v>
      </c>
      <c r="BC286" s="135">
        <f>+BC283*BC278/1000000</f>
        <v>1.6004405328257922</v>
      </c>
      <c r="BD286" s="216">
        <f>+AZ286+BA286+BB286+BC286</f>
        <v>5.505515432920725</v>
      </c>
      <c r="BE286" s="135">
        <f>+BE283*BE278/1000000</f>
        <v>1.5799297890560877</v>
      </c>
      <c r="BF286" s="135">
        <f>+BF283*BF278/1000000</f>
        <v>1.6807763713362636</v>
      </c>
      <c r="BG286" s="135">
        <f>+BG283*BG278/1000000</f>
        <v>1.8559649854255431</v>
      </c>
      <c r="BH286" s="135">
        <f>+BH283*BH278/1000000</f>
        <v>2.0324465044158511</v>
      </c>
      <c r="BI286" s="216">
        <f>+BE286+BF286+BG286+BH286</f>
        <v>7.1491176502337463</v>
      </c>
      <c r="BJ286" s="135">
        <f>+BJ283*BJ278/1000000</f>
        <v>1.9356143918533664</v>
      </c>
      <c r="BK286" s="135">
        <f>+BK283*BK278/1000000</f>
        <v>2.0374888335298591</v>
      </c>
      <c r="BL286" s="135">
        <f>+BL283*BL278/1000000</f>
        <v>2.2072795696573477</v>
      </c>
      <c r="BM286" s="135">
        <f>+BM283*BM278/1000000</f>
        <v>2.3770703057848364</v>
      </c>
      <c r="BN286" s="216">
        <f>+BJ286+BK286+BL286+BM286</f>
        <v>8.5574531008254091</v>
      </c>
      <c r="BO286" s="135">
        <f>+BO283*BO278/1000000</f>
        <v>2.3434517400315933</v>
      </c>
      <c r="BP286" s="135">
        <f>+BP283*BP278/1000000</f>
        <v>2.448382414958381</v>
      </c>
      <c r="BQ286" s="135">
        <f>+BQ283*BQ278/1000000</f>
        <v>2.623266873169694</v>
      </c>
      <c r="BR286" s="135">
        <f>+BR283*BR278/1000000</f>
        <v>2.7981513313810069</v>
      </c>
      <c r="BS286" s="216">
        <f>+BO286+BP286+BQ286+BR286</f>
        <v>10.213252359540675</v>
      </c>
      <c r="BT286" s="135">
        <f>+BT283*BT278/1000000</f>
        <v>2.7740172761478457</v>
      </c>
      <c r="BU286" s="135">
        <f>+BU283*BU278/1000000</f>
        <v>2.8820958713224374</v>
      </c>
      <c r="BV286" s="135">
        <f>+BV283*BV278/1000000</f>
        <v>3.0622268632800891</v>
      </c>
      <c r="BW286" s="135">
        <f>+BW283*BW278/1000000</f>
        <v>3.2423578552377417</v>
      </c>
      <c r="BX286" s="216">
        <f>+BT286+BU286+BV286+BW286</f>
        <v>11.960697865988113</v>
      </c>
      <c r="BY286" s="135">
        <f>+BY283*BY278/1000000</f>
        <v>3.2283076378650448</v>
      </c>
      <c r="BZ286" s="135">
        <f>+BZ283*BZ278/1000000</f>
        <v>3.3396285908948737</v>
      </c>
      <c r="CA286" s="135">
        <f>+CA283*CA278/1000000</f>
        <v>3.5251635126112557</v>
      </c>
      <c r="CB286" s="135">
        <f>+CB283*CB278/1000000</f>
        <v>3.7106984343276372</v>
      </c>
      <c r="CC286" s="216">
        <f>+BY286+BZ286+CA286+CB286</f>
        <v>13.803798175698812</v>
      </c>
      <c r="CD286" s="135">
        <f>+CD283*CD278/1000000</f>
        <v>3.7073588057367428</v>
      </c>
      <c r="CE286" s="135">
        <f>+CE283*CE278/1000000</f>
        <v>3.822019387357467</v>
      </c>
      <c r="CF286" s="135">
        <f>+CF283*CF278/1000000</f>
        <v>4.0131203567253406</v>
      </c>
      <c r="CG286" s="135">
        <f>+CG283*CG278/1000000</f>
        <v>4.2042213260932133</v>
      </c>
      <c r="CH286" s="216">
        <f>+CD286+CE286+CF286+CG286</f>
        <v>15.746719875912765</v>
      </c>
      <c r="CI286" s="135">
        <f>+CI283*CI278/1000000</f>
        <v>4.2122475668066643</v>
      </c>
      <c r="CJ286" s="135">
        <f>+CJ283*CJ278/1000000</f>
        <v>4.33034796587601</v>
      </c>
      <c r="CK286" s="135">
        <f>+CK283*CK278/1000000</f>
        <v>4.5271819643249192</v>
      </c>
      <c r="CL286" s="135">
        <f>+CL283*CL278/1000000</f>
        <v>4.7240159627738292</v>
      </c>
      <c r="CM286" s="216">
        <f>+CI286+CJ286+CK286+CL286</f>
        <v>17.793793459781423</v>
      </c>
      <c r="CN286" s="135">
        <f>+CN283*CN278/1000000</f>
        <v>4.7440930306156179</v>
      </c>
      <c r="CO286" s="135">
        <f>+CO283*CO278/1000000</f>
        <v>4.8657364416570434</v>
      </c>
      <c r="CP286" s="135">
        <f>+CP283*CP278/1000000</f>
        <v>5.0684754600594202</v>
      </c>
      <c r="CQ286" s="135">
        <f>+CQ283*CQ278/1000000</f>
        <v>5.2712144784617969</v>
      </c>
      <c r="CR286" s="216">
        <f>+CN286+CO286+CP286+CQ286</f>
        <v>19.949519410793879</v>
      </c>
      <c r="CS286" s="135">
        <f>+CS283*CS278/1000000</f>
        <v>5.3040581994429816</v>
      </c>
      <c r="CT286" s="135">
        <f>+CT283*CT278/1000000</f>
        <v>5.4293509128156519</v>
      </c>
      <c r="CU286" s="135">
        <f>+CU283*CU278/1000000</f>
        <v>5.638172101770099</v>
      </c>
      <c r="CV286" s="135">
        <f>+CV283*CV278/1000000</f>
        <v>5.8469932907245479</v>
      </c>
      <c r="CW286" s="216">
        <f>+CS286+CT286+CU286+CV286</f>
        <v>22.218574504753281</v>
      </c>
      <c r="CX286" s="135">
        <f>+CX283*CX278/1000000</f>
        <v>5.8933515946724357</v>
      </c>
      <c r="CY286" s="135">
        <f>+CY283*CY278/1000000</f>
        <v>6.0224030894462848</v>
      </c>
      <c r="CZ286" s="135">
        <f>+CZ283*CZ278/1000000</f>
        <v>6.2374889140693668</v>
      </c>
      <c r="DA286" s="135">
        <f>+DA283*DA278/1000000</f>
        <v>6.4525747386924488</v>
      </c>
      <c r="DB286" s="216">
        <f>+CX286+CY286+CZ286+DA286</f>
        <v>24.605818336880535</v>
      </c>
    </row>
    <row r="287" spans="1:106">
      <c r="A287" s="117" t="s">
        <v>281</v>
      </c>
      <c r="F287" s="217"/>
      <c r="K287" s="217"/>
      <c r="P287" s="217"/>
      <c r="U287" s="217"/>
      <c r="V287" s="119" t="s">
        <v>290</v>
      </c>
      <c r="W287" s="119" t="s">
        <v>290</v>
      </c>
      <c r="X287" s="119" t="s">
        <v>290</v>
      </c>
      <c r="Y287" s="119" t="s">
        <v>290</v>
      </c>
      <c r="Z287" s="235" t="s">
        <v>290</v>
      </c>
      <c r="AA287" s="13" t="e">
        <f>+AA286/V286-1</f>
        <v>#DIV/0!</v>
      </c>
      <c r="AB287" s="13" t="e">
        <f t="shared" ref="AB287" si="7048">+AB286/W286-1</f>
        <v>#DIV/0!</v>
      </c>
      <c r="AC287" s="13" t="e">
        <f t="shared" ref="AC287" si="7049">+AC286/X286-1</f>
        <v>#DIV/0!</v>
      </c>
      <c r="AD287" s="13" t="e">
        <f t="shared" ref="AD287" si="7050">+AD286/Y286-1</f>
        <v>#DIV/0!</v>
      </c>
      <c r="AE287" s="239" t="e">
        <f t="shared" ref="AE287" si="7051">+AE286/Z286-1</f>
        <v>#DIV/0!</v>
      </c>
      <c r="AF287" s="13" t="e">
        <f>+AF286/AA286-1</f>
        <v>#DIV/0!</v>
      </c>
      <c r="AG287" s="13" t="e">
        <f t="shared" ref="AG287" si="7052">+AG286/AB286-1</f>
        <v>#DIV/0!</v>
      </c>
      <c r="AH287" s="13" t="e">
        <f t="shared" ref="AH287" si="7053">+AH286/AC286-1</f>
        <v>#DIV/0!</v>
      </c>
      <c r="AI287" s="13" t="e">
        <f t="shared" ref="AI287" si="7054">+AI286/AD286-1</f>
        <v>#DIV/0!</v>
      </c>
      <c r="AJ287" s="239" t="e">
        <f t="shared" ref="AJ287" si="7055">+AJ286/AE286-1</f>
        <v>#DIV/0!</v>
      </c>
      <c r="AK287" s="13" t="e">
        <f>+AK286/AF286-1</f>
        <v>#DIV/0!</v>
      </c>
      <c r="AL287" s="13" t="e">
        <f t="shared" ref="AL287" si="7056">+AL286/AG286-1</f>
        <v>#DIV/0!</v>
      </c>
      <c r="AM287" s="13" t="e">
        <f t="shared" ref="AM287" si="7057">+AM286/AH286-1</f>
        <v>#DIV/0!</v>
      </c>
      <c r="AN287" s="13" t="e">
        <f t="shared" ref="AN287" si="7058">+AN286/AI286-1</f>
        <v>#DIV/0!</v>
      </c>
      <c r="AO287" s="239" t="e">
        <f t="shared" ref="AO287" si="7059">+AO286/AJ286-1</f>
        <v>#DIV/0!</v>
      </c>
      <c r="AP287" s="13" t="e">
        <f>+AP286/AK286-1</f>
        <v>#DIV/0!</v>
      </c>
      <c r="AQ287" s="13" t="e">
        <f t="shared" ref="AQ287" si="7060">+AQ286/AL286-1</f>
        <v>#DIV/0!</v>
      </c>
      <c r="AR287" s="13" t="e">
        <f t="shared" ref="AR287" si="7061">+AR286/AM286-1</f>
        <v>#DIV/0!</v>
      </c>
      <c r="AS287" s="13" t="e">
        <f t="shared" ref="AS287" si="7062">+AS286/AN286-1</f>
        <v>#DIV/0!</v>
      </c>
      <c r="AT287" s="239" t="e">
        <f t="shared" ref="AT287" si="7063">+AT286/AO286-1</f>
        <v>#DIV/0!</v>
      </c>
      <c r="AU287" s="13">
        <f>+AU286/AP286-1</f>
        <v>6.1307692307692321</v>
      </c>
      <c r="AV287" s="13">
        <f t="shared" ref="AV287" si="7064">+AV286/AQ286-1</f>
        <v>9.0623076923076944</v>
      </c>
      <c r="AW287" s="13">
        <f t="shared" ref="AW287" si="7065">+AW286/AR286-1</f>
        <v>8.9434615384615395</v>
      </c>
      <c r="AX287" s="13">
        <f t="shared" ref="AX287" si="7066">+AX286/AS286-1</f>
        <v>10.730115384615386</v>
      </c>
      <c r="AY287" s="239">
        <f t="shared" ref="AY287" si="7067">+AY286/AT286-1</f>
        <v>8.9406884615384623</v>
      </c>
      <c r="AZ287" s="13">
        <f>+AZ286/AU286-1</f>
        <v>1.6994583333333328</v>
      </c>
      <c r="BA287" s="13">
        <f t="shared" ref="BA287" si="7068">+BA286/AV286-1</f>
        <v>1.0681102362204724</v>
      </c>
      <c r="BB287" s="13">
        <f t="shared" ref="BB287" si="7069">+BB286/AW286-1</f>
        <v>0.56962151394422289</v>
      </c>
      <c r="BC287" s="13">
        <f t="shared" ref="BC287" si="7070">+BC286/AX286-1</f>
        <v>0.47838568051333996</v>
      </c>
      <c r="BD287" s="239">
        <f t="shared" ref="BD287" si="7071">+BD286/AY286-1</f>
        <v>0.80033475471246973</v>
      </c>
      <c r="BE287" s="13">
        <f>+BE286/AZ286-1</f>
        <v>0.33403285638579794</v>
      </c>
      <c r="BF287" s="13">
        <f t="shared" ref="BF287" si="7072">+BF286/BA286-1</f>
        <v>0.31274509803921591</v>
      </c>
      <c r="BG287" s="13">
        <f t="shared" ref="BG287" si="7073">+BG286/BB286-1</f>
        <v>0.288509803921569</v>
      </c>
      <c r="BH287" s="13">
        <f t="shared" ref="BH287" si="7074">+BH286/BC286-1</f>
        <v>0.26992941176470597</v>
      </c>
      <c r="BI287" s="239">
        <f t="shared" ref="BI287" si="7075">+BI286/BD286-1</f>
        <v>0.29853739170086668</v>
      </c>
      <c r="BJ287" s="13">
        <f>+BJ286/BE286-1</f>
        <v>0.22512684124386229</v>
      </c>
      <c r="BK287" s="13">
        <f t="shared" ref="BK287" si="7076">+BK286/BF286-1</f>
        <v>0.21223076923076878</v>
      </c>
      <c r="BL287" s="13">
        <f t="shared" ref="BL287" si="7077">+BL286/BG286-1</f>
        <v>0.18928944618599775</v>
      </c>
      <c r="BM287" s="13">
        <f t="shared" ref="BM287" si="7078">+BM286/BH286-1</f>
        <v>0.16956106870228993</v>
      </c>
      <c r="BN287" s="239">
        <f t="shared" ref="BN287" si="7079">+BN286/BI286-1</f>
        <v>0.19699430328239398</v>
      </c>
      <c r="BO287" s="13">
        <f>+BO286/BJ286-1</f>
        <v>0.21070175438596506</v>
      </c>
      <c r="BP287" s="13">
        <f t="shared" ref="BP287" si="7080">+BP286/BK286-1</f>
        <v>0.20166666666666688</v>
      </c>
      <c r="BQ287" s="13">
        <f t="shared" ref="BQ287" si="7081">+BQ286/BL286-1</f>
        <v>0.18846153846153846</v>
      </c>
      <c r="BR287" s="13">
        <f t="shared" ref="BR287" si="7082">+BR286/BM286-1</f>
        <v>0.17714285714285705</v>
      </c>
      <c r="BS287" s="239">
        <f t="shared" ref="BS287" si="7083">+BS286/BN286-1</f>
        <v>0.1934920634920636</v>
      </c>
      <c r="BT287" s="13">
        <f>+BT286/BO286-1</f>
        <v>0.18373134328358209</v>
      </c>
      <c r="BU287" s="13">
        <f t="shared" ref="BU287" si="7084">+BU286/BP286-1</f>
        <v>0.17714285714285727</v>
      </c>
      <c r="BV287" s="13">
        <f t="shared" ref="BV287" si="7085">+BV286/BQ286-1</f>
        <v>0.16733333333333311</v>
      </c>
      <c r="BW287" s="13">
        <f t="shared" ref="BW287" si="7086">+BW286/BR286-1</f>
        <v>0.15874999999999995</v>
      </c>
      <c r="BX287" s="239">
        <f t="shared" ref="BX287" si="7087">+BX286/BS286-1</f>
        <v>0.17109589041095874</v>
      </c>
      <c r="BY287" s="13">
        <f>+BY286/BT286-1</f>
        <v>0.16376623376623378</v>
      </c>
      <c r="BZ287" s="13">
        <f t="shared" ref="BZ287" si="7088">+BZ286/BU286-1</f>
        <v>0.15874999999999972</v>
      </c>
      <c r="CA287" s="13">
        <f t="shared" ref="CA287" si="7089">+CA286/BV286-1</f>
        <v>0.15117647058823547</v>
      </c>
      <c r="CB287" s="13">
        <f t="shared" ref="CB287" si="7090">+CB286/BW286-1</f>
        <v>0.14444444444444438</v>
      </c>
      <c r="CC287" s="239">
        <f t="shared" ref="CC287" si="7091">+CC286/BX286-1</f>
        <v>0.15409638554216887</v>
      </c>
      <c r="CD287" s="13">
        <f>+CD286/BY286-1</f>
        <v>0.14839080459770115</v>
      </c>
      <c r="CE287" s="13">
        <f t="shared" ref="CE287" si="7092">+CE286/BZ286-1</f>
        <v>0.1444444444444446</v>
      </c>
      <c r="CF287" s="13">
        <f t="shared" ref="CF287" si="7093">+CF286/CA286-1</f>
        <v>0.138421052631579</v>
      </c>
      <c r="CG287" s="13">
        <f t="shared" ref="CG287" si="7094">+CG286/CB286-1</f>
        <v>0.13300000000000001</v>
      </c>
      <c r="CH287" s="239">
        <f t="shared" ref="CH287" si="7095">+CH286/CC286-1</f>
        <v>0.14075268817204312</v>
      </c>
      <c r="CI287" s="13">
        <f>+CI286/CD286-1</f>
        <v>0.13618556701030937</v>
      </c>
      <c r="CJ287" s="13">
        <f t="shared" ref="CJ287" si="7096">+CJ286/CE286-1</f>
        <v>0.13300000000000001</v>
      </c>
      <c r="CK287" s="13">
        <f t="shared" ref="CK287" si="7097">+CK286/CF286-1</f>
        <v>0.12809523809523782</v>
      </c>
      <c r="CL287" s="13">
        <f t="shared" ref="CL287" si="7098">+CL286/CG286-1</f>
        <v>0.12363636363636377</v>
      </c>
      <c r="CM287" s="239">
        <f t="shared" ref="CM287" si="7099">+CM286/CH286-1</f>
        <v>0.12999999999999989</v>
      </c>
      <c r="CN287" s="13">
        <f>+CN286/CI286-1</f>
        <v>0.12626168224299072</v>
      </c>
      <c r="CO287" s="13">
        <f t="shared" ref="CO287" si="7100">+CO286/CJ286-1</f>
        <v>0.12363636363636354</v>
      </c>
      <c r="CP287" s="13">
        <f t="shared" ref="CP287" si="7101">+CP286/CK286-1</f>
        <v>0.11956521739130421</v>
      </c>
      <c r="CQ287" s="13">
        <f t="shared" ref="CQ287" si="7102">+CQ286/CL286-1</f>
        <v>0.11583333333333323</v>
      </c>
      <c r="CR287" s="239">
        <f t="shared" ref="CR287" si="7103">+CR286/CM286-1</f>
        <v>0.12115044247787599</v>
      </c>
      <c r="CS287" s="13">
        <f>+CS286/CN286-1</f>
        <v>0.11803418803418775</v>
      </c>
      <c r="CT287" s="13">
        <f t="shared" ref="CT287" si="7104">+CT286/CO286-1</f>
        <v>0.11583333333333345</v>
      </c>
      <c r="CU287" s="13">
        <f t="shared" ref="CU287" si="7105">+CU286/CP286-1</f>
        <v>0.11240000000000006</v>
      </c>
      <c r="CV287" s="13">
        <f t="shared" ref="CV287" si="7106">+CV286/CQ286-1</f>
        <v>0.10923076923076946</v>
      </c>
      <c r="CW287" s="239">
        <f t="shared" ref="CW287" si="7107">+CW286/CR286-1</f>
        <v>0.11373983739837401</v>
      </c>
      <c r="CX287" s="13">
        <f>+CX286/CS286-1</f>
        <v>0.11110236220472469</v>
      </c>
      <c r="CY287" s="13">
        <f t="shared" ref="CY287" si="7108">+CY286/CT286-1</f>
        <v>0.10923076923076924</v>
      </c>
      <c r="CZ287" s="13">
        <f t="shared" ref="CZ287" si="7109">+CZ286/CU286-1</f>
        <v>0.10629629629629656</v>
      </c>
      <c r="DA287" s="13">
        <f t="shared" ref="DA287" si="7110">+DA286/CV286-1</f>
        <v>0.10357142857142887</v>
      </c>
      <c r="DB287" s="239">
        <f t="shared" ref="DB287" si="7111">+DB286/CW286-1</f>
        <v>0.10744360902255656</v>
      </c>
    </row>
    <row r="288" spans="1:106">
      <c r="A288" s="117" t="s">
        <v>288</v>
      </c>
      <c r="F288" s="217"/>
      <c r="K288" s="217"/>
      <c r="P288" s="217"/>
      <c r="U288" s="217"/>
      <c r="V288" s="119" t="s">
        <v>290</v>
      </c>
      <c r="W288" s="13" t="e">
        <f>+W286/V286-1</f>
        <v>#DIV/0!</v>
      </c>
      <c r="X288" s="13" t="e">
        <f t="shared" ref="X288:Y288" si="7112">+X286/W286-1</f>
        <v>#DIV/0!</v>
      </c>
      <c r="Y288" s="13" t="e">
        <f t="shared" si="7112"/>
        <v>#DIV/0!</v>
      </c>
      <c r="Z288" s="235" t="s">
        <v>290</v>
      </c>
      <c r="AA288" s="13" t="e">
        <f>+AA286/Y286-1</f>
        <v>#DIV/0!</v>
      </c>
      <c r="AB288" s="13" t="e">
        <f>+AB286/AA286-1</f>
        <v>#DIV/0!</v>
      </c>
      <c r="AC288" s="13" t="e">
        <f t="shared" ref="AC288:AD288" si="7113">+AC286/AB286-1</f>
        <v>#DIV/0!</v>
      </c>
      <c r="AD288" s="13" t="e">
        <f t="shared" si="7113"/>
        <v>#DIV/0!</v>
      </c>
      <c r="AE288" s="235" t="s">
        <v>290</v>
      </c>
      <c r="AF288" s="13" t="e">
        <f>+AF286/AD286-1</f>
        <v>#DIV/0!</v>
      </c>
      <c r="AG288" s="13" t="e">
        <f>+AG286/AF286-1</f>
        <v>#DIV/0!</v>
      </c>
      <c r="AH288" s="13" t="e">
        <f t="shared" ref="AH288:AI288" si="7114">+AH286/AG286-1</f>
        <v>#DIV/0!</v>
      </c>
      <c r="AI288" s="13" t="e">
        <f t="shared" si="7114"/>
        <v>#DIV/0!</v>
      </c>
      <c r="AJ288" s="235" t="s">
        <v>290</v>
      </c>
      <c r="AK288" s="13" t="e">
        <f>+AK286/AI286-1</f>
        <v>#DIV/0!</v>
      </c>
      <c r="AL288" s="13" t="e">
        <f>+AL286/AK286-1</f>
        <v>#DIV/0!</v>
      </c>
      <c r="AM288" s="13" t="e">
        <f t="shared" ref="AM288:AN288" si="7115">+AM286/AL286-1</f>
        <v>#DIV/0!</v>
      </c>
      <c r="AN288" s="13" t="e">
        <f t="shared" si="7115"/>
        <v>#DIV/0!</v>
      </c>
      <c r="AO288" s="235" t="s">
        <v>290</v>
      </c>
      <c r="AP288" s="13" t="e">
        <f>+AP286/AN286-1</f>
        <v>#DIV/0!</v>
      </c>
      <c r="AQ288" s="13">
        <f>+AQ286/AP286-1</f>
        <v>0</v>
      </c>
      <c r="AR288" s="13">
        <f t="shared" ref="AR288:AS288" si="7116">+AR286/AQ286-1</f>
        <v>0.50000000000000022</v>
      </c>
      <c r="AS288" s="13">
        <f t="shared" si="7116"/>
        <v>0</v>
      </c>
      <c r="AT288" s="235" t="s">
        <v>290</v>
      </c>
      <c r="AU288" s="13">
        <f>+AU286/AS286-1</f>
        <v>3.7538461538461538</v>
      </c>
      <c r="AV288" s="13">
        <f>+AV286/AU286-1</f>
        <v>0.4111111111111112</v>
      </c>
      <c r="AW288" s="13">
        <f t="shared" ref="AW288:AX288" si="7117">+AW286/AV286-1</f>
        <v>0.48228346456692917</v>
      </c>
      <c r="AX288" s="13">
        <f t="shared" si="7117"/>
        <v>0.17968127490039842</v>
      </c>
      <c r="AY288" s="235" t="s">
        <v>290</v>
      </c>
      <c r="AZ288" s="13">
        <f>+AZ286/AX286-1</f>
        <v>9.4005403579871416E-2</v>
      </c>
      <c r="BA288" s="13">
        <f>+BA286/AZ286-1</f>
        <v>8.1081081081081141E-2</v>
      </c>
      <c r="BB288" s="13">
        <f t="shared" ref="BB288:BC288" si="7118">+BB286/BA286-1</f>
        <v>0.125</v>
      </c>
      <c r="BC288" s="13">
        <f t="shared" si="7118"/>
        <v>0.11111111111111138</v>
      </c>
      <c r="BD288" s="235" t="s">
        <v>290</v>
      </c>
      <c r="BE288" s="13">
        <f>+BE286/BC286-1</f>
        <v>-1.2815686274509686E-2</v>
      </c>
      <c r="BF288" s="13">
        <f>+BF286/BE286-1</f>
        <v>6.3829787234042534E-2</v>
      </c>
      <c r="BG288" s="13">
        <f t="shared" ref="BG288:BH288" si="7119">+BG286/BF286-1</f>
        <v>0.10423076923076913</v>
      </c>
      <c r="BH288" s="13">
        <f t="shared" si="7119"/>
        <v>9.5088819226750498E-2</v>
      </c>
      <c r="BI288" s="235" t="s">
        <v>290</v>
      </c>
      <c r="BJ288" s="13">
        <f>+BJ286/BH286-1</f>
        <v>-4.7643129770992609E-2</v>
      </c>
      <c r="BK288" s="13">
        <f>+BK286/BJ286-1</f>
        <v>5.2631578947368363E-2</v>
      </c>
      <c r="BL288" s="13">
        <f t="shared" ref="BL288:BM288" si="7120">+BL286/BK286-1</f>
        <v>8.3333333333333481E-2</v>
      </c>
      <c r="BM288" s="13">
        <f t="shared" si="7120"/>
        <v>7.6923076923077094E-2</v>
      </c>
      <c r="BN288" s="235" t="s">
        <v>290</v>
      </c>
      <c r="BO288" s="13">
        <f>+BO286/BM286-1</f>
        <v>-1.4142857142857346E-2</v>
      </c>
      <c r="BP288" s="13">
        <f>+BP286/BO286-1</f>
        <v>4.4776119402984982E-2</v>
      </c>
      <c r="BQ288" s="13">
        <f t="shared" ref="BQ288:BR288" si="7121">+BQ286/BP286-1</f>
        <v>7.1428571428571397E-2</v>
      </c>
      <c r="BR288" s="13">
        <f t="shared" si="7121"/>
        <v>6.6666666666666652E-2</v>
      </c>
      <c r="BS288" s="235" t="s">
        <v>290</v>
      </c>
      <c r="BT288" s="13">
        <f>+BT286/BR286-1</f>
        <v>-8.6249999999999938E-3</v>
      </c>
      <c r="BU288" s="13">
        <f>+BU286/BT286-1</f>
        <v>3.8961038961039085E-2</v>
      </c>
      <c r="BV288" s="13">
        <f t="shared" ref="BV288:BW288" si="7122">+BV286/BU286-1</f>
        <v>6.2499999999999778E-2</v>
      </c>
      <c r="BW288" s="13">
        <f t="shared" si="7122"/>
        <v>5.8823529411764719E-2</v>
      </c>
      <c r="BX288" s="235" t="s">
        <v>290</v>
      </c>
      <c r="BY288" s="13">
        <f>+BY286/BW286-1</f>
        <v>-4.3333333333333002E-3</v>
      </c>
      <c r="BZ288" s="13">
        <f>+BZ286/BY286-1</f>
        <v>3.4482758620689502E-2</v>
      </c>
      <c r="CA288" s="13">
        <f t="shared" ref="CA288:CB288" si="7123">+CA286/BZ286-1</f>
        <v>5.555555555555558E-2</v>
      </c>
      <c r="CB288" s="13">
        <f t="shared" si="7123"/>
        <v>5.2631578947368363E-2</v>
      </c>
      <c r="CC288" s="235" t="s">
        <v>290</v>
      </c>
      <c r="CD288" s="13">
        <f>+CD286/CB286-1</f>
        <v>-8.9999999999990088E-4</v>
      </c>
      <c r="CE288" s="13">
        <f>+CE286/CD286-1</f>
        <v>3.0927835051546504E-2</v>
      </c>
      <c r="CF288" s="13">
        <f t="shared" ref="CF288:CG288" si="7124">+CF286/CE286-1</f>
        <v>5.0000000000000044E-2</v>
      </c>
      <c r="CG288" s="13">
        <f t="shared" si="7124"/>
        <v>4.761904761904745E-2</v>
      </c>
      <c r="CH288" s="235" t="s">
        <v>290</v>
      </c>
      <c r="CI288" s="13">
        <f>+CI286/CG286-1</f>
        <v>1.9090909090910824E-3</v>
      </c>
      <c r="CJ288" s="13">
        <f>+CJ286/CI286-1</f>
        <v>2.8037383177569986E-2</v>
      </c>
      <c r="CK288" s="13">
        <f t="shared" ref="CK288:CL288" si="7125">+CK286/CJ286-1</f>
        <v>4.5454545454545414E-2</v>
      </c>
      <c r="CL288" s="13">
        <f t="shared" si="7125"/>
        <v>4.347826086956541E-2</v>
      </c>
      <c r="CM288" s="235" t="s">
        <v>290</v>
      </c>
      <c r="CN288" s="13">
        <f>+CN286/CL286-1</f>
        <v>4.250000000000087E-3</v>
      </c>
      <c r="CO288" s="13">
        <f>+CO286/CN286-1</f>
        <v>2.564102564102555E-2</v>
      </c>
      <c r="CP288" s="13">
        <f t="shared" ref="CP288:CQ288" si="7126">+CP286/CO286-1</f>
        <v>4.1666666666666741E-2</v>
      </c>
      <c r="CQ288" s="13">
        <f t="shared" si="7126"/>
        <v>4.0000000000000036E-2</v>
      </c>
      <c r="CR288" s="235" t="s">
        <v>290</v>
      </c>
      <c r="CS288" s="13">
        <f>+CS286/CQ286-1</f>
        <v>6.2307692307692619E-3</v>
      </c>
      <c r="CT288" s="13">
        <f>+CT286/CS286-1</f>
        <v>2.3622047244094668E-2</v>
      </c>
      <c r="CU288" s="13">
        <f t="shared" ref="CU288:CV288" si="7127">+CU286/CT286-1</f>
        <v>3.8461538461538325E-2</v>
      </c>
      <c r="CV288" s="13">
        <f t="shared" si="7127"/>
        <v>3.7037037037037202E-2</v>
      </c>
      <c r="CW288" s="235" t="s">
        <v>290</v>
      </c>
      <c r="CX288" s="13">
        <f>+CX286/CV286-1</f>
        <v>7.928571428571507E-3</v>
      </c>
      <c r="CY288" s="13">
        <f>+CY286/CX286-1</f>
        <v>2.1897810218978186E-2</v>
      </c>
      <c r="CZ288" s="13">
        <f t="shared" ref="CZ288:DA288" si="7128">+CZ286/CY286-1</f>
        <v>3.5714285714285809E-2</v>
      </c>
      <c r="DA288" s="13">
        <f t="shared" si="7128"/>
        <v>3.4482758620689724E-2</v>
      </c>
      <c r="DB288" s="235" t="s">
        <v>290</v>
      </c>
    </row>
    <row r="289" spans="1:116">
      <c r="F289" s="217"/>
      <c r="K289" s="217"/>
      <c r="P289" s="217"/>
      <c r="U289" s="217"/>
      <c r="Z289" s="217"/>
      <c r="AE289" s="217"/>
      <c r="AJ289" s="217"/>
      <c r="AO289" s="217"/>
      <c r="AT289" s="217"/>
      <c r="AY289" s="217"/>
      <c r="BD289" s="217"/>
      <c r="BI289" s="217"/>
      <c r="BN289" s="217"/>
      <c r="BS289" s="217"/>
      <c r="BX289" s="217"/>
      <c r="CC289" s="217"/>
      <c r="CH289" s="217"/>
      <c r="CM289" s="217"/>
      <c r="CR289" s="217"/>
      <c r="CW289" s="217"/>
      <c r="DB289" s="217"/>
    </row>
    <row r="290" spans="1:116" s="121" customFormat="1">
      <c r="A290" s="121" t="s">
        <v>327</v>
      </c>
      <c r="F290" s="237"/>
      <c r="K290" s="237"/>
      <c r="P290" s="237"/>
      <c r="U290" s="237"/>
      <c r="Z290" s="237"/>
      <c r="AE290" s="237"/>
      <c r="AJ290" s="237"/>
      <c r="AO290" s="237"/>
      <c r="AT290" s="237"/>
      <c r="AY290" s="237"/>
      <c r="BD290" s="237"/>
      <c r="BI290" s="237"/>
      <c r="BN290" s="237"/>
      <c r="BS290" s="237"/>
      <c r="BX290" s="237"/>
      <c r="CC290" s="237"/>
      <c r="CH290" s="237"/>
      <c r="CM290" s="237"/>
      <c r="CR290" s="237"/>
      <c r="CW290" s="237"/>
      <c r="DB290" s="237"/>
    </row>
    <row r="291" spans="1:116" s="51" customFormat="1">
      <c r="A291" s="51" t="s">
        <v>328</v>
      </c>
      <c r="F291" s="233"/>
      <c r="K291" s="233"/>
      <c r="P291" s="233"/>
      <c r="U291" s="233"/>
      <c r="Z291" s="233"/>
      <c r="AE291" s="233"/>
      <c r="AF291" s="213">
        <v>400</v>
      </c>
      <c r="AG291" s="213">
        <v>700</v>
      </c>
      <c r="AH291" s="213">
        <v>1200</v>
      </c>
      <c r="AI291" s="213">
        <v>1500</v>
      </c>
      <c r="AJ291" s="234">
        <f>+AF291+AG291+AH291+AI291</f>
        <v>3800</v>
      </c>
      <c r="AK291" s="213">
        <v>2160</v>
      </c>
      <c r="AL291" s="213">
        <v>2660</v>
      </c>
      <c r="AM291" s="213">
        <v>3600</v>
      </c>
      <c r="AN291" s="213">
        <v>4500</v>
      </c>
      <c r="AO291" s="234">
        <f>+AK291+AL291+AM291+AN291</f>
        <v>12920</v>
      </c>
      <c r="AP291" s="213">
        <f>+AK291*(1+AP292)</f>
        <v>2888</v>
      </c>
      <c r="AQ291" s="213">
        <f>+AL291*(1+AQ292)</f>
        <v>5534</v>
      </c>
      <c r="AR291" s="213">
        <f t="shared" ref="AR291:AS291" si="7129">+AM291*(1+AR292)</f>
        <v>6064</v>
      </c>
      <c r="AS291" s="213">
        <f t="shared" si="7129"/>
        <v>6493</v>
      </c>
      <c r="AT291" s="234">
        <f>+AP291+AQ291+AR291+AS291</f>
        <v>20979</v>
      </c>
      <c r="AU291" s="213">
        <f>+AP291*(1+AU292)</f>
        <v>5478</v>
      </c>
      <c r="AV291" s="213">
        <f>+AQ291*(1+AV292)</f>
        <v>6644</v>
      </c>
      <c r="AW291" s="213">
        <f>+AR291*(1+AW292)</f>
        <v>8047</v>
      </c>
      <c r="AX291" s="213">
        <f>+AS291*(1+AX292)</f>
        <v>9224</v>
      </c>
      <c r="AY291" s="234">
        <f>+AU291+AV291+AW291+AX291</f>
        <v>29393</v>
      </c>
      <c r="AZ291" s="213">
        <f>+AU291*(1+AZ292)</f>
        <v>7669.2</v>
      </c>
      <c r="BA291" s="213">
        <f>+AV291*(1+BA292)</f>
        <v>9301.5999999999985</v>
      </c>
      <c r="BB291" s="213">
        <f>+AW291*(1+BB292)</f>
        <v>10863.45</v>
      </c>
      <c r="BC291" s="213">
        <f>+AX291*(1+BC292)</f>
        <v>12913.599999999999</v>
      </c>
      <c r="BD291" s="234">
        <f>+AZ291+BA291+BB291+BC291</f>
        <v>40747.85</v>
      </c>
      <c r="BE291" s="213">
        <f>+AZ291*(1+BE292)</f>
        <v>12270.720000000001</v>
      </c>
      <c r="BF291" s="213">
        <f t="shared" ref="BF291:BH291" si="7130">+BA291*(1+BF292)</f>
        <v>14882.559999999998</v>
      </c>
      <c r="BG291" s="213">
        <f t="shared" si="7130"/>
        <v>15208.83</v>
      </c>
      <c r="BH291" s="213">
        <f t="shared" si="7130"/>
        <v>16787.68</v>
      </c>
      <c r="BI291" s="234">
        <f>+BE291+BF291+BG291+BH291</f>
        <v>59149.79</v>
      </c>
      <c r="BJ291" s="213">
        <f>+BE291*(1+BJ292)</f>
        <v>15951.936000000002</v>
      </c>
      <c r="BK291" s="213">
        <f t="shared" ref="BK291" si="7131">+BF291*(1+BK292)</f>
        <v>19347.327999999998</v>
      </c>
      <c r="BL291" s="213">
        <f t="shared" ref="BL291" si="7132">+BG291*(1+BL292)</f>
        <v>19771.478999999999</v>
      </c>
      <c r="BM291" s="213">
        <f t="shared" ref="BM291" si="7133">+BH291*(1+BM292)</f>
        <v>21823.984</v>
      </c>
      <c r="BN291" s="234">
        <f>+BJ291+BK291+BL291+BM291</f>
        <v>76894.726999999999</v>
      </c>
      <c r="BO291" s="213">
        <f>+BJ291*(1+BO292)</f>
        <v>18344.7264</v>
      </c>
      <c r="BP291" s="213">
        <f t="shared" ref="BP291" si="7134">+BK291*(1+BP292)</f>
        <v>22249.427199999995</v>
      </c>
      <c r="BQ291" s="213">
        <f t="shared" ref="BQ291" si="7135">+BL291*(1+BQ292)</f>
        <v>22737.200849999997</v>
      </c>
      <c r="BR291" s="213">
        <f t="shared" ref="BR291" si="7136">+BM291*(1+BR292)</f>
        <v>25097.581599999998</v>
      </c>
      <c r="BS291" s="234">
        <f>+BO291+BP291+BQ291+BR291</f>
        <v>88428.936049999989</v>
      </c>
      <c r="BT291" s="213">
        <f>+BO291*(1+BT292)</f>
        <v>19720.580879999998</v>
      </c>
      <c r="BU291" s="213">
        <f t="shared" ref="BU291" si="7137">+BP291*(1+BU292)</f>
        <v>23918.134239999992</v>
      </c>
      <c r="BV291" s="213">
        <f t="shared" ref="BV291" si="7138">+BQ291*(1+BV292)</f>
        <v>24442.490913749996</v>
      </c>
      <c r="BW291" s="213">
        <f t="shared" ref="BW291" si="7139">+BR291*(1+BW292)</f>
        <v>26979.900219999996</v>
      </c>
      <c r="BX291" s="234">
        <f>+BT291+BU291+BV291+BW291</f>
        <v>95061.106253749982</v>
      </c>
      <c r="BY291" s="213">
        <f>+BT291*(1+BY292)</f>
        <v>21199.624445999998</v>
      </c>
      <c r="BZ291" s="213">
        <f t="shared" ref="BZ291" si="7140">+BU291*(1+BZ292)</f>
        <v>25711.99430799999</v>
      </c>
      <c r="CA291" s="213">
        <f t="shared" ref="CA291" si="7141">+BV291*(1+CA292)</f>
        <v>26275.677732281245</v>
      </c>
      <c r="CB291" s="213">
        <f t="shared" ref="CB291" si="7142">+BW291*(1+CB292)</f>
        <v>29003.392736499994</v>
      </c>
      <c r="CC291" s="234">
        <f>+BY291+BZ291+CA291+CB291</f>
        <v>102190.68922278124</v>
      </c>
      <c r="CD291" s="213">
        <f>+BY291*(1+CD292)</f>
        <v>22789.596279449997</v>
      </c>
      <c r="CE291" s="213">
        <f t="shared" ref="CE291" si="7143">+BZ291*(1+CE292)</f>
        <v>27640.39388109999</v>
      </c>
      <c r="CF291" s="213">
        <f t="shared" ref="CF291" si="7144">+CA291*(1+CF292)</f>
        <v>28246.353562202337</v>
      </c>
      <c r="CG291" s="213">
        <f t="shared" ref="CG291" si="7145">+CB291*(1+CG292)</f>
        <v>31178.647191737491</v>
      </c>
      <c r="CH291" s="234">
        <f>+CD291+CE291+CF291+CG291</f>
        <v>109854.99091448981</v>
      </c>
      <c r="CI291" s="213">
        <f>+CD291*(1+CI292)</f>
        <v>24498.816000408748</v>
      </c>
      <c r="CJ291" s="213">
        <f t="shared" ref="CJ291" si="7146">+CE291*(1+CJ292)</f>
        <v>29713.423422182488</v>
      </c>
      <c r="CK291" s="213">
        <f t="shared" ref="CK291" si="7147">+CF291*(1+CK292)</f>
        <v>30364.830079367512</v>
      </c>
      <c r="CL291" s="213">
        <f t="shared" ref="CL291" si="7148">+CG291*(1+CL292)</f>
        <v>33517.045731117803</v>
      </c>
      <c r="CM291" s="234">
        <f>+CI291+CJ291+CK291+CL291</f>
        <v>118094.11523307655</v>
      </c>
      <c r="CN291" s="213">
        <f>+CI291*(1+CN292)</f>
        <v>26336.227200439404</v>
      </c>
      <c r="CO291" s="213">
        <f t="shared" ref="CO291" si="7149">+CJ291*(1+CO292)</f>
        <v>31941.930178846174</v>
      </c>
      <c r="CP291" s="213">
        <f t="shared" ref="CP291" si="7150">+CK291*(1+CP292)</f>
        <v>32642.192335320073</v>
      </c>
      <c r="CQ291" s="213">
        <f t="shared" ref="CQ291" si="7151">+CL291*(1+CQ292)</f>
        <v>36030.824160951634</v>
      </c>
      <c r="CR291" s="234">
        <f>+CN291+CO291+CP291+CQ291</f>
        <v>126951.17387555729</v>
      </c>
      <c r="CS291" s="213">
        <f>+CN291*(1+CS292)</f>
        <v>28311.444240472356</v>
      </c>
      <c r="CT291" s="213">
        <f t="shared" ref="CT291" si="7152">+CO291*(1+CT292)</f>
        <v>34337.574942259635</v>
      </c>
      <c r="CU291" s="213">
        <f t="shared" ref="CU291" si="7153">+CP291*(1+CU292)</f>
        <v>35090.356760469076</v>
      </c>
      <c r="CV291" s="213">
        <f t="shared" ref="CV291" si="7154">+CQ291*(1+CV292)</f>
        <v>38733.135973023003</v>
      </c>
      <c r="CW291" s="234">
        <f>+CS291+CT291+CU291+CV291</f>
        <v>136472.51191622409</v>
      </c>
      <c r="CX291" s="213">
        <f>+CS291*(1+CX292)</f>
        <v>30434.802558507781</v>
      </c>
      <c r="CY291" s="213">
        <f t="shared" ref="CY291" si="7155">+CT291*(1+CY292)</f>
        <v>36912.893062929106</v>
      </c>
      <c r="CZ291" s="213">
        <f t="shared" ref="CZ291" si="7156">+CU291*(1+CZ292)</f>
        <v>37722.133517504255</v>
      </c>
      <c r="DA291" s="213">
        <f t="shared" ref="DA291" si="7157">+CV291*(1+DA292)</f>
        <v>41638.12117099973</v>
      </c>
      <c r="DB291" s="234">
        <f>+CX291+CY291+CZ291+DA291</f>
        <v>146707.95030994085</v>
      </c>
    </row>
    <row r="292" spans="1:116">
      <c r="A292" s="117" t="s">
        <v>281</v>
      </c>
      <c r="F292" s="217"/>
      <c r="K292" s="217"/>
      <c r="P292" s="217"/>
      <c r="U292" s="217"/>
      <c r="Z292" s="217"/>
      <c r="AE292" s="217"/>
      <c r="AF292" s="119" t="s">
        <v>290</v>
      </c>
      <c r="AG292" s="119" t="s">
        <v>290</v>
      </c>
      <c r="AH292" s="119" t="s">
        <v>290</v>
      </c>
      <c r="AI292" s="119" t="s">
        <v>290</v>
      </c>
      <c r="AJ292" s="235" t="s">
        <v>290</v>
      </c>
      <c r="AK292" s="13">
        <f>+AK291/AF291-1</f>
        <v>4.4000000000000004</v>
      </c>
      <c r="AL292" s="13">
        <f t="shared" ref="AL292" si="7158">+AL291/AG291-1</f>
        <v>2.8</v>
      </c>
      <c r="AM292" s="13">
        <f t="shared" ref="AM292" si="7159">+AM291/AH291-1</f>
        <v>2</v>
      </c>
      <c r="AN292" s="13">
        <f t="shared" ref="AN292" si="7160">+AN291/AI291-1</f>
        <v>2</v>
      </c>
      <c r="AO292" s="239">
        <f t="shared" ref="AO292" si="7161">+AO291/AJ291-1</f>
        <v>2.4</v>
      </c>
      <c r="AP292" s="118">
        <f>2888/AK291-1</f>
        <v>0.33703703703703702</v>
      </c>
      <c r="AQ292" s="118">
        <f>5534/AL291-1</f>
        <v>1.0804511278195488</v>
      </c>
      <c r="AR292" s="118">
        <f>6064/AM291-1</f>
        <v>0.68444444444444441</v>
      </c>
      <c r="AS292" s="118">
        <f>6493/AN291-1</f>
        <v>0.44288888888888889</v>
      </c>
      <c r="AT292" s="239">
        <f t="shared" ref="AT292" si="7162">+AT291/AO291-1</f>
        <v>0.62376160990712082</v>
      </c>
      <c r="AU292" s="118">
        <f>5478/AP291-1</f>
        <v>0.89681440443213289</v>
      </c>
      <c r="AV292" s="118">
        <f>6644/AQ291-1</f>
        <v>0.20057824358511023</v>
      </c>
      <c r="AW292" s="118">
        <f>8047/AR291-1</f>
        <v>0.32701187335092352</v>
      </c>
      <c r="AX292" s="118">
        <f>9224/AS291-1</f>
        <v>0.42060680733097189</v>
      </c>
      <c r="AY292" s="239">
        <f t="shared" ref="AY292" si="7163">+AY291/AT291-1</f>
        <v>0.4010677344010678</v>
      </c>
      <c r="AZ292" s="118">
        <v>0.4</v>
      </c>
      <c r="BA292" s="118">
        <v>0.4</v>
      </c>
      <c r="BB292" s="118">
        <v>0.35</v>
      </c>
      <c r="BC292" s="118">
        <v>0.4</v>
      </c>
      <c r="BD292" s="239">
        <f t="shared" ref="BD292" si="7164">+BD291/AY291-1</f>
        <v>0.38631136665192378</v>
      </c>
      <c r="BE292" s="118">
        <v>0.6</v>
      </c>
      <c r="BF292" s="118">
        <v>0.6</v>
      </c>
      <c r="BG292" s="118">
        <v>0.4</v>
      </c>
      <c r="BH292" s="118">
        <v>0.3</v>
      </c>
      <c r="BI292" s="239">
        <f>+BI291/BD291-1</f>
        <v>0.45160517671484524</v>
      </c>
      <c r="BJ292" s="118">
        <v>0.3</v>
      </c>
      <c r="BK292" s="118">
        <v>0.3</v>
      </c>
      <c r="BL292" s="118">
        <v>0.3</v>
      </c>
      <c r="BM292" s="118">
        <v>0.3</v>
      </c>
      <c r="BN292" s="239">
        <f>+BN291/BI291-1</f>
        <v>0.30000000000000004</v>
      </c>
      <c r="BO292" s="118">
        <v>0.15</v>
      </c>
      <c r="BP292" s="118">
        <v>0.15</v>
      </c>
      <c r="BQ292" s="118">
        <v>0.15</v>
      </c>
      <c r="BR292" s="118">
        <v>0.15</v>
      </c>
      <c r="BS292" s="239">
        <f>+BS291/BN291-1</f>
        <v>0.14999999999999991</v>
      </c>
      <c r="BT292" s="118">
        <v>7.4999999999999997E-2</v>
      </c>
      <c r="BU292" s="118">
        <v>7.4999999999999997E-2</v>
      </c>
      <c r="BV292" s="118">
        <v>7.4999999999999997E-2</v>
      </c>
      <c r="BW292" s="118">
        <v>7.4999999999999997E-2</v>
      </c>
      <c r="BX292" s="239">
        <f>+BX291/BS291-1</f>
        <v>7.4999999999999956E-2</v>
      </c>
      <c r="BY292" s="118">
        <v>7.4999999999999997E-2</v>
      </c>
      <c r="BZ292" s="118">
        <v>7.4999999999999997E-2</v>
      </c>
      <c r="CA292" s="118">
        <v>7.4999999999999997E-2</v>
      </c>
      <c r="CB292" s="118">
        <v>7.4999999999999997E-2</v>
      </c>
      <c r="CC292" s="239">
        <f>+CC291/BX291-1</f>
        <v>7.4999999999999956E-2</v>
      </c>
      <c r="CD292" s="118">
        <v>7.4999999999999997E-2</v>
      </c>
      <c r="CE292" s="118">
        <v>7.4999999999999997E-2</v>
      </c>
      <c r="CF292" s="118">
        <v>7.4999999999999997E-2</v>
      </c>
      <c r="CG292" s="118">
        <v>7.4999999999999997E-2</v>
      </c>
      <c r="CH292" s="239">
        <f>+CH291/CC291-1</f>
        <v>7.4999999999999956E-2</v>
      </c>
      <c r="CI292" s="118">
        <v>7.4999999999999997E-2</v>
      </c>
      <c r="CJ292" s="118">
        <v>7.4999999999999997E-2</v>
      </c>
      <c r="CK292" s="118">
        <v>7.4999999999999997E-2</v>
      </c>
      <c r="CL292" s="118">
        <v>7.4999999999999997E-2</v>
      </c>
      <c r="CM292" s="239">
        <f>+CM291/CH291-1</f>
        <v>7.4999999999999956E-2</v>
      </c>
      <c r="CN292" s="118">
        <v>7.4999999999999997E-2</v>
      </c>
      <c r="CO292" s="118">
        <v>7.4999999999999997E-2</v>
      </c>
      <c r="CP292" s="118">
        <v>7.4999999999999997E-2</v>
      </c>
      <c r="CQ292" s="118">
        <v>7.4999999999999997E-2</v>
      </c>
      <c r="CR292" s="239">
        <f>+CR291/CM291-1</f>
        <v>7.4999999999999956E-2</v>
      </c>
      <c r="CS292" s="118">
        <v>7.4999999999999997E-2</v>
      </c>
      <c r="CT292" s="118">
        <v>7.4999999999999997E-2</v>
      </c>
      <c r="CU292" s="118">
        <v>7.4999999999999997E-2</v>
      </c>
      <c r="CV292" s="118">
        <v>7.4999999999999997E-2</v>
      </c>
      <c r="CW292" s="239">
        <f>+CW291/CR291-1</f>
        <v>7.4999999999999956E-2</v>
      </c>
      <c r="CX292" s="118">
        <v>7.4999999999999997E-2</v>
      </c>
      <c r="CY292" s="118">
        <v>7.4999999999999997E-2</v>
      </c>
      <c r="CZ292" s="118">
        <v>7.4999999999999997E-2</v>
      </c>
      <c r="DA292" s="118">
        <v>7.4999999999999997E-2</v>
      </c>
      <c r="DB292" s="239">
        <f>+DB291/CW291-1</f>
        <v>7.4999999999999734E-2</v>
      </c>
    </row>
    <row r="293" spans="1:116">
      <c r="A293" s="117" t="s">
        <v>288</v>
      </c>
      <c r="F293" s="217"/>
      <c r="K293" s="217"/>
      <c r="P293" s="217"/>
      <c r="U293" s="217"/>
      <c r="Z293" s="217"/>
      <c r="AE293" s="217"/>
      <c r="AF293" s="119" t="s">
        <v>290</v>
      </c>
      <c r="AG293" s="13">
        <f>+AG291/AF291-1</f>
        <v>0.75</v>
      </c>
      <c r="AH293" s="13">
        <f t="shared" ref="AH293:AI293" si="7165">+AH291/AG291-1</f>
        <v>0.71428571428571419</v>
      </c>
      <c r="AI293" s="13">
        <f t="shared" si="7165"/>
        <v>0.25</v>
      </c>
      <c r="AJ293" s="235" t="s">
        <v>290</v>
      </c>
      <c r="AK293" s="13">
        <f>+AK291/AI291-1</f>
        <v>0.43999999999999995</v>
      </c>
      <c r="AL293" s="13">
        <f>+AL291/AK291-1</f>
        <v>0.2314814814814814</v>
      </c>
      <c r="AM293" s="13">
        <f t="shared" ref="AM293:AN293" si="7166">+AM291/AL291-1</f>
        <v>0.35338345864661647</v>
      </c>
      <c r="AN293" s="13">
        <f t="shared" si="7166"/>
        <v>0.25</v>
      </c>
      <c r="AO293" s="235" t="s">
        <v>290</v>
      </c>
      <c r="AP293" s="13">
        <f>+AP291/AN291-1</f>
        <v>-0.35822222222222222</v>
      </c>
      <c r="AQ293" s="13">
        <f>+AQ291/AP291-1</f>
        <v>0.91620498614958445</v>
      </c>
      <c r="AR293" s="13">
        <f t="shared" ref="AR293:AS293" si="7167">+AR291/AQ291-1</f>
        <v>9.5771593783881448E-2</v>
      </c>
      <c r="AS293" s="13">
        <f t="shared" si="7167"/>
        <v>7.0745382585752026E-2</v>
      </c>
      <c r="AT293" s="235" t="s">
        <v>290</v>
      </c>
      <c r="AU293" s="13">
        <f>+AU291/AS291-1</f>
        <v>-0.15632219313106421</v>
      </c>
      <c r="AV293" s="13">
        <f>+AV291/AU291-1</f>
        <v>0.21285140562248994</v>
      </c>
      <c r="AW293" s="13">
        <f t="shared" ref="AW293:AX293" si="7168">+AW291/AV291-1</f>
        <v>0.21116797110174601</v>
      </c>
      <c r="AX293" s="13">
        <f t="shared" si="7168"/>
        <v>0.14626568907667448</v>
      </c>
      <c r="AY293" s="235" t="s">
        <v>290</v>
      </c>
      <c r="AZ293" s="13">
        <f>+AZ291/AX291-1</f>
        <v>-0.16856027753686043</v>
      </c>
      <c r="BA293" s="13">
        <f>+BA291/AZ291-1</f>
        <v>0.21285140562248972</v>
      </c>
      <c r="BB293" s="13">
        <f t="shared" ref="BB293:BC293" si="7169">+BB291/BA291-1</f>
        <v>0.16791197213382669</v>
      </c>
      <c r="BC293" s="13">
        <f t="shared" si="7169"/>
        <v>0.188719973857292</v>
      </c>
      <c r="BD293" s="235" t="s">
        <v>290</v>
      </c>
      <c r="BE293" s="13">
        <f>+BE291/BC291-1</f>
        <v>-4.9783174327840185E-2</v>
      </c>
      <c r="BF293" s="13">
        <f>+BF291/BE291-1</f>
        <v>0.21285140562248972</v>
      </c>
      <c r="BG293" s="13">
        <f t="shared" ref="BG293:BH293" si="7170">+BG291/BF291-1</f>
        <v>2.1922975617098217E-2</v>
      </c>
      <c r="BH293" s="13">
        <f t="shared" si="7170"/>
        <v>0.10381140429605695</v>
      </c>
      <c r="BI293" s="235" t="s">
        <v>290</v>
      </c>
      <c r="BJ293" s="13">
        <f>+BJ291/BH291-1</f>
        <v>-4.9783174327840296E-2</v>
      </c>
      <c r="BK293" s="13">
        <f>+BK291/BJ291-1</f>
        <v>0.21285140562248972</v>
      </c>
      <c r="BL293" s="13">
        <f t="shared" ref="BL293:BM293" si="7171">+BL291/BK291-1</f>
        <v>2.1922975617098217E-2</v>
      </c>
      <c r="BM293" s="13">
        <f t="shared" si="7171"/>
        <v>0.10381140429605695</v>
      </c>
      <c r="BN293" s="235" t="s">
        <v>290</v>
      </c>
      <c r="BO293" s="13">
        <f>+BO291/BM291-1</f>
        <v>-0.15942357729001266</v>
      </c>
      <c r="BP293" s="13">
        <f>+BP291/BO291-1</f>
        <v>0.21285140562248972</v>
      </c>
      <c r="BQ293" s="13">
        <f t="shared" ref="BQ293:BR293" si="7172">+BQ291/BP291-1</f>
        <v>2.1922975617098217E-2</v>
      </c>
      <c r="BR293" s="13">
        <f t="shared" si="7172"/>
        <v>0.10381140429605695</v>
      </c>
      <c r="BS293" s="235" t="s">
        <v>290</v>
      </c>
      <c r="BT293" s="13">
        <f>+BT291/BR291-1</f>
        <v>-0.21424377877109879</v>
      </c>
      <c r="BU293" s="13">
        <f>+BU291/BT291-1</f>
        <v>0.21285140562248972</v>
      </c>
      <c r="BV293" s="13">
        <f t="shared" ref="BV293:BW293" si="7173">+BV291/BU291-1</f>
        <v>2.1922975617098217E-2</v>
      </c>
      <c r="BW293" s="13">
        <f t="shared" si="7173"/>
        <v>0.10381140429605695</v>
      </c>
      <c r="BX293" s="235" t="s">
        <v>290</v>
      </c>
      <c r="BY293" s="13">
        <f>+BY291/BW291-1</f>
        <v>-0.21424377877109879</v>
      </c>
      <c r="BZ293" s="13">
        <f>+BZ291/BY291-1</f>
        <v>0.21285140562248972</v>
      </c>
      <c r="CA293" s="13">
        <f t="shared" ref="CA293:CB293" si="7174">+CA291/BZ291-1</f>
        <v>2.1922975617098217E-2</v>
      </c>
      <c r="CB293" s="13">
        <f t="shared" si="7174"/>
        <v>0.10381140429605695</v>
      </c>
      <c r="CC293" s="235" t="s">
        <v>290</v>
      </c>
      <c r="CD293" s="13">
        <f>+CD291/CB291-1</f>
        <v>-0.21424377877109879</v>
      </c>
      <c r="CE293" s="13">
        <f>+CE291/CD291-1</f>
        <v>0.21285140562248972</v>
      </c>
      <c r="CF293" s="13">
        <f t="shared" ref="CF293:CG293" si="7175">+CF291/CE291-1</f>
        <v>2.1922975617098217E-2</v>
      </c>
      <c r="CG293" s="13">
        <f t="shared" si="7175"/>
        <v>0.10381140429605695</v>
      </c>
      <c r="CH293" s="235" t="s">
        <v>290</v>
      </c>
      <c r="CI293" s="13">
        <f>+CI291/CG291-1</f>
        <v>-0.21424377877109868</v>
      </c>
      <c r="CJ293" s="13">
        <f>+CJ291/CI291-1</f>
        <v>0.2128514056224895</v>
      </c>
      <c r="CK293" s="13">
        <f t="shared" ref="CK293:CL293" si="7176">+CK291/CJ291-1</f>
        <v>2.1922975617098217E-2</v>
      </c>
      <c r="CL293" s="13">
        <f t="shared" si="7176"/>
        <v>0.10381140429605695</v>
      </c>
      <c r="CM293" s="235" t="s">
        <v>290</v>
      </c>
      <c r="CN293" s="13">
        <f>+CN291/CL291-1</f>
        <v>-0.21424377877109868</v>
      </c>
      <c r="CO293" s="13">
        <f>+CO291/CN291-1</f>
        <v>0.2128514056224895</v>
      </c>
      <c r="CP293" s="13">
        <f t="shared" ref="CP293:CQ293" si="7177">+CP291/CO291-1</f>
        <v>2.1922975617098217E-2</v>
      </c>
      <c r="CQ293" s="13">
        <f t="shared" si="7177"/>
        <v>0.10381140429605695</v>
      </c>
      <c r="CR293" s="235" t="s">
        <v>290</v>
      </c>
      <c r="CS293" s="13">
        <f>+CS291/CQ291-1</f>
        <v>-0.21424377877109868</v>
      </c>
      <c r="CT293" s="13">
        <f>+CT291/CS291-1</f>
        <v>0.2128514056224895</v>
      </c>
      <c r="CU293" s="13">
        <f t="shared" ref="CU293:CV293" si="7178">+CU291/CT291-1</f>
        <v>2.1922975617098217E-2</v>
      </c>
      <c r="CV293" s="13">
        <f t="shared" si="7178"/>
        <v>0.10381140429605695</v>
      </c>
      <c r="CW293" s="235" t="s">
        <v>290</v>
      </c>
      <c r="CX293" s="13">
        <f>+CX291/CV291-1</f>
        <v>-0.21424377877109857</v>
      </c>
      <c r="CY293" s="13">
        <f>+CY291/CX291-1</f>
        <v>0.21285140562248972</v>
      </c>
      <c r="CZ293" s="13">
        <f t="shared" ref="CZ293:DA293" si="7179">+CZ291/CY291-1</f>
        <v>2.1922975617098217E-2</v>
      </c>
      <c r="DA293" s="13">
        <f t="shared" si="7179"/>
        <v>0.10381140429605695</v>
      </c>
      <c r="DB293" s="235" t="s">
        <v>290</v>
      </c>
    </row>
    <row r="294" spans="1:116">
      <c r="F294" s="217"/>
      <c r="K294" s="217"/>
      <c r="P294" s="217"/>
      <c r="U294" s="217"/>
      <c r="Z294" s="217"/>
      <c r="AE294" s="217"/>
      <c r="AJ294" s="217"/>
      <c r="AO294" s="217"/>
      <c r="AT294" s="217"/>
      <c r="AY294" s="217"/>
      <c r="BD294" s="217"/>
      <c r="BI294" s="217"/>
      <c r="BN294" s="217"/>
      <c r="BS294" s="217"/>
      <c r="BX294" s="217"/>
      <c r="CC294" s="217"/>
      <c r="CH294" s="217"/>
      <c r="CM294" s="217"/>
      <c r="CR294" s="217"/>
      <c r="CW294" s="217"/>
      <c r="DB294" s="217"/>
    </row>
    <row r="295" spans="1:116" s="51" customFormat="1">
      <c r="A295" s="51" t="s">
        <v>289</v>
      </c>
      <c r="F295" s="233"/>
      <c r="K295" s="233"/>
      <c r="P295" s="233"/>
      <c r="U295" s="233"/>
      <c r="Z295" s="233"/>
      <c r="AE295" s="233"/>
      <c r="AF295" s="226">
        <v>500</v>
      </c>
      <c r="AG295" s="226">
        <v>500</v>
      </c>
      <c r="AH295" s="226">
        <v>500</v>
      </c>
      <c r="AI295" s="226">
        <v>500</v>
      </c>
      <c r="AJ295" s="236">
        <f>+AJ298/AJ291*1000000</f>
        <v>500</v>
      </c>
      <c r="AK295" s="226">
        <v>500</v>
      </c>
      <c r="AL295" s="226">
        <v>500</v>
      </c>
      <c r="AM295" s="226">
        <v>500</v>
      </c>
      <c r="AN295" s="226">
        <v>500</v>
      </c>
      <c r="AO295" s="236">
        <f>+AO298/AO291*1000000</f>
        <v>500</v>
      </c>
      <c r="AP295" s="226">
        <v>400</v>
      </c>
      <c r="AQ295" s="226">
        <v>400</v>
      </c>
      <c r="AR295" s="226">
        <v>400</v>
      </c>
      <c r="AS295" s="226">
        <v>400</v>
      </c>
      <c r="AT295" s="236">
        <f>+AT298/AT291*1000000</f>
        <v>400</v>
      </c>
      <c r="AU295" s="226">
        <v>650</v>
      </c>
      <c r="AV295" s="226">
        <v>530</v>
      </c>
      <c r="AW295" s="226">
        <v>700</v>
      </c>
      <c r="AX295" s="226">
        <v>535</v>
      </c>
      <c r="AY295" s="236">
        <f>+AY298/AY291*1000000</f>
        <v>600.4749430136427</v>
      </c>
      <c r="AZ295" s="226">
        <v>555</v>
      </c>
      <c r="BA295" s="226">
        <v>555</v>
      </c>
      <c r="BB295" s="226">
        <v>650</v>
      </c>
      <c r="BC295" s="226">
        <v>640</v>
      </c>
      <c r="BD295" s="236">
        <f>+BD298/BD291*1000000</f>
        <v>607.2649354505819</v>
      </c>
      <c r="BE295" s="226">
        <v>640</v>
      </c>
      <c r="BF295" s="226">
        <v>650</v>
      </c>
      <c r="BG295" s="226">
        <v>655</v>
      </c>
      <c r="BH295" s="226">
        <v>655</v>
      </c>
      <c r="BI295" s="236">
        <f>+BI298/BI291*1000000</f>
        <v>650.63018566929827</v>
      </c>
      <c r="BJ295" s="226">
        <v>625</v>
      </c>
      <c r="BK295" s="226">
        <v>625</v>
      </c>
      <c r="BL295" s="226">
        <v>625</v>
      </c>
      <c r="BM295" s="226">
        <v>625</v>
      </c>
      <c r="BN295" s="236">
        <f>+BN298/BN291*1000000</f>
        <v>624.99999999999989</v>
      </c>
      <c r="BO295" s="226">
        <f>+BJ295+15</f>
        <v>640</v>
      </c>
      <c r="BP295" s="226">
        <f t="shared" ref="BP295:BR295" si="7180">+BK295+15</f>
        <v>640</v>
      </c>
      <c r="BQ295" s="226">
        <f t="shared" si="7180"/>
        <v>640</v>
      </c>
      <c r="BR295" s="226">
        <f t="shared" si="7180"/>
        <v>640</v>
      </c>
      <c r="BS295" s="236">
        <f>+BS298/BS291*1000000</f>
        <v>640</v>
      </c>
      <c r="BT295" s="226">
        <f>+BO295+15</f>
        <v>655</v>
      </c>
      <c r="BU295" s="226">
        <f t="shared" ref="BU295" si="7181">+BP295+15</f>
        <v>655</v>
      </c>
      <c r="BV295" s="226">
        <f t="shared" ref="BV295" si="7182">+BQ295+15</f>
        <v>655</v>
      </c>
      <c r="BW295" s="226">
        <f t="shared" ref="BW295" si="7183">+BR295+15</f>
        <v>655</v>
      </c>
      <c r="BX295" s="236">
        <f>+BX298/BX291*1000000</f>
        <v>655</v>
      </c>
      <c r="BY295" s="226">
        <f>+BT295+15</f>
        <v>670</v>
      </c>
      <c r="BZ295" s="226">
        <f t="shared" ref="BZ295" si="7184">+BU295+15</f>
        <v>670</v>
      </c>
      <c r="CA295" s="226">
        <f t="shared" ref="CA295" si="7185">+BV295+15</f>
        <v>670</v>
      </c>
      <c r="CB295" s="226">
        <f t="shared" ref="CB295" si="7186">+BW295+15</f>
        <v>670</v>
      </c>
      <c r="CC295" s="236">
        <f>+CC298/CC291*1000000</f>
        <v>670</v>
      </c>
      <c r="CD295" s="226">
        <f>+BY295+15</f>
        <v>685</v>
      </c>
      <c r="CE295" s="226">
        <f t="shared" ref="CE295" si="7187">+BZ295+15</f>
        <v>685</v>
      </c>
      <c r="CF295" s="226">
        <f t="shared" ref="CF295" si="7188">+CA295+15</f>
        <v>685</v>
      </c>
      <c r="CG295" s="226">
        <f t="shared" ref="CG295" si="7189">+CB295+15</f>
        <v>685</v>
      </c>
      <c r="CH295" s="236">
        <f>+CH298/CH291*1000000</f>
        <v>685.00000000000011</v>
      </c>
      <c r="CI295" s="226">
        <f>+CD295+15</f>
        <v>700</v>
      </c>
      <c r="CJ295" s="226">
        <f t="shared" ref="CJ295" si="7190">+CE295+15</f>
        <v>700</v>
      </c>
      <c r="CK295" s="226">
        <f t="shared" ref="CK295" si="7191">+CF295+15</f>
        <v>700</v>
      </c>
      <c r="CL295" s="226">
        <f t="shared" ref="CL295" si="7192">+CG295+15</f>
        <v>700</v>
      </c>
      <c r="CM295" s="236">
        <f>+CM298/CM291*1000000</f>
        <v>700</v>
      </c>
      <c r="CN295" s="226">
        <f>+CI295+15</f>
        <v>715</v>
      </c>
      <c r="CO295" s="226">
        <f t="shared" ref="CO295" si="7193">+CJ295+15</f>
        <v>715</v>
      </c>
      <c r="CP295" s="226">
        <f t="shared" ref="CP295" si="7194">+CK295+15</f>
        <v>715</v>
      </c>
      <c r="CQ295" s="226">
        <f t="shared" ref="CQ295" si="7195">+CL295+15</f>
        <v>715</v>
      </c>
      <c r="CR295" s="236">
        <f>+CR298/CR291*1000000</f>
        <v>714.99999999999989</v>
      </c>
      <c r="CS295" s="226">
        <f>+CN295+15</f>
        <v>730</v>
      </c>
      <c r="CT295" s="226">
        <f t="shared" ref="CT295" si="7196">+CO295+15</f>
        <v>730</v>
      </c>
      <c r="CU295" s="226">
        <f t="shared" ref="CU295" si="7197">+CP295+15</f>
        <v>730</v>
      </c>
      <c r="CV295" s="226">
        <f t="shared" ref="CV295" si="7198">+CQ295+15</f>
        <v>730</v>
      </c>
      <c r="CW295" s="236">
        <f>+CW298/CW291*1000000</f>
        <v>729.99999999999989</v>
      </c>
      <c r="CX295" s="226">
        <f>+CS295+15</f>
        <v>745</v>
      </c>
      <c r="CY295" s="226">
        <f t="shared" ref="CY295" si="7199">+CT295+15</f>
        <v>745</v>
      </c>
      <c r="CZ295" s="226">
        <f t="shared" ref="CZ295" si="7200">+CU295+15</f>
        <v>745</v>
      </c>
      <c r="DA295" s="226">
        <f t="shared" ref="DA295" si="7201">+CV295+15</f>
        <v>745</v>
      </c>
      <c r="DB295" s="236">
        <f>+DB298/DB291*1000000</f>
        <v>745</v>
      </c>
    </row>
    <row r="296" spans="1:116">
      <c r="A296" s="117" t="s">
        <v>281</v>
      </c>
      <c r="F296" s="217"/>
      <c r="K296" s="217"/>
      <c r="P296" s="217"/>
      <c r="U296" s="217"/>
      <c r="Z296" s="217"/>
      <c r="AE296" s="217"/>
      <c r="AF296" s="119" t="s">
        <v>290</v>
      </c>
      <c r="AG296" s="119" t="s">
        <v>290</v>
      </c>
      <c r="AH296" s="119" t="s">
        <v>290</v>
      </c>
      <c r="AI296" s="119" t="s">
        <v>290</v>
      </c>
      <c r="AJ296" s="235" t="s">
        <v>290</v>
      </c>
      <c r="AK296" s="13">
        <f>+AK295/AF295-1</f>
        <v>0</v>
      </c>
      <c r="AL296" s="13">
        <f t="shared" ref="AL296" si="7202">+AL295/AG295-1</f>
        <v>0</v>
      </c>
      <c r="AM296" s="13">
        <f t="shared" ref="AM296" si="7203">+AM295/AH295-1</f>
        <v>0</v>
      </c>
      <c r="AN296" s="13">
        <f t="shared" ref="AN296" si="7204">+AN295/AI295-1</f>
        <v>0</v>
      </c>
      <c r="AO296" s="239">
        <f t="shared" ref="AO296" si="7205">+AO295/AJ295-1</f>
        <v>0</v>
      </c>
      <c r="AP296" s="13">
        <f>+AP295/AK295-1</f>
        <v>-0.19999999999999996</v>
      </c>
      <c r="AQ296" s="13">
        <f t="shared" ref="AQ296" si="7206">+AQ295/AL295-1</f>
        <v>-0.19999999999999996</v>
      </c>
      <c r="AR296" s="13">
        <f t="shared" ref="AR296" si="7207">+AR295/AM295-1</f>
        <v>-0.19999999999999996</v>
      </c>
      <c r="AS296" s="13">
        <f t="shared" ref="AS296" si="7208">+AS295/AN295-1</f>
        <v>-0.19999999999999996</v>
      </c>
      <c r="AT296" s="239">
        <f t="shared" ref="AT296" si="7209">+AT295/AO295-1</f>
        <v>-0.19999999999999996</v>
      </c>
      <c r="AU296" s="13">
        <f>+AU295/AP295-1</f>
        <v>0.625</v>
      </c>
      <c r="AV296" s="13">
        <f t="shared" ref="AV296" si="7210">+AV295/AQ295-1</f>
        <v>0.32499999999999996</v>
      </c>
      <c r="AW296" s="13">
        <f t="shared" ref="AW296" si="7211">+AW295/AR295-1</f>
        <v>0.75</v>
      </c>
      <c r="AX296" s="13">
        <f t="shared" ref="AX296" si="7212">+AX295/AS295-1</f>
        <v>0.33749999999999991</v>
      </c>
      <c r="AY296" s="239">
        <f t="shared" ref="AY296" si="7213">+AY295/AT295-1</f>
        <v>0.50118735753410681</v>
      </c>
      <c r="AZ296" s="13">
        <f>+AZ295/AU295-1</f>
        <v>-0.14615384615384619</v>
      </c>
      <c r="BA296" s="13">
        <f t="shared" ref="BA296" si="7214">+BA295/AV295-1</f>
        <v>4.7169811320754818E-2</v>
      </c>
      <c r="BB296" s="13">
        <f t="shared" ref="BB296" si="7215">+BB295/AW295-1</f>
        <v>-7.1428571428571397E-2</v>
      </c>
      <c r="BC296" s="13">
        <f t="shared" ref="BC296" si="7216">+BC295/AX295-1</f>
        <v>0.19626168224299056</v>
      </c>
      <c r="BD296" s="239">
        <f t="shared" ref="BD296" si="7217">+BD295/AY295-1</f>
        <v>1.1307703203836894E-2</v>
      </c>
      <c r="BE296" s="13">
        <f>+BE295/AZ295-1</f>
        <v>0.15315315315315314</v>
      </c>
      <c r="BF296" s="13">
        <f t="shared" ref="BF296" si="7218">+BF295/BA295-1</f>
        <v>0.1711711711711712</v>
      </c>
      <c r="BG296" s="13">
        <f t="shared" ref="BG296" si="7219">+BG295/BB295-1</f>
        <v>7.692307692307665E-3</v>
      </c>
      <c r="BH296" s="13">
        <f t="shared" ref="BH296" si="7220">+BH295/BC295-1</f>
        <v>2.34375E-2</v>
      </c>
      <c r="BI296" s="239">
        <f t="shared" ref="BI296" si="7221">+BI295/BD295-1</f>
        <v>7.1410759434907822E-2</v>
      </c>
      <c r="BJ296" s="13">
        <f>+BJ295/BE295-1</f>
        <v>-2.34375E-2</v>
      </c>
      <c r="BK296" s="13">
        <f t="shared" ref="BK296" si="7222">+BK295/BF295-1</f>
        <v>-3.8461538461538436E-2</v>
      </c>
      <c r="BL296" s="13">
        <f t="shared" ref="BL296" si="7223">+BL295/BG295-1</f>
        <v>-4.5801526717557217E-2</v>
      </c>
      <c r="BM296" s="13">
        <f t="shared" ref="BM296" si="7224">+BM295/BH295-1</f>
        <v>-4.5801526717557217E-2</v>
      </c>
      <c r="BN296" s="239">
        <f t="shared" ref="BN296" si="7225">+BN295/BI295-1</f>
        <v>-3.9392862848705357E-2</v>
      </c>
      <c r="BO296" s="13">
        <f>+BO295/BJ295-1</f>
        <v>2.4000000000000021E-2</v>
      </c>
      <c r="BP296" s="13">
        <f t="shared" ref="BP296" si="7226">+BP295/BK295-1</f>
        <v>2.4000000000000021E-2</v>
      </c>
      <c r="BQ296" s="13">
        <f t="shared" ref="BQ296" si="7227">+BQ295/BL295-1</f>
        <v>2.4000000000000021E-2</v>
      </c>
      <c r="BR296" s="13">
        <f t="shared" ref="BR296" si="7228">+BR295/BM295-1</f>
        <v>2.4000000000000021E-2</v>
      </c>
      <c r="BS296" s="239">
        <f t="shared" ref="BS296" si="7229">+BS295/BN295-1</f>
        <v>2.4000000000000243E-2</v>
      </c>
      <c r="BT296" s="13">
        <f>+BT295/BO295-1</f>
        <v>2.34375E-2</v>
      </c>
      <c r="BU296" s="13">
        <f t="shared" ref="BU296" si="7230">+BU295/BP295-1</f>
        <v>2.34375E-2</v>
      </c>
      <c r="BV296" s="13">
        <f t="shared" ref="BV296" si="7231">+BV295/BQ295-1</f>
        <v>2.34375E-2</v>
      </c>
      <c r="BW296" s="13">
        <f t="shared" ref="BW296" si="7232">+BW295/BR295-1</f>
        <v>2.34375E-2</v>
      </c>
      <c r="BX296" s="239">
        <f t="shared" ref="BX296" si="7233">+BX295/BS295-1</f>
        <v>2.34375E-2</v>
      </c>
      <c r="BY296" s="13">
        <f>+BY295/BT295-1</f>
        <v>2.2900763358778553E-2</v>
      </c>
      <c r="BZ296" s="13">
        <f t="shared" ref="BZ296" si="7234">+BZ295/BU295-1</f>
        <v>2.2900763358778553E-2</v>
      </c>
      <c r="CA296" s="13">
        <f t="shared" ref="CA296" si="7235">+CA295/BV295-1</f>
        <v>2.2900763358778553E-2</v>
      </c>
      <c r="CB296" s="13">
        <f t="shared" ref="CB296" si="7236">+CB295/BW295-1</f>
        <v>2.2900763358778553E-2</v>
      </c>
      <c r="CC296" s="239">
        <f t="shared" ref="CC296" si="7237">+CC295/BX295-1</f>
        <v>2.2900763358778553E-2</v>
      </c>
      <c r="CD296" s="13">
        <f>+CD295/BY295-1</f>
        <v>2.2388059701492491E-2</v>
      </c>
      <c r="CE296" s="13">
        <f t="shared" ref="CE296" si="7238">+CE295/BZ295-1</f>
        <v>2.2388059701492491E-2</v>
      </c>
      <c r="CF296" s="13">
        <f t="shared" ref="CF296" si="7239">+CF295/CA295-1</f>
        <v>2.2388059701492491E-2</v>
      </c>
      <c r="CG296" s="13">
        <f t="shared" ref="CG296" si="7240">+CG295/CB295-1</f>
        <v>2.2388059701492491E-2</v>
      </c>
      <c r="CH296" s="239">
        <f t="shared" ref="CH296" si="7241">+CH295/CC295-1</f>
        <v>2.2388059701492713E-2</v>
      </c>
      <c r="CI296" s="13">
        <f>+CI295/CD295-1</f>
        <v>2.1897810218978186E-2</v>
      </c>
      <c r="CJ296" s="13">
        <f t="shared" ref="CJ296" si="7242">+CJ295/CE295-1</f>
        <v>2.1897810218978186E-2</v>
      </c>
      <c r="CK296" s="13">
        <f t="shared" ref="CK296" si="7243">+CK295/CF295-1</f>
        <v>2.1897810218978186E-2</v>
      </c>
      <c r="CL296" s="13">
        <f t="shared" ref="CL296" si="7244">+CL295/CG295-1</f>
        <v>2.1897810218978186E-2</v>
      </c>
      <c r="CM296" s="239">
        <f t="shared" ref="CM296" si="7245">+CM295/CH295-1</f>
        <v>2.1897810218977964E-2</v>
      </c>
      <c r="CN296" s="13">
        <f>+CN295/CI295-1</f>
        <v>2.1428571428571352E-2</v>
      </c>
      <c r="CO296" s="13">
        <f t="shared" ref="CO296" si="7246">+CO295/CJ295-1</f>
        <v>2.1428571428571352E-2</v>
      </c>
      <c r="CP296" s="13">
        <f t="shared" ref="CP296" si="7247">+CP295/CK295-1</f>
        <v>2.1428571428571352E-2</v>
      </c>
      <c r="CQ296" s="13">
        <f t="shared" ref="CQ296" si="7248">+CQ295/CL295-1</f>
        <v>2.1428571428571352E-2</v>
      </c>
      <c r="CR296" s="239">
        <f t="shared" ref="CR296" si="7249">+CR295/CM295-1</f>
        <v>2.1428571428571352E-2</v>
      </c>
      <c r="CS296" s="13">
        <f>+CS295/CN295-1</f>
        <v>2.0979020979021046E-2</v>
      </c>
      <c r="CT296" s="13">
        <f t="shared" ref="CT296" si="7250">+CT295/CO295-1</f>
        <v>2.0979020979021046E-2</v>
      </c>
      <c r="CU296" s="13">
        <f t="shared" ref="CU296" si="7251">+CU295/CP295-1</f>
        <v>2.0979020979021046E-2</v>
      </c>
      <c r="CV296" s="13">
        <f t="shared" ref="CV296" si="7252">+CV295/CQ295-1</f>
        <v>2.0979020979021046E-2</v>
      </c>
      <c r="CW296" s="239">
        <f t="shared" ref="CW296" si="7253">+CW295/CR295-1</f>
        <v>2.0979020979021046E-2</v>
      </c>
      <c r="CX296" s="13">
        <f>+CX295/CS295-1</f>
        <v>2.0547945205479534E-2</v>
      </c>
      <c r="CY296" s="13">
        <f t="shared" ref="CY296" si="7254">+CY295/CT295-1</f>
        <v>2.0547945205479534E-2</v>
      </c>
      <c r="CZ296" s="13">
        <f t="shared" ref="CZ296" si="7255">+CZ295/CU295-1</f>
        <v>2.0547945205479534E-2</v>
      </c>
      <c r="DA296" s="13">
        <f t="shared" ref="DA296" si="7256">+DA295/CV295-1</f>
        <v>2.0547945205479534E-2</v>
      </c>
      <c r="DB296" s="239">
        <f t="shared" ref="DB296" si="7257">+DB295/CW295-1</f>
        <v>2.0547945205479534E-2</v>
      </c>
    </row>
    <row r="297" spans="1:116">
      <c r="F297" s="217"/>
      <c r="K297" s="217"/>
      <c r="P297" s="217"/>
      <c r="U297" s="217"/>
      <c r="Z297" s="217"/>
      <c r="AE297" s="217"/>
      <c r="AJ297" s="217"/>
      <c r="AO297" s="217"/>
      <c r="AT297" s="217"/>
      <c r="AY297" s="217"/>
      <c r="BD297" s="217"/>
      <c r="BI297" s="217"/>
      <c r="BN297" s="217"/>
      <c r="BS297" s="217"/>
      <c r="BX297" s="217"/>
      <c r="CC297" s="217"/>
      <c r="CH297" s="217"/>
      <c r="CM297" s="217"/>
      <c r="CR297" s="217"/>
      <c r="CW297" s="217"/>
      <c r="DB297" s="217"/>
    </row>
    <row r="298" spans="1:116" s="51" customFormat="1">
      <c r="A298" s="51" t="s">
        <v>329</v>
      </c>
      <c r="F298" s="233"/>
      <c r="K298" s="233"/>
      <c r="P298" s="233"/>
      <c r="U298" s="233"/>
      <c r="Z298" s="233"/>
      <c r="AE298" s="233"/>
      <c r="AF298" s="135">
        <f>+AF291*AF295/1000000</f>
        <v>0.2</v>
      </c>
      <c r="AG298" s="135">
        <f t="shared" ref="AG298:AI298" si="7258">+AG291*AG295/1000000</f>
        <v>0.35</v>
      </c>
      <c r="AH298" s="135">
        <f t="shared" si="7258"/>
        <v>0.6</v>
      </c>
      <c r="AI298" s="135">
        <f t="shared" si="7258"/>
        <v>0.75</v>
      </c>
      <c r="AJ298" s="216">
        <f>+AF298+AG298+AH298+AI298</f>
        <v>1.9</v>
      </c>
      <c r="AK298" s="135">
        <f>+AK291*AK295/1000000</f>
        <v>1.08</v>
      </c>
      <c r="AL298" s="135">
        <f t="shared" ref="AL298:AN298" si="7259">+AL291*AL295/1000000</f>
        <v>1.33</v>
      </c>
      <c r="AM298" s="135">
        <f t="shared" si="7259"/>
        <v>1.8</v>
      </c>
      <c r="AN298" s="135">
        <f t="shared" si="7259"/>
        <v>2.25</v>
      </c>
      <c r="AO298" s="216">
        <f>+AK298+AL298+AM298+AN298</f>
        <v>6.46</v>
      </c>
      <c r="AP298" s="135">
        <f>+AP291*AP295/1000000</f>
        <v>1.1552</v>
      </c>
      <c r="AQ298" s="135">
        <f t="shared" ref="AQ298:AS298" si="7260">+AQ291*AQ295/1000000</f>
        <v>2.2136</v>
      </c>
      <c r="AR298" s="135">
        <f t="shared" si="7260"/>
        <v>2.4256000000000002</v>
      </c>
      <c r="AS298" s="135">
        <f t="shared" si="7260"/>
        <v>2.5972</v>
      </c>
      <c r="AT298" s="216">
        <f>+AP298+AQ298+AR298+AS298</f>
        <v>8.3916000000000004</v>
      </c>
      <c r="AU298" s="135">
        <f>+AU291*AU295/1000000</f>
        <v>3.5607000000000002</v>
      </c>
      <c r="AV298" s="135">
        <f t="shared" ref="AV298:AX298" si="7261">+AV291*AV295/1000000</f>
        <v>3.5213199999999998</v>
      </c>
      <c r="AW298" s="135">
        <f t="shared" si="7261"/>
        <v>5.6329000000000002</v>
      </c>
      <c r="AX298" s="135">
        <f t="shared" si="7261"/>
        <v>4.9348400000000003</v>
      </c>
      <c r="AY298" s="216">
        <f>+AU298+AV298+AW298+AX298</f>
        <v>17.649760000000001</v>
      </c>
      <c r="AZ298" s="135">
        <f>+AZ291*AZ295/1000000</f>
        <v>4.2564060000000001</v>
      </c>
      <c r="BA298" s="135">
        <f t="shared" ref="BA298:BB298" si="7262">+BA291*BA295/1000000</f>
        <v>5.1623879999999991</v>
      </c>
      <c r="BB298" s="135">
        <f t="shared" si="7262"/>
        <v>7.0612425000000005</v>
      </c>
      <c r="BC298" s="135">
        <f>+BC291*BC295/1000000</f>
        <v>8.2647039999999983</v>
      </c>
      <c r="BD298" s="216">
        <f>+AZ298+BA298+BB298+BC298</f>
        <v>24.744740499999995</v>
      </c>
      <c r="BE298" s="135">
        <f>+BE291*BE295/1000000</f>
        <v>7.853260800000001</v>
      </c>
      <c r="BF298" s="135">
        <f t="shared" ref="BF298:BH298" si="7263">+BF291*BF295/1000000</f>
        <v>9.6736639999999987</v>
      </c>
      <c r="BG298" s="135">
        <f t="shared" si="7263"/>
        <v>9.961783650000001</v>
      </c>
      <c r="BH298" s="135">
        <f t="shared" si="7263"/>
        <v>10.995930400000001</v>
      </c>
      <c r="BI298" s="216">
        <f>+BE298+BF298+BG298+BH298</f>
        <v>38.484638850000003</v>
      </c>
      <c r="BJ298" s="135">
        <f>+BJ291*BJ295/1000000</f>
        <v>9.9699600000000022</v>
      </c>
      <c r="BK298" s="135">
        <f t="shared" ref="BK298:BM298" si="7264">+BK291*BK295/1000000</f>
        <v>12.092079999999997</v>
      </c>
      <c r="BL298" s="135">
        <f t="shared" si="7264"/>
        <v>12.357174375</v>
      </c>
      <c r="BM298" s="135">
        <f t="shared" si="7264"/>
        <v>13.639989999999999</v>
      </c>
      <c r="BN298" s="216">
        <f>+BJ298+BK298+BL298+BM298</f>
        <v>48.059204374999993</v>
      </c>
      <c r="BO298" s="135">
        <f>+BO291*BO295/1000000</f>
        <v>11.740624896</v>
      </c>
      <c r="BP298" s="135">
        <f t="shared" ref="BP298:BR298" si="7265">+BP291*BP295/1000000</f>
        <v>14.239633407999996</v>
      </c>
      <c r="BQ298" s="135">
        <f t="shared" si="7265"/>
        <v>14.551808543999998</v>
      </c>
      <c r="BR298" s="135">
        <f t="shared" si="7265"/>
        <v>16.062452224000001</v>
      </c>
      <c r="BS298" s="216">
        <f>+BO298+BP298+BQ298+BR298</f>
        <v>56.594519071999997</v>
      </c>
      <c r="BT298" s="135">
        <f>+BT291*BT295/1000000</f>
        <v>12.916980476399999</v>
      </c>
      <c r="BU298" s="135">
        <f t="shared" ref="BU298:BW298" si="7266">+BU291*BU295/1000000</f>
        <v>15.666377927199996</v>
      </c>
      <c r="BV298" s="135">
        <f t="shared" si="7266"/>
        <v>16.009831548506249</v>
      </c>
      <c r="BW298" s="135">
        <f t="shared" si="7266"/>
        <v>17.671834644099995</v>
      </c>
      <c r="BX298" s="216">
        <f>+BT298+BU298+BV298+BW298</f>
        <v>62.265024596206239</v>
      </c>
      <c r="BY298" s="135">
        <f>+BY291*BY295/1000000</f>
        <v>14.203748378819999</v>
      </c>
      <c r="BZ298" s="135">
        <f t="shared" ref="BZ298:CB298" si="7267">+BZ291*BZ295/1000000</f>
        <v>17.227036186359992</v>
      </c>
      <c r="CA298" s="135">
        <f t="shared" si="7267"/>
        <v>17.604704080628434</v>
      </c>
      <c r="CB298" s="135">
        <f t="shared" si="7267"/>
        <v>19.432273133454999</v>
      </c>
      <c r="CC298" s="216">
        <f>+BY298+BZ298+CA298+CB298</f>
        <v>68.467761779263427</v>
      </c>
      <c r="CD298" s="135">
        <f>+CD291*CD295/1000000</f>
        <v>15.610873451423249</v>
      </c>
      <c r="CE298" s="135">
        <f t="shared" ref="CE298:CG298" si="7268">+CE291*CE295/1000000</f>
        <v>18.933669808553496</v>
      </c>
      <c r="CF298" s="135">
        <f t="shared" si="7268"/>
        <v>19.348752190108602</v>
      </c>
      <c r="CG298" s="135">
        <f t="shared" si="7268"/>
        <v>21.357373326340181</v>
      </c>
      <c r="CH298" s="216">
        <f>+CD298+CE298+CF298+CG298</f>
        <v>75.250668776425528</v>
      </c>
      <c r="CI298" s="135">
        <f>+CI291*CI295/1000000</f>
        <v>17.149171200286123</v>
      </c>
      <c r="CJ298" s="135">
        <f t="shared" ref="CJ298:CL298" si="7269">+CJ291*CJ295/1000000</f>
        <v>20.799396395527744</v>
      </c>
      <c r="CK298" s="135">
        <f t="shared" si="7269"/>
        <v>21.255381055557258</v>
      </c>
      <c r="CL298" s="135">
        <f t="shared" si="7269"/>
        <v>23.461932011782462</v>
      </c>
      <c r="CM298" s="216">
        <f>+CI298+CJ298+CK298+CL298</f>
        <v>82.665880663153587</v>
      </c>
      <c r="CN298" s="135">
        <f>+CN291*CN295/1000000</f>
        <v>18.830402448314175</v>
      </c>
      <c r="CO298" s="135">
        <f t="shared" ref="CO298:CQ298" si="7270">+CO291*CO295/1000000</f>
        <v>22.838480077875015</v>
      </c>
      <c r="CP298" s="135">
        <f t="shared" si="7270"/>
        <v>23.33916751975385</v>
      </c>
      <c r="CQ298" s="135">
        <f t="shared" si="7270"/>
        <v>25.762039275080415</v>
      </c>
      <c r="CR298" s="216">
        <f>+CN298+CO298+CP298+CQ298</f>
        <v>90.770089321023448</v>
      </c>
      <c r="CS298" s="135">
        <f>+CS291*CS295/1000000</f>
        <v>20.667354295544818</v>
      </c>
      <c r="CT298" s="135">
        <f t="shared" ref="CT298:CV298" si="7271">+CT291*CT295/1000000</f>
        <v>25.066429707849533</v>
      </c>
      <c r="CU298" s="135">
        <f t="shared" si="7271"/>
        <v>25.615960435142423</v>
      </c>
      <c r="CV298" s="135">
        <f t="shared" si="7271"/>
        <v>28.275189260306796</v>
      </c>
      <c r="CW298" s="216">
        <f>+CS298+CT298+CU298+CV298</f>
        <v>99.624933698843563</v>
      </c>
      <c r="CX298" s="135">
        <f>+CX291*CX295/1000000</f>
        <v>22.673927906088295</v>
      </c>
      <c r="CY298" s="135">
        <f t="shared" ref="CY298:DA298" si="7272">+CY291*CY295/1000000</f>
        <v>27.500105331882182</v>
      </c>
      <c r="CZ298" s="135">
        <f t="shared" si="7272"/>
        <v>28.10298947054067</v>
      </c>
      <c r="DA298" s="135">
        <f t="shared" si="7272"/>
        <v>31.020400272394799</v>
      </c>
      <c r="DB298" s="216">
        <f>+CX298+CY298+CZ298+DA298</f>
        <v>109.29742298090594</v>
      </c>
    </row>
    <row r="299" spans="1:116">
      <c r="A299" s="117" t="s">
        <v>281</v>
      </c>
      <c r="F299" s="217"/>
      <c r="K299" s="217"/>
      <c r="P299" s="217"/>
      <c r="U299" s="217"/>
      <c r="Z299" s="217"/>
      <c r="AE299" s="217"/>
      <c r="AF299" s="119" t="s">
        <v>290</v>
      </c>
      <c r="AG299" s="119" t="s">
        <v>290</v>
      </c>
      <c r="AH299" s="119" t="s">
        <v>290</v>
      </c>
      <c r="AI299" s="119" t="s">
        <v>290</v>
      </c>
      <c r="AJ299" s="235" t="s">
        <v>290</v>
      </c>
      <c r="AK299" s="13">
        <f>+AK298/AF298-1</f>
        <v>4.4000000000000004</v>
      </c>
      <c r="AL299" s="13">
        <f t="shared" ref="AL299" si="7273">+AL298/AG298-1</f>
        <v>2.8000000000000003</v>
      </c>
      <c r="AM299" s="13">
        <f t="shared" ref="AM299" si="7274">+AM298/AH298-1</f>
        <v>2</v>
      </c>
      <c r="AN299" s="13">
        <f t="shared" ref="AN299" si="7275">+AN298/AI298-1</f>
        <v>2</v>
      </c>
      <c r="AO299" s="239">
        <f t="shared" ref="AO299" si="7276">+AO298/AJ298-1</f>
        <v>2.4000000000000004</v>
      </c>
      <c r="AP299" s="13">
        <f>+AP298/AK298-1</f>
        <v>6.9629629629629486E-2</v>
      </c>
      <c r="AQ299" s="13">
        <f t="shared" ref="AQ299" si="7277">+AQ298/AL298-1</f>
        <v>0.66436090225563893</v>
      </c>
      <c r="AR299" s="13">
        <f t="shared" ref="AR299" si="7278">+AR298/AM298-1</f>
        <v>0.34755555555555562</v>
      </c>
      <c r="AS299" s="13">
        <f t="shared" ref="AS299" si="7279">+AS298/AN298-1</f>
        <v>0.15431111111111107</v>
      </c>
      <c r="AT299" s="239">
        <f t="shared" ref="AT299" si="7280">+AT298/AO298-1</f>
        <v>0.2990092879256967</v>
      </c>
      <c r="AU299" s="13">
        <f>+AU298/AP298-1</f>
        <v>2.0823234072022161</v>
      </c>
      <c r="AV299" s="13">
        <f t="shared" ref="AV299" si="7281">+AV298/AQ298-1</f>
        <v>0.59076617275027088</v>
      </c>
      <c r="AW299" s="13">
        <f t="shared" ref="AW299" si="7282">+AW298/AR298-1</f>
        <v>1.3222707783641159</v>
      </c>
      <c r="AX299" s="13">
        <f t="shared" ref="AX299" si="7283">+AX298/AS298-1</f>
        <v>0.90006160480517505</v>
      </c>
      <c r="AY299" s="239">
        <f t="shared" ref="AY299" si="7284">+AY298/AT298-1</f>
        <v>1.1032651699318365</v>
      </c>
      <c r="AZ299" s="13">
        <f>+AZ298/AU298-1</f>
        <v>0.19538461538461527</v>
      </c>
      <c r="BA299" s="13">
        <f t="shared" ref="BA299" si="7285">+BA298/AV298-1</f>
        <v>0.46603773584905639</v>
      </c>
      <c r="BB299" s="13">
        <f t="shared" ref="BB299" si="7286">+BB298/AW298-1</f>
        <v>0.25357142857142856</v>
      </c>
      <c r="BC299" s="13">
        <f t="shared" ref="BC299" si="7287">+BC298/AX298-1</f>
        <v>0.67476635514018635</v>
      </c>
      <c r="BD299" s="239">
        <f t="shared" ref="BD299" si="7288">+BD298/AY298-1</f>
        <v>0.40198736413412961</v>
      </c>
      <c r="BE299" s="13">
        <f>+BE298/AZ298-1</f>
        <v>0.8450450450450453</v>
      </c>
      <c r="BF299" s="13">
        <f t="shared" ref="BF299" si="7289">+BF298/BA298-1</f>
        <v>0.87387387387387405</v>
      </c>
      <c r="BG299" s="13">
        <f t="shared" ref="BG299" si="7290">+BG298/BB298-1</f>
        <v>0.41076923076923078</v>
      </c>
      <c r="BH299" s="13">
        <f t="shared" ref="BH299" si="7291">+BH298/BC298-1</f>
        <v>0.33046875000000031</v>
      </c>
      <c r="BI299" s="239">
        <f t="shared" ref="BI299" si="7292">+BI298/BD298-1</f>
        <v>0.55526540478369579</v>
      </c>
      <c r="BJ299" s="13">
        <f>+BJ298/BE298-1</f>
        <v>0.26953125</v>
      </c>
      <c r="BK299" s="13">
        <f t="shared" ref="BK299" si="7293">+BK298/BF298-1</f>
        <v>0.25</v>
      </c>
      <c r="BL299" s="13">
        <f t="shared" ref="BL299" si="7294">+BL298/BG298-1</f>
        <v>0.24045801526717536</v>
      </c>
      <c r="BM299" s="13">
        <f t="shared" ref="BM299" si="7295">+BM298/BH298-1</f>
        <v>0.24045801526717536</v>
      </c>
      <c r="BN299" s="239">
        <f t="shared" ref="BN299" si="7296">+BN298/BI298-1</f>
        <v>0.24878927829668296</v>
      </c>
      <c r="BO299" s="13">
        <f>+BO298/BJ298-1</f>
        <v>0.17759999999999976</v>
      </c>
      <c r="BP299" s="13">
        <f t="shared" ref="BP299" si="7297">+BP298/BK298-1</f>
        <v>0.17759999999999998</v>
      </c>
      <c r="BQ299" s="13">
        <f t="shared" ref="BQ299" si="7298">+BQ298/BL298-1</f>
        <v>0.17759999999999998</v>
      </c>
      <c r="BR299" s="13">
        <f t="shared" ref="BR299" si="7299">+BR298/BM298-1</f>
        <v>0.1776000000000002</v>
      </c>
      <c r="BS299" s="239">
        <f t="shared" ref="BS299" si="7300">+BS298/BN298-1</f>
        <v>0.1776000000000002</v>
      </c>
      <c r="BT299" s="13">
        <f>+BT298/BO298-1</f>
        <v>0.10019531249999991</v>
      </c>
      <c r="BU299" s="13">
        <f t="shared" ref="BU299" si="7301">+BU298/BP298-1</f>
        <v>0.10019531249999991</v>
      </c>
      <c r="BV299" s="13">
        <f t="shared" ref="BV299" si="7302">+BV298/BQ298-1</f>
        <v>0.10019531250000013</v>
      </c>
      <c r="BW299" s="13">
        <f t="shared" ref="BW299" si="7303">+BW298/BR298-1</f>
        <v>0.10019531249999969</v>
      </c>
      <c r="BX299" s="239">
        <f t="shared" ref="BX299" si="7304">+BX298/BS298-1</f>
        <v>0.10019531249999991</v>
      </c>
      <c r="BY299" s="13">
        <f>+BY298/BT298-1</f>
        <v>9.9618320610686872E-2</v>
      </c>
      <c r="BZ299" s="13">
        <f t="shared" ref="BZ299" si="7305">+BZ298/BU298-1</f>
        <v>9.9618320610686872E-2</v>
      </c>
      <c r="CA299" s="13">
        <f t="shared" ref="CA299" si="7306">+CA298/BV298-1</f>
        <v>9.9618320610686872E-2</v>
      </c>
      <c r="CB299" s="13">
        <f t="shared" ref="CB299" si="7307">+CB298/BW298-1</f>
        <v>9.9618320610687316E-2</v>
      </c>
      <c r="CC299" s="239">
        <f t="shared" ref="CC299" si="7308">+CC298/BX298-1</f>
        <v>9.9618320610687094E-2</v>
      </c>
      <c r="CD299" s="13">
        <f>+CD298/BY298-1</f>
        <v>9.906716417910455E-2</v>
      </c>
      <c r="CE299" s="13">
        <f t="shared" ref="CE299" si="7309">+CE298/BZ298-1</f>
        <v>9.9067164179104772E-2</v>
      </c>
      <c r="CF299" s="13">
        <f t="shared" ref="CF299" si="7310">+CF298/CA298-1</f>
        <v>9.906716417910455E-2</v>
      </c>
      <c r="CG299" s="13">
        <f t="shared" ref="CG299" si="7311">+CG298/CB298-1</f>
        <v>9.9067164179104106E-2</v>
      </c>
      <c r="CH299" s="239">
        <f t="shared" ref="CH299" si="7312">+CH298/CC298-1</f>
        <v>9.9067164179104328E-2</v>
      </c>
      <c r="CI299" s="13">
        <f>+CI298/CD298-1</f>
        <v>9.8540145985401395E-2</v>
      </c>
      <c r="CJ299" s="13">
        <f t="shared" ref="CJ299" si="7313">+CJ298/CE298-1</f>
        <v>9.8540145985401395E-2</v>
      </c>
      <c r="CK299" s="13">
        <f t="shared" ref="CK299" si="7314">+CK298/CF298-1</f>
        <v>9.8540145985401395E-2</v>
      </c>
      <c r="CL299" s="13">
        <f t="shared" ref="CL299" si="7315">+CL298/CG298-1</f>
        <v>9.8540145985401395E-2</v>
      </c>
      <c r="CM299" s="239">
        <f t="shared" ref="CM299" si="7316">+CM298/CH298-1</f>
        <v>9.8540145985401395E-2</v>
      </c>
      <c r="CN299" s="13">
        <f>+CN298/CI298-1</f>
        <v>9.8035714285714448E-2</v>
      </c>
      <c r="CO299" s="13">
        <f t="shared" ref="CO299" si="7317">+CO298/CJ298-1</f>
        <v>9.8035714285714226E-2</v>
      </c>
      <c r="CP299" s="13">
        <f t="shared" ref="CP299" si="7318">+CP298/CK298-1</f>
        <v>9.8035714285714226E-2</v>
      </c>
      <c r="CQ299" s="13">
        <f t="shared" ref="CQ299" si="7319">+CQ298/CL298-1</f>
        <v>9.8035714285714004E-2</v>
      </c>
      <c r="CR299" s="239">
        <f t="shared" ref="CR299" si="7320">+CR298/CM298-1</f>
        <v>9.8035714285714004E-2</v>
      </c>
      <c r="CS299" s="13">
        <f>+CS298/CN298-1</f>
        <v>9.7552447552447408E-2</v>
      </c>
      <c r="CT299" s="13">
        <f t="shared" ref="CT299" si="7321">+CT298/CO298-1</f>
        <v>9.7552447552447408E-2</v>
      </c>
      <c r="CU299" s="13">
        <f t="shared" ref="CU299" si="7322">+CU298/CP298-1</f>
        <v>9.7552447552447408E-2</v>
      </c>
      <c r="CV299" s="13">
        <f t="shared" ref="CV299" si="7323">+CV298/CQ298-1</f>
        <v>9.755244755244763E-2</v>
      </c>
      <c r="CW299" s="239">
        <f t="shared" ref="CW299" si="7324">+CW298/CR298-1</f>
        <v>9.7552447552447408E-2</v>
      </c>
      <c r="CX299" s="13">
        <f>+CX298/CS298-1</f>
        <v>9.7089041095890449E-2</v>
      </c>
      <c r="CY299" s="13">
        <f t="shared" ref="CY299" si="7325">+CY298/CT298-1</f>
        <v>9.7089041095890227E-2</v>
      </c>
      <c r="CZ299" s="13">
        <f t="shared" ref="CZ299" si="7326">+CZ298/CU298-1</f>
        <v>9.7089041095890449E-2</v>
      </c>
      <c r="DA299" s="13">
        <f t="shared" ref="DA299" si="7327">+DA298/CV298-1</f>
        <v>9.7089041095890227E-2</v>
      </c>
      <c r="DB299" s="239">
        <f t="shared" ref="DB299" si="7328">+DB298/CW298-1</f>
        <v>9.7089041095890227E-2</v>
      </c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</row>
    <row r="300" spans="1:116">
      <c r="A300" s="117" t="s">
        <v>288</v>
      </c>
      <c r="F300" s="217"/>
      <c r="K300" s="217"/>
      <c r="P300" s="217"/>
      <c r="U300" s="217"/>
      <c r="Z300" s="217"/>
      <c r="AE300" s="217"/>
      <c r="AF300" s="119" t="s">
        <v>290</v>
      </c>
      <c r="AG300" s="13">
        <f>+AG298/AF298-1</f>
        <v>0.74999999999999978</v>
      </c>
      <c r="AH300" s="13">
        <f t="shared" ref="AH300:AI300" si="7329">+AH298/AG298-1</f>
        <v>0.71428571428571441</v>
      </c>
      <c r="AI300" s="13">
        <f t="shared" si="7329"/>
        <v>0.25</v>
      </c>
      <c r="AJ300" s="235" t="s">
        <v>290</v>
      </c>
      <c r="AK300" s="13">
        <f>+AK298/AI298-1</f>
        <v>0.44000000000000017</v>
      </c>
      <c r="AL300" s="13">
        <f>+AL298/AK298-1</f>
        <v>0.2314814814814814</v>
      </c>
      <c r="AM300" s="13">
        <f t="shared" ref="AM300:AN300" si="7330">+AM298/AL298-1</f>
        <v>0.35338345864661647</v>
      </c>
      <c r="AN300" s="13">
        <f t="shared" si="7330"/>
        <v>0.25</v>
      </c>
      <c r="AO300" s="235" t="s">
        <v>290</v>
      </c>
      <c r="AP300" s="13">
        <f>+AP298/AN298-1</f>
        <v>-0.48657777777777778</v>
      </c>
      <c r="AQ300" s="13">
        <f>+AQ298/AP298-1</f>
        <v>0.91620498614958445</v>
      </c>
      <c r="AR300" s="13">
        <f t="shared" ref="AR300:AS300" si="7331">+AR298/AQ298-1</f>
        <v>9.5771593783881448E-2</v>
      </c>
      <c r="AS300" s="13">
        <f t="shared" si="7331"/>
        <v>7.0745382585751804E-2</v>
      </c>
      <c r="AT300" s="235" t="s">
        <v>290</v>
      </c>
      <c r="AU300" s="13">
        <f>+AU298/AS298-1</f>
        <v>0.3709764361620207</v>
      </c>
      <c r="AV300" s="13">
        <f>+AV298/AU298-1</f>
        <v>-1.1059623107815941E-2</v>
      </c>
      <c r="AW300" s="13">
        <f t="shared" ref="AW300:AX300" si="7332">+AW298/AV298-1</f>
        <v>0.59965581088909858</v>
      </c>
      <c r="AX300" s="13">
        <f t="shared" si="7332"/>
        <v>-0.12392550906282729</v>
      </c>
      <c r="AY300" s="235" t="s">
        <v>290</v>
      </c>
      <c r="AZ300" s="13">
        <f>+AZ298/AX298-1</f>
        <v>-0.13747841875319167</v>
      </c>
      <c r="BA300" s="13">
        <f>+BA298/AZ298-1</f>
        <v>0.21285140562248972</v>
      </c>
      <c r="BB300" s="13">
        <f t="shared" ref="BB300:BC300" si="7333">+BB298/BA298-1</f>
        <v>0.36782483222880602</v>
      </c>
      <c r="BC300" s="13">
        <f t="shared" si="7333"/>
        <v>0.17043197425948731</v>
      </c>
      <c r="BD300" s="235" t="s">
        <v>290</v>
      </c>
      <c r="BE300" s="13">
        <f>+BE298/BC298-1</f>
        <v>-4.9783174327840074E-2</v>
      </c>
      <c r="BF300" s="13">
        <f>+BF298/BE298-1</f>
        <v>0.23180220883534108</v>
      </c>
      <c r="BG300" s="13">
        <f t="shared" ref="BG300:BH300" si="7334">+BG298/BF298-1</f>
        <v>2.9783921583383721E-2</v>
      </c>
      <c r="BH300" s="13">
        <f t="shared" si="7334"/>
        <v>0.10381140429605695</v>
      </c>
      <c r="BI300" s="235" t="s">
        <v>290</v>
      </c>
      <c r="BJ300" s="13">
        <f>+BJ298/BH298-1</f>
        <v>-9.3304555656336108E-2</v>
      </c>
      <c r="BK300" s="13">
        <f>+BK298/BJ298-1</f>
        <v>0.2128514056224895</v>
      </c>
      <c r="BL300" s="13">
        <f t="shared" ref="BL300:BM300" si="7335">+BL298/BK298-1</f>
        <v>2.1922975617098217E-2</v>
      </c>
      <c r="BM300" s="13">
        <f t="shared" si="7335"/>
        <v>0.10381140429605695</v>
      </c>
      <c r="BN300" s="235" t="s">
        <v>290</v>
      </c>
      <c r="BO300" s="13">
        <f>+BO298/BM298-1</f>
        <v>-0.13924974314497296</v>
      </c>
      <c r="BP300" s="13">
        <f>+BP298/BO298-1</f>
        <v>0.21285140562248972</v>
      </c>
      <c r="BQ300" s="13">
        <f t="shared" ref="BQ300:BR300" si="7336">+BQ298/BP298-1</f>
        <v>2.1922975617098217E-2</v>
      </c>
      <c r="BR300" s="13">
        <f t="shared" si="7336"/>
        <v>0.10381140429605717</v>
      </c>
      <c r="BS300" s="235" t="s">
        <v>290</v>
      </c>
      <c r="BT300" s="13">
        <f>+BT298/BR298-1</f>
        <v>-0.19582761733604659</v>
      </c>
      <c r="BU300" s="13">
        <f>+BU298/BT298-1</f>
        <v>0.21285140562248972</v>
      </c>
      <c r="BV300" s="13">
        <f t="shared" ref="BV300:BW300" si="7337">+BV298/BU298-1</f>
        <v>2.1922975617098217E-2</v>
      </c>
      <c r="BW300" s="13">
        <f t="shared" si="7337"/>
        <v>0.10381140429605673</v>
      </c>
      <c r="BX300" s="235" t="s">
        <v>290</v>
      </c>
      <c r="BY300" s="13">
        <f>+BY298/BW298-1</f>
        <v>-0.19624936149104755</v>
      </c>
      <c r="BZ300" s="13">
        <f>+BZ298/BY298-1</f>
        <v>0.2128514056224895</v>
      </c>
      <c r="CA300" s="13">
        <f t="shared" ref="CA300:CB300" si="7338">+CA298/BZ298-1</f>
        <v>2.1922975617098439E-2</v>
      </c>
      <c r="CB300" s="13">
        <f t="shared" si="7338"/>
        <v>0.10381140429605717</v>
      </c>
      <c r="CC300" s="235" t="s">
        <v>290</v>
      </c>
      <c r="CD300" s="13">
        <f>+CD298/CB298-1</f>
        <v>-0.19665222157940698</v>
      </c>
      <c r="CE300" s="13">
        <f>+CE298/CD298-1</f>
        <v>0.21285140562248972</v>
      </c>
      <c r="CF300" s="13">
        <f t="shared" ref="CF300:CG300" si="7339">+CF298/CE298-1</f>
        <v>2.1922975617098217E-2</v>
      </c>
      <c r="CG300" s="13">
        <f t="shared" si="7339"/>
        <v>0.10381140429605673</v>
      </c>
      <c r="CH300" s="235" t="s">
        <v>290</v>
      </c>
      <c r="CI300" s="13">
        <f>+CI298/CG298-1</f>
        <v>-0.19703743816024677</v>
      </c>
      <c r="CJ300" s="13">
        <f>+CJ298/CI298-1</f>
        <v>0.21285140562248972</v>
      </c>
      <c r="CK300" s="13">
        <f t="shared" ref="CK300:CL300" si="7340">+CK298/CJ298-1</f>
        <v>2.1922975617098217E-2</v>
      </c>
      <c r="CL300" s="13">
        <f t="shared" si="7340"/>
        <v>0.10381140429605695</v>
      </c>
      <c r="CM300" s="235" t="s">
        <v>290</v>
      </c>
      <c r="CN300" s="13">
        <f>+CN298/CL298-1</f>
        <v>-0.19740614545905077</v>
      </c>
      <c r="CO300" s="13">
        <f>+CO298/CN298-1</f>
        <v>0.2128514056224895</v>
      </c>
      <c r="CP300" s="13">
        <f t="shared" ref="CP300:CQ300" si="7341">+CP298/CO298-1</f>
        <v>2.1922975617098217E-2</v>
      </c>
      <c r="CQ300" s="13">
        <f t="shared" si="7341"/>
        <v>0.10381140429605673</v>
      </c>
      <c r="CR300" s="235" t="s">
        <v>290</v>
      </c>
      <c r="CS300" s="13">
        <f>+CS298/CQ298-1</f>
        <v>-0.19775938252154124</v>
      </c>
      <c r="CT300" s="13">
        <f>+CT298/CS298-1</f>
        <v>0.21285140562248972</v>
      </c>
      <c r="CU300" s="13">
        <f t="shared" ref="CU300:CV300" si="7342">+CU298/CT298-1</f>
        <v>2.1922975617098217E-2</v>
      </c>
      <c r="CV300" s="13">
        <f t="shared" si="7342"/>
        <v>0.10381140429605717</v>
      </c>
      <c r="CW300" s="235" t="s">
        <v>290</v>
      </c>
      <c r="CX300" s="13">
        <f>+CX298/CV298-1</f>
        <v>-0.1980981029924227</v>
      </c>
      <c r="CY300" s="13">
        <f>+CY298/CX298-1</f>
        <v>0.21285140562248972</v>
      </c>
      <c r="CZ300" s="13">
        <f t="shared" ref="CZ300:DA300" si="7343">+CZ298/CY298-1</f>
        <v>2.1922975617098217E-2</v>
      </c>
      <c r="DA300" s="13">
        <f t="shared" si="7343"/>
        <v>0.10381140429605695</v>
      </c>
      <c r="DB300" s="235" t="s">
        <v>290</v>
      </c>
      <c r="DC300" s="13"/>
      <c r="DD300" s="13"/>
      <c r="DE300" s="13"/>
      <c r="DF300" s="13"/>
      <c r="DG300" s="119"/>
      <c r="DH300" s="13"/>
      <c r="DI300" s="13"/>
      <c r="DJ300" s="13"/>
      <c r="DK300" s="13"/>
      <c r="DL300" s="119"/>
    </row>
    <row r="301" spans="1:116">
      <c r="F301" s="217"/>
      <c r="K301" s="217"/>
      <c r="P301" s="217"/>
      <c r="U301" s="217"/>
      <c r="Z301" s="217"/>
      <c r="AE301" s="217"/>
      <c r="AJ301" s="217"/>
      <c r="AO301" s="217"/>
      <c r="AT301" s="217"/>
      <c r="AY301" s="217"/>
      <c r="BD301" s="217"/>
      <c r="BI301" s="217"/>
      <c r="BN301" s="217"/>
      <c r="BS301" s="217"/>
      <c r="BX301" s="217"/>
      <c r="CC301" s="217"/>
      <c r="CH301" s="217"/>
      <c r="CM301" s="217"/>
      <c r="CR301" s="217"/>
      <c r="CW301" s="217"/>
      <c r="DB301" s="217"/>
    </row>
    <row r="302" spans="1:116" s="125" customFormat="1">
      <c r="A302" s="125" t="s">
        <v>217</v>
      </c>
      <c r="F302" s="232"/>
      <c r="K302" s="232"/>
      <c r="P302" s="232"/>
      <c r="U302" s="232"/>
      <c r="Z302" s="232"/>
      <c r="AE302" s="232"/>
      <c r="AJ302" s="232"/>
      <c r="AO302" s="232"/>
      <c r="AT302" s="232"/>
      <c r="AY302" s="232"/>
      <c r="BD302" s="232"/>
      <c r="BI302" s="232"/>
      <c r="BN302" s="232"/>
      <c r="BS302" s="232"/>
      <c r="BX302" s="232"/>
      <c r="CC302" s="232"/>
      <c r="CH302" s="232"/>
      <c r="CM302" s="232"/>
      <c r="CR302" s="232"/>
      <c r="CW302" s="232"/>
      <c r="DB302" s="232"/>
    </row>
    <row r="303" spans="1:116" s="51" customFormat="1">
      <c r="A303" s="51" t="s">
        <v>373</v>
      </c>
      <c r="F303" s="233"/>
      <c r="K303" s="233"/>
      <c r="P303" s="233"/>
      <c r="U303" s="233"/>
      <c r="V303" s="213">
        <f>+V318+V455</f>
        <v>750</v>
      </c>
      <c r="W303" s="213">
        <f>+W318+W455</f>
        <v>900</v>
      </c>
      <c r="X303" s="213">
        <f>+X318+X455</f>
        <v>750</v>
      </c>
      <c r="Y303" s="213">
        <f>+Y318+Y455</f>
        <v>800</v>
      </c>
      <c r="Z303" s="234">
        <f>+V303+W303+X303+Y303</f>
        <v>3200</v>
      </c>
      <c r="AA303" s="213">
        <f>+AA318+AA455</f>
        <v>1800</v>
      </c>
      <c r="AB303" s="213">
        <f>+AB318+AB455</f>
        <v>1080</v>
      </c>
      <c r="AC303" s="213">
        <f>+AC318+AC455</f>
        <v>1050</v>
      </c>
      <c r="AD303" s="213">
        <f>+AD318+AD455</f>
        <v>1080</v>
      </c>
      <c r="AE303" s="234">
        <f>+AA303+AB303+AC303+AD303</f>
        <v>5010</v>
      </c>
      <c r="AF303" s="213">
        <f>+AF318+AF455</f>
        <v>900</v>
      </c>
      <c r="AG303" s="213">
        <f>+AG318+AG455</f>
        <v>2898</v>
      </c>
      <c r="AH303" s="213">
        <f>+AH318+AH455</f>
        <v>5773.3322000000007</v>
      </c>
      <c r="AI303" s="213">
        <f>+AI318+AI455</f>
        <v>8628.6644000000015</v>
      </c>
      <c r="AJ303" s="234">
        <f>+AF303+AG303+AH303+AI303</f>
        <v>18199.996600000002</v>
      </c>
      <c r="AK303" s="213">
        <f>+AK318+AK455</f>
        <v>11409.068292200001</v>
      </c>
      <c r="AL303" s="213">
        <f>+AL318+AL455</f>
        <v>18621.362925960002</v>
      </c>
      <c r="AM303" s="213">
        <f>+AM318+AM455</f>
        <v>20719.25285592</v>
      </c>
      <c r="AN303" s="213">
        <f>+AN318+AN455</f>
        <v>26650.778728800004</v>
      </c>
      <c r="AO303" s="234">
        <f>+AK303+AL303+AM303+AN303</f>
        <v>77400.462802880007</v>
      </c>
      <c r="AP303" s="213">
        <f>+AP318+AP455</f>
        <v>29910.487908545998</v>
      </c>
      <c r="AQ303" s="213">
        <v>44000</v>
      </c>
      <c r="AR303" s="213">
        <v>53000</v>
      </c>
      <c r="AS303" s="213">
        <v>64000</v>
      </c>
      <c r="AT303" s="234">
        <f>+AP303+AQ303+AR303+AS303</f>
        <v>190910.487908546</v>
      </c>
      <c r="AU303" s="286">
        <v>71000</v>
      </c>
      <c r="AV303" s="286">
        <v>84000</v>
      </c>
      <c r="AW303" s="286">
        <v>89000</v>
      </c>
      <c r="AX303" s="286">
        <v>98000</v>
      </c>
      <c r="AY303" s="234">
        <f>+AU303+AV303+AW303+AX303</f>
        <v>342000</v>
      </c>
      <c r="AZ303" s="286">
        <v>114800</v>
      </c>
      <c r="BA303" s="286">
        <v>125400</v>
      </c>
      <c r="BB303" s="286">
        <v>137000</v>
      </c>
      <c r="BC303" s="286">
        <v>151000</v>
      </c>
      <c r="BD303" s="234">
        <f>+AZ303+BA303+BB303+BC303</f>
        <v>528200</v>
      </c>
      <c r="BE303" s="286">
        <v>167700</v>
      </c>
      <c r="BF303" s="286">
        <v>188800</v>
      </c>
      <c r="BG303" s="286">
        <v>211000</v>
      </c>
      <c r="BH303" s="286">
        <v>233300</v>
      </c>
      <c r="BI303" s="234">
        <f>+BI318+BI455</f>
        <v>800800</v>
      </c>
      <c r="BJ303" s="213">
        <f t="shared" ref="BJ303:CJ303" si="7344">+BJ318+BJ455</f>
        <v>249241.09682910412</v>
      </c>
      <c r="BK303" s="213">
        <f t="shared" si="7344"/>
        <v>261794.18257766755</v>
      </c>
      <c r="BL303" s="213">
        <f t="shared" si="7344"/>
        <v>275746.76275549206</v>
      </c>
      <c r="BM303" s="213">
        <f t="shared" si="7344"/>
        <v>294286.0671913983</v>
      </c>
      <c r="BN303" s="234">
        <f t="shared" si="7344"/>
        <v>1081068.1093536622</v>
      </c>
      <c r="BO303" s="213">
        <f t="shared" si="7344"/>
        <v>309499.37302386941</v>
      </c>
      <c r="BP303" s="213">
        <f t="shared" si="7344"/>
        <v>320586.26997858565</v>
      </c>
      <c r="BQ303" s="213">
        <f t="shared" si="7344"/>
        <v>329013.41358930187</v>
      </c>
      <c r="BR303" s="213">
        <f t="shared" si="7344"/>
        <v>341157.79506401805</v>
      </c>
      <c r="BS303" s="234">
        <f t="shared" si="7344"/>
        <v>1300256.8516557747</v>
      </c>
      <c r="BT303" s="213">
        <f t="shared" si="7344"/>
        <v>357185.90487333125</v>
      </c>
      <c r="BU303" s="213">
        <f t="shared" si="7344"/>
        <v>370819.70711363328</v>
      </c>
      <c r="BV303" s="213">
        <f t="shared" si="7344"/>
        <v>381532.42282116029</v>
      </c>
      <c r="BW303" s="213">
        <f t="shared" si="7344"/>
        <v>396296.24883783731</v>
      </c>
      <c r="BX303" s="234">
        <f t="shared" si="7344"/>
        <v>1505834.2836459621</v>
      </c>
      <c r="BY303" s="213">
        <f t="shared" si="7344"/>
        <v>415041.73972689227</v>
      </c>
      <c r="BZ303" s="213">
        <f t="shared" si="7344"/>
        <v>427730.26111776044</v>
      </c>
      <c r="CA303" s="213">
        <f t="shared" si="7344"/>
        <v>439412.0777242725</v>
      </c>
      <c r="CB303" s="213">
        <f t="shared" si="7344"/>
        <v>453310.90510021133</v>
      </c>
      <c r="CC303" s="234">
        <f t="shared" si="7344"/>
        <v>1735494.9836691364</v>
      </c>
      <c r="CD303" s="213">
        <f t="shared" si="7344"/>
        <v>473654.99574992887</v>
      </c>
      <c r="CE303" s="213">
        <f t="shared" si="7344"/>
        <v>487795.22311372473</v>
      </c>
      <c r="CF303" s="213">
        <f t="shared" si="7344"/>
        <v>498725.0054369893</v>
      </c>
      <c r="CG303" s="213">
        <f t="shared" si="7344"/>
        <v>514164.68778932263</v>
      </c>
      <c r="CH303" s="234">
        <f t="shared" si="7344"/>
        <v>1974339.9120899658</v>
      </c>
      <c r="CI303" s="213">
        <f t="shared" si="7344"/>
        <v>531451.59885840386</v>
      </c>
      <c r="CJ303" s="213">
        <f t="shared" si="7344"/>
        <v>542737.37001102977</v>
      </c>
      <c r="CK303" s="213">
        <f t="shared" ref="CK303:DB303" si="7345">+CK318+CK455</f>
        <v>550417.02491023135</v>
      </c>
      <c r="CL303" s="213">
        <f t="shared" si="7345"/>
        <v>563067.22380082181</v>
      </c>
      <c r="CM303" s="234">
        <f t="shared" si="7345"/>
        <v>2187673.217580487</v>
      </c>
      <c r="CN303" s="213">
        <f t="shared" si="7345"/>
        <v>581175.16692755336</v>
      </c>
      <c r="CO303" s="213">
        <f t="shared" si="7345"/>
        <v>592306.78709334612</v>
      </c>
      <c r="CP303" s="213">
        <f t="shared" si="7345"/>
        <v>599651.98519304325</v>
      </c>
      <c r="CQ303" s="213">
        <f t="shared" si="7345"/>
        <v>612216.25448369863</v>
      </c>
      <c r="CR303" s="234">
        <f t="shared" si="7345"/>
        <v>2385350.1936976421</v>
      </c>
      <c r="CS303" s="213">
        <f t="shared" si="7345"/>
        <v>631656.66757401126</v>
      </c>
      <c r="CT303" s="213">
        <f t="shared" si="7345"/>
        <v>643158.13947055314</v>
      </c>
      <c r="CU303" s="213">
        <f t="shared" si="7345"/>
        <v>650683.86819769442</v>
      </c>
      <c r="CV303" s="213">
        <f t="shared" si="7345"/>
        <v>663689.62167534186</v>
      </c>
      <c r="CW303" s="234">
        <f t="shared" si="7345"/>
        <v>2589188.296917601</v>
      </c>
      <c r="CX303" s="213">
        <f t="shared" si="7345"/>
        <v>681690.69295898103</v>
      </c>
      <c r="CY303" s="213">
        <f t="shared" si="7345"/>
        <v>690741.43235513696</v>
      </c>
      <c r="CZ303" s="213">
        <f t="shared" si="7345"/>
        <v>695617.64142342273</v>
      </c>
      <c r="DA303" s="213">
        <f t="shared" si="7345"/>
        <v>706247.87647973944</v>
      </c>
      <c r="DB303" s="234">
        <f t="shared" si="7345"/>
        <v>2774297.6432172805</v>
      </c>
    </row>
    <row r="304" spans="1:116">
      <c r="A304" s="117" t="s">
        <v>281</v>
      </c>
      <c r="F304" s="217"/>
      <c r="K304" s="217"/>
      <c r="P304" s="217"/>
      <c r="U304" s="217"/>
      <c r="V304" s="119" t="s">
        <v>290</v>
      </c>
      <c r="W304" s="119" t="s">
        <v>290</v>
      </c>
      <c r="X304" s="119" t="s">
        <v>290</v>
      </c>
      <c r="Y304" s="119" t="s">
        <v>290</v>
      </c>
      <c r="Z304" s="235" t="s">
        <v>290</v>
      </c>
      <c r="AA304" s="13">
        <f>+AA303/V303-1</f>
        <v>1.4</v>
      </c>
      <c r="AB304" s="13">
        <f t="shared" ref="AB304" si="7346">+AB303/W303-1</f>
        <v>0.19999999999999996</v>
      </c>
      <c r="AC304" s="13">
        <f t="shared" ref="AC304" si="7347">+AC303/X303-1</f>
        <v>0.39999999999999991</v>
      </c>
      <c r="AD304" s="13">
        <f t="shared" ref="AD304" si="7348">+AD303/Y303-1</f>
        <v>0.35000000000000009</v>
      </c>
      <c r="AE304" s="239">
        <f t="shared" ref="AE304" si="7349">+AE303/Z303-1</f>
        <v>0.56562500000000004</v>
      </c>
      <c r="AF304" s="13">
        <f>+AF303/AA303-1</f>
        <v>-0.5</v>
      </c>
      <c r="AG304" s="13">
        <f t="shared" ref="AG304" si="7350">+AG303/AB303-1</f>
        <v>1.6833333333333331</v>
      </c>
      <c r="AH304" s="13">
        <f t="shared" ref="AH304" si="7351">+AH303/AC303-1</f>
        <v>4.4984116190476193</v>
      </c>
      <c r="AI304" s="13">
        <f t="shared" ref="AI304" si="7352">+AI303/AD303-1</f>
        <v>6.989504074074075</v>
      </c>
      <c r="AJ304" s="239">
        <f t="shared" ref="AJ304" si="7353">+AJ303/AE303-1</f>
        <v>2.6327338522954098</v>
      </c>
      <c r="AK304" s="13">
        <f>+AK303/AF303-1</f>
        <v>11.676742546888891</v>
      </c>
      <c r="AL304" s="13">
        <f t="shared" ref="AL304" si="7354">+AL303/AG303-1</f>
        <v>5.4255910717598352</v>
      </c>
      <c r="AM304" s="13">
        <f t="shared" ref="AM304" si="7355">+AM303/AH303-1</f>
        <v>2.5887858412027627</v>
      </c>
      <c r="AN304" s="13">
        <f t="shared" ref="AN304" si="7356">+AN303/AI303-1</f>
        <v>2.0886331294562805</v>
      </c>
      <c r="AO304" s="239">
        <f t="shared" ref="AO304" si="7357">+AO303/AJ303-1</f>
        <v>3.2527734759510887</v>
      </c>
      <c r="AP304" s="13">
        <f>+AP303/AK303-1</f>
        <v>1.6216415874199646</v>
      </c>
      <c r="AQ304" s="13">
        <f t="shared" ref="AQ304" si="7358">+AQ303/AL303-1</f>
        <v>1.3628775280814538</v>
      </c>
      <c r="AR304" s="13">
        <f t="shared" ref="AR304" si="7359">+AR303/AM303-1</f>
        <v>1.5580072972977206</v>
      </c>
      <c r="AS304" s="13">
        <f t="shared" ref="AS304" si="7360">+AS303/AN303-1</f>
        <v>1.4014307668555586</v>
      </c>
      <c r="AT304" s="239">
        <f t="shared" ref="AT304" si="7361">+AT303/AO303-1</f>
        <v>1.4665290231500059</v>
      </c>
      <c r="AU304" s="13">
        <f>+AU303/AP303-1</f>
        <v>1.3737493088407273</v>
      </c>
      <c r="AV304" s="13">
        <f t="shared" ref="AV304" si="7362">+AV303/AQ303-1</f>
        <v>0.90909090909090917</v>
      </c>
      <c r="AW304" s="13">
        <f t="shared" ref="AW304" si="7363">+AW303/AR303-1</f>
        <v>0.679245283018868</v>
      </c>
      <c r="AX304" s="13">
        <f t="shared" ref="AX304" si="7364">+AX303/AS303-1</f>
        <v>0.53125</v>
      </c>
      <c r="AY304" s="239">
        <f t="shared" ref="AY304" si="7365">+AY303/AT303-1</f>
        <v>0.79141546253777384</v>
      </c>
      <c r="AZ304" s="13">
        <f t="shared" ref="AZ304" si="7366">+AZ303/AU303-1</f>
        <v>0.61690140845070429</v>
      </c>
      <c r="BA304" s="13">
        <f t="shared" ref="BA304" si="7367">+BA303/AV303-1</f>
        <v>0.49285714285714288</v>
      </c>
      <c r="BB304" s="13">
        <f t="shared" ref="BB304" si="7368">+BB303/AW303-1</f>
        <v>0.5393258426966292</v>
      </c>
      <c r="BC304" s="13">
        <f t="shared" ref="BC304" si="7369">+BC303/AX303-1</f>
        <v>0.54081632653061229</v>
      </c>
      <c r="BD304" s="239">
        <f t="shared" ref="BD304" si="7370">+BD303/AY303-1</f>
        <v>0.54444444444444451</v>
      </c>
      <c r="BE304" s="13">
        <f t="shared" ref="BE304" si="7371">+BE303/AZ303-1</f>
        <v>0.46080139372822293</v>
      </c>
      <c r="BF304" s="13">
        <f t="shared" ref="BF304" si="7372">+BF303/BA303-1</f>
        <v>0.50558213716108447</v>
      </c>
      <c r="BG304" s="13">
        <f t="shared" ref="BG304" si="7373">+BG303/BB303-1</f>
        <v>0.54014598540145986</v>
      </c>
      <c r="BH304" s="13">
        <f t="shared" ref="BH304" si="7374">+BH303/BC303-1</f>
        <v>0.54503311258278142</v>
      </c>
      <c r="BI304" s="239">
        <f t="shared" ref="BI304" si="7375">+BI303/BD303-1</f>
        <v>0.51609238924649747</v>
      </c>
      <c r="BJ304" s="13">
        <f t="shared" ref="BJ304" si="7376">+BJ303/BE303-1</f>
        <v>0.48623194292846827</v>
      </c>
      <c r="BK304" s="13">
        <f t="shared" ref="BK304" si="7377">+BK303/BF303-1</f>
        <v>0.38662172975459508</v>
      </c>
      <c r="BL304" s="13">
        <f t="shared" ref="BL304" si="7378">+BL303/BG303-1</f>
        <v>0.30685669552365913</v>
      </c>
      <c r="BM304" s="13">
        <f t="shared" ref="BM304" si="7379">+BM303/BH303-1</f>
        <v>0.26140620313501195</v>
      </c>
      <c r="BN304" s="239">
        <f t="shared" ref="BN304" si="7380">+BN303/BI303-1</f>
        <v>0.34998515154053722</v>
      </c>
      <c r="BO304" s="13">
        <f t="shared" ref="BO304" si="7381">+BO303/BJ303-1</f>
        <v>0.24176701579869175</v>
      </c>
      <c r="BP304" s="13">
        <f t="shared" ref="BP304" si="7382">+BP303/BK303-1</f>
        <v>0.22457369687149553</v>
      </c>
      <c r="BQ304" s="13">
        <f t="shared" ref="BQ304" si="7383">+BQ303/BL303-1</f>
        <v>0.19317235242047781</v>
      </c>
      <c r="BR304" s="13">
        <f t="shared" ref="BR304" si="7384">+BR303/BM303-1</f>
        <v>0.15927267070423423</v>
      </c>
      <c r="BS304" s="239">
        <f t="shared" ref="BS304" si="7385">+BS303/BN303-1</f>
        <v>0.20275201942008891</v>
      </c>
      <c r="BT304" s="13">
        <f>+BT303/BO303-1</f>
        <v>0.15407634394717862</v>
      </c>
      <c r="BU304" s="13">
        <f t="shared" ref="BU304" si="7386">+BU303/BP303-1</f>
        <v>0.15669241586173688</v>
      </c>
      <c r="BV304" s="13">
        <f t="shared" ref="BV304" si="7387">+BV303/BQ303-1</f>
        <v>0.159625738838163</v>
      </c>
      <c r="BW304" s="13">
        <f t="shared" ref="BW304" si="7388">+BW303/BR303-1</f>
        <v>0.16162155627565999</v>
      </c>
      <c r="BX304" s="239">
        <f t="shared" ref="BX304" si="7389">+BX303/BS303-1</f>
        <v>0.15810524799650216</v>
      </c>
      <c r="BY304" s="13">
        <f>+BY303/BT303-1</f>
        <v>0.16197681393412888</v>
      </c>
      <c r="BZ304" s="13">
        <f t="shared" ref="BZ304" si="7390">+BZ303/BU303-1</f>
        <v>0.15347230180160731</v>
      </c>
      <c r="CA304" s="13">
        <f t="shared" ref="CA304" si="7391">+CA303/BV303-1</f>
        <v>0.15170310946349841</v>
      </c>
      <c r="CB304" s="13">
        <f t="shared" ref="CB304" si="7392">+CB303/BW303-1</f>
        <v>0.14386877602191017</v>
      </c>
      <c r="CC304" s="239">
        <f t="shared" ref="CC304" si="7393">+CC303/BX303-1</f>
        <v>0.15251392700869726</v>
      </c>
      <c r="CD304" s="13">
        <f>+CD303/BY303-1</f>
        <v>0.14122255766758673</v>
      </c>
      <c r="CE304" s="13">
        <f t="shared" ref="CE304" si="7394">+CE303/BZ303-1</f>
        <v>0.14042719783024071</v>
      </c>
      <c r="CF304" s="13">
        <f t="shared" ref="CF304" si="7395">+CF303/CA303-1</f>
        <v>0.1349824702586695</v>
      </c>
      <c r="CG304" s="13">
        <f t="shared" ref="CG304" si="7396">+CG303/CB303-1</f>
        <v>0.13424292688405237</v>
      </c>
      <c r="CH304" s="239">
        <f t="shared" ref="CH304" si="7397">+CH303/CC303-1</f>
        <v>0.137623519899706</v>
      </c>
      <c r="CI304" s="13">
        <f>+CI303/CD303-1</f>
        <v>0.12202257682718343</v>
      </c>
      <c r="CJ304" s="13">
        <f t="shared" ref="CJ304" si="7398">+CJ303/CE303-1</f>
        <v>0.11263363045376895</v>
      </c>
      <c r="CK304" s="13">
        <f t="shared" ref="CK304" si="7399">+CK303/CF303-1</f>
        <v>0.10364834108919174</v>
      </c>
      <c r="CL304" s="13">
        <f t="shared" ref="CL304" si="7400">+CL303/CG303-1</f>
        <v>9.5110646788596265E-2</v>
      </c>
      <c r="CM304" s="239">
        <f t="shared" ref="CM304" si="7401">+CM303/CH303-1</f>
        <v>0.10805297719210571</v>
      </c>
      <c r="CN304" s="13">
        <f>+CN303/CI303-1</f>
        <v>9.3561799749891206E-2</v>
      </c>
      <c r="CO304" s="13">
        <f t="shared" ref="CO304" si="7402">+CO303/CJ303-1</f>
        <v>9.1332235112737914E-2</v>
      </c>
      <c r="CP304" s="13">
        <f t="shared" ref="CP304" si="7403">+CP303/CK303-1</f>
        <v>8.9450285973333932E-2</v>
      </c>
      <c r="CQ304" s="13">
        <f t="shared" ref="CQ304" si="7404">+CQ303/CL303-1</f>
        <v>8.7288033480461769E-2</v>
      </c>
      <c r="CR304" s="239">
        <f t="shared" ref="CR304" si="7405">+CR303/CM303-1</f>
        <v>9.0359462523283529E-2</v>
      </c>
      <c r="CS304" s="13">
        <f>+CS303/CN303-1</f>
        <v>8.6861076520756919E-2</v>
      </c>
      <c r="CT304" s="13">
        <f t="shared" ref="CT304" si="7406">+CT303/CO303-1</f>
        <v>8.585306379275548E-2</v>
      </c>
      <c r="CU304" s="13">
        <f t="shared" ref="CU304" si="7407">+CU303/CP303-1</f>
        <v>8.5102499891203998E-2</v>
      </c>
      <c r="CV304" s="13">
        <f t="shared" ref="CV304" si="7408">+CV303/CQ303-1</f>
        <v>8.4077099904922292E-2</v>
      </c>
      <c r="CW304" s="239">
        <f t="shared" ref="CW304" si="7409">+CW303/CR303-1</f>
        <v>8.5454162562177194E-2</v>
      </c>
      <c r="CX304" s="13">
        <f>+CX303/CS303-1</f>
        <v>7.9210792750964432E-2</v>
      </c>
      <c r="CY304" s="13">
        <f t="shared" ref="CY304" si="7410">+CY303/CT303-1</f>
        <v>7.398381512166563E-2</v>
      </c>
      <c r="CZ304" s="13">
        <f t="shared" ref="CZ304" si="7411">+CZ303/CU303-1</f>
        <v>6.9056227489070476E-2</v>
      </c>
      <c r="DA304" s="13">
        <f t="shared" ref="DA304" si="7412">+DA303/CV303-1</f>
        <v>6.4123731055140576E-2</v>
      </c>
      <c r="DB304" s="239">
        <f t="shared" ref="DB304" si="7413">+DB303/CW303-1</f>
        <v>7.149319596417536E-2</v>
      </c>
    </row>
    <row r="305" spans="1:111">
      <c r="A305" s="117" t="s">
        <v>288</v>
      </c>
      <c r="F305" s="217"/>
      <c r="K305" s="217"/>
      <c r="P305" s="217"/>
      <c r="U305" s="217"/>
      <c r="V305" s="119" t="s">
        <v>290</v>
      </c>
      <c r="W305" s="13">
        <f>+W303/V303-1</f>
        <v>0.19999999999999996</v>
      </c>
      <c r="X305" s="13">
        <f t="shared" ref="X305:Y305" si="7414">+X303/W303-1</f>
        <v>-0.16666666666666663</v>
      </c>
      <c r="Y305" s="13">
        <f t="shared" si="7414"/>
        <v>6.6666666666666652E-2</v>
      </c>
      <c r="Z305" s="235" t="s">
        <v>290</v>
      </c>
      <c r="AA305" s="13">
        <f>+AA303/Y303-1</f>
        <v>1.25</v>
      </c>
      <c r="AB305" s="13">
        <f>+AB303/AA303-1</f>
        <v>-0.4</v>
      </c>
      <c r="AC305" s="13">
        <f t="shared" ref="AC305:AD305" si="7415">+AC303/AB303-1</f>
        <v>-2.777777777777779E-2</v>
      </c>
      <c r="AD305" s="13">
        <f t="shared" si="7415"/>
        <v>2.857142857142847E-2</v>
      </c>
      <c r="AE305" s="235" t="s">
        <v>290</v>
      </c>
      <c r="AF305" s="13">
        <f>+AF303/AD303-1</f>
        <v>-0.16666666666666663</v>
      </c>
      <c r="AG305" s="13">
        <f>+AG303/AF303-1</f>
        <v>2.2200000000000002</v>
      </c>
      <c r="AH305" s="13">
        <f t="shared" ref="AH305:AI305" si="7416">+AH303/AG303-1</f>
        <v>0.99217812284334039</v>
      </c>
      <c r="AI305" s="13">
        <f t="shared" si="7416"/>
        <v>0.49457264905005816</v>
      </c>
      <c r="AJ305" s="235" t="s">
        <v>290</v>
      </c>
      <c r="AK305" s="13">
        <f>+AK303/AI303-1</f>
        <v>0.32222876720063409</v>
      </c>
      <c r="AL305" s="13">
        <f>+AL303/AK303-1</f>
        <v>0.63215456766884337</v>
      </c>
      <c r="AM305" s="13">
        <f t="shared" ref="AM305:AN305" si="7417">+AM303/AL303-1</f>
        <v>0.11266038572479209</v>
      </c>
      <c r="AN305" s="13">
        <f t="shared" si="7417"/>
        <v>0.28628087673466562</v>
      </c>
      <c r="AO305" s="235" t="s">
        <v>290</v>
      </c>
      <c r="AP305" s="13">
        <f>+AP303/AN303-1</f>
        <v>0.12231196742568007</v>
      </c>
      <c r="AQ305" s="13">
        <f>+AQ303/AP303-1</f>
        <v>0.47105590970411293</v>
      </c>
      <c r="AR305" s="13">
        <f t="shared" ref="AR305:AS305" si="7418">+AR303/AQ303-1</f>
        <v>0.20454545454545459</v>
      </c>
      <c r="AS305" s="13">
        <f t="shared" si="7418"/>
        <v>0.20754716981132071</v>
      </c>
      <c r="AT305" s="235" t="s">
        <v>290</v>
      </c>
      <c r="AU305" s="13">
        <f>+AU303/AS303-1</f>
        <v>0.109375</v>
      </c>
      <c r="AV305" s="13">
        <f>+AV303/AU303-1</f>
        <v>0.18309859154929575</v>
      </c>
      <c r="AW305" s="13">
        <f t="shared" ref="AW305:AX305" si="7419">+AW303/AV303-1</f>
        <v>5.9523809523809534E-2</v>
      </c>
      <c r="AX305" s="13">
        <f t="shared" si="7419"/>
        <v>0.101123595505618</v>
      </c>
      <c r="AY305" s="235" t="s">
        <v>290</v>
      </c>
      <c r="AZ305" s="13">
        <f>+AZ303/AX303-1</f>
        <v>0.17142857142857149</v>
      </c>
      <c r="BA305" s="13">
        <f t="shared" ref="BA305:BC305" si="7420">+BA303/AZ303-1</f>
        <v>9.2334494773519182E-2</v>
      </c>
      <c r="BB305" s="13">
        <f t="shared" si="7420"/>
        <v>9.2503987240829311E-2</v>
      </c>
      <c r="BC305" s="13">
        <f t="shared" si="7420"/>
        <v>0.10218978102189791</v>
      </c>
      <c r="BD305" s="235" t="s">
        <v>290</v>
      </c>
      <c r="BE305" s="13">
        <f>+BE303/BC303-1</f>
        <v>0.11059602649006628</v>
      </c>
      <c r="BF305" s="13">
        <f t="shared" ref="BF305:BH305" si="7421">+BF303/BE303-1</f>
        <v>0.12581991651759084</v>
      </c>
      <c r="BG305" s="13">
        <f t="shared" si="7421"/>
        <v>0.11758474576271194</v>
      </c>
      <c r="BH305" s="13">
        <f t="shared" si="7421"/>
        <v>0.10568720379146912</v>
      </c>
      <c r="BI305" s="235" t="s">
        <v>290</v>
      </c>
      <c r="BJ305" s="13">
        <f>+BJ303/BH303-1</f>
        <v>6.8328747660111988E-2</v>
      </c>
      <c r="BK305" s="13">
        <f t="shared" ref="BK305:BM305" si="7422">+BK303/BJ303-1</f>
        <v>5.0365232332333365E-2</v>
      </c>
      <c r="BL305" s="13">
        <f t="shared" si="7422"/>
        <v>5.3295990157020245E-2</v>
      </c>
      <c r="BM305" s="13">
        <f t="shared" si="7422"/>
        <v>6.7233081000284578E-2</v>
      </c>
      <c r="BN305" s="235" t="s">
        <v>290</v>
      </c>
      <c r="BO305" s="13">
        <f>+BO303/BM303-1</f>
        <v>5.1695637437625175E-2</v>
      </c>
      <c r="BP305" s="13">
        <f t="shared" ref="BP305:BR305" si="7423">+BP303/BO303-1</f>
        <v>3.5822033648711837E-2</v>
      </c>
      <c r="BQ305" s="13">
        <f t="shared" si="7423"/>
        <v>2.6286664152145756E-2</v>
      </c>
      <c r="BR305" s="13">
        <f t="shared" si="7423"/>
        <v>3.6911508689659867E-2</v>
      </c>
      <c r="BS305" s="235" t="s">
        <v>290</v>
      </c>
      <c r="BT305" s="13">
        <f>+BT303/BR303-1</f>
        <v>4.6981514247111278E-2</v>
      </c>
      <c r="BU305" s="13">
        <f t="shared" ref="BU305:BW305" si="7424">+BU303/BT303-1</f>
        <v>3.8170045498119531E-2</v>
      </c>
      <c r="BV305" s="13">
        <f t="shared" si="7424"/>
        <v>2.8889283665401999E-2</v>
      </c>
      <c r="BW305" s="13">
        <f t="shared" si="7424"/>
        <v>3.8696124191776482E-2</v>
      </c>
      <c r="BX305" s="235" t="s">
        <v>290</v>
      </c>
      <c r="BY305" s="13">
        <f>+BY303/BW303-1</f>
        <v>4.7301711646343447E-2</v>
      </c>
      <c r="BZ305" s="13">
        <f t="shared" ref="BZ305:CB305" si="7425">+BZ303/BY303-1</f>
        <v>3.0571675512004015E-2</v>
      </c>
      <c r="CA305" s="13">
        <f t="shared" si="7425"/>
        <v>2.7311176384819502E-2</v>
      </c>
      <c r="CB305" s="13">
        <f t="shared" si="7425"/>
        <v>3.1630508309924643E-2</v>
      </c>
      <c r="CC305" s="235" t="s">
        <v>290</v>
      </c>
      <c r="CD305" s="13">
        <f>+CD303/CB303-1</f>
        <v>4.4878890891054457E-2</v>
      </c>
      <c r="CE305" s="13">
        <f t="shared" ref="CE305:CG305" si="7426">+CE303/CD303-1</f>
        <v>2.9853432330863239E-2</v>
      </c>
      <c r="CF305" s="13">
        <f t="shared" si="7426"/>
        <v>2.2406497245907708E-2</v>
      </c>
      <c r="CG305" s="13">
        <f t="shared" si="7426"/>
        <v>3.0958308053563366E-2</v>
      </c>
      <c r="CH305" s="235" t="s">
        <v>290</v>
      </c>
      <c r="CI305" s="13">
        <f t="shared" ref="CI305:CL305" si="7427">+CI303/CH303-1</f>
        <v>-0.7308206172584395</v>
      </c>
      <c r="CJ305" s="13">
        <f t="shared" si="7427"/>
        <v>2.1235745977373099E-2</v>
      </c>
      <c r="CK305" s="13">
        <f t="shared" si="7427"/>
        <v>1.4149854650777893E-2</v>
      </c>
      <c r="CL305" s="13">
        <f t="shared" si="7427"/>
        <v>2.2982935334628474E-2</v>
      </c>
      <c r="CM305" s="235" t="s">
        <v>290</v>
      </c>
      <c r="CN305" s="13">
        <f>+CN303/CL303-1</f>
        <v>3.2159469351632941E-2</v>
      </c>
      <c r="CO305" s="13">
        <f t="shared" ref="CO305:CQ305" si="7428">+CO303/CN303-1</f>
        <v>1.9153640415576101E-2</v>
      </c>
      <c r="CP305" s="13">
        <f t="shared" si="7428"/>
        <v>1.2401002756937007E-2</v>
      </c>
      <c r="CQ305" s="13">
        <f t="shared" si="7428"/>
        <v>2.095260184390213E-2</v>
      </c>
      <c r="CR305" s="235" t="s">
        <v>290</v>
      </c>
      <c r="CS305" s="13">
        <f>+CS303/CQ303-1</f>
        <v>3.1754160311714186E-2</v>
      </c>
      <c r="CT305" s="13">
        <f t="shared" ref="CT305:CV305" si="7429">+CT303/CS303-1</f>
        <v>1.8208423162404452E-2</v>
      </c>
      <c r="CU305" s="13">
        <f t="shared" si="7429"/>
        <v>1.1701210426002584E-2</v>
      </c>
      <c r="CV305" s="13">
        <f t="shared" si="7429"/>
        <v>1.9987822217986784E-2</v>
      </c>
      <c r="CW305" s="235" t="s">
        <v>290</v>
      </c>
      <c r="CX305" s="13">
        <f>+CX303/CV303-1</f>
        <v>2.712272528565296E-2</v>
      </c>
      <c r="CY305" s="13">
        <f t="shared" ref="CY305:DA305" si="7430">+CY303/CX303-1</f>
        <v>1.3276900344450615E-2</v>
      </c>
      <c r="CZ305" s="13">
        <f t="shared" si="7430"/>
        <v>7.0593840761223881E-3</v>
      </c>
      <c r="DA305" s="13">
        <f t="shared" si="7430"/>
        <v>1.5281721485045141E-2</v>
      </c>
      <c r="DB305" s="235" t="s">
        <v>290</v>
      </c>
    </row>
    <row r="306" spans="1:111">
      <c r="A306" s="117" t="s">
        <v>400</v>
      </c>
      <c r="F306" s="217"/>
      <c r="K306" s="217"/>
      <c r="P306" s="217"/>
      <c r="U306" s="217"/>
      <c r="V306" s="119"/>
      <c r="W306" s="13"/>
      <c r="X306" s="13"/>
      <c r="Y306" s="13"/>
      <c r="Z306" s="235"/>
      <c r="AA306" s="13"/>
      <c r="AB306" s="13"/>
      <c r="AC306" s="13"/>
      <c r="AD306" s="13"/>
      <c r="AE306" s="235"/>
      <c r="AF306" s="13"/>
      <c r="AG306" s="13"/>
      <c r="AH306" s="13"/>
      <c r="AI306" s="13"/>
      <c r="AJ306" s="235"/>
      <c r="AK306" s="13"/>
      <c r="AL306" s="13"/>
      <c r="AM306" s="13"/>
      <c r="AN306" s="13"/>
      <c r="AO306" s="235"/>
      <c r="AP306" s="13"/>
      <c r="AQ306" s="13"/>
      <c r="AR306" s="13"/>
      <c r="AS306" s="13"/>
      <c r="AT306" s="235"/>
      <c r="AU306" s="13"/>
      <c r="AV306" s="13"/>
      <c r="AW306" s="13"/>
      <c r="AX306" s="13"/>
      <c r="AY306" s="239">
        <f t="shared" ref="AY306:CD306" si="7431">AY303/AY23</f>
        <v>0.13700825254386667</v>
      </c>
      <c r="AZ306" s="13">
        <f t="shared" si="7431"/>
        <v>0.15602065778744223</v>
      </c>
      <c r="BA306" s="13">
        <f t="shared" si="7431"/>
        <v>0.1649348941207418</v>
      </c>
      <c r="BB306" s="13">
        <f t="shared" si="7431"/>
        <v>0.17659190513018819</v>
      </c>
      <c r="BC306" s="13">
        <f t="shared" si="7431"/>
        <v>0.19046417759838546</v>
      </c>
      <c r="BD306" s="239">
        <f t="shared" si="7431"/>
        <v>0.17234965902045876</v>
      </c>
      <c r="BE306" s="13">
        <f t="shared" si="7431"/>
        <v>0.19611741316805051</v>
      </c>
      <c r="BF306" s="13">
        <f t="shared" si="7431"/>
        <v>0.22131051459383425</v>
      </c>
      <c r="BG306" s="13">
        <f t="shared" si="7431"/>
        <v>0.23612354521038495</v>
      </c>
      <c r="BH306" s="13">
        <f t="shared" si="7431"/>
        <v>0.25259852750108269</v>
      </c>
      <c r="BI306" s="239">
        <f t="shared" si="7431"/>
        <v>0.22715152890452148</v>
      </c>
      <c r="BJ306" s="13">
        <f t="shared" si="7431"/>
        <v>0.25630667491867665</v>
      </c>
      <c r="BK306" s="13">
        <f t="shared" si="7431"/>
        <v>0.26889753268534172</v>
      </c>
      <c r="BL306" s="13">
        <f t="shared" si="7431"/>
        <v>0.27536555029697363</v>
      </c>
      <c r="BM306" s="13">
        <f t="shared" si="7431"/>
        <v>0.28367226155288233</v>
      </c>
      <c r="BN306" s="239">
        <f t="shared" si="7431"/>
        <v>0.27129682526952986</v>
      </c>
      <c r="BO306" s="13">
        <f t="shared" si="7431"/>
        <v>0.26860318092515217</v>
      </c>
      <c r="BP306" s="13">
        <f t="shared" si="7431"/>
        <v>0.28687400570631832</v>
      </c>
      <c r="BQ306" s="13">
        <f t="shared" si="7431"/>
        <v>0.28271824957160469</v>
      </c>
      <c r="BR306" s="13">
        <f t="shared" si="7431"/>
        <v>0.28906670730319051</v>
      </c>
      <c r="BS306" s="239">
        <f t="shared" si="7431"/>
        <v>0.28182362377387182</v>
      </c>
      <c r="BT306" s="13">
        <f t="shared" si="7431"/>
        <v>0.27914122768735228</v>
      </c>
      <c r="BU306" s="13">
        <f t="shared" si="7431"/>
        <v>0.29522126958116213</v>
      </c>
      <c r="BV306" s="13">
        <f t="shared" si="7431"/>
        <v>0.29427891953339841</v>
      </c>
      <c r="BW306" s="13">
        <f t="shared" si="7431"/>
        <v>0.30114567193141895</v>
      </c>
      <c r="BX306" s="239">
        <f t="shared" si="7431"/>
        <v>0.29250157871437671</v>
      </c>
      <c r="BY306" s="13">
        <f t="shared" si="7431"/>
        <v>0.29194392858693918</v>
      </c>
      <c r="BZ306" s="13">
        <f t="shared" si="7431"/>
        <v>0.30841765960957279</v>
      </c>
      <c r="CA306" s="13">
        <f t="shared" si="7431"/>
        <v>0.30531373461923506</v>
      </c>
      <c r="CB306" s="13">
        <f t="shared" si="7431"/>
        <v>0.31172625354434075</v>
      </c>
      <c r="CC306" s="239">
        <f t="shared" si="7431"/>
        <v>0.30437064376338729</v>
      </c>
      <c r="CD306" s="13">
        <f t="shared" si="7431"/>
        <v>0.30305498026672051</v>
      </c>
      <c r="CE306" s="13">
        <f t="shared" ref="CE306:DB306" si="7432">CE303/CE23</f>
        <v>0.31905019295255171</v>
      </c>
      <c r="CF306" s="13">
        <f t="shared" si="7432"/>
        <v>0.3152806700088594</v>
      </c>
      <c r="CG306" s="13">
        <f t="shared" si="7432"/>
        <v>0.32146460674426397</v>
      </c>
      <c r="CH306" s="239">
        <f t="shared" si="7432"/>
        <v>0.31473008746751624</v>
      </c>
      <c r="CI306" s="13">
        <f t="shared" si="7432"/>
        <v>0.31141136325104923</v>
      </c>
      <c r="CJ306" s="13">
        <f t="shared" si="7432"/>
        <v>0.32539186393623437</v>
      </c>
      <c r="CK306" s="13">
        <f t="shared" si="7432"/>
        <v>0.31999420169985804</v>
      </c>
      <c r="CL306" s="13">
        <f t="shared" si="7432"/>
        <v>0.32454911057524283</v>
      </c>
      <c r="CM306" s="239">
        <f t="shared" si="7432"/>
        <v>0.32032483152863406</v>
      </c>
      <c r="CN306" s="13">
        <f t="shared" si="7432"/>
        <v>0.31511029923641604</v>
      </c>
      <c r="CO306" s="13">
        <f t="shared" si="7432"/>
        <v>0.32826577938852008</v>
      </c>
      <c r="CP306" s="13">
        <f t="shared" si="7432"/>
        <v>0.32272520772927121</v>
      </c>
      <c r="CQ306" s="13">
        <f t="shared" si="7432"/>
        <v>0.32678846856303129</v>
      </c>
      <c r="CR306" s="239">
        <f t="shared" si="7432"/>
        <v>0.32320822694883961</v>
      </c>
      <c r="CS306" s="13">
        <f t="shared" si="7432"/>
        <v>0.31810781067083022</v>
      </c>
      <c r="CT306" s="13">
        <f t="shared" si="7432"/>
        <v>0.33074778067818689</v>
      </c>
      <c r="CU306" s="13">
        <f t="shared" si="7432"/>
        <v>0.32522376161764666</v>
      </c>
      <c r="CV306" s="13">
        <f t="shared" si="7432"/>
        <v>0.32907198516408714</v>
      </c>
      <c r="CW306" s="239">
        <f t="shared" si="7432"/>
        <v>0.32577399562578102</v>
      </c>
      <c r="CX306" s="13">
        <f t="shared" si="7432"/>
        <v>0.32017508640567449</v>
      </c>
      <c r="CY306" s="13">
        <f t="shared" si="7432"/>
        <v>0.33141401414092231</v>
      </c>
      <c r="CZ306" s="13">
        <f t="shared" si="7432"/>
        <v>0.32507053854193546</v>
      </c>
      <c r="DA306" s="13">
        <f t="shared" si="7432"/>
        <v>0.32785414253900341</v>
      </c>
      <c r="DB306" s="239">
        <f t="shared" si="7432"/>
        <v>0.32610429130839624</v>
      </c>
    </row>
    <row r="307" spans="1:111">
      <c r="F307" s="217"/>
      <c r="K307" s="217"/>
      <c r="P307" s="217"/>
      <c r="U307" s="217"/>
      <c r="Z307" s="217"/>
      <c r="AE307" s="217"/>
      <c r="AJ307" s="217"/>
      <c r="AO307" s="217"/>
      <c r="AT307" s="217"/>
      <c r="AY307" s="217"/>
      <c r="BD307" s="217"/>
      <c r="BE307" s="65"/>
      <c r="BF307" s="65"/>
      <c r="BI307" s="217"/>
      <c r="BN307" s="217"/>
      <c r="BS307" s="217"/>
      <c r="BX307" s="217"/>
      <c r="CC307" s="217"/>
      <c r="CH307" s="217"/>
      <c r="CM307" s="217"/>
      <c r="CR307" s="217"/>
      <c r="CW307" s="217"/>
      <c r="DB307" s="217"/>
    </row>
    <row r="308" spans="1:111" s="51" customFormat="1">
      <c r="A308" s="51" t="s">
        <v>374</v>
      </c>
      <c r="F308" s="233"/>
      <c r="K308" s="233"/>
      <c r="P308" s="233"/>
      <c r="U308" s="233"/>
      <c r="V308" s="225">
        <f>+V312/V303*1000000</f>
        <v>1500</v>
      </c>
      <c r="W308" s="225">
        <f t="shared" ref="W308:Z308" si="7433">+W312/W303*1000000</f>
        <v>1500</v>
      </c>
      <c r="X308" s="225">
        <f t="shared" si="7433"/>
        <v>1500</v>
      </c>
      <c r="Y308" s="225">
        <f t="shared" si="7433"/>
        <v>1500</v>
      </c>
      <c r="Z308" s="236">
        <f t="shared" si="7433"/>
        <v>1500</v>
      </c>
      <c r="AA308" s="225">
        <f>+AA312/AA303*1000000</f>
        <v>1500</v>
      </c>
      <c r="AB308" s="225">
        <f t="shared" ref="AB308:AE308" si="7434">+AB312/AB303*1000000</f>
        <v>1500</v>
      </c>
      <c r="AC308" s="225">
        <f t="shared" si="7434"/>
        <v>1500</v>
      </c>
      <c r="AD308" s="225">
        <f t="shared" si="7434"/>
        <v>1500</v>
      </c>
      <c r="AE308" s="236">
        <f t="shared" si="7434"/>
        <v>1500</v>
      </c>
      <c r="AF308" s="225">
        <f>+AF312/AF303*1000000</f>
        <v>1500</v>
      </c>
      <c r="AG308" s="225">
        <f t="shared" ref="AG308:AJ308" si="7435">+AG312/AG303*1000000</f>
        <v>374.22360248447205</v>
      </c>
      <c r="AH308" s="225">
        <f t="shared" si="7435"/>
        <v>260.97001831974956</v>
      </c>
      <c r="AI308" s="225">
        <f t="shared" si="7435"/>
        <v>324.70260750899052</v>
      </c>
      <c r="AJ308" s="236">
        <f t="shared" si="7435"/>
        <v>370.48998349812877</v>
      </c>
      <c r="AK308" s="225">
        <f>+AK312/AK303*1000000</f>
        <v>453.64718988652635</v>
      </c>
      <c r="AL308" s="225">
        <f t="shared" ref="AL308:AO308" si="7436">+AL312/AL303*1000000</f>
        <v>962.63773519895926</v>
      </c>
      <c r="AM308" s="225">
        <f t="shared" si="7436"/>
        <v>500.65422217018437</v>
      </c>
      <c r="AN308" s="225">
        <f t="shared" si="7436"/>
        <v>556.51593016651111</v>
      </c>
      <c r="AO308" s="236">
        <f t="shared" si="7436"/>
        <v>624.10586436434812</v>
      </c>
      <c r="AP308" s="225">
        <f>+AP312/AP303*1000000</f>
        <v>809.83462809557034</v>
      </c>
      <c r="AQ308" s="225">
        <f t="shared" ref="AQ308:AT308" si="7437">+AQ312/AQ303*1000000</f>
        <v>767.40909090909088</v>
      </c>
      <c r="AR308" s="225">
        <f t="shared" si="7437"/>
        <v>749.50943396226421</v>
      </c>
      <c r="AS308" s="225">
        <f t="shared" si="7437"/>
        <v>780.97499999999991</v>
      </c>
      <c r="AT308" s="236">
        <f t="shared" si="7437"/>
        <v>773.63454710946201</v>
      </c>
      <c r="AU308" s="225">
        <f>+AU312/AU303*1000000</f>
        <v>812.95774647887322</v>
      </c>
      <c r="AV308" s="225">
        <f t="shared" ref="AV308:AY308" si="7438">+AV312/AV303*1000000</f>
        <v>938.18571428571431</v>
      </c>
      <c r="AW308" s="225">
        <f t="shared" si="7438"/>
        <v>876.57977528089873</v>
      </c>
      <c r="AX308" s="225">
        <f t="shared" si="7438"/>
        <v>1152.9714285714285</v>
      </c>
      <c r="AY308" s="236">
        <f t="shared" si="7438"/>
        <v>957.70292397660808</v>
      </c>
      <c r="AZ308" s="225">
        <f>+AZ312/AZ303*1000000</f>
        <v>1038.1445993031359</v>
      </c>
      <c r="BA308" s="225">
        <f t="shared" ref="BA308:BB308" si="7439">+BA312/BA303*1000000</f>
        <v>1106.1030303030304</v>
      </c>
      <c r="BB308" s="225">
        <f t="shared" si="7439"/>
        <v>1099.8242335766422</v>
      </c>
      <c r="BC308" s="225">
        <f>+BC312/BC303*1000000</f>
        <v>1125.5221192052982</v>
      </c>
      <c r="BD308" s="236">
        <v>1071.57</v>
      </c>
      <c r="BE308" s="225">
        <f>+BE312/BE303*1000000</f>
        <v>1148.8485390578414</v>
      </c>
      <c r="BF308" s="225">
        <f t="shared" ref="BF308:BI308" si="7440">+BF312/BF303*1000000</f>
        <v>1176.7206144067795</v>
      </c>
      <c r="BG308" s="225">
        <f t="shared" si="7440"/>
        <v>1195.0877345971567</v>
      </c>
      <c r="BH308" s="225">
        <f t="shared" si="7440"/>
        <v>1220.5924732104586</v>
      </c>
      <c r="BI308" s="236">
        <f t="shared" si="7440"/>
        <v>1188.5046053946055</v>
      </c>
      <c r="BJ308" s="225">
        <f>+BJ312/BJ303*1000000</f>
        <v>1226.6995165027654</v>
      </c>
      <c r="BK308" s="225">
        <f t="shared" ref="BK308:BN308" si="7441">+BK312/BK303*1000000</f>
        <v>1236.4087568373441</v>
      </c>
      <c r="BL308" s="225">
        <f t="shared" si="7441"/>
        <v>1244.0934527631634</v>
      </c>
      <c r="BM308" s="225">
        <f t="shared" si="7441"/>
        <v>1253.6762817149979</v>
      </c>
      <c r="BN308" s="236">
        <f t="shared" si="7441"/>
        <v>1240.8309391762255</v>
      </c>
      <c r="BO308" s="225">
        <f>+BO312/BO303*1000000</f>
        <v>1301.0181744976221</v>
      </c>
      <c r="BP308" s="225">
        <f t="shared" ref="BP308:BS308" si="7442">+BP312/BP303*1000000</f>
        <v>1301.1444156214661</v>
      </c>
      <c r="BQ308" s="225">
        <f t="shared" si="7442"/>
        <v>1299.9009969991637</v>
      </c>
      <c r="BR308" s="225">
        <f t="shared" si="7442"/>
        <v>1299.9037516305132</v>
      </c>
      <c r="BS308" s="236">
        <f t="shared" si="7442"/>
        <v>1300.4742133113743</v>
      </c>
      <c r="BT308" s="225">
        <f>+BT312/BT303*1000000</f>
        <v>1348.6807424641445</v>
      </c>
      <c r="BU308" s="225">
        <f t="shared" ref="BU308:BX308" si="7443">+BU312/BU303*1000000</f>
        <v>1348.7645015166906</v>
      </c>
      <c r="BV308" s="225">
        <f t="shared" si="7443"/>
        <v>1347.8899374507073</v>
      </c>
      <c r="BW308" s="225">
        <f t="shared" si="7443"/>
        <v>1347.8896465615765</v>
      </c>
      <c r="BX308" s="236">
        <f t="shared" si="7443"/>
        <v>1348.2928069586073</v>
      </c>
      <c r="BY308" s="225">
        <f>+BY312/BY303*1000000</f>
        <v>1396.3992235164394</v>
      </c>
      <c r="BZ308" s="225">
        <f t="shared" ref="BZ308:CC308" si="7444">+BZ312/BZ303*1000000</f>
        <v>1396.4593483731489</v>
      </c>
      <c r="CA308" s="225">
        <f t="shared" si="7444"/>
        <v>1395.9292679112664</v>
      </c>
      <c r="CB308" s="225">
        <f t="shared" si="7444"/>
        <v>1395.9344568300328</v>
      </c>
      <c r="CC308" s="236">
        <f t="shared" si="7444"/>
        <v>1396.1736563098466</v>
      </c>
      <c r="CD308" s="225">
        <f>+CD312/CD303*1000000</f>
        <v>1444.2165833408969</v>
      </c>
      <c r="CE308" s="225">
        <f t="shared" ref="CE308:CH308" si="7445">+CE312/CE303*1000000</f>
        <v>1444.2422573120657</v>
      </c>
      <c r="CF308" s="225">
        <f t="shared" si="7445"/>
        <v>1444.0207313965748</v>
      </c>
      <c r="CG308" s="225">
        <f t="shared" si="7445"/>
        <v>1444.0231433788394</v>
      </c>
      <c r="CH308" s="236">
        <f t="shared" si="7445"/>
        <v>1444.1230773452626</v>
      </c>
      <c r="CI308" s="225">
        <f>+CI312/CI303*1000000</f>
        <v>1482.5242718446602</v>
      </c>
      <c r="CJ308" s="225">
        <f t="shared" ref="CJ308:CM308" si="7446">+CJ312/CJ303*1000000</f>
        <v>1482.5242718446605</v>
      </c>
      <c r="CK308" s="225">
        <f t="shared" si="7446"/>
        <v>1482.52427184466</v>
      </c>
      <c r="CL308" s="225">
        <f t="shared" si="7446"/>
        <v>1482.52427184466</v>
      </c>
      <c r="CM308" s="236">
        <f t="shared" si="7446"/>
        <v>1482.5242718446602</v>
      </c>
      <c r="CN308" s="225">
        <f>+CN312/CN303*1000000</f>
        <v>1520.8854605316717</v>
      </c>
      <c r="CO308" s="225">
        <f t="shared" ref="CO308:CR308" si="7447">+CO312/CO303*1000000</f>
        <v>1520.8571755521793</v>
      </c>
      <c r="CP308" s="225">
        <f t="shared" si="7447"/>
        <v>1521.0553396076643</v>
      </c>
      <c r="CQ308" s="225">
        <f t="shared" si="7447"/>
        <v>1521.0501281215331</v>
      </c>
      <c r="CR308" s="236">
        <f t="shared" si="7447"/>
        <v>1520.9634059484183</v>
      </c>
      <c r="CS308" s="225">
        <f>+CS312/CS303*1000000</f>
        <v>1559.2787847069601</v>
      </c>
      <c r="CT308" s="225">
        <f t="shared" ref="CT308:CW308" si="7448">+CT312/CT303*1000000</f>
        <v>1559.223232824512</v>
      </c>
      <c r="CU308" s="225">
        <f t="shared" si="7448"/>
        <v>1559.6060683286189</v>
      </c>
      <c r="CV308" s="225">
        <f t="shared" si="7448"/>
        <v>1559.5954167197981</v>
      </c>
      <c r="CW308" s="236">
        <f t="shared" si="7448"/>
        <v>1559.4283971970408</v>
      </c>
      <c r="CX308" s="225">
        <f>+CX312/CX303*1000000</f>
        <v>1583.2970893793652</v>
      </c>
      <c r="CY308" s="225">
        <f t="shared" ref="CY308:DB308" si="7449">+CY312/CY303*1000000</f>
        <v>1583.2201167025025</v>
      </c>
      <c r="CZ308" s="225">
        <f t="shared" si="7449"/>
        <v>1583.7078888803151</v>
      </c>
      <c r="DA308" s="225">
        <f t="shared" si="7449"/>
        <v>1583.6905800617644</v>
      </c>
      <c r="DB308" s="236">
        <f t="shared" si="7449"/>
        <v>1583.4810974374</v>
      </c>
      <c r="DC308" s="225"/>
      <c r="DD308" s="225"/>
      <c r="DE308" s="225"/>
      <c r="DF308" s="225"/>
      <c r="DG308" s="225"/>
    </row>
    <row r="309" spans="1:111">
      <c r="A309" s="117" t="s">
        <v>281</v>
      </c>
      <c r="F309" s="217"/>
      <c r="K309" s="217"/>
      <c r="P309" s="217"/>
      <c r="U309" s="217"/>
      <c r="V309" s="119" t="s">
        <v>290</v>
      </c>
      <c r="W309" s="119" t="s">
        <v>290</v>
      </c>
      <c r="X309" s="119" t="s">
        <v>290</v>
      </c>
      <c r="Y309" s="119" t="s">
        <v>290</v>
      </c>
      <c r="Z309" s="235" t="s">
        <v>290</v>
      </c>
      <c r="AA309" s="13">
        <f>+AA308/V308-1</f>
        <v>0</v>
      </c>
      <c r="AB309" s="13">
        <f t="shared" ref="AB309" si="7450">+AB308/W308-1</f>
        <v>0</v>
      </c>
      <c r="AC309" s="13">
        <f t="shared" ref="AC309" si="7451">+AC308/X308-1</f>
        <v>0</v>
      </c>
      <c r="AD309" s="13">
        <f t="shared" ref="AD309" si="7452">+AD308/Y308-1</f>
        <v>0</v>
      </c>
      <c r="AE309" s="239">
        <f t="shared" ref="AE309" si="7453">+AE308/Z308-1</f>
        <v>0</v>
      </c>
      <c r="AF309" s="13">
        <f>+AF308/AA308-1</f>
        <v>0</v>
      </c>
      <c r="AG309" s="13">
        <f t="shared" ref="AG309" si="7454">+AG308/AB308-1</f>
        <v>-0.75051759834368537</v>
      </c>
      <c r="AH309" s="13">
        <f t="shared" ref="AH309" si="7455">+AH308/AC308-1</f>
        <v>-0.82601998778683361</v>
      </c>
      <c r="AI309" s="13">
        <f t="shared" ref="AI309" si="7456">+AI308/AD308-1</f>
        <v>-0.78353159499400626</v>
      </c>
      <c r="AJ309" s="239">
        <f t="shared" ref="AJ309" si="7457">+AJ308/AE308-1</f>
        <v>-0.75300667766791418</v>
      </c>
      <c r="AK309" s="13">
        <f>+AK308/AF308-1</f>
        <v>-0.69756854007564906</v>
      </c>
      <c r="AL309" s="13">
        <f t="shared" ref="AL309" si="7458">+AL308/AG308-1</f>
        <v>1.5723597571291692</v>
      </c>
      <c r="AM309" s="13">
        <f t="shared" ref="AM309" si="7459">+AM308/AH308-1</f>
        <v>0.91843578581799146</v>
      </c>
      <c r="AN309" s="13">
        <f t="shared" ref="AN309" si="7460">+AN308/AI308-1</f>
        <v>0.71392504185880923</v>
      </c>
      <c r="AO309" s="239">
        <f t="shared" ref="AO309" si="7461">+AO308/AJ308-1</f>
        <v>0.68454180183659474</v>
      </c>
      <c r="AP309" s="13">
        <f>+AP308/AK308-1</f>
        <v>0.7851639912023689</v>
      </c>
      <c r="AQ309" s="13">
        <f t="shared" ref="AQ309" si="7462">+AQ308/AL308-1</f>
        <v>-0.20280593327199903</v>
      </c>
      <c r="AR309" s="13">
        <f t="shared" ref="AR309" si="7463">+AR308/AM308-1</f>
        <v>0.49706004817729865</v>
      </c>
      <c r="AS309" s="13">
        <f t="shared" ref="AS309" si="7464">+AS308/AN308-1</f>
        <v>0.40332910104896724</v>
      </c>
      <c r="AT309" s="239">
        <f t="shared" ref="AT309" si="7465">+AT308/AO308-1</f>
        <v>0.23958865199481649</v>
      </c>
      <c r="AU309" s="13">
        <f>+AU308/AP308-1</f>
        <v>3.8564890595593759E-3</v>
      </c>
      <c r="AV309" s="13">
        <f t="shared" ref="AV309" si="7466">+AV308/AQ308-1</f>
        <v>0.22253661756119869</v>
      </c>
      <c r="AW309" s="13">
        <f t="shared" ref="AW309" si="7467">+AW308/AR308-1</f>
        <v>0.16953801454756889</v>
      </c>
      <c r="AX309" s="13">
        <f t="shared" ref="AX309" si="7468">+AX308/AS308-1</f>
        <v>0.47632309430062247</v>
      </c>
      <c r="AY309" s="239">
        <f t="shared" ref="AY309" si="7469">+AY308/AT308-1</f>
        <v>0.23792678022831648</v>
      </c>
      <c r="AZ309" s="13">
        <f t="shared" ref="AZ309" si="7470">+AZ308/AU308-1</f>
        <v>0.2769969949847999</v>
      </c>
      <c r="BA309" s="13">
        <f t="shared" ref="BA309" si="7471">+BA308/AV308-1</f>
        <v>0.17898089201364531</v>
      </c>
      <c r="BB309" s="13">
        <f t="shared" ref="BB309" si="7472">+BB308/AW308-1</f>
        <v>0.25467671578916495</v>
      </c>
      <c r="BC309" s="13">
        <f t="shared" ref="BC309" si="7473">+BC308/AX308-1</f>
        <v>-2.3807449764944311E-2</v>
      </c>
      <c r="BD309" s="239">
        <f t="shared" ref="BD309" si="7474">+BD308/AY308-1</f>
        <v>0.11889603046275443</v>
      </c>
      <c r="BE309" s="13">
        <f t="shared" ref="BE309" si="7475">+BE308/AZ308-1</f>
        <v>0.1066363393201839</v>
      </c>
      <c r="BF309" s="13">
        <f t="shared" ref="BF309" si="7476">+BF308/BA308-1</f>
        <v>6.3843586148030429E-2</v>
      </c>
      <c r="BG309" s="13">
        <f t="shared" ref="BG309" si="7477">+BG308/BB308-1</f>
        <v>8.6617023077147914E-2</v>
      </c>
      <c r="BH309" s="13">
        <f t="shared" ref="BH309" si="7478">+BH308/BC308-1</f>
        <v>8.4467779338079252E-2</v>
      </c>
      <c r="BI309" s="239">
        <f t="shared" ref="BI309" si="7479">+BI308/BD308-1</f>
        <v>0.10912456059296693</v>
      </c>
      <c r="BJ309" s="13">
        <f t="shared" ref="BJ309" si="7480">+BJ308/BE308-1</f>
        <v>6.7764352565368391E-2</v>
      </c>
      <c r="BK309" s="13">
        <f t="shared" ref="BK309" si="7481">+BK308/BF308-1</f>
        <v>5.0724141057607808E-2</v>
      </c>
      <c r="BL309" s="13">
        <f t="shared" ref="BL309" si="7482">+BL308/BG308-1</f>
        <v>4.1005958598115511E-2</v>
      </c>
      <c r="BM309" s="13">
        <f t="shared" ref="BM309" si="7483">+BM308/BH308-1</f>
        <v>2.710471285925653E-2</v>
      </c>
      <c r="BN309" s="239">
        <f t="shared" ref="BN309" si="7484">+BN308/BI308-1</f>
        <v>4.4027034934582154E-2</v>
      </c>
      <c r="BO309" s="13">
        <f t="shared" ref="BO309" si="7485">+BO308/BJ308-1</f>
        <v>6.0584240064538442E-2</v>
      </c>
      <c r="BP309" s="13">
        <f t="shared" ref="BP309" si="7486">+BP308/BK308-1</f>
        <v>5.2357813244312323E-2</v>
      </c>
      <c r="BQ309" s="13">
        <f t="shared" ref="BQ309" si="7487">+BQ308/BL308-1</f>
        <v>4.4858000106061446E-2</v>
      </c>
      <c r="BR309" s="13">
        <f t="shared" ref="BR309" si="7488">+BR308/BM308-1</f>
        <v>3.6873529945288031E-2</v>
      </c>
      <c r="BS309" s="239">
        <f t="shared" ref="BS309" si="7489">+BS308/BN308-1</f>
        <v>4.8067204203294134E-2</v>
      </c>
      <c r="BT309" s="13">
        <f>+BT308/BO308-1</f>
        <v>3.6634821020026687E-2</v>
      </c>
      <c r="BU309" s="13">
        <f t="shared" ref="BU309" si="7490">+BU308/BP308-1</f>
        <v>3.6598616820316288E-2</v>
      </c>
      <c r="BV309" s="13">
        <f t="shared" ref="BV309" si="7491">+BV308/BQ308-1</f>
        <v>3.691738106388609E-2</v>
      </c>
      <c r="BW309" s="13">
        <f t="shared" ref="BW309" si="7492">+BW308/BR308-1</f>
        <v>3.6914959950590909E-2</v>
      </c>
      <c r="BX309" s="239">
        <f t="shared" ref="BX309" si="7493">+BX308/BS308-1</f>
        <v>3.6770120589683541E-2</v>
      </c>
      <c r="BY309" s="13">
        <f>+BY308/BT308-1</f>
        <v>3.5381598883891252E-2</v>
      </c>
      <c r="BZ309" s="13">
        <f t="shared" ref="BZ309" si="7494">+BZ308/BU308-1</f>
        <v>3.5361878817855352E-2</v>
      </c>
      <c r="CA309" s="13">
        <f t="shared" ref="CA309" si="7495">+CA308/BV308-1</f>
        <v>3.5640395499514588E-2</v>
      </c>
      <c r="CB309" s="13">
        <f t="shared" ref="CB309" si="7496">+CB308/BW308-1</f>
        <v>3.5644468663304174E-2</v>
      </c>
      <c r="CC309" s="239">
        <f t="shared" ref="CC309" si="7497">+CC308/BX308-1</f>
        <v>3.5512204102939426E-2</v>
      </c>
      <c r="CD309" s="13">
        <f>+CD308/BY308-1</f>
        <v>3.4243330287768936E-2</v>
      </c>
      <c r="CE309" s="13">
        <f t="shared" ref="CE309" si="7498">+CE308/BZ308-1</f>
        <v>3.4217185766691305E-2</v>
      </c>
      <c r="CF309" s="13">
        <f t="shared" ref="CF309" si="7499">+CF308/CA308-1</f>
        <v>3.4451217974151183E-2</v>
      </c>
      <c r="CG309" s="13">
        <f t="shared" ref="CG309" si="7500">+CG308/CB308-1</f>
        <v>3.4449100610360439E-2</v>
      </c>
      <c r="CH309" s="239">
        <f t="shared" ref="CH309" si="7501">+CH308/CC308-1</f>
        <v>3.4343450629306771E-2</v>
      </c>
      <c r="CI309" s="13">
        <f>+CI308/CD308-1</f>
        <v>2.6524891727213395E-2</v>
      </c>
      <c r="CJ309" s="13">
        <f t="shared" ref="CJ309" si="7502">+CJ308/CE308-1</f>
        <v>2.6506643424104581E-2</v>
      </c>
      <c r="CK309" s="13">
        <f t="shared" ref="CK309" si="7503">+CK308/CF308-1</f>
        <v>2.6664118880652676E-2</v>
      </c>
      <c r="CL309" s="13">
        <f t="shared" ref="CL309" si="7504">+CL308/CG308-1</f>
        <v>2.666240402195541E-2</v>
      </c>
      <c r="CM309" s="239">
        <f t="shared" ref="CM309" si="7505">+CM308/CH308-1</f>
        <v>2.6591358521872444E-2</v>
      </c>
      <c r="CN309" s="13">
        <f>+CN308/CI308-1</f>
        <v>2.5875588963734097E-2</v>
      </c>
      <c r="CO309" s="13">
        <f t="shared" ref="CO309" si="7506">+CO308/CJ308-1</f>
        <v>2.5856510031921687E-2</v>
      </c>
      <c r="CP309" s="13">
        <f t="shared" ref="CP309" si="7507">+CP308/CK308-1</f>
        <v>2.5990176683624355E-2</v>
      </c>
      <c r="CQ309" s="13">
        <f t="shared" ref="CQ309" si="7508">+CQ308/CL308-1</f>
        <v>2.5986661404832523E-2</v>
      </c>
      <c r="CR309" s="239">
        <f t="shared" ref="CR309" si="7509">+CR308/CM308-1</f>
        <v>2.5928165112554469E-2</v>
      </c>
      <c r="CS309" s="13">
        <f>+CS308/CN308-1</f>
        <v>2.5244060234402399E-2</v>
      </c>
      <c r="CT309" s="13">
        <f t="shared" ref="CT309" si="7510">+CT308/CO308-1</f>
        <v>2.5226601083302214E-2</v>
      </c>
      <c r="CU309" s="13">
        <f t="shared" ref="CU309" si="7511">+CU308/CP308-1</f>
        <v>2.5344724624482229E-2</v>
      </c>
      <c r="CV309" s="13">
        <f t="shared" ref="CV309" si="7512">+CV308/CQ308-1</f>
        <v>2.5341234904511456E-2</v>
      </c>
      <c r="CW309" s="239">
        <f t="shared" ref="CW309" si="7513">+CW308/CR308-1</f>
        <v>2.528988606707272E-2</v>
      </c>
      <c r="CX309" s="13">
        <f>+CX308/CS308-1</f>
        <v>1.5403470442855394E-2</v>
      </c>
      <c r="CY309" s="13">
        <f t="shared" ref="CY309" si="7514">+CY308/CT308-1</f>
        <v>1.5390281117425575E-2</v>
      </c>
      <c r="CZ309" s="13">
        <f t="shared" ref="CZ309" si="7515">+CZ308/CU308-1</f>
        <v>1.5453787364090754E-2</v>
      </c>
      <c r="DA309" s="13">
        <f t="shared" ref="DA309" si="7516">+DA308/CV308-1</f>
        <v>1.544962436004349E-2</v>
      </c>
      <c r="DB309" s="239">
        <f t="shared" ref="DB309" si="7517">+DB308/CW308-1</f>
        <v>1.5424049147490404E-2</v>
      </c>
    </row>
    <row r="310" spans="1:111">
      <c r="A310" s="117" t="s">
        <v>288</v>
      </c>
      <c r="F310" s="217"/>
      <c r="K310" s="217"/>
      <c r="P310" s="217"/>
      <c r="U310" s="217"/>
      <c r="V310" s="119" t="s">
        <v>290</v>
      </c>
      <c r="W310" s="13">
        <f>+W308/V308-1</f>
        <v>0</v>
      </c>
      <c r="X310" s="13">
        <f t="shared" ref="X310:Y310" si="7518">+X308/W308-1</f>
        <v>0</v>
      </c>
      <c r="Y310" s="13">
        <f t="shared" si="7518"/>
        <v>0</v>
      </c>
      <c r="Z310" s="235" t="s">
        <v>290</v>
      </c>
      <c r="AA310" s="13">
        <f>+AA308/Y308-1</f>
        <v>0</v>
      </c>
      <c r="AB310" s="13">
        <f>+AB308/AA308-1</f>
        <v>0</v>
      </c>
      <c r="AC310" s="13">
        <f t="shared" ref="AC310:AD310" si="7519">+AC308/AB308-1</f>
        <v>0</v>
      </c>
      <c r="AD310" s="13">
        <f t="shared" si="7519"/>
        <v>0</v>
      </c>
      <c r="AE310" s="235" t="s">
        <v>290</v>
      </c>
      <c r="AF310" s="13">
        <f>+AF308/AD308-1</f>
        <v>0</v>
      </c>
      <c r="AG310" s="13">
        <f>+AG308/AF308-1</f>
        <v>-0.75051759834368537</v>
      </c>
      <c r="AH310" s="13">
        <f t="shared" ref="AH310:AI310" si="7520">+AH308/AG308-1</f>
        <v>-0.30263613361859454</v>
      </c>
      <c r="AI310" s="13">
        <f t="shared" si="7520"/>
        <v>0.24421421893435125</v>
      </c>
      <c r="AJ310" s="235" t="s">
        <v>290</v>
      </c>
      <c r="AK310" s="13">
        <f>+AK308/AI308-1</f>
        <v>0.39711594362224378</v>
      </c>
      <c r="AL310" s="13">
        <f>+AL308/AK308-1</f>
        <v>1.1219964691939346</v>
      </c>
      <c r="AM310" s="13">
        <f t="shared" ref="AM310:AN310" si="7521">+AM308/AL308-1</f>
        <v>-0.47991419423558279</v>
      </c>
      <c r="AN310" s="13">
        <f t="shared" si="7521"/>
        <v>0.11157742314482677</v>
      </c>
      <c r="AO310" s="235" t="s">
        <v>290</v>
      </c>
      <c r="AP310" s="13">
        <f>+AP308/AN308-1</f>
        <v>0.45518678657278611</v>
      </c>
      <c r="AQ310" s="13">
        <f>+AQ308/AP308-1</f>
        <v>-5.2387902066189151E-2</v>
      </c>
      <c r="AR310" s="13">
        <f t="shared" ref="AR310:AS310" si="7522">+AR308/AQ308-1</f>
        <v>-2.3324791377728249E-2</v>
      </c>
      <c r="AS310" s="13">
        <f t="shared" si="7522"/>
        <v>4.1981547678984876E-2</v>
      </c>
      <c r="AT310" s="235" t="s">
        <v>290</v>
      </c>
      <c r="AU310" s="13">
        <f>+AU308/AS308-1</f>
        <v>4.0952330713369012E-2</v>
      </c>
      <c r="AV310" s="13">
        <f>+AV308/AU308-1</f>
        <v>0.15403994653994668</v>
      </c>
      <c r="AW310" s="13">
        <f t="shared" ref="AW310:AX310" si="7523">+AW308/AV308-1</f>
        <v>-6.5664972368204455E-2</v>
      </c>
      <c r="AX310" s="13">
        <f t="shared" si="7523"/>
        <v>0.31530690198956557</v>
      </c>
      <c r="AY310" s="235" t="s">
        <v>290</v>
      </c>
      <c r="AZ310" s="13">
        <f>+AZ308/AX308-1</f>
        <v>-9.959208565173816E-2</v>
      </c>
      <c r="BA310" s="13">
        <f t="shared" ref="BA310:BC310" si="7524">+BA308/AZ308-1</f>
        <v>6.5461430946625487E-2</v>
      </c>
      <c r="BB310" s="13">
        <f t="shared" si="7524"/>
        <v>-5.6765025991006857E-3</v>
      </c>
      <c r="BC310" s="13">
        <f t="shared" si="7524"/>
        <v>2.3365447718028731E-2</v>
      </c>
      <c r="BD310" s="235" t="s">
        <v>290</v>
      </c>
      <c r="BE310" s="13">
        <f>+BE308/BC308-1</f>
        <v>2.0724976839205489E-2</v>
      </c>
      <c r="BF310" s="13">
        <f t="shared" ref="BF310:BH310" si="7525">+BF308/BE308-1</f>
        <v>2.4260878959549981E-2</v>
      </c>
      <c r="BG310" s="13">
        <f t="shared" si="7525"/>
        <v>1.560873495841375E-2</v>
      </c>
      <c r="BH310" s="13">
        <f t="shared" si="7525"/>
        <v>2.1341310662768231E-2</v>
      </c>
      <c r="BI310" s="235" t="s">
        <v>290</v>
      </c>
      <c r="BJ310" s="13">
        <f>+BJ308/BH308-1</f>
        <v>5.0033433978531328E-3</v>
      </c>
      <c r="BK310" s="13">
        <f t="shared" ref="BK310:BM310" si="7526">+BK308/BJ308-1</f>
        <v>7.9149296172049688E-3</v>
      </c>
      <c r="BL310" s="13">
        <f t="shared" si="7526"/>
        <v>6.21533605559077E-3</v>
      </c>
      <c r="BM310" s="13">
        <f t="shared" si="7526"/>
        <v>7.7026600618712582E-3</v>
      </c>
      <c r="BN310" s="235" t="s">
        <v>290</v>
      </c>
      <c r="BO310" s="13">
        <f>+BO308/BM308-1</f>
        <v>3.7762453891096781E-2</v>
      </c>
      <c r="BP310" s="13">
        <f t="shared" ref="BP310:BR310" si="7527">+BP308/BO308-1</f>
        <v>9.7032559820187103E-5</v>
      </c>
      <c r="BQ310" s="13">
        <f t="shared" si="7527"/>
        <v>-9.5563459933734052E-4</v>
      </c>
      <c r="BR310" s="13">
        <f t="shared" si="7527"/>
        <v>2.1191085750604799E-6</v>
      </c>
      <c r="BS310" s="235" t="s">
        <v>290</v>
      </c>
      <c r="BT310" s="13">
        <f>+BT308/BR308-1</f>
        <v>3.7523540317849546E-2</v>
      </c>
      <c r="BU310" s="13">
        <f t="shared" ref="BU310:BW310" si="7528">+BU308/BT308-1</f>
        <v>6.210443280529887E-5</v>
      </c>
      <c r="BV310" s="13">
        <f t="shared" si="7528"/>
        <v>-6.4841865648146424E-4</v>
      </c>
      <c r="BW310" s="13">
        <f t="shared" si="7528"/>
        <v>-2.1581074449716908E-7</v>
      </c>
      <c r="BX310" s="235" t="s">
        <v>290</v>
      </c>
      <c r="BY310" s="13">
        <f>+BY308/BW308-1</f>
        <v>3.5989279299391663E-2</v>
      </c>
      <c r="BZ310" s="13">
        <f t="shared" ref="BZ310:CB310" si="7529">+BZ308/BY308-1</f>
        <v>4.305706827745226E-5</v>
      </c>
      <c r="CA310" s="13">
        <f t="shared" si="7529"/>
        <v>-3.7958889565969933E-4</v>
      </c>
      <c r="CB310" s="13">
        <f t="shared" si="7529"/>
        <v>3.7171788611622958E-6</v>
      </c>
      <c r="CC310" s="235" t="s">
        <v>290</v>
      </c>
      <c r="CD310" s="13">
        <f>+CD308/CB308-1</f>
        <v>3.4587674424561454E-2</v>
      </c>
      <c r="CE310" s="13">
        <f t="shared" ref="CE310:CG310" si="7530">+CE308/CD308-1</f>
        <v>1.7777092068405054E-5</v>
      </c>
      <c r="CF310" s="13">
        <f t="shared" si="7530"/>
        <v>-1.5338556559285621E-4</v>
      </c>
      <c r="CG310" s="13">
        <f t="shared" si="7530"/>
        <v>1.670323847902111E-6</v>
      </c>
      <c r="CH310" s="235" t="s">
        <v>290</v>
      </c>
      <c r="CI310" s="13">
        <f t="shared" ref="CI310:CL310" si="7531">+CI308/CH308-1</f>
        <v>2.6591358521872444E-2</v>
      </c>
      <c r="CJ310" s="13">
        <f t="shared" si="7531"/>
        <v>0</v>
      </c>
      <c r="CK310" s="13">
        <f t="shared" si="7531"/>
        <v>0</v>
      </c>
      <c r="CL310" s="13">
        <f t="shared" si="7531"/>
        <v>0</v>
      </c>
      <c r="CM310" s="235" t="s">
        <v>290</v>
      </c>
      <c r="CN310" s="13">
        <f>+CN308/CL308-1</f>
        <v>2.5875588963734097E-2</v>
      </c>
      <c r="CO310" s="13">
        <f t="shared" ref="CO310:CQ310" si="7532">+CO308/CN308-1</f>
        <v>-1.859770523582327E-5</v>
      </c>
      <c r="CP310" s="13">
        <f t="shared" si="7532"/>
        <v>1.3029761023619635E-4</v>
      </c>
      <c r="CQ310" s="13">
        <f t="shared" si="7532"/>
        <v>-3.4262304569043778E-6</v>
      </c>
      <c r="CR310" s="235" t="s">
        <v>290</v>
      </c>
      <c r="CS310" s="13">
        <f>+CS308/CQ308-1</f>
        <v>2.5133068186673491E-2</v>
      </c>
      <c r="CT310" s="13">
        <f t="shared" ref="CT310:CV310" si="7533">+CT308/CS308-1</f>
        <v>-3.5626651880948934E-5</v>
      </c>
      <c r="CU310" s="13">
        <f t="shared" si="7533"/>
        <v>2.4552963042578924E-4</v>
      </c>
      <c r="CV310" s="13">
        <f t="shared" si="7533"/>
        <v>-6.8296790048938405E-6</v>
      </c>
      <c r="CW310" s="235" t="s">
        <v>290</v>
      </c>
      <c r="CX310" s="13">
        <f>+CX308/CV308-1</f>
        <v>1.5197321308764389E-2</v>
      </c>
      <c r="CY310" s="13">
        <f t="shared" ref="CY310:DA310" si="7534">+CY308/CX308-1</f>
        <v>-4.8615435080945346E-5</v>
      </c>
      <c r="CZ310" s="13">
        <f t="shared" si="7534"/>
        <v>3.0808866857268136E-4</v>
      </c>
      <c r="DA310" s="13">
        <f t="shared" si="7534"/>
        <v>-1.0929299949946625E-5</v>
      </c>
      <c r="DB310" s="235" t="s">
        <v>290</v>
      </c>
    </row>
    <row r="311" spans="1:111">
      <c r="F311" s="217"/>
      <c r="K311" s="217"/>
      <c r="P311" s="217"/>
      <c r="U311" s="217"/>
      <c r="Z311" s="217"/>
      <c r="AE311" s="217"/>
      <c r="AJ311" s="217"/>
      <c r="AO311" s="217"/>
      <c r="AT311" s="217"/>
      <c r="AY311" s="217"/>
      <c r="BD311" s="217"/>
      <c r="BI311" s="217"/>
      <c r="BN311" s="217"/>
      <c r="BS311" s="217"/>
      <c r="BX311" s="217"/>
      <c r="CC311" s="217"/>
      <c r="CH311" s="217"/>
      <c r="CM311" s="217"/>
      <c r="CR311" s="217"/>
      <c r="CW311" s="217"/>
      <c r="DB311" s="217"/>
    </row>
    <row r="312" spans="1:111" s="51" customFormat="1">
      <c r="A312" s="51" t="s">
        <v>375</v>
      </c>
      <c r="F312" s="233"/>
      <c r="K312" s="233"/>
      <c r="P312" s="233"/>
      <c r="U312" s="233"/>
      <c r="V312" s="135">
        <f t="shared" ref="V312:BA312" si="7535">+V325+V463</f>
        <v>1.125</v>
      </c>
      <c r="W312" s="135">
        <f t="shared" si="7535"/>
        <v>1.35</v>
      </c>
      <c r="X312" s="135">
        <f t="shared" si="7535"/>
        <v>1.125</v>
      </c>
      <c r="Y312" s="135">
        <f t="shared" si="7535"/>
        <v>1.2</v>
      </c>
      <c r="Z312" s="216">
        <f t="shared" si="7535"/>
        <v>4.8</v>
      </c>
      <c r="AA312" s="135">
        <f t="shared" si="7535"/>
        <v>2.7</v>
      </c>
      <c r="AB312" s="135">
        <f t="shared" si="7535"/>
        <v>1.62</v>
      </c>
      <c r="AC312" s="135">
        <f t="shared" si="7535"/>
        <v>1.575</v>
      </c>
      <c r="AD312" s="135">
        <f t="shared" si="7535"/>
        <v>1.62</v>
      </c>
      <c r="AE312" s="216">
        <f t="shared" si="7535"/>
        <v>7.5150000000000006</v>
      </c>
      <c r="AF312" s="135">
        <f t="shared" si="7535"/>
        <v>1.35</v>
      </c>
      <c r="AG312" s="135">
        <f t="shared" si="7535"/>
        <v>1.0845</v>
      </c>
      <c r="AH312" s="135">
        <f t="shared" si="7535"/>
        <v>1.5066666100000001</v>
      </c>
      <c r="AI312" s="135">
        <f t="shared" si="7535"/>
        <v>2.8017498299999999</v>
      </c>
      <c r="AJ312" s="216">
        <f t="shared" si="7535"/>
        <v>6.7429164400000001</v>
      </c>
      <c r="AK312" s="135">
        <f t="shared" si="7535"/>
        <v>5.1756917699800011</v>
      </c>
      <c r="AL312" s="135">
        <f t="shared" si="7535"/>
        <v>17.925626633364001</v>
      </c>
      <c r="AM312" s="135">
        <f t="shared" si="7535"/>
        <v>10.373181422527999</v>
      </c>
      <c r="AN312" s="135">
        <f t="shared" si="7535"/>
        <v>14.831582913920002</v>
      </c>
      <c r="AO312" s="216">
        <f t="shared" si="7535"/>
        <v>48.306082739792004</v>
      </c>
      <c r="AP312" s="135">
        <f t="shared" si="7535"/>
        <v>24.222548851574402</v>
      </c>
      <c r="AQ312" s="135">
        <f t="shared" si="7535"/>
        <v>33.765999999999998</v>
      </c>
      <c r="AR312" s="135">
        <f t="shared" si="7535"/>
        <v>39.724000000000004</v>
      </c>
      <c r="AS312" s="135">
        <f t="shared" si="7535"/>
        <v>49.982399999999998</v>
      </c>
      <c r="AT312" s="216">
        <f t="shared" si="7535"/>
        <v>147.69494885157442</v>
      </c>
      <c r="AU312" s="135">
        <f t="shared" si="7535"/>
        <v>57.72</v>
      </c>
      <c r="AV312" s="135">
        <f t="shared" si="7535"/>
        <v>78.807600000000008</v>
      </c>
      <c r="AW312" s="135">
        <f t="shared" si="7535"/>
        <v>78.015599999999992</v>
      </c>
      <c r="AX312" s="135">
        <f t="shared" si="7535"/>
        <v>112.99120000000001</v>
      </c>
      <c r="AY312" s="216">
        <f t="shared" si="7535"/>
        <v>327.53439999999995</v>
      </c>
      <c r="AZ312" s="135">
        <f t="shared" si="7535"/>
        <v>119.17900000000002</v>
      </c>
      <c r="BA312" s="135">
        <f t="shared" si="7535"/>
        <v>138.70532000000003</v>
      </c>
      <c r="BB312" s="135">
        <f t="shared" ref="BB312:CG312" si="7536">+BB325+BB463</f>
        <v>150.67591999999999</v>
      </c>
      <c r="BC312" s="135">
        <f t="shared" si="7536"/>
        <v>169.95384000000001</v>
      </c>
      <c r="BD312" s="216">
        <f>BD303*BD308/10^6</f>
        <v>566.00327400000003</v>
      </c>
      <c r="BE312" s="135">
        <f>+BE325+BE463</f>
        <v>192.6619</v>
      </c>
      <c r="BF312" s="135">
        <f t="shared" si="7536"/>
        <v>222.164852</v>
      </c>
      <c r="BG312" s="135">
        <f t="shared" si="7536"/>
        <v>252.16351200000003</v>
      </c>
      <c r="BH312" s="135">
        <f t="shared" si="7536"/>
        <v>284.76422400000001</v>
      </c>
      <c r="BI312" s="216">
        <f t="shared" si="7536"/>
        <v>951.75448800000004</v>
      </c>
      <c r="BJ312" s="135">
        <f t="shared" si="7536"/>
        <v>305.74393297288094</v>
      </c>
      <c r="BK312" s="135">
        <f t="shared" si="7536"/>
        <v>323.68461982810265</v>
      </c>
      <c r="BL312" s="135">
        <f t="shared" si="7536"/>
        <v>343.05474216474499</v>
      </c>
      <c r="BM312" s="135">
        <f t="shared" si="7536"/>
        <v>368.93946247704224</v>
      </c>
      <c r="BN312" s="216">
        <f t="shared" si="7536"/>
        <v>1341.4227574427709</v>
      </c>
      <c r="BO312" s="135">
        <f t="shared" si="7536"/>
        <v>402.66430929967316</v>
      </c>
      <c r="BP312" s="135">
        <f t="shared" si="7536"/>
        <v>417.12903490755247</v>
      </c>
      <c r="BQ312" s="135">
        <f t="shared" si="7536"/>
        <v>427.68486435083167</v>
      </c>
      <c r="BR312" s="135">
        <f t="shared" si="7536"/>
        <v>443.47229770171077</v>
      </c>
      <c r="BS312" s="216">
        <f t="shared" si="7536"/>
        <v>1690.950506259768</v>
      </c>
      <c r="BT312" s="135">
        <f t="shared" si="7536"/>
        <v>481.72975138229168</v>
      </c>
      <c r="BU312" s="135">
        <f t="shared" si="7536"/>
        <v>500.14845741768482</v>
      </c>
      <c r="BV312" s="135">
        <f t="shared" si="7536"/>
        <v>514.26371353183049</v>
      </c>
      <c r="BW312" s="135">
        <f t="shared" si="7536"/>
        <v>534.16361077971112</v>
      </c>
      <c r="BX312" s="216">
        <f t="shared" si="7536"/>
        <v>2030.3055331115181</v>
      </c>
      <c r="BY312" s="135">
        <f t="shared" si="7536"/>
        <v>579.56396308154456</v>
      </c>
      <c r="BZ312" s="135">
        <f t="shared" si="7536"/>
        <v>597.30792171998462</v>
      </c>
      <c r="CA312" s="135">
        <f t="shared" si="7536"/>
        <v>613.38817996901219</v>
      </c>
      <c r="CB312" s="135">
        <f t="shared" si="7536"/>
        <v>632.79231208619399</v>
      </c>
      <c r="CC312" s="216">
        <f t="shared" si="7536"/>
        <v>2423.0523768567359</v>
      </c>
      <c r="CD312" s="135">
        <f t="shared" si="7536"/>
        <v>684.06039964430931</v>
      </c>
      <c r="CE312" s="135">
        <f t="shared" si="7536"/>
        <v>704.49447413580845</v>
      </c>
      <c r="CF312" s="135">
        <f t="shared" si="7536"/>
        <v>720.16924711688193</v>
      </c>
      <c r="CG312" s="135">
        <f t="shared" si="7536"/>
        <v>742.46570867593721</v>
      </c>
      <c r="CH312" s="216">
        <f t="shared" ref="CH312:DB312" si="7537">+CH325+CH463</f>
        <v>2851.1898295729366</v>
      </c>
      <c r="CI312" s="135">
        <f t="shared" si="7537"/>
        <v>787.88989461823564</v>
      </c>
      <c r="CJ312" s="135">
        <f t="shared" si="7537"/>
        <v>804.62132427848803</v>
      </c>
      <c r="CK312" s="135">
        <f t="shared" si="7537"/>
        <v>816.0065990659449</v>
      </c>
      <c r="CL312" s="135">
        <f t="shared" si="7537"/>
        <v>834.76082596490767</v>
      </c>
      <c r="CM312" s="216">
        <f t="shared" si="7537"/>
        <v>3243.2786439275765</v>
      </c>
      <c r="CN312" s="135">
        <f t="shared" si="7537"/>
        <v>883.90086140218318</v>
      </c>
      <c r="CO312" s="135">
        <f t="shared" si="7537"/>
        <v>900.81402727917248</v>
      </c>
      <c r="CP312" s="135">
        <f t="shared" si="7537"/>
        <v>912.10385398421454</v>
      </c>
      <c r="CQ312" s="135">
        <f t="shared" si="7537"/>
        <v>931.21161232051486</v>
      </c>
      <c r="CR312" s="216">
        <f t="shared" si="7537"/>
        <v>3628.0303549860851</v>
      </c>
      <c r="CS312" s="135">
        <f t="shared" si="7537"/>
        <v>984.92884096685259</v>
      </c>
      <c r="CT312" s="135">
        <f t="shared" si="7537"/>
        <v>1002.8271134426743</v>
      </c>
      <c r="CU312" s="135">
        <f t="shared" si="7537"/>
        <v>1014.8105094046634</v>
      </c>
      <c r="CV312" s="135">
        <f t="shared" si="7537"/>
        <v>1035.0872920893601</v>
      </c>
      <c r="CW312" s="216">
        <f t="shared" si="7537"/>
        <v>4037.6537559035501</v>
      </c>
      <c r="CX312" s="135">
        <f t="shared" si="7537"/>
        <v>1079.3188900189573</v>
      </c>
      <c r="CY312" s="135">
        <f t="shared" si="7537"/>
        <v>1093.5957311445536</v>
      </c>
      <c r="CZ312" s="135">
        <f t="shared" si="7537"/>
        <v>1101.6551463665928</v>
      </c>
      <c r="DA312" s="135">
        <f t="shared" si="7537"/>
        <v>1118.4781091695879</v>
      </c>
      <c r="DB312" s="216">
        <f t="shared" si="7537"/>
        <v>4393.0478766996921</v>
      </c>
      <c r="DC312" s="135"/>
      <c r="DD312" s="135"/>
      <c r="DE312" s="135"/>
      <c r="DF312" s="135"/>
      <c r="DG312" s="135"/>
    </row>
    <row r="313" spans="1:111">
      <c r="A313" s="117" t="s">
        <v>281</v>
      </c>
      <c r="F313" s="217"/>
      <c r="K313" s="217"/>
      <c r="P313" s="217"/>
      <c r="U313" s="217"/>
      <c r="V313" s="119" t="s">
        <v>290</v>
      </c>
      <c r="W313" s="119" t="s">
        <v>290</v>
      </c>
      <c r="X313" s="119" t="s">
        <v>290</v>
      </c>
      <c r="Y313" s="119" t="s">
        <v>290</v>
      </c>
      <c r="Z313" s="235" t="s">
        <v>290</v>
      </c>
      <c r="AA313" s="13">
        <f>+AA312/V312-1</f>
        <v>1.4000000000000004</v>
      </c>
      <c r="AB313" s="13">
        <f t="shared" ref="AB313" si="7538">+AB312/W312-1</f>
        <v>0.19999999999999996</v>
      </c>
      <c r="AC313" s="13">
        <f t="shared" ref="AC313" si="7539">+AC312/X312-1</f>
        <v>0.39999999999999991</v>
      </c>
      <c r="AD313" s="13">
        <f t="shared" ref="AD313" si="7540">+AD312/Y312-1</f>
        <v>0.35000000000000009</v>
      </c>
      <c r="AE313" s="239">
        <f t="shared" ref="AE313" si="7541">+AE312/Z312-1</f>
        <v>0.56562500000000027</v>
      </c>
      <c r="AF313" s="13">
        <f>+AF312/AA312-1</f>
        <v>-0.5</v>
      </c>
      <c r="AG313" s="13">
        <f t="shared" ref="AG313" si="7542">+AG312/AB312-1</f>
        <v>-0.3305555555555556</v>
      </c>
      <c r="AH313" s="13">
        <f t="shared" ref="AH313" si="7543">+AH312/AC312-1</f>
        <v>-4.3386279365079217E-2</v>
      </c>
      <c r="AI313" s="13">
        <f t="shared" ref="AI313" si="7544">+AI312/AD312-1</f>
        <v>0.72947520370370356</v>
      </c>
      <c r="AJ313" s="239">
        <f t="shared" ref="AJ313" si="7545">+AJ312/AE312-1</f>
        <v>-0.10273899667332009</v>
      </c>
      <c r="AK313" s="13">
        <f>+AK312/AF312-1</f>
        <v>2.8338457555407413</v>
      </c>
      <c r="AL313" s="13">
        <f t="shared" ref="AL313" si="7546">+AL312/AG312-1</f>
        <v>15.528931888763484</v>
      </c>
      <c r="AM313" s="13">
        <f t="shared" ref="AM313" si="7547">+AM312/AH312-1</f>
        <v>5.8848551854003048</v>
      </c>
      <c r="AN313" s="13">
        <f t="shared" ref="AN313" si="7548">+AN312/AI312-1</f>
        <v>4.2936856656898605</v>
      </c>
      <c r="AO313" s="239">
        <f t="shared" ref="AO313" si="7549">+AO312/AJ312-1</f>
        <v>6.1639746939815261</v>
      </c>
      <c r="AP313" s="13">
        <f>+AP312/AK312-1</f>
        <v>3.6800601597007381</v>
      </c>
      <c r="AQ313" s="13">
        <f t="shared" ref="AQ313" si="7550">+AQ312/AL312-1</f>
        <v>0.8836719457914608</v>
      </c>
      <c r="AR313" s="13">
        <f t="shared" ref="AR313" si="7551">+AR312/AM312-1</f>
        <v>2.8294905277304072</v>
      </c>
      <c r="AS313" s="13">
        <f t="shared" ref="AS313" si="7552">+AS312/AN312-1</f>
        <v>2.3699976792827435</v>
      </c>
      <c r="AT313" s="239">
        <f t="shared" ref="AT313" si="7553">+AT312/AO312-1</f>
        <v>2.0574813869126074</v>
      </c>
      <c r="AU313" s="13">
        <f>+AU312/AP312-1</f>
        <v>1.3829036470804081</v>
      </c>
      <c r="AV313" s="13">
        <f t="shared" ref="AV313" si="7554">+AV312/AQ312-1</f>
        <v>1.3339335426168337</v>
      </c>
      <c r="AW313" s="13">
        <f t="shared" ref="AW313" si="7555">+AW312/AR312-1</f>
        <v>0.96394119424025737</v>
      </c>
      <c r="AX313" s="13">
        <f t="shared" ref="AX313" si="7556">+AX312/AS312-1</f>
        <v>1.2606197381478284</v>
      </c>
      <c r="AY313" s="239">
        <f t="shared" ref="AY313" si="7557">+AY312/AT312-1</f>
        <v>1.217641175590606</v>
      </c>
      <c r="AZ313" s="13">
        <f t="shared" ref="AZ313" si="7558">+AZ312/AU312-1</f>
        <v>1.0647782397782399</v>
      </c>
      <c r="BA313" s="13">
        <f t="shared" ref="BA313" si="7559">+BA312/AV312-1</f>
        <v>0.76005004593465619</v>
      </c>
      <c r="BB313" s="13">
        <f t="shared" ref="BB313" si="7560">+BB312/AW312-1</f>
        <v>0.93135629284399535</v>
      </c>
      <c r="BC313" s="13">
        <f t="shared" ref="BC313" si="7561">+BC312/AX312-1</f>
        <v>0.50413341923972843</v>
      </c>
      <c r="BD313" s="239">
        <f t="shared" ref="BD313" si="7562">+BD312/AY312-1</f>
        <v>0.7280727581591433</v>
      </c>
      <c r="BE313" s="13">
        <f t="shared" ref="BE313" si="7563">+BE312/AZ312-1</f>
        <v>0.61657590682922314</v>
      </c>
      <c r="BF313" s="13">
        <f t="shared" ref="BF313" si="7564">+BF312/BA312-1</f>
        <v>0.60170390003786411</v>
      </c>
      <c r="BG313" s="13">
        <f t="shared" ref="BG313" si="7565">+BG312/BB312-1</f>
        <v>0.67354884576115448</v>
      </c>
      <c r="BH313" s="13">
        <f t="shared" ref="BH313" si="7566">+BH312/BC312-1</f>
        <v>0.67553862860644975</v>
      </c>
      <c r="BI313" s="239">
        <f t="shared" ref="BI313" si="7567">+BI312/BD312-1</f>
        <v>0.68153530504136262</v>
      </c>
      <c r="BJ313" s="13">
        <f t="shared" ref="BJ313" si="7568">+BJ312/BE312-1</f>
        <v>0.58694548830298543</v>
      </c>
      <c r="BK313" s="13">
        <f t="shared" ref="BK313" si="7569">+BK312/BF312-1</f>
        <v>0.45695692596821158</v>
      </c>
      <c r="BL313" s="13">
        <f t="shared" ref="BL313" si="7570">+BL312/BG312-1</f>
        <v>0.36044560707397255</v>
      </c>
      <c r="BM313" s="13">
        <f t="shared" ref="BM313" si="7571">+BM312/BH312-1</f>
        <v>0.2955962560698715</v>
      </c>
      <c r="BN313" s="239">
        <f t="shared" ref="BN313" si="7572">+BN312/BI312-1</f>
        <v>0.40942099496857942</v>
      </c>
      <c r="BO313" s="13">
        <f t="shared" ref="BO313" si="7573">+BO312/BJ312-1</f>
        <v>0.31699852678806528</v>
      </c>
      <c r="BP313" s="13">
        <f t="shared" ref="BP313" si="7574">+BP312/BK312-1</f>
        <v>0.28868969779619058</v>
      </c>
      <c r="BQ313" s="13">
        <f t="shared" ref="BQ313" si="7575">+BQ312/BL312-1</f>
        <v>0.24669567793190517</v>
      </c>
      <c r="BR313" s="13">
        <f t="shared" ref="BR313" si="7576">+BR312/BM312-1</f>
        <v>0.20201914624220074</v>
      </c>
      <c r="BS313" s="239">
        <f t="shared" ref="BS313" si="7577">+BS312/BN312-1</f>
        <v>0.26056494634347893</v>
      </c>
      <c r="BT313" s="13">
        <f>+BT312/BO312-1</f>
        <v>0.19635572425113046</v>
      </c>
      <c r="BU313" s="13">
        <f t="shared" ref="BU313" si="7578">+BU312/BP312-1</f>
        <v>0.19902575836882663</v>
      </c>
      <c r="BV313" s="13">
        <f t="shared" ref="BV313" si="7579">+BV312/BQ312-1</f>
        <v>0.20243608413034186</v>
      </c>
      <c r="BW313" s="13">
        <f t="shared" ref="BW313" si="7580">+BW312/BR312-1</f>
        <v>0.20450276950331925</v>
      </c>
      <c r="BX313" s="239">
        <f t="shared" ref="BX313" si="7581">+BX312/BS312-1</f>
        <v>0.20068891762087904</v>
      </c>
      <c r="BY313" s="13">
        <f>+BY312/BT312-1</f>
        <v>0.20308941147712822</v>
      </c>
      <c r="BZ313" s="13">
        <f t="shared" ref="BZ313" si="7582">+BZ312/BU312-1</f>
        <v>0.19426124955766855</v>
      </c>
      <c r="CA313" s="13">
        <f t="shared" ref="CA313" si="7583">+CA312/BV312-1</f>
        <v>0.19275026378279825</v>
      </c>
      <c r="CB313" s="13">
        <f t="shared" ref="CB313" si="7584">+CB312/BW312-1</f>
        <v>0.18464137076375531</v>
      </c>
      <c r="CC313" s="239">
        <f t="shared" ref="CC313" si="7585">+CC312/BX312-1</f>
        <v>0.19344223681611061</v>
      </c>
      <c r="CD313" s="13">
        <f>+CD312/BY312-1</f>
        <v>0.18030181864165029</v>
      </c>
      <c r="CE313" s="13">
        <f t="shared" ref="CE313" si="7586">+CE312/BZ312-1</f>
        <v>0.17944940711178514</v>
      </c>
      <c r="CF313" s="13">
        <f t="shared" ref="CF313" si="7587">+CF312/CA312-1</f>
        <v>0.17408399873839153</v>
      </c>
      <c r="CG313" s="13">
        <f t="shared" ref="CG313" si="7588">+CG312/CB312-1</f>
        <v>0.17331657558887081</v>
      </c>
      <c r="CH313" s="239">
        <f t="shared" ref="CH313" si="7589">+CH312/CC312-1</f>
        <v>0.17669343709011964</v>
      </c>
      <c r="CI313" s="13">
        <f>+CI312/CD312-1</f>
        <v>0.15178410419301347</v>
      </c>
      <c r="CJ313" s="13">
        <f t="shared" ref="CJ313" si="7590">+CJ312/CE312-1</f>
        <v>0.14212581335787422</v>
      </c>
      <c r="CK313" s="13">
        <f t="shared" ref="CK313" si="7591">+CK312/CF312-1</f>
        <v>0.13307615165842912</v>
      </c>
      <c r="CL313" s="13">
        <f t="shared" ref="CL313" si="7592">+CL312/CG312-1</f>
        <v>0.12430892930201898</v>
      </c>
      <c r="CM313" s="239">
        <f t="shared" ref="CM313" si="7593">+CM312/CH312-1</f>
        <v>0.13751761116984929</v>
      </c>
      <c r="CN313" s="13">
        <f>+CN312/CI312-1</f>
        <v>0.12185835538666057</v>
      </c>
      <c r="CO313" s="13">
        <f t="shared" ref="CO313" si="7594">+CO312/CJ312-1</f>
        <v>0.11955027799808993</v>
      </c>
      <c r="CP313" s="13">
        <f t="shared" ref="CP313" si="7595">+CP312/CK312-1</f>
        <v>0.11776529139380609</v>
      </c>
      <c r="CQ313" s="13">
        <f t="shared" ref="CQ313" si="7596">+CQ312/CL312-1</f>
        <v>0.1155430194560445</v>
      </c>
      <c r="CR313" s="239">
        <f t="shared" ref="CR313" si="7597">+CR312/CM312-1</f>
        <v>0.1186304826996234</v>
      </c>
      <c r="CS313" s="13">
        <f>+CS312/CN312-1</f>
        <v>0.11429786300287437</v>
      </c>
      <c r="CT313" s="13">
        <f t="shared" ref="CT313" si="7598">+CT312/CO312-1</f>
        <v>0.1132454458681369</v>
      </c>
      <c r="CU313" s="13">
        <f t="shared" ref="CU313" si="7599">+CU312/CP312-1</f>
        <v>0.11260412394028374</v>
      </c>
      <c r="CV313" s="13">
        <f t="shared" ref="CV313" si="7600">+CV312/CQ312-1</f>
        <v>0.11154895234821471</v>
      </c>
      <c r="CW313" s="239">
        <f t="shared" ref="CW313" si="7601">+CW312/CR312-1</f>
        <v>0.11290517466440431</v>
      </c>
      <c r="CX313" s="13">
        <f>+CX312/CS312-1</f>
        <v>9.5834384298714381E-2</v>
      </c>
      <c r="CY313" s="13">
        <f t="shared" ref="CY313" si="7602">+CY312/CT312-1</f>
        <v>9.0512727951953309E-2</v>
      </c>
      <c r="CZ313" s="13">
        <f t="shared" ref="CZ313" si="7603">+CZ312/CU312-1</f>
        <v>8.5577195108943682E-2</v>
      </c>
      <c r="DA313" s="13">
        <f t="shared" ref="DA313" si="7604">+DA312/CV312-1</f>
        <v>8.0564042972550265E-2</v>
      </c>
      <c r="DB313" s="239">
        <f t="shared" ref="DB313" si="7605">+DB312/CW312-1</f>
        <v>8.8019959679928483E-2</v>
      </c>
    </row>
    <row r="314" spans="1:111">
      <c r="A314" s="117" t="s">
        <v>288</v>
      </c>
      <c r="F314" s="217"/>
      <c r="K314" s="217"/>
      <c r="P314" s="217"/>
      <c r="U314" s="217"/>
      <c r="V314" s="119" t="s">
        <v>290</v>
      </c>
      <c r="W314" s="13">
        <f>+W312/V312-1</f>
        <v>0.20000000000000018</v>
      </c>
      <c r="X314" s="13">
        <f t="shared" ref="X314:Y314" si="7606">+X312/W312-1</f>
        <v>-0.16666666666666674</v>
      </c>
      <c r="Y314" s="13">
        <f t="shared" si="7606"/>
        <v>6.6666666666666652E-2</v>
      </c>
      <c r="Z314" s="235" t="s">
        <v>290</v>
      </c>
      <c r="AA314" s="13">
        <f>+AA312/Y312-1</f>
        <v>1.2500000000000004</v>
      </c>
      <c r="AB314" s="13">
        <f>+AB312/AA312-1</f>
        <v>-0.4</v>
      </c>
      <c r="AC314" s="13">
        <f t="shared" ref="AC314:AD314" si="7607">+AC312/AB312-1</f>
        <v>-2.7777777777777901E-2</v>
      </c>
      <c r="AD314" s="13">
        <f t="shared" si="7607"/>
        <v>2.8571428571428692E-2</v>
      </c>
      <c r="AE314" s="235" t="s">
        <v>290</v>
      </c>
      <c r="AF314" s="13">
        <f>+AF312/AD312-1</f>
        <v>-0.16666666666666663</v>
      </c>
      <c r="AG314" s="13">
        <f>+AG312/AF312-1</f>
        <v>-0.19666666666666666</v>
      </c>
      <c r="AH314" s="13">
        <f t="shared" ref="AH314:AI314" si="7608">+AH312/AG312-1</f>
        <v>0.38927303826648241</v>
      </c>
      <c r="AI314" s="13">
        <f t="shared" si="7608"/>
        <v>0.8595685411784626</v>
      </c>
      <c r="AJ314" s="235" t="s">
        <v>290</v>
      </c>
      <c r="AK314" s="13">
        <f>+AK312/AI312-1</f>
        <v>0.84730689177198992</v>
      </c>
      <c r="AL314" s="13">
        <f>+AL312/AK312-1</f>
        <v>2.463426229772038</v>
      </c>
      <c r="AM314" s="13">
        <f t="shared" ref="AM314:AN314" si="7609">+AM312/AL312-1</f>
        <v>-0.42132112674817424</v>
      </c>
      <c r="AN314" s="13">
        <f t="shared" si="7609"/>
        <v>0.42980078240118802</v>
      </c>
      <c r="AO314" s="235" t="s">
        <v>290</v>
      </c>
      <c r="AP314" s="13">
        <f>+AP312/AN312-1</f>
        <v>0.63317354541035686</v>
      </c>
      <c r="AQ314" s="13">
        <f>+AQ312/AP312-1</f>
        <v>0.39399037677264492</v>
      </c>
      <c r="AR314" s="13">
        <f t="shared" ref="AR314:AS314" si="7610">+AR312/AQ312-1</f>
        <v>0.17644968311319098</v>
      </c>
      <c r="AS314" s="13">
        <f t="shared" si="7610"/>
        <v>0.25824186889537804</v>
      </c>
      <c r="AT314" s="235" t="s">
        <v>290</v>
      </c>
      <c r="AU314" s="13">
        <f>+AU312/AS312-1</f>
        <v>0.1548064918851435</v>
      </c>
      <c r="AV314" s="13">
        <f>+AV312/AU312-1</f>
        <v>0.36534303534303558</v>
      </c>
      <c r="AW314" s="13">
        <f t="shared" ref="AW314:AX314" si="7611">+AW312/AV312-1</f>
        <v>-1.0049792152026171E-2</v>
      </c>
      <c r="AX314" s="13">
        <f t="shared" si="7611"/>
        <v>0.44831546511210596</v>
      </c>
      <c r="AY314" s="235" t="s">
        <v>290</v>
      </c>
      <c r="AZ314" s="13">
        <f>+AZ312/AX312-1</f>
        <v>5.4763556807963854E-2</v>
      </c>
      <c r="BA314" s="13">
        <f t="shared" ref="BA314:BC314" si="7612">+BA312/AZ312-1</f>
        <v>0.163840273873753</v>
      </c>
      <c r="BB314" s="13">
        <f t="shared" si="7612"/>
        <v>8.6302385517728952E-2</v>
      </c>
      <c r="BC314" s="13">
        <f t="shared" si="7612"/>
        <v>0.12794293872571028</v>
      </c>
      <c r="BD314" s="235" t="s">
        <v>290</v>
      </c>
      <c r="BE314" s="13">
        <f>+BE312/BC312-1</f>
        <v>0.13361310341678645</v>
      </c>
      <c r="BF314" s="13">
        <f t="shared" ref="BF314:BH314" si="7613">+BF312/BE312-1</f>
        <v>0.15313329724247504</v>
      </c>
      <c r="BG314" s="13">
        <f t="shared" si="7613"/>
        <v>0.13502882985288789</v>
      </c>
      <c r="BH314" s="13">
        <f t="shared" si="7613"/>
        <v>0.12928401790343069</v>
      </c>
      <c r="BI314" s="235" t="s">
        <v>290</v>
      </c>
      <c r="BJ314" s="13">
        <f>+BJ312/BH312-1</f>
        <v>7.3673963246453811E-2</v>
      </c>
      <c r="BK314" s="13">
        <f t="shared" ref="BK314:BM314" si="7614">+BK312/BJ312-1</f>
        <v>5.8678799218603084E-2</v>
      </c>
      <c r="BL314" s="13">
        <f t="shared" si="7614"/>
        <v>5.9842578701852167E-2</v>
      </c>
      <c r="BM314" s="13">
        <f t="shared" si="7614"/>
        <v>7.5453614630013321E-2</v>
      </c>
      <c r="BN314" s="235" t="s">
        <v>290</v>
      </c>
      <c r="BO314" s="13">
        <f>+BO312/BM312-1</f>
        <v>9.1410245453831029E-2</v>
      </c>
      <c r="BP314" s="13">
        <f t="shared" ref="BP314:BR314" si="7615">+BP312/BO312-1</f>
        <v>3.5922542112154954E-2</v>
      </c>
      <c r="BQ314" s="13">
        <f t="shared" si="7615"/>
        <v>2.5305909107043334E-2</v>
      </c>
      <c r="BR314" s="13">
        <f t="shared" si="7615"/>
        <v>3.6913706017729364E-2</v>
      </c>
      <c r="BS314" s="235" t="s">
        <v>290</v>
      </c>
      <c r="BT314" s="13">
        <f>+BT312/BR312-1</f>
        <v>8.6267967309005877E-2</v>
      </c>
      <c r="BU314" s="13">
        <f t="shared" ref="BU314:BW314" si="7616">+BU312/BT312-1</f>
        <v>3.8234520459950572E-2</v>
      </c>
      <c r="BV314" s="13">
        <f t="shared" si="7616"/>
        <v>2.822213265841933E-2</v>
      </c>
      <c r="BW314" s="13">
        <f t="shared" si="7616"/>
        <v>3.8695900029992902E-2</v>
      </c>
      <c r="BX314" s="235" t="s">
        <v>290</v>
      </c>
      <c r="BY314" s="13">
        <f>+BY312/BW312-1</f>
        <v>8.4993345457514691E-2</v>
      </c>
      <c r="BZ314" s="13">
        <f t="shared" ref="BZ314:CB314" si="7617">+BZ312/BY312-1</f>
        <v>3.0616048907001314E-2</v>
      </c>
      <c r="CA314" s="13">
        <f t="shared" si="7617"/>
        <v>2.6921220469876772E-2</v>
      </c>
      <c r="CB314" s="13">
        <f t="shared" si="7617"/>
        <v>3.1634343065042536E-2</v>
      </c>
      <c r="CC314" s="235" t="s">
        <v>290</v>
      </c>
      <c r="CD314" s="13">
        <f>+CD312/CB312-1</f>
        <v>8.1018821782291139E-2</v>
      </c>
      <c r="CE314" s="13">
        <f t="shared" ref="CE314:CG314" si="7618">+CE312/CD312-1</f>
        <v>2.9871740130146707E-2</v>
      </c>
      <c r="CF314" s="13">
        <f t="shared" si="7618"/>
        <v>2.2249674847061751E-2</v>
      </c>
      <c r="CG314" s="13">
        <f t="shared" si="7618"/>
        <v>3.0960030087811674E-2</v>
      </c>
      <c r="CH314" s="235" t="s">
        <v>290</v>
      </c>
      <c r="CI314" s="13">
        <f t="shared" ref="CI314:CL314" si="7619">+CI312/CH312-1</f>
        <v>-0.72366277178526228</v>
      </c>
      <c r="CJ314" s="13">
        <f t="shared" si="7619"/>
        <v>2.1235745977373544E-2</v>
      </c>
      <c r="CK314" s="13">
        <f t="shared" si="7619"/>
        <v>1.4149854650777671E-2</v>
      </c>
      <c r="CL314" s="13">
        <f t="shared" si="7619"/>
        <v>2.2982935334628474E-2</v>
      </c>
      <c r="CM314" s="235" t="s">
        <v>290</v>
      </c>
      <c r="CN314" s="13">
        <f>+CN312/CL312-1</f>
        <v>5.8867203525601708E-2</v>
      </c>
      <c r="CO314" s="13">
        <f t="shared" ref="CO314:CQ314" si="7620">+CO312/CN312-1</f>
        <v>1.9134686496581788E-2</v>
      </c>
      <c r="CP314" s="13">
        <f t="shared" si="7620"/>
        <v>1.2532916188197074E-2</v>
      </c>
      <c r="CQ314" s="13">
        <f t="shared" si="7620"/>
        <v>2.0949103825002702E-2</v>
      </c>
      <c r="CR314" s="235" t="s">
        <v>290</v>
      </c>
      <c r="CS314" s="13">
        <f>+CS312/CQ312-1</f>
        <v>5.7685307974712829E-2</v>
      </c>
      <c r="CT314" s="13">
        <f t="shared" ref="CT314:CV314" si="7621">+CT312/CS312-1</f>
        <v>1.8172147805370242E-2</v>
      </c>
      <c r="CU314" s="13">
        <f t="shared" si="7621"/>
        <v>1.1949613050299845E-2</v>
      </c>
      <c r="CV314" s="13">
        <f t="shared" si="7621"/>
        <v>1.9980856028572136E-2</v>
      </c>
      <c r="CW314" s="235" t="s">
        <v>290</v>
      </c>
      <c r="CX314" s="13">
        <f>+CX312/CV312-1</f>
        <v>4.2732239365352642E-2</v>
      </c>
      <c r="CY314" s="13">
        <f t="shared" ref="CY314:DA314" si="7622">+CY312/CX312-1</f>
        <v>1.3227639447082717E-2</v>
      </c>
      <c r="CZ314" s="13">
        <f t="shared" si="7622"/>
        <v>7.3696476609361738E-3</v>
      </c>
      <c r="DA314" s="13">
        <f t="shared" si="7622"/>
        <v>1.527062516657729E-2</v>
      </c>
      <c r="DB314" s="235" t="s">
        <v>290</v>
      </c>
    </row>
    <row r="315" spans="1:111">
      <c r="A315" s="117" t="s">
        <v>401</v>
      </c>
      <c r="F315" s="217"/>
      <c r="K315" s="217"/>
      <c r="P315" s="217"/>
      <c r="U315" s="217"/>
      <c r="V315" s="119"/>
      <c r="W315" s="13"/>
      <c r="X315" s="13"/>
      <c r="Y315" s="13"/>
      <c r="Z315" s="235"/>
      <c r="AA315" s="13"/>
      <c r="AB315" s="13"/>
      <c r="AC315" s="13"/>
      <c r="AD315" s="13"/>
      <c r="AE315" s="235"/>
      <c r="AF315" s="13"/>
      <c r="AG315" s="13"/>
      <c r="AH315" s="13"/>
      <c r="AI315" s="13"/>
      <c r="AJ315" s="235"/>
      <c r="AK315" s="13"/>
      <c r="AL315" s="13"/>
      <c r="AM315" s="13"/>
      <c r="AN315" s="13"/>
      <c r="AO315" s="235"/>
      <c r="AP315" s="13"/>
      <c r="AQ315" s="13"/>
      <c r="AR315" s="13"/>
      <c r="AS315" s="13"/>
      <c r="AT315" s="235"/>
      <c r="AU315" s="13"/>
      <c r="AV315" s="13"/>
      <c r="AW315" s="13"/>
      <c r="AX315" s="13"/>
      <c r="AY315" s="239">
        <f t="shared" ref="AY315:CD315" si="7623">AY312/AY17</f>
        <v>0.30255234991515567</v>
      </c>
      <c r="AZ315" s="13">
        <f t="shared" si="7623"/>
        <v>0.32408407003842377</v>
      </c>
      <c r="BA315" s="13">
        <f t="shared" si="7623"/>
        <v>0.33556304448277618</v>
      </c>
      <c r="BB315" s="13">
        <f t="shared" si="7623"/>
        <v>0.3426337212739734</v>
      </c>
      <c r="BC315" s="13">
        <f t="shared" si="7623"/>
        <v>0.35700013233598216</v>
      </c>
      <c r="BD315" s="239">
        <f t="shared" si="7623"/>
        <v>0.33354918083505852</v>
      </c>
      <c r="BE315" s="13">
        <f t="shared" si="7623"/>
        <v>0.38391865771277128</v>
      </c>
      <c r="BF315" s="13">
        <f t="shared" si="7623"/>
        <v>0.40644868642517379</v>
      </c>
      <c r="BG315" s="13">
        <f t="shared" si="7623"/>
        <v>0.42582024813275632</v>
      </c>
      <c r="BH315" s="13">
        <f t="shared" si="7623"/>
        <v>0.42789515251690458</v>
      </c>
      <c r="BI315" s="239">
        <f t="shared" si="7623"/>
        <v>0.4127093893490909</v>
      </c>
      <c r="BJ315" s="13">
        <f t="shared" si="7623"/>
        <v>0.49590856896606506</v>
      </c>
      <c r="BK315" s="13">
        <f t="shared" si="7623"/>
        <v>0.49758758982486384</v>
      </c>
      <c r="BL315" s="13">
        <f t="shared" si="7623"/>
        <v>0.50704106503467705</v>
      </c>
      <c r="BM315" s="13">
        <f t="shared" si="7623"/>
        <v>0.51577788333024632</v>
      </c>
      <c r="BN315" s="239">
        <f t="shared" si="7623"/>
        <v>0.50449733320005186</v>
      </c>
      <c r="BO315" s="13">
        <f t="shared" si="7623"/>
        <v>0.52832789522861656</v>
      </c>
      <c r="BP315" s="13">
        <f t="shared" si="7623"/>
        <v>0.54664645665431078</v>
      </c>
      <c r="BQ315" s="13">
        <f t="shared" si="7623"/>
        <v>0.54085949583397297</v>
      </c>
      <c r="BR315" s="13">
        <f t="shared" si="7623"/>
        <v>0.54539305028278551</v>
      </c>
      <c r="BS315" s="239">
        <f t="shared" si="7623"/>
        <v>0.54039650326492505</v>
      </c>
      <c r="BT315" s="13">
        <f t="shared" si="7623"/>
        <v>0.54935519273762212</v>
      </c>
      <c r="BU315" s="13">
        <f t="shared" si="7623"/>
        <v>0.56446866901613579</v>
      </c>
      <c r="BV315" s="13">
        <f t="shared" si="7623"/>
        <v>0.56287433511905494</v>
      </c>
      <c r="BW315" s="13">
        <f t="shared" si="7623"/>
        <v>0.56790767203978054</v>
      </c>
      <c r="BX315" s="239">
        <f t="shared" si="7623"/>
        <v>0.56129630334439629</v>
      </c>
      <c r="BY315" s="13">
        <f t="shared" si="7623"/>
        <v>0.57222797242298229</v>
      </c>
      <c r="BZ315" s="13">
        <f t="shared" si="7623"/>
        <v>0.58738709278398926</v>
      </c>
      <c r="CA315" s="13">
        <f t="shared" si="7623"/>
        <v>0.58333678743390693</v>
      </c>
      <c r="CB315" s="13">
        <f t="shared" si="7623"/>
        <v>0.58776607035874529</v>
      </c>
      <c r="CC315" s="239">
        <f t="shared" si="7623"/>
        <v>0.58276823987097015</v>
      </c>
      <c r="CD315" s="13">
        <f t="shared" si="7623"/>
        <v>0.59224162695384597</v>
      </c>
      <c r="CE315" s="13">
        <f t="shared" ref="CE315:DB315" si="7624">CE312/CE17</f>
        <v>0.60637404757938285</v>
      </c>
      <c r="CF315" s="13">
        <f t="shared" si="7624"/>
        <v>0.6017877556107627</v>
      </c>
      <c r="CG315" s="13">
        <f t="shared" si="7624"/>
        <v>0.60584481697896797</v>
      </c>
      <c r="CH315" s="239">
        <f t="shared" si="7624"/>
        <v>0.60163461353409853</v>
      </c>
      <c r="CI315" s="13">
        <f t="shared" si="7624"/>
        <v>0.60681583042249754</v>
      </c>
      <c r="CJ315" s="13">
        <f t="shared" si="7624"/>
        <v>0.61845004438946083</v>
      </c>
      <c r="CK315" s="13">
        <f t="shared" si="7624"/>
        <v>0.61223388263012846</v>
      </c>
      <c r="CL315" s="13">
        <f t="shared" si="7624"/>
        <v>0.61450574854542206</v>
      </c>
      <c r="CM315" s="239">
        <f t="shared" si="7624"/>
        <v>0.61301615619678884</v>
      </c>
      <c r="CN315" s="13">
        <f t="shared" si="7624"/>
        <v>0.61581947550175953</v>
      </c>
      <c r="CO315" s="13">
        <f t="shared" si="7624"/>
        <v>0.62645550355899338</v>
      </c>
      <c r="CP315" s="13">
        <f t="shared" si="7624"/>
        <v>0.62020931677908564</v>
      </c>
      <c r="CQ315" s="13">
        <f t="shared" si="7624"/>
        <v>0.6219643617694629</v>
      </c>
      <c r="CR315" s="239">
        <f t="shared" si="7624"/>
        <v>0.62111813994748011</v>
      </c>
      <c r="CS315" s="13">
        <f t="shared" si="7624"/>
        <v>0.6237873590807308</v>
      </c>
      <c r="CT315" s="13">
        <f t="shared" si="7624"/>
        <v>0.63378607175866641</v>
      </c>
      <c r="CU315" s="13">
        <f t="shared" si="7624"/>
        <v>0.62767070498441258</v>
      </c>
      <c r="CV315" s="13">
        <f t="shared" si="7624"/>
        <v>0.62920858639079624</v>
      </c>
      <c r="CW315" s="239">
        <f t="shared" si="7624"/>
        <v>0.628616439150114</v>
      </c>
      <c r="CX315" s="13">
        <f t="shared" si="7624"/>
        <v>0.6284054591952456</v>
      </c>
      <c r="CY315" s="13">
        <f t="shared" si="7624"/>
        <v>0.6368976505464754</v>
      </c>
      <c r="CZ315" s="13">
        <f t="shared" si="7624"/>
        <v>0.62996878500391729</v>
      </c>
      <c r="DA315" s="13">
        <f t="shared" si="7624"/>
        <v>0.63041264289782339</v>
      </c>
      <c r="DB315" s="239">
        <f t="shared" si="7624"/>
        <v>0.63140602996485862</v>
      </c>
    </row>
    <row r="316" spans="1:111">
      <c r="F316" s="217"/>
      <c r="K316" s="217"/>
      <c r="P316" s="217"/>
      <c r="U316" s="217"/>
      <c r="Z316" s="217"/>
      <c r="AE316" s="217"/>
      <c r="AJ316" s="217"/>
      <c r="AO316" s="217"/>
      <c r="AT316" s="217"/>
      <c r="AY316" s="217"/>
      <c r="BD316" s="217"/>
      <c r="BI316" s="217"/>
      <c r="BN316" s="217"/>
      <c r="BS316" s="217"/>
      <c r="BX316" s="217"/>
      <c r="CC316" s="217"/>
      <c r="CH316" s="217"/>
      <c r="CM316" s="217"/>
      <c r="CR316" s="217"/>
      <c r="CW316" s="217"/>
      <c r="DB316" s="217"/>
    </row>
    <row r="317" spans="1:111" s="121" customFormat="1">
      <c r="A317" s="121" t="s">
        <v>215</v>
      </c>
      <c r="F317" s="237"/>
      <c r="K317" s="237"/>
      <c r="P317" s="237"/>
      <c r="U317" s="237"/>
      <c r="Z317" s="237"/>
      <c r="AE317" s="237"/>
      <c r="AJ317" s="237"/>
      <c r="AO317" s="237"/>
      <c r="AT317" s="237"/>
      <c r="AY317" s="237"/>
      <c r="BD317" s="237"/>
      <c r="BI317" s="237"/>
      <c r="BN317" s="237"/>
      <c r="BS317" s="237"/>
      <c r="BX317" s="237"/>
      <c r="CC317" s="237"/>
      <c r="CH317" s="237"/>
      <c r="CM317" s="237"/>
      <c r="CR317" s="237"/>
      <c r="CW317" s="237"/>
      <c r="DB317" s="237"/>
    </row>
    <row r="318" spans="1:111" s="51" customFormat="1">
      <c r="A318" s="51" t="s">
        <v>308</v>
      </c>
      <c r="F318" s="233"/>
      <c r="K318" s="233"/>
      <c r="P318" s="233"/>
      <c r="U318" s="233"/>
      <c r="V318" s="213">
        <f t="shared" ref="V318:AZ318" si="7625">+V337+V442</f>
        <v>750</v>
      </c>
      <c r="W318" s="213">
        <f t="shared" si="7625"/>
        <v>900</v>
      </c>
      <c r="X318" s="213">
        <f t="shared" si="7625"/>
        <v>750</v>
      </c>
      <c r="Y318" s="213">
        <f t="shared" si="7625"/>
        <v>800</v>
      </c>
      <c r="Z318" s="234">
        <f t="shared" si="7625"/>
        <v>3200</v>
      </c>
      <c r="AA318" s="213">
        <f t="shared" si="7625"/>
        <v>1800</v>
      </c>
      <c r="AB318" s="213">
        <f t="shared" si="7625"/>
        <v>1080</v>
      </c>
      <c r="AC318" s="213">
        <f t="shared" si="7625"/>
        <v>1050</v>
      </c>
      <c r="AD318" s="213">
        <f t="shared" si="7625"/>
        <v>1080</v>
      </c>
      <c r="AE318" s="234">
        <f t="shared" si="7625"/>
        <v>5010</v>
      </c>
      <c r="AF318" s="213">
        <f t="shared" si="7625"/>
        <v>900</v>
      </c>
      <c r="AG318" s="213">
        <f t="shared" si="7625"/>
        <v>2898</v>
      </c>
      <c r="AH318" s="213">
        <f t="shared" si="7625"/>
        <v>5773.3322000000007</v>
      </c>
      <c r="AI318" s="213">
        <f t="shared" si="7625"/>
        <v>8628.6644000000015</v>
      </c>
      <c r="AJ318" s="234">
        <f t="shared" si="7625"/>
        <v>18199.996599999999</v>
      </c>
      <c r="AK318" s="213">
        <f t="shared" si="7625"/>
        <v>11296.107220000002</v>
      </c>
      <c r="AL318" s="213">
        <f t="shared" si="7625"/>
        <v>18436.992996000001</v>
      </c>
      <c r="AM318" s="213">
        <f t="shared" si="7625"/>
        <v>20312.992996000001</v>
      </c>
      <c r="AN318" s="213">
        <f t="shared" si="7625"/>
        <v>26128.214440000003</v>
      </c>
      <c r="AO318" s="234">
        <f t="shared" si="7625"/>
        <v>76174.307652000018</v>
      </c>
      <c r="AP318" s="213">
        <f t="shared" si="7625"/>
        <v>28486.178960519999</v>
      </c>
      <c r="AQ318" s="213">
        <f t="shared" si="7625"/>
        <v>39860</v>
      </c>
      <c r="AR318" s="213">
        <f t="shared" si="7625"/>
        <v>49040</v>
      </c>
      <c r="AS318" s="213">
        <f t="shared" si="7625"/>
        <v>58804</v>
      </c>
      <c r="AT318" s="234">
        <f t="shared" si="7625"/>
        <v>176190.17896052002</v>
      </c>
      <c r="AU318" s="213">
        <f t="shared" si="7625"/>
        <v>65950</v>
      </c>
      <c r="AV318" s="213">
        <f t="shared" si="7625"/>
        <v>77346</v>
      </c>
      <c r="AW318" s="213">
        <f t="shared" si="7625"/>
        <v>84276</v>
      </c>
      <c r="AX318" s="213">
        <f t="shared" si="7625"/>
        <v>94402</v>
      </c>
      <c r="AY318" s="234">
        <f t="shared" si="7625"/>
        <v>321974</v>
      </c>
      <c r="AZ318" s="213">
        <f t="shared" si="7625"/>
        <v>109465</v>
      </c>
      <c r="BA318" s="213">
        <f>+BA337+BA442</f>
        <v>121742.2</v>
      </c>
      <c r="BB318" s="213">
        <f t="shared" ref="BB318:CG318" si="7626">+BB337+BB442</f>
        <v>132293.20000000001</v>
      </c>
      <c r="BC318" s="213">
        <f>+BC337+BC442</f>
        <v>147381.4</v>
      </c>
      <c r="BD318" s="234">
        <f t="shared" si="7626"/>
        <v>510881.79999999993</v>
      </c>
      <c r="BE318" s="213">
        <f>+BE337+BE442</f>
        <v>164811.5</v>
      </c>
      <c r="BF318" s="213">
        <f>+BF337+BF442</f>
        <v>185116.42</v>
      </c>
      <c r="BG318" s="213">
        <f t="shared" si="7626"/>
        <v>205022.52</v>
      </c>
      <c r="BH318" s="213">
        <f t="shared" si="7626"/>
        <v>227919.54</v>
      </c>
      <c r="BI318" s="234">
        <f t="shared" si="7626"/>
        <v>782869.98</v>
      </c>
      <c r="BJ318" s="213">
        <f t="shared" si="7626"/>
        <v>243162.04568693085</v>
      </c>
      <c r="BK318" s="213">
        <f t="shared" si="7626"/>
        <v>255408.95861235858</v>
      </c>
      <c r="BL318" s="213">
        <f t="shared" si="7626"/>
        <v>269021.23195657763</v>
      </c>
      <c r="BM318" s="213">
        <f t="shared" si="7626"/>
        <v>287108.35823551053</v>
      </c>
      <c r="BN318" s="234">
        <f t="shared" si="7626"/>
        <v>1054700.5944913777</v>
      </c>
      <c r="BO318" s="213">
        <f t="shared" si="7626"/>
        <v>300484.82817851397</v>
      </c>
      <c r="BP318" s="213">
        <f t="shared" si="7626"/>
        <v>311248.8058044521</v>
      </c>
      <c r="BQ318" s="213">
        <f t="shared" si="7626"/>
        <v>319430.49863039015</v>
      </c>
      <c r="BR318" s="213">
        <f t="shared" si="7626"/>
        <v>331221.16025632818</v>
      </c>
      <c r="BS318" s="234">
        <f t="shared" si="7626"/>
        <v>1262385.2928696843</v>
      </c>
      <c r="BT318" s="213">
        <f t="shared" si="7626"/>
        <v>346782.43191585556</v>
      </c>
      <c r="BU318" s="213">
        <f t="shared" si="7626"/>
        <v>360019.13312003232</v>
      </c>
      <c r="BV318" s="213">
        <f t="shared" si="7626"/>
        <v>370419.82798170904</v>
      </c>
      <c r="BW318" s="213">
        <f t="shared" si="7626"/>
        <v>384753.63964838575</v>
      </c>
      <c r="BX318" s="234">
        <f t="shared" si="7626"/>
        <v>1461975.0326659826</v>
      </c>
      <c r="BY318" s="213">
        <f>+BY337+BY442</f>
        <v>402953.1453659148</v>
      </c>
      <c r="BZ318" s="213">
        <f t="shared" si="7626"/>
        <v>415272.09817258298</v>
      </c>
      <c r="CA318" s="213">
        <f t="shared" si="7626"/>
        <v>426613.66769346845</v>
      </c>
      <c r="CB318" s="213">
        <f t="shared" si="7626"/>
        <v>440107.67485457408</v>
      </c>
      <c r="CC318" s="234">
        <f t="shared" si="7626"/>
        <v>1684946.5860865403</v>
      </c>
      <c r="CD318" s="213">
        <f t="shared" si="7626"/>
        <v>459859.21917468822</v>
      </c>
      <c r="CE318" s="213">
        <f t="shared" si="7626"/>
        <v>473587.59525604342</v>
      </c>
      <c r="CF318" s="213">
        <f t="shared" si="7626"/>
        <v>484199.03440484399</v>
      </c>
      <c r="CG318" s="213">
        <f t="shared" si="7626"/>
        <v>499189.01727118704</v>
      </c>
      <c r="CH318" s="234">
        <f t="shared" ref="CH318:DB318" si="7627">+CH337+CH442</f>
        <v>1916834.8661067628</v>
      </c>
      <c r="CI318" s="213">
        <f t="shared" si="7627"/>
        <v>515972.42607612023</v>
      </c>
      <c r="CJ318" s="213">
        <f t="shared" si="7627"/>
        <v>526929.48544760176</v>
      </c>
      <c r="CK318" s="213">
        <f t="shared" si="7627"/>
        <v>534385.46107789455</v>
      </c>
      <c r="CL318" s="213">
        <f t="shared" si="7627"/>
        <v>546667.20757361338</v>
      </c>
      <c r="CM318" s="234">
        <f t="shared" si="7627"/>
        <v>2123954.5801752303</v>
      </c>
      <c r="CN318" s="213">
        <f t="shared" si="7627"/>
        <v>564247.7348811198</v>
      </c>
      <c r="CO318" s="213">
        <f t="shared" si="7627"/>
        <v>575055.13310033607</v>
      </c>
      <c r="CP318" s="213">
        <f t="shared" si="7627"/>
        <v>582186.39339130418</v>
      </c>
      <c r="CQ318" s="213">
        <f t="shared" si="7627"/>
        <v>594384.7130909696</v>
      </c>
      <c r="CR318" s="234">
        <f t="shared" si="7627"/>
        <v>2315873.9744637301</v>
      </c>
      <c r="CS318" s="213">
        <f t="shared" si="7627"/>
        <v>613258.90055729251</v>
      </c>
      <c r="CT318" s="213">
        <f t="shared" si="7627"/>
        <v>624425.37812675058</v>
      </c>
      <c r="CU318" s="213">
        <f t="shared" si="7627"/>
        <v>631731.910871548</v>
      </c>
      <c r="CV318" s="213">
        <f t="shared" si="7627"/>
        <v>644358.85599547753</v>
      </c>
      <c r="CW318" s="234">
        <f t="shared" si="7627"/>
        <v>2513775.0455510691</v>
      </c>
      <c r="CX318" s="213">
        <f t="shared" si="7627"/>
        <v>661835.62423202046</v>
      </c>
      <c r="CY318" s="213">
        <f t="shared" si="7627"/>
        <v>670622.74985935632</v>
      </c>
      <c r="CZ318" s="213">
        <f t="shared" si="7627"/>
        <v>675356.93342079874</v>
      </c>
      <c r="DA318" s="213">
        <f t="shared" si="7627"/>
        <v>685677.54998032958</v>
      </c>
      <c r="DB318" s="234">
        <f t="shared" si="7627"/>
        <v>2693492.8574925056</v>
      </c>
    </row>
    <row r="319" spans="1:111">
      <c r="A319" s="117" t="s">
        <v>281</v>
      </c>
      <c r="F319" s="217"/>
      <c r="K319" s="217"/>
      <c r="P319" s="217"/>
      <c r="U319" s="217"/>
      <c r="V319" s="119" t="s">
        <v>290</v>
      </c>
      <c r="W319" s="119" t="s">
        <v>290</v>
      </c>
      <c r="X319" s="119" t="s">
        <v>290</v>
      </c>
      <c r="Y319" s="119" t="s">
        <v>290</v>
      </c>
      <c r="Z319" s="235" t="s">
        <v>290</v>
      </c>
      <c r="AA319" s="13">
        <f>+AA318/V318-1</f>
        <v>1.4</v>
      </c>
      <c r="AB319" s="13">
        <f t="shared" ref="AB319" si="7628">+AB318/W318-1</f>
        <v>0.19999999999999996</v>
      </c>
      <c r="AC319" s="13">
        <f t="shared" ref="AC319" si="7629">+AC318/X318-1</f>
        <v>0.39999999999999991</v>
      </c>
      <c r="AD319" s="13">
        <f t="shared" ref="AD319" si="7630">+AD318/Y318-1</f>
        <v>0.35000000000000009</v>
      </c>
      <c r="AE319" s="239">
        <f t="shared" ref="AE319" si="7631">+AE318/Z318-1</f>
        <v>0.56562500000000004</v>
      </c>
      <c r="AF319" s="13">
        <f>+AF318/AA318-1</f>
        <v>-0.5</v>
      </c>
      <c r="AG319" s="13">
        <f t="shared" ref="AG319" si="7632">+AG318/AB318-1</f>
        <v>1.6833333333333331</v>
      </c>
      <c r="AH319" s="13">
        <f t="shared" ref="AH319" si="7633">+AH318/AC318-1</f>
        <v>4.4984116190476193</v>
      </c>
      <c r="AI319" s="13">
        <f t="shared" ref="AI319" si="7634">+AI318/AD318-1</f>
        <v>6.989504074074075</v>
      </c>
      <c r="AJ319" s="239">
        <f t="shared" ref="AJ319" si="7635">+AJ318/AE318-1</f>
        <v>2.6327338522954089</v>
      </c>
      <c r="AK319" s="13">
        <f>+AK318/AF318-1</f>
        <v>11.551230244444445</v>
      </c>
      <c r="AL319" s="13">
        <f t="shared" ref="AL319" si="7636">+AL318/AG318-1</f>
        <v>5.3619713581780539</v>
      </c>
      <c r="AM319" s="13">
        <f t="shared" ref="AM319" si="7637">+AM318/AH318-1</f>
        <v>2.5184174913752577</v>
      </c>
      <c r="AN319" s="13">
        <f t="shared" ref="AN319" si="7638">+AN318/AI318-1</f>
        <v>2.028071695545373</v>
      </c>
      <c r="AO319" s="239">
        <f t="shared" ref="AO319" si="7639">+AO318/AJ318-1</f>
        <v>3.1854023012290025</v>
      </c>
      <c r="AP319" s="13">
        <f>+AP318/AK318-1</f>
        <v>1.5217695269468234</v>
      </c>
      <c r="AQ319" s="13">
        <f t="shared" ref="AQ319" si="7640">+AQ318/AL318-1</f>
        <v>1.1619577557277281</v>
      </c>
      <c r="AR319" s="13">
        <f t="shared" ref="AR319" si="7641">+AR318/AM318-1</f>
        <v>1.4142183286164118</v>
      </c>
      <c r="AS319" s="13">
        <f t="shared" ref="AS319" si="7642">+AS318/AN318-1</f>
        <v>1.2505938986009024</v>
      </c>
      <c r="AT319" s="239">
        <f t="shared" ref="AT319" si="7643">+AT318/AO318-1</f>
        <v>1.3129869425980139</v>
      </c>
      <c r="AU319" s="13">
        <f>+AU318/AP318-1</f>
        <v>1.3151578206189898</v>
      </c>
      <c r="AV319" s="13">
        <f t="shared" ref="AV319" si="7644">+AV318/AQ318-1</f>
        <v>0.94044154540893121</v>
      </c>
      <c r="AW319" s="13">
        <f t="shared" ref="AW319" si="7645">+AW318/AR318-1</f>
        <v>0.71851549755301791</v>
      </c>
      <c r="AX319" s="13">
        <f t="shared" ref="AX319" si="7646">+AX318/AS318-1</f>
        <v>0.60536698183797011</v>
      </c>
      <c r="AY319" s="239">
        <f t="shared" ref="AY319" si="7647">+AY318/AT318-1</f>
        <v>0.82742308282771337</v>
      </c>
      <c r="AZ319" s="13">
        <f t="shared" ref="AZ319" si="7648">+AZ318/AU318-1</f>
        <v>0.6598180439727066</v>
      </c>
      <c r="BA319" s="13">
        <f t="shared" ref="BA319" si="7649">+BA318/AV318-1</f>
        <v>0.57399477671760657</v>
      </c>
      <c r="BB319" s="13">
        <f t="shared" ref="BB319" si="7650">+BB318/AW318-1</f>
        <v>0.56976126061986809</v>
      </c>
      <c r="BC319" s="13">
        <f t="shared" ref="BC319" si="7651">+BC318/AX318-1</f>
        <v>0.56121056757272081</v>
      </c>
      <c r="BD319" s="239">
        <f t="shared" ref="BD319" si="7652">+BD318/AY318-1</f>
        <v>0.58671756104530148</v>
      </c>
      <c r="BE319" s="13">
        <f t="shared" ref="BE319" si="7653">+BE318/AZ318-1</f>
        <v>0.50560909879870275</v>
      </c>
      <c r="BF319" s="13">
        <f t="shared" ref="BF319" si="7654">+BF318/BA318-1</f>
        <v>0.52056082443064122</v>
      </c>
      <c r="BG319" s="13">
        <f t="shared" ref="BG319" si="7655">+BG318/BB318-1</f>
        <v>0.5497585665778737</v>
      </c>
      <c r="BH319" s="13">
        <f t="shared" ref="BH319" si="7656">+BH318/BC318-1</f>
        <v>0.54646067957014943</v>
      </c>
      <c r="BI319" s="239">
        <f t="shared" ref="BI319" si="7657">+BI318/BD318-1</f>
        <v>0.53238964472799788</v>
      </c>
      <c r="BJ319" s="13">
        <f t="shared" ref="BJ319" si="7658">+BJ318/BE318-1</f>
        <v>0.47539489469442886</v>
      </c>
      <c r="BK319" s="13">
        <f t="shared" ref="BK319" si="7659">+BK318/BF318-1</f>
        <v>0.3797207109577776</v>
      </c>
      <c r="BL319" s="13">
        <f t="shared" ref="BL319" si="7660">+BL318/BG318-1</f>
        <v>0.3121545474935028</v>
      </c>
      <c r="BM319" s="13">
        <f t="shared" ref="BM319" si="7661">+BM318/BH318-1</f>
        <v>0.25969172382284778</v>
      </c>
      <c r="BN319" s="239">
        <f t="shared" ref="BN319" si="7662">+BN318/BI318-1</f>
        <v>0.34722319342399333</v>
      </c>
      <c r="BO319" s="13">
        <f t="shared" ref="BO319" si="7663">+BO318/BJ318-1</f>
        <v>0.23573902057636786</v>
      </c>
      <c r="BP319" s="13">
        <f t="shared" ref="BP319" si="7664">+BP318/BK318-1</f>
        <v>0.21862916436241076</v>
      </c>
      <c r="BQ319" s="13">
        <f t="shared" ref="BQ319" si="7665">+BQ318/BL318-1</f>
        <v>0.18738025362232014</v>
      </c>
      <c r="BR319" s="13">
        <f t="shared" ref="BR319" si="7666">+BR318/BM318-1</f>
        <v>0.15364513346780595</v>
      </c>
      <c r="BS319" s="239">
        <f t="shared" ref="BS319" si="7667">+BS318/BN318-1</f>
        <v>0.1969134173840692</v>
      </c>
      <c r="BT319" s="13">
        <f>+BT318/BO318-1</f>
        <v>0.15407634394717862</v>
      </c>
      <c r="BU319" s="13">
        <f t="shared" ref="BU319" si="7668">+BU318/BP318-1</f>
        <v>0.15669241586173688</v>
      </c>
      <c r="BV319" s="13">
        <f t="shared" ref="BV319" si="7669">+BV318/BQ318-1</f>
        <v>0.15962573883816322</v>
      </c>
      <c r="BW319" s="13">
        <f t="shared" ref="BW319" si="7670">+BW318/BR318-1</f>
        <v>0.16162155627565999</v>
      </c>
      <c r="BX319" s="239">
        <f t="shared" ref="BX319" si="7671">+BX318/BS318-1</f>
        <v>0.15810524799650216</v>
      </c>
      <c r="BY319" s="13">
        <f>+BY318/BT318-1</f>
        <v>0.16197681393412888</v>
      </c>
      <c r="BZ319" s="13">
        <f t="shared" ref="BZ319" si="7672">+BZ318/BU318-1</f>
        <v>0.15347230180160731</v>
      </c>
      <c r="CA319" s="13">
        <f t="shared" ref="CA319" si="7673">+CA318/BV318-1</f>
        <v>0.15170310946349819</v>
      </c>
      <c r="CB319" s="13">
        <f t="shared" ref="CB319" si="7674">+CB318/BW318-1</f>
        <v>0.14386877602191017</v>
      </c>
      <c r="CC319" s="239">
        <f t="shared" ref="CC319" si="7675">+CC318/BX318-1</f>
        <v>0.15251392700869748</v>
      </c>
      <c r="CD319" s="13">
        <f>+CD318/BY318-1</f>
        <v>0.14122255766758696</v>
      </c>
      <c r="CE319" s="13">
        <f t="shared" ref="CE319" si="7676">+CE318/BZ318-1</f>
        <v>0.14042719783024071</v>
      </c>
      <c r="CF319" s="13">
        <f t="shared" ref="CF319" si="7677">+CF318/CA318-1</f>
        <v>0.1349824702586695</v>
      </c>
      <c r="CG319" s="13">
        <f t="shared" ref="CG319" si="7678">+CG318/CB318-1</f>
        <v>0.13424292688405259</v>
      </c>
      <c r="CH319" s="239">
        <f t="shared" ref="CH319" si="7679">+CH318/CC318-1</f>
        <v>0.137623519899706</v>
      </c>
      <c r="CI319" s="13">
        <f>+CI318/CD318-1</f>
        <v>0.12202257682718343</v>
      </c>
      <c r="CJ319" s="13">
        <f t="shared" ref="CJ319" si="7680">+CJ318/CE318-1</f>
        <v>0.11263363045376895</v>
      </c>
      <c r="CK319" s="13">
        <f t="shared" ref="CK319" si="7681">+CK318/CF318-1</f>
        <v>0.10364834108919174</v>
      </c>
      <c r="CL319" s="13">
        <f t="shared" ref="CL319" si="7682">+CL318/CG318-1</f>
        <v>9.5110646788596265E-2</v>
      </c>
      <c r="CM319" s="239">
        <f t="shared" ref="CM319" si="7683">+CM318/CH318-1</f>
        <v>0.10805297719210594</v>
      </c>
      <c r="CN319" s="13">
        <f>+CN318/CI318-1</f>
        <v>9.3561799749891428E-2</v>
      </c>
      <c r="CO319" s="13">
        <f t="shared" ref="CO319" si="7684">+CO318/CJ318-1</f>
        <v>9.1332235112737692E-2</v>
      </c>
      <c r="CP319" s="13">
        <f t="shared" ref="CP319" si="7685">+CP318/CK318-1</f>
        <v>8.9450285973333932E-2</v>
      </c>
      <c r="CQ319" s="13">
        <f t="shared" ref="CQ319" si="7686">+CQ318/CL318-1</f>
        <v>8.7288033480461991E-2</v>
      </c>
      <c r="CR319" s="239">
        <f t="shared" ref="CR319" si="7687">+CR318/CM318-1</f>
        <v>9.0359462523283307E-2</v>
      </c>
      <c r="CS319" s="13">
        <f>+CS318/CN318-1</f>
        <v>8.6861076520756919E-2</v>
      </c>
      <c r="CT319" s="13">
        <f t="shared" ref="CT319" si="7688">+CT318/CO318-1</f>
        <v>8.5853063792755258E-2</v>
      </c>
      <c r="CU319" s="13">
        <f t="shared" ref="CU319" si="7689">+CU318/CP318-1</f>
        <v>8.5102499891203776E-2</v>
      </c>
      <c r="CV319" s="13">
        <f t="shared" ref="CV319" si="7690">+CV318/CQ318-1</f>
        <v>8.407709990492207E-2</v>
      </c>
      <c r="CW319" s="239">
        <f t="shared" ref="CW319" si="7691">+CW318/CR318-1</f>
        <v>8.5454162562177194E-2</v>
      </c>
      <c r="CX319" s="13">
        <f>+CX318/CS318-1</f>
        <v>7.9210792750964432E-2</v>
      </c>
      <c r="CY319" s="13">
        <f t="shared" ref="CY319" si="7692">+CY318/CT318-1</f>
        <v>7.398381512166563E-2</v>
      </c>
      <c r="CZ319" s="13">
        <f t="shared" ref="CZ319" si="7693">+CZ318/CU318-1</f>
        <v>6.9056227489070476E-2</v>
      </c>
      <c r="DA319" s="13">
        <f t="shared" ref="DA319" si="7694">+DA318/CV318-1</f>
        <v>6.4123731055140576E-2</v>
      </c>
      <c r="DB319" s="239">
        <f t="shared" ref="DB319" si="7695">+DB318/CW318-1</f>
        <v>7.149319596417536E-2</v>
      </c>
    </row>
    <row r="320" spans="1:111">
      <c r="A320" s="117" t="s">
        <v>288</v>
      </c>
      <c r="F320" s="217"/>
      <c r="K320" s="217"/>
      <c r="P320" s="217"/>
      <c r="U320" s="217"/>
      <c r="V320" s="119" t="s">
        <v>290</v>
      </c>
      <c r="W320" s="13">
        <f>+W318/V318-1</f>
        <v>0.19999999999999996</v>
      </c>
      <c r="X320" s="13">
        <f t="shared" ref="X320:Y320" si="7696">+X318/W318-1</f>
        <v>-0.16666666666666663</v>
      </c>
      <c r="Y320" s="13">
        <f t="shared" si="7696"/>
        <v>6.6666666666666652E-2</v>
      </c>
      <c r="Z320" s="235" t="s">
        <v>290</v>
      </c>
      <c r="AA320" s="13">
        <f>+AA318/Y318-1</f>
        <v>1.25</v>
      </c>
      <c r="AB320" s="13">
        <f>+AB318/AA318-1</f>
        <v>-0.4</v>
      </c>
      <c r="AC320" s="13">
        <f t="shared" ref="AC320:AD320" si="7697">+AC318/AB318-1</f>
        <v>-2.777777777777779E-2</v>
      </c>
      <c r="AD320" s="13">
        <f t="shared" si="7697"/>
        <v>2.857142857142847E-2</v>
      </c>
      <c r="AE320" s="235" t="s">
        <v>290</v>
      </c>
      <c r="AF320" s="13">
        <f>+AF318/AD318-1</f>
        <v>-0.16666666666666663</v>
      </c>
      <c r="AG320" s="13">
        <f>+AG318/AF318-1</f>
        <v>2.2200000000000002</v>
      </c>
      <c r="AH320" s="13">
        <f t="shared" ref="AH320:AI320" si="7698">+AH318/AG318-1</f>
        <v>0.99217812284334039</v>
      </c>
      <c r="AI320" s="13">
        <f t="shared" si="7698"/>
        <v>0.49457264905005816</v>
      </c>
      <c r="AJ320" s="235" t="s">
        <v>290</v>
      </c>
      <c r="AK320" s="13">
        <f>+AK318/AI318-1</f>
        <v>0.30913739326795464</v>
      </c>
      <c r="AL320" s="13">
        <f>+AL318/AK318-1</f>
        <v>0.63215456766884315</v>
      </c>
      <c r="AM320" s="13">
        <f t="shared" ref="AM320:AN320" si="7699">+AM318/AL318-1</f>
        <v>0.10175195057062769</v>
      </c>
      <c r="AN320" s="13">
        <f t="shared" si="7699"/>
        <v>0.28628087673466562</v>
      </c>
      <c r="AO320" s="235" t="s">
        <v>290</v>
      </c>
      <c r="AP320" s="13">
        <f>+AP318/AN318-1</f>
        <v>9.0245911213517882E-2</v>
      </c>
      <c r="AQ320" s="13">
        <f>+AQ318/AP318-1</f>
        <v>0.39927506792832346</v>
      </c>
      <c r="AR320" s="13">
        <f t="shared" ref="AR320:AS320" si="7700">+AR318/AQ318-1</f>
        <v>0.23030607124937275</v>
      </c>
      <c r="AS320" s="13">
        <f t="shared" si="7700"/>
        <v>0.19910277324632952</v>
      </c>
      <c r="AT320" s="235" t="s">
        <v>290</v>
      </c>
      <c r="AU320" s="13">
        <f>+AU318/AS318-1</f>
        <v>0.1215223454186789</v>
      </c>
      <c r="AV320" s="13">
        <f>+AV318/AU318-1</f>
        <v>0.17279757391963613</v>
      </c>
      <c r="AW320" s="13">
        <f t="shared" ref="AW320:AX320" si="7701">+AW318/AV318-1</f>
        <v>8.9597393530369995E-2</v>
      </c>
      <c r="AX320" s="13">
        <f t="shared" si="7701"/>
        <v>0.1201528311737623</v>
      </c>
      <c r="AY320" s="235" t="s">
        <v>290</v>
      </c>
      <c r="AZ320" s="13">
        <f>+AZ318/AX318-1</f>
        <v>0.15956229740895322</v>
      </c>
      <c r="BA320" s="13">
        <f t="shared" ref="BA320:BC320" si="7702">+BA318/AZ318-1</f>
        <v>0.11215639702187907</v>
      </c>
      <c r="BB320" s="13">
        <f t="shared" si="7702"/>
        <v>8.6666743331400342E-2</v>
      </c>
      <c r="BC320" s="13">
        <f t="shared" si="7702"/>
        <v>0.11405121351664316</v>
      </c>
      <c r="BD320" s="235" t="s">
        <v>290</v>
      </c>
      <c r="BE320" s="13">
        <f>+BE318/BC318-1</f>
        <v>0.1182652627807852</v>
      </c>
      <c r="BF320" s="13">
        <f t="shared" ref="BF320:BH320" si="7703">+BF318/BE318-1</f>
        <v>0.12320086887140769</v>
      </c>
      <c r="BG320" s="13">
        <f>+BG318/BF318-1</f>
        <v>0.10753287039582959</v>
      </c>
      <c r="BH320" s="13">
        <f t="shared" si="7703"/>
        <v>0.1116805119749773</v>
      </c>
      <c r="BI320" s="235" t="s">
        <v>290</v>
      </c>
      <c r="BJ320" s="13">
        <f>+BJ318/BH318-1</f>
        <v>6.6876695551995491E-2</v>
      </c>
      <c r="BK320" s="13">
        <f t="shared" ref="BK320:BM320" si="7704">+BK318/BJ318-1</f>
        <v>5.0365232332333365E-2</v>
      </c>
      <c r="BL320" s="13">
        <f t="shared" si="7704"/>
        <v>5.3295990157020245E-2</v>
      </c>
      <c r="BM320" s="13">
        <f t="shared" si="7704"/>
        <v>6.7233081000284578E-2</v>
      </c>
      <c r="BN320" s="235" t="s">
        <v>290</v>
      </c>
      <c r="BO320" s="13">
        <f>+BO318/BM318-1</f>
        <v>4.6590318809287101E-2</v>
      </c>
      <c r="BP320" s="13">
        <f t="shared" ref="BP320:BR320" si="7705">+BP318/BO318-1</f>
        <v>3.5822033648711837E-2</v>
      </c>
      <c r="BQ320" s="13">
        <f t="shared" si="7705"/>
        <v>2.6286664152145756E-2</v>
      </c>
      <c r="BR320" s="13">
        <f t="shared" si="7705"/>
        <v>3.6911508689659867E-2</v>
      </c>
      <c r="BS320" s="235" t="s">
        <v>290</v>
      </c>
      <c r="BT320" s="13">
        <f>+BT318/BR318-1</f>
        <v>4.6981514247111278E-2</v>
      </c>
      <c r="BU320" s="13">
        <f t="shared" ref="BU320:BW320" si="7706">+BU318/BT318-1</f>
        <v>3.8170045498119531E-2</v>
      </c>
      <c r="BV320" s="13">
        <f t="shared" si="7706"/>
        <v>2.8889283665401999E-2</v>
      </c>
      <c r="BW320" s="13">
        <f t="shared" si="7706"/>
        <v>3.8696124191776482E-2</v>
      </c>
      <c r="BX320" s="235" t="s">
        <v>290</v>
      </c>
      <c r="BY320" s="13">
        <f>+BY318/BW318-1</f>
        <v>4.7301711646343447E-2</v>
      </c>
      <c r="BZ320" s="13">
        <f t="shared" ref="BZ320:CB320" si="7707">+BZ318/BY318-1</f>
        <v>3.0571675512004237E-2</v>
      </c>
      <c r="CA320" s="13">
        <f t="shared" si="7707"/>
        <v>2.7311176384819502E-2</v>
      </c>
      <c r="CB320" s="13">
        <f t="shared" si="7707"/>
        <v>3.1630508309924421E-2</v>
      </c>
      <c r="CC320" s="235" t="s">
        <v>290</v>
      </c>
      <c r="CD320" s="13">
        <f>+CD318/CB318-1</f>
        <v>4.4878890891054457E-2</v>
      </c>
      <c r="CE320" s="13">
        <f t="shared" ref="CE320:CG320" si="7708">+CE318/CD318-1</f>
        <v>2.9853432330863239E-2</v>
      </c>
      <c r="CF320" s="13">
        <f t="shared" si="7708"/>
        <v>2.2406497245907708E-2</v>
      </c>
      <c r="CG320" s="13">
        <f t="shared" si="7708"/>
        <v>3.0958308053563366E-2</v>
      </c>
      <c r="CH320" s="235" t="s">
        <v>290</v>
      </c>
      <c r="CI320" s="13">
        <f>+CI318/CG318-1</f>
        <v>3.3621350278657092E-2</v>
      </c>
      <c r="CJ320" s="13">
        <f t="shared" ref="CJ320:CL320" si="7709">+CJ318/CI318-1</f>
        <v>2.1235745977373321E-2</v>
      </c>
      <c r="CK320" s="13">
        <f t="shared" si="7709"/>
        <v>1.4149854650777893E-2</v>
      </c>
      <c r="CL320" s="13">
        <f t="shared" si="7709"/>
        <v>2.2982935334628474E-2</v>
      </c>
      <c r="CM320" s="235" t="s">
        <v>290</v>
      </c>
      <c r="CN320" s="13">
        <f>+CN318/CL318-1</f>
        <v>3.2159469351632941E-2</v>
      </c>
      <c r="CO320" s="13">
        <f t="shared" ref="CO320:CQ320" si="7710">+CO318/CN318-1</f>
        <v>1.9153640415576101E-2</v>
      </c>
      <c r="CP320" s="13">
        <f t="shared" si="7710"/>
        <v>1.2401002756937229E-2</v>
      </c>
      <c r="CQ320" s="13">
        <f t="shared" si="7710"/>
        <v>2.095260184390213E-2</v>
      </c>
      <c r="CR320" s="235" t="s">
        <v>290</v>
      </c>
      <c r="CS320" s="13">
        <f>+CS318/CQ318-1</f>
        <v>3.1754160311714186E-2</v>
      </c>
      <c r="CT320" s="13">
        <f t="shared" ref="CT320:CV320" si="7711">+CT318/CS318-1</f>
        <v>1.8208423162404452E-2</v>
      </c>
      <c r="CU320" s="13">
        <f t="shared" si="7711"/>
        <v>1.1701210426002806E-2</v>
      </c>
      <c r="CV320" s="13">
        <f t="shared" si="7711"/>
        <v>1.9987822217986784E-2</v>
      </c>
      <c r="CW320" s="235" t="s">
        <v>290</v>
      </c>
      <c r="CX320" s="13">
        <f>+CX318/CV318-1</f>
        <v>2.712272528565296E-2</v>
      </c>
      <c r="CY320" s="13">
        <f t="shared" ref="CY320:DA320" si="7712">+CY318/CX318-1</f>
        <v>1.3276900344450615E-2</v>
      </c>
      <c r="CZ320" s="13">
        <f t="shared" si="7712"/>
        <v>7.059384076122166E-3</v>
      </c>
      <c r="DA320" s="13">
        <f t="shared" si="7712"/>
        <v>1.5281721485045141E-2</v>
      </c>
      <c r="DB320" s="235" t="s">
        <v>290</v>
      </c>
    </row>
    <row r="321" spans="1:106">
      <c r="F321" s="217"/>
      <c r="K321" s="217"/>
      <c r="P321" s="217"/>
      <c r="U321" s="217"/>
      <c r="Z321" s="217"/>
      <c r="AE321" s="217"/>
      <c r="AJ321" s="217"/>
      <c r="AO321" s="217"/>
      <c r="AT321" s="217"/>
      <c r="AY321" s="217"/>
      <c r="BA321" s="290"/>
      <c r="BB321" s="290"/>
      <c r="BC321" s="290"/>
      <c r="BD321" s="217"/>
      <c r="BE321" s="290"/>
      <c r="BF321" s="290"/>
      <c r="BI321" s="217"/>
      <c r="BN321" s="217"/>
      <c r="BS321" s="217"/>
      <c r="BX321" s="217"/>
      <c r="CC321" s="217"/>
      <c r="CH321" s="217"/>
      <c r="CM321" s="217"/>
      <c r="CR321" s="217"/>
      <c r="CW321" s="217"/>
      <c r="DB321" s="217"/>
    </row>
    <row r="322" spans="1:106" s="51" customFormat="1">
      <c r="A322" s="51" t="s">
        <v>289</v>
      </c>
      <c r="F322" s="233"/>
      <c r="K322" s="233"/>
      <c r="P322" s="233"/>
      <c r="U322" s="233"/>
      <c r="V322" s="225">
        <f>+V325/V318*1000000</f>
        <v>1500</v>
      </c>
      <c r="W322" s="225">
        <f t="shared" ref="W322:CH322" si="7713">+W325/W318*1000000</f>
        <v>1500</v>
      </c>
      <c r="X322" s="225">
        <f t="shared" si="7713"/>
        <v>1500</v>
      </c>
      <c r="Y322" s="225">
        <f t="shared" si="7713"/>
        <v>1500</v>
      </c>
      <c r="Z322" s="236">
        <f t="shared" si="7713"/>
        <v>1500</v>
      </c>
      <c r="AA322" s="225">
        <f t="shared" si="7713"/>
        <v>1500</v>
      </c>
      <c r="AB322" s="225">
        <f t="shared" si="7713"/>
        <v>1500</v>
      </c>
      <c r="AC322" s="225">
        <f t="shared" si="7713"/>
        <v>1500</v>
      </c>
      <c r="AD322" s="225">
        <f t="shared" si="7713"/>
        <v>1500</v>
      </c>
      <c r="AE322" s="236">
        <f t="shared" si="7713"/>
        <v>1500</v>
      </c>
      <c r="AF322" s="225">
        <f t="shared" si="7713"/>
        <v>1500</v>
      </c>
      <c r="AG322" s="225">
        <f t="shared" si="7713"/>
        <v>374.22360248447205</v>
      </c>
      <c r="AH322" s="225">
        <f t="shared" si="7713"/>
        <v>260.97001831974956</v>
      </c>
      <c r="AI322" s="225">
        <f t="shared" si="7713"/>
        <v>324.70260750899052</v>
      </c>
      <c r="AJ322" s="236">
        <f t="shared" si="7713"/>
        <v>370.48998349812882</v>
      </c>
      <c r="AK322" s="225">
        <f t="shared" si="7713"/>
        <v>449.18366178539162</v>
      </c>
      <c r="AL322" s="225">
        <f t="shared" si="7713"/>
        <v>963.26411255094888</v>
      </c>
      <c r="AM322" s="225">
        <f t="shared" si="7713"/>
        <v>492.66730661358804</v>
      </c>
      <c r="AN322" s="225">
        <f t="shared" si="7713"/>
        <v>549.64624876984135</v>
      </c>
      <c r="AO322" s="236">
        <f t="shared" si="7713"/>
        <v>619.66487860504571</v>
      </c>
      <c r="AP322" s="225">
        <f t="shared" si="7713"/>
        <v>805.32635950034876</v>
      </c>
      <c r="AQ322" s="225">
        <f t="shared" si="7713"/>
        <v>753.63773206221776</v>
      </c>
      <c r="AR322" s="225">
        <f t="shared" si="7713"/>
        <v>737.35725938009796</v>
      </c>
      <c r="AS322" s="225">
        <f t="shared" si="7713"/>
        <v>770.45779198693958</v>
      </c>
      <c r="AT322" s="236">
        <f t="shared" si="7713"/>
        <v>763.07698642202581</v>
      </c>
      <c r="AU322" s="225">
        <f t="shared" si="7713"/>
        <v>806.29264594389679</v>
      </c>
      <c r="AV322" s="225">
        <f t="shared" si="7713"/>
        <v>941.47079357691416</v>
      </c>
      <c r="AW322" s="225">
        <f t="shared" si="7713"/>
        <v>875.26697992310972</v>
      </c>
      <c r="AX322" s="225">
        <f t="shared" si="7713"/>
        <v>1162.6130802313512</v>
      </c>
      <c r="AY322" s="236">
        <f t="shared" si="7713"/>
        <v>961.29190555759158</v>
      </c>
      <c r="AZ322" s="225">
        <f t="shared" si="7713"/>
        <v>1044.8773580596537</v>
      </c>
      <c r="BA322" s="225">
        <f t="shared" si="7713"/>
        <v>1112.2954899780029</v>
      </c>
      <c r="BB322" s="225">
        <f t="shared" si="7713"/>
        <v>1106.9336897134547</v>
      </c>
      <c r="BC322" s="225">
        <f t="shared" si="7713"/>
        <v>1131.0592788506558</v>
      </c>
      <c r="BD322" s="236">
        <f t="shared" si="7713"/>
        <v>1101.874641061788</v>
      </c>
      <c r="BE322" s="225">
        <f>+BE325/BE318*1000000</f>
        <v>1153.2098791649855</v>
      </c>
      <c r="BF322" s="225">
        <f>+BF325/BF318*1000000</f>
        <v>1182.2270007166303</v>
      </c>
      <c r="BG322" s="225">
        <f t="shared" si="7713"/>
        <v>1203.6910872034935</v>
      </c>
      <c r="BH322" s="225">
        <f t="shared" si="7713"/>
        <v>1228.1606482708764</v>
      </c>
      <c r="BI322" s="236">
        <f t="shared" si="7713"/>
        <v>1195.1122075213564</v>
      </c>
      <c r="BJ322" s="225">
        <f t="shared" si="7713"/>
        <v>1234.8670044153343</v>
      </c>
      <c r="BK322" s="225">
        <f t="shared" si="7713"/>
        <v>1244.8189757582779</v>
      </c>
      <c r="BL322" s="225">
        <f t="shared" si="7713"/>
        <v>1252.6957890822425</v>
      </c>
      <c r="BM322" s="225">
        <f t="shared" si="7713"/>
        <v>1262.5181887578726</v>
      </c>
      <c r="BN322" s="236">
        <f t="shared" si="7713"/>
        <v>1249.351712655631</v>
      </c>
      <c r="BO322" s="225">
        <f t="shared" si="7713"/>
        <v>1313.048719732551</v>
      </c>
      <c r="BP322" s="225">
        <f t="shared" si="7713"/>
        <v>1313.1787480901105</v>
      </c>
      <c r="BQ322" s="225">
        <f t="shared" si="7713"/>
        <v>1311.8980269091385</v>
      </c>
      <c r="BR322" s="225">
        <f t="shared" si="7713"/>
        <v>1311.9008641794285</v>
      </c>
      <c r="BS322" s="236">
        <f t="shared" si="7713"/>
        <v>1312.4884397107155</v>
      </c>
      <c r="BT322" s="225">
        <f t="shared" si="7713"/>
        <v>1362.1411647380689</v>
      </c>
      <c r="BU322" s="225">
        <f t="shared" si="7713"/>
        <v>1362.2274365621915</v>
      </c>
      <c r="BV322" s="225">
        <f t="shared" si="7713"/>
        <v>1361.3266355742282</v>
      </c>
      <c r="BW322" s="225">
        <f t="shared" si="7713"/>
        <v>1361.3263359584239</v>
      </c>
      <c r="BX322" s="236">
        <f t="shared" si="7713"/>
        <v>1361.7415911673659</v>
      </c>
      <c r="BY322" s="225">
        <f t="shared" si="7713"/>
        <v>1411.2912002219327</v>
      </c>
      <c r="BZ322" s="225">
        <f t="shared" si="7713"/>
        <v>1411.3531288243435</v>
      </c>
      <c r="CA322" s="225">
        <f t="shared" si="7713"/>
        <v>1410.8071459486043</v>
      </c>
      <c r="CB322" s="225">
        <f t="shared" si="7713"/>
        <v>1410.8124905349337</v>
      </c>
      <c r="CC322" s="236">
        <f t="shared" si="7713"/>
        <v>1411.058865999142</v>
      </c>
      <c r="CD322" s="225">
        <f t="shared" si="7713"/>
        <v>1460.5430808411238</v>
      </c>
      <c r="CE322" s="225">
        <f t="shared" si="7713"/>
        <v>1460.5695250314275</v>
      </c>
      <c r="CF322" s="225">
        <f t="shared" si="7713"/>
        <v>1460.3413533384717</v>
      </c>
      <c r="CG322" s="225">
        <f t="shared" si="7713"/>
        <v>1460.3438376802046</v>
      </c>
      <c r="CH322" s="236">
        <f t="shared" si="7713"/>
        <v>1460.4467696656204</v>
      </c>
      <c r="CI322" s="225">
        <f t="shared" ref="CI322:DB322" si="7714">+CI325/CI318*1000000</f>
        <v>1500</v>
      </c>
      <c r="CJ322" s="225">
        <f t="shared" si="7714"/>
        <v>1500.0000000000002</v>
      </c>
      <c r="CK322" s="225">
        <f t="shared" si="7714"/>
        <v>1499.9999999999998</v>
      </c>
      <c r="CL322" s="225">
        <f t="shared" si="7714"/>
        <v>1500</v>
      </c>
      <c r="CM322" s="236">
        <f t="shared" si="7714"/>
        <v>1499.9999999999998</v>
      </c>
      <c r="CN322" s="225">
        <f t="shared" si="7714"/>
        <v>1539.5120243476219</v>
      </c>
      <c r="CO322" s="225">
        <f t="shared" si="7714"/>
        <v>1539.4828908187449</v>
      </c>
      <c r="CP322" s="225">
        <f t="shared" si="7714"/>
        <v>1539.6869997958941</v>
      </c>
      <c r="CQ322" s="225">
        <f t="shared" si="7714"/>
        <v>1539.6816319651787</v>
      </c>
      <c r="CR322" s="236">
        <f t="shared" si="7714"/>
        <v>1539.5923081268711</v>
      </c>
      <c r="CS322" s="225">
        <f t="shared" si="7714"/>
        <v>1579.0571482481687</v>
      </c>
      <c r="CT322" s="225">
        <f t="shared" si="7714"/>
        <v>1578.9999298092475</v>
      </c>
      <c r="CU322" s="225">
        <f t="shared" si="7714"/>
        <v>1579.3942503784776</v>
      </c>
      <c r="CV322" s="225">
        <f t="shared" si="7714"/>
        <v>1579.3832792213923</v>
      </c>
      <c r="CW322" s="236">
        <f t="shared" si="7714"/>
        <v>1579.2112491129519</v>
      </c>
      <c r="CX322" s="225">
        <f t="shared" si="7714"/>
        <v>1603.7960020607463</v>
      </c>
      <c r="CY322" s="225">
        <f t="shared" si="7714"/>
        <v>1603.7167202035771</v>
      </c>
      <c r="CZ322" s="225">
        <f t="shared" si="7714"/>
        <v>1604.2191255467249</v>
      </c>
      <c r="DA322" s="225">
        <f t="shared" si="7714"/>
        <v>1604.2012974636173</v>
      </c>
      <c r="DB322" s="236">
        <f t="shared" si="7714"/>
        <v>1603.9855303605218</v>
      </c>
    </row>
    <row r="323" spans="1:106">
      <c r="A323" s="117" t="s">
        <v>281</v>
      </c>
      <c r="F323" s="217"/>
      <c r="K323" s="217"/>
      <c r="P323" s="217"/>
      <c r="U323" s="217"/>
      <c r="V323" s="119" t="s">
        <v>290</v>
      </c>
      <c r="W323" s="119" t="s">
        <v>290</v>
      </c>
      <c r="X323" s="119" t="s">
        <v>290</v>
      </c>
      <c r="Y323" s="119" t="s">
        <v>290</v>
      </c>
      <c r="Z323" s="235" t="s">
        <v>290</v>
      </c>
      <c r="AA323" s="13">
        <f>+AA322/V322-1</f>
        <v>0</v>
      </c>
      <c r="AB323" s="13">
        <f t="shared" ref="AB323" si="7715">+AB322/W322-1</f>
        <v>0</v>
      </c>
      <c r="AC323" s="13">
        <f t="shared" ref="AC323" si="7716">+AC322/X322-1</f>
        <v>0</v>
      </c>
      <c r="AD323" s="13">
        <f t="shared" ref="AD323" si="7717">+AD322/Y322-1</f>
        <v>0</v>
      </c>
      <c r="AE323" s="239">
        <f t="shared" ref="AE323" si="7718">+AE322/Z322-1</f>
        <v>0</v>
      </c>
      <c r="AF323" s="13">
        <f>+AF322/AA322-1</f>
        <v>0</v>
      </c>
      <c r="AG323" s="13">
        <f t="shared" ref="AG323" si="7719">+AG322/AB322-1</f>
        <v>-0.75051759834368537</v>
      </c>
      <c r="AH323" s="13">
        <f t="shared" ref="AH323" si="7720">+AH322/AC322-1</f>
        <v>-0.82601998778683361</v>
      </c>
      <c r="AI323" s="13">
        <f t="shared" ref="AI323" si="7721">+AI322/AD322-1</f>
        <v>-0.78353159499400626</v>
      </c>
      <c r="AJ323" s="239">
        <f t="shared" ref="AJ323" si="7722">+AJ322/AE322-1</f>
        <v>-0.75300667766791407</v>
      </c>
      <c r="AK323" s="13">
        <f>+AK322/AF322-1</f>
        <v>-0.7005442254764056</v>
      </c>
      <c r="AL323" s="13">
        <f t="shared" ref="AL323" si="7723">+AL322/AG322-1</f>
        <v>1.5740335621693404</v>
      </c>
      <c r="AM323" s="13">
        <f t="shared" ref="AM323" si="7724">+AM322/AH322-1</f>
        <v>0.88783106115260679</v>
      </c>
      <c r="AN323" s="13">
        <f t="shared" ref="AN323" si="7725">+AN322/AI322-1</f>
        <v>0.69276820099026293</v>
      </c>
      <c r="AO323" s="239">
        <f t="shared" ref="AO323" si="7726">+AO322/AJ322-1</f>
        <v>0.6725550114856893</v>
      </c>
      <c r="AP323" s="13">
        <f>+AP322/AK322-1</f>
        <v>0.79286654438716631</v>
      </c>
      <c r="AQ323" s="13">
        <f t="shared" ref="AQ323" si="7727">+AQ322/AL322-1</f>
        <v>-0.2176208765149481</v>
      </c>
      <c r="AR323" s="13">
        <f t="shared" ref="AR323" si="7728">+AR322/AM322-1</f>
        <v>0.49666367035478309</v>
      </c>
      <c r="AS323" s="13">
        <f t="shared" ref="AS323" si="7729">+AS322/AN322-1</f>
        <v>0.40173392197489699</v>
      </c>
      <c r="AT323" s="239">
        <f t="shared" ref="AT323" si="7730">+AT322/AO322-1</f>
        <v>0.23143494615964233</v>
      </c>
      <c r="AU323" s="13">
        <f>+AU322/AP322-1</f>
        <v>1.1998693848138675E-3</v>
      </c>
      <c r="AV323" s="13">
        <f t="shared" ref="AV323" si="7731">+AV322/AQ322-1</f>
        <v>0.24923521411370841</v>
      </c>
      <c r="AW323" s="13">
        <f t="shared" ref="AW323" si="7732">+AW322/AR322-1</f>
        <v>0.18703243073642972</v>
      </c>
      <c r="AX323" s="13">
        <f t="shared" ref="AX323" si="7733">+AX322/AS322-1</f>
        <v>0.50898996975951061</v>
      </c>
      <c r="AY323" s="239">
        <f t="shared" ref="AY323" si="7734">+AY322/AT322-1</f>
        <v>0.25975743294915921</v>
      </c>
      <c r="AZ323" s="13">
        <f t="shared" ref="AZ323" si="7735">+AZ322/AU322-1</f>
        <v>0.29590337120891719</v>
      </c>
      <c r="BA323" s="13">
        <f t="shared" ref="BA323" si="7736">+BA322/AV322-1</f>
        <v>0.18144449893350112</v>
      </c>
      <c r="BB323" s="13">
        <f t="shared" ref="BB323" si="7737">+BB322/AW322-1</f>
        <v>0.26468119454328831</v>
      </c>
      <c r="BC323" s="13">
        <f t="shared" ref="BC323" si="7738">+BC322/AX322-1</f>
        <v>-2.714041491294461E-2</v>
      </c>
      <c r="BD323" s="239">
        <f t="shared" ref="BD323" si="7739">+BD322/AY322-1</f>
        <v>0.14624354443372978</v>
      </c>
      <c r="BE323" s="13">
        <f t="shared" ref="BE323" si="7740">+BE322/AZ322-1</f>
        <v>0.1036796522287613</v>
      </c>
      <c r="BF323" s="13">
        <f t="shared" ref="BF323" si="7741">+BF322/BA322-1</f>
        <v>6.2871342524287721E-2</v>
      </c>
      <c r="BG323" s="13">
        <f t="shared" ref="BG323" si="7742">+BG322/BB322-1</f>
        <v>8.7410292404313639E-2</v>
      </c>
      <c r="BH323" s="13">
        <f t="shared" ref="BH323" si="7743">+BH322/BC322-1</f>
        <v>8.5849938403663284E-2</v>
      </c>
      <c r="BI323" s="239">
        <f t="shared" ref="BI323" si="7744">+BI322/BD322-1</f>
        <v>8.4617217771454367E-2</v>
      </c>
      <c r="BJ323" s="13">
        <f t="shared" ref="BJ323" si="7745">+BJ322/BE322-1</f>
        <v>7.0808555082336744E-2</v>
      </c>
      <c r="BK323" s="13">
        <f t="shared" ref="BK323" si="7746">+BK322/BF322-1</f>
        <v>5.2944125792852237E-2</v>
      </c>
      <c r="BL323" s="13">
        <f t="shared" ref="BL323" si="7747">+BL322/BG322-1</f>
        <v>4.0712025202911839E-2</v>
      </c>
      <c r="BM323" s="13">
        <f t="shared" ref="BM323" si="7748">+BM322/BH322-1</f>
        <v>2.7974793472961501E-2</v>
      </c>
      <c r="BN323" s="239">
        <f t="shared" ref="BN323" si="7749">+BN322/BI322-1</f>
        <v>4.5384445739004242E-2</v>
      </c>
      <c r="BO323" s="13">
        <f t="shared" ref="BO323" si="7750">+BO322/BJ322-1</f>
        <v>6.3311850618466448E-2</v>
      </c>
      <c r="BP323" s="13">
        <f t="shared" ref="BP323" si="7751">+BP322/BK322-1</f>
        <v>5.4915432414734289E-2</v>
      </c>
      <c r="BQ323" s="13">
        <f t="shared" ref="BQ323" si="7752">+BQ322/BL322-1</f>
        <v>4.7259868152242257E-2</v>
      </c>
      <c r="BR323" s="13">
        <f t="shared" ref="BR323" si="7753">+BR322/BM322-1</f>
        <v>3.9114426913833933E-2</v>
      </c>
      <c r="BS323" s="239">
        <f t="shared" ref="BS323" si="7754">+BS322/BN322-1</f>
        <v>5.0535590911290118E-2</v>
      </c>
      <c r="BT323" s="13">
        <f>+BT322/BO322-1</f>
        <v>3.7388136683547568E-2</v>
      </c>
      <c r="BU323" s="13">
        <f t="shared" ref="BU323" si="7755">+BU322/BP322-1</f>
        <v>3.7351113504858091E-2</v>
      </c>
      <c r="BV323" s="13">
        <f t="shared" ref="BV323" si="7756">+BV322/BQ322-1</f>
        <v>3.7677172807054848E-2</v>
      </c>
      <c r="BW323" s="13">
        <f t="shared" ref="BW323" si="7757">+BW322/BR322-1</f>
        <v>3.7674700222040114E-2</v>
      </c>
      <c r="BX323" s="239">
        <f t="shared" ref="BX323" si="7758">+BX322/BS322-1</f>
        <v>3.7526541161388316E-2</v>
      </c>
      <c r="BY323" s="13">
        <f>+BY322/BT322-1</f>
        <v>3.608292352967335E-2</v>
      </c>
      <c r="BZ323" s="13">
        <f t="shared" ref="BZ323" si="7759">+BZ322/BU322-1</f>
        <v>3.6062768186587713E-2</v>
      </c>
      <c r="CA323" s="13">
        <f t="shared" ref="CA323" si="7760">+CA322/BV322-1</f>
        <v>3.6347272639313699E-2</v>
      </c>
      <c r="CB323" s="13">
        <f t="shared" ref="CB323" si="7761">+CB322/BW322-1</f>
        <v>3.6351426744175797E-2</v>
      </c>
      <c r="CC323" s="239">
        <f t="shared" ref="CC323" si="7762">+CC322/BX322-1</f>
        <v>3.6216324118806043E-2</v>
      </c>
      <c r="CD323" s="13">
        <f>+CD322/BY322-1</f>
        <v>3.4898453707814525E-2</v>
      </c>
      <c r="CE323" s="13">
        <f t="shared" ref="CE323" si="7763">+CE322/BZ322-1</f>
        <v>3.4871780280872233E-2</v>
      </c>
      <c r="CF323" s="13">
        <f t="shared" ref="CF323" si="7764">+CF322/CA322-1</f>
        <v>3.5110544720526882E-2</v>
      </c>
      <c r="CG323" s="13">
        <f t="shared" ref="CG323" si="7765">+CG322/CB322-1</f>
        <v>3.5108384337092291E-2</v>
      </c>
      <c r="CH323" s="239">
        <f t="shared" ref="CH323" si="7766">+CH322/CC322-1</f>
        <v>3.5000597676347001E-2</v>
      </c>
      <c r="CI323" s="13">
        <f>+CI322/CD322-1</f>
        <v>2.7015238151108178E-2</v>
      </c>
      <c r="CJ323" s="13">
        <f t="shared" ref="CJ323" si="7767">+CJ322/CE322-1</f>
        <v>2.6996643633054207E-2</v>
      </c>
      <c r="CK323" s="13">
        <f t="shared" ref="CK323" si="7768">+CK322/CF322-1</f>
        <v>2.7157107186525087E-2</v>
      </c>
      <c r="CL323" s="13">
        <f t="shared" ref="CL323" si="7769">+CL322/CG322-1</f>
        <v>2.7155359783481048E-2</v>
      </c>
      <c r="CM323" s="239">
        <f t="shared" ref="CM323" si="7770">+CM322/CH322-1</f>
        <v>2.7082966086764859E-2</v>
      </c>
      <c r="CN323" s="13">
        <f>+CN322/CI322-1</f>
        <v>2.6341349565081273E-2</v>
      </c>
      <c r="CO323" s="13">
        <f t="shared" ref="CO323" si="7771">+CO322/CJ322-1</f>
        <v>2.6321927212496377E-2</v>
      </c>
      <c r="CP323" s="13">
        <f t="shared" ref="CP323" si="7772">+CP322/CK322-1</f>
        <v>2.6457999863929604E-2</v>
      </c>
      <c r="CQ323" s="13">
        <f t="shared" ref="CQ323" si="7773">+CQ322/CL322-1</f>
        <v>2.6454421310119214E-2</v>
      </c>
      <c r="CR323" s="239">
        <f t="shared" ref="CR323" si="7774">+CR322/CM322-1</f>
        <v>2.63948720845808E-2</v>
      </c>
      <c r="CS323" s="13">
        <f>+CS322/CN322-1</f>
        <v>2.5686791187814251E-2</v>
      </c>
      <c r="CT323" s="13">
        <f t="shared" ref="CT323" si="7775">+CT322/CO322-1</f>
        <v>2.566903421023814E-2</v>
      </c>
      <c r="CU323" s="13">
        <f t="shared" ref="CU323" si="7776">+CU322/CP322-1</f>
        <v>2.5789170518324411E-2</v>
      </c>
      <c r="CV323" s="13">
        <f t="shared" ref="CV323" si="7777">+CV322/CQ322-1</f>
        <v>2.5785621151783289E-2</v>
      </c>
      <c r="CW323" s="239">
        <f t="shared" ref="CW323" si="7778">+CW322/CR322-1</f>
        <v>2.5733397586457762E-2</v>
      </c>
      <c r="CX323" s="13">
        <f>+CX322/CS322-1</f>
        <v>1.5666851475276466E-2</v>
      </c>
      <c r="CY323" s="13">
        <f t="shared" ref="CY323" si="7779">+CY322/CT322-1</f>
        <v>1.5653446164063833E-2</v>
      </c>
      <c r="CZ323" s="13">
        <f t="shared" ref="CZ323" si="7780">+CZ322/CU322-1</f>
        <v>1.5717972356996013E-2</v>
      </c>
      <c r="DA323" s="13">
        <f t="shared" ref="DA323" si="7781">+DA322/CV322-1</f>
        <v>1.571374002038306E-2</v>
      </c>
      <c r="DB323" s="239">
        <f t="shared" ref="DB323" si="7782">+DB322/CW322-1</f>
        <v>1.5687756316000057E-2</v>
      </c>
    </row>
    <row r="324" spans="1:106">
      <c r="F324" s="217"/>
      <c r="K324" s="217"/>
      <c r="P324" s="217"/>
      <c r="U324" s="217"/>
      <c r="Z324" s="217"/>
      <c r="AE324" s="217"/>
      <c r="AJ324" s="217"/>
      <c r="AO324" s="217"/>
      <c r="AT324" s="217"/>
      <c r="AY324" s="217"/>
      <c r="BD324" s="217"/>
      <c r="BI324" s="217"/>
      <c r="BN324" s="217"/>
      <c r="BS324" s="217"/>
      <c r="BX324" s="217"/>
      <c r="CC324" s="217"/>
      <c r="CH324" s="217"/>
      <c r="CM324" s="217"/>
      <c r="CR324" s="217"/>
      <c r="CW324" s="217"/>
      <c r="DB324" s="217"/>
    </row>
    <row r="325" spans="1:106" s="51" customFormat="1">
      <c r="A325" s="51" t="s">
        <v>13</v>
      </c>
      <c r="F325" s="233"/>
      <c r="K325" s="233"/>
      <c r="P325" s="233"/>
      <c r="U325" s="233"/>
      <c r="V325" s="135">
        <f t="shared" ref="V325:BA325" si="7783">+V346+V450</f>
        <v>1.125</v>
      </c>
      <c r="W325" s="135">
        <f t="shared" si="7783"/>
        <v>1.35</v>
      </c>
      <c r="X325" s="135">
        <f t="shared" si="7783"/>
        <v>1.125</v>
      </c>
      <c r="Y325" s="135">
        <f t="shared" si="7783"/>
        <v>1.2</v>
      </c>
      <c r="Z325" s="216">
        <f t="shared" si="7783"/>
        <v>4.8</v>
      </c>
      <c r="AA325" s="135">
        <f t="shared" si="7783"/>
        <v>2.7</v>
      </c>
      <c r="AB325" s="135">
        <f t="shared" si="7783"/>
        <v>1.62</v>
      </c>
      <c r="AC325" s="135">
        <f t="shared" si="7783"/>
        <v>1.575</v>
      </c>
      <c r="AD325" s="135">
        <f t="shared" si="7783"/>
        <v>1.62</v>
      </c>
      <c r="AE325" s="216">
        <f t="shared" si="7783"/>
        <v>7.5150000000000006</v>
      </c>
      <c r="AF325" s="135">
        <f t="shared" si="7783"/>
        <v>1.35</v>
      </c>
      <c r="AG325" s="135">
        <f t="shared" si="7783"/>
        <v>1.0845</v>
      </c>
      <c r="AH325" s="135">
        <f t="shared" si="7783"/>
        <v>1.5066666100000001</v>
      </c>
      <c r="AI325" s="135">
        <f t="shared" si="7783"/>
        <v>2.8017498299999999</v>
      </c>
      <c r="AJ325" s="216">
        <f t="shared" si="7783"/>
        <v>6.7429164400000001</v>
      </c>
      <c r="AK325" s="135">
        <f t="shared" si="7783"/>
        <v>5.0740268050000008</v>
      </c>
      <c r="AL325" s="135">
        <f t="shared" si="7783"/>
        <v>17.759693696399999</v>
      </c>
      <c r="AM325" s="135">
        <f t="shared" si="7783"/>
        <v>10.0075475486</v>
      </c>
      <c r="AN325" s="135">
        <f t="shared" si="7783"/>
        <v>14.361275054000002</v>
      </c>
      <c r="AO325" s="216">
        <f t="shared" si="7783"/>
        <v>47.202543104</v>
      </c>
      <c r="AP325" s="135">
        <f t="shared" si="7783"/>
        <v>22.940670798351</v>
      </c>
      <c r="AQ325" s="135">
        <f t="shared" si="7783"/>
        <v>30.04</v>
      </c>
      <c r="AR325" s="135">
        <f t="shared" si="7783"/>
        <v>36.160000000000004</v>
      </c>
      <c r="AS325" s="135">
        <f t="shared" si="7783"/>
        <v>45.305999999999997</v>
      </c>
      <c r="AT325" s="216">
        <f t="shared" si="7783"/>
        <v>134.44667079835102</v>
      </c>
      <c r="AU325" s="135">
        <f t="shared" si="7783"/>
        <v>53.174999999999997</v>
      </c>
      <c r="AV325" s="135">
        <f t="shared" si="7783"/>
        <v>72.819000000000003</v>
      </c>
      <c r="AW325" s="135">
        <f t="shared" si="7783"/>
        <v>73.763999999999996</v>
      </c>
      <c r="AX325" s="135">
        <f t="shared" si="7783"/>
        <v>109.753</v>
      </c>
      <c r="AY325" s="216">
        <f t="shared" si="7783"/>
        <v>309.51099999999997</v>
      </c>
      <c r="AZ325" s="135">
        <f t="shared" si="7783"/>
        <v>114.37750000000001</v>
      </c>
      <c r="BA325" s="135">
        <f t="shared" si="7783"/>
        <v>135.41330000000002</v>
      </c>
      <c r="BB325" s="135">
        <f t="shared" ref="BB325:CG325" si="7784">+BB346+BB450</f>
        <v>146.43979999999999</v>
      </c>
      <c r="BC325" s="135">
        <f>+BC346+BC450</f>
        <v>166.69710000000001</v>
      </c>
      <c r="BD325" s="216">
        <f t="shared" si="7784"/>
        <v>562.92770000000007</v>
      </c>
      <c r="BE325" s="135">
        <f>+BE346+BE450</f>
        <v>190.06225000000001</v>
      </c>
      <c r="BF325" s="135">
        <f t="shared" si="7784"/>
        <v>218.84963000000002</v>
      </c>
      <c r="BG325" s="135">
        <f>+BG346+BG450</f>
        <v>246.78378000000001</v>
      </c>
      <c r="BH325" s="135">
        <f>+BH346+BH450</f>
        <v>279.92180999999999</v>
      </c>
      <c r="BI325" s="216">
        <f t="shared" si="7784"/>
        <v>935.61747000000003</v>
      </c>
      <c r="BJ325" s="135">
        <f t="shared" si="7784"/>
        <v>300.27278694492497</v>
      </c>
      <c r="BK325" s="135">
        <f t="shared" si="7784"/>
        <v>317.93791825932459</v>
      </c>
      <c r="BL325" s="135">
        <f t="shared" si="7784"/>
        <v>337.00176444572202</v>
      </c>
      <c r="BM325" s="135">
        <f t="shared" si="7784"/>
        <v>362.47952441674323</v>
      </c>
      <c r="BN325" s="216">
        <f t="shared" si="7784"/>
        <v>1317.6919940667149</v>
      </c>
      <c r="BO325" s="135">
        <f t="shared" si="7784"/>
        <v>394.55121893885331</v>
      </c>
      <c r="BP325" s="135">
        <f t="shared" si="7784"/>
        <v>408.72531715083227</v>
      </c>
      <c r="BQ325" s="135">
        <f t="shared" si="7784"/>
        <v>419.06024088781112</v>
      </c>
      <c r="BR325" s="135">
        <f t="shared" si="7784"/>
        <v>434.52932637478989</v>
      </c>
      <c r="BS325" s="216">
        <f t="shared" si="7784"/>
        <v>1656.8661033522865</v>
      </c>
      <c r="BT325" s="135">
        <f t="shared" si="7784"/>
        <v>472.3666257205636</v>
      </c>
      <c r="BU325" s="135">
        <f t="shared" si="7784"/>
        <v>490.42794082344398</v>
      </c>
      <c r="BV325" s="135">
        <f t="shared" si="7784"/>
        <v>504.26237817632432</v>
      </c>
      <c r="BW325" s="135">
        <f t="shared" si="7784"/>
        <v>523.77526250920471</v>
      </c>
      <c r="BX325" s="216">
        <f t="shared" si="7784"/>
        <v>1990.8322072295366</v>
      </c>
      <c r="BY325" s="135">
        <f t="shared" si="7784"/>
        <v>568.68422815666486</v>
      </c>
      <c r="BZ325" s="135">
        <f t="shared" si="7784"/>
        <v>586.09557506932492</v>
      </c>
      <c r="CA325" s="135">
        <f t="shared" si="7784"/>
        <v>601.86961094128856</v>
      </c>
      <c r="CB325" s="135">
        <f t="shared" si="7784"/>
        <v>620.90940486512045</v>
      </c>
      <c r="CC325" s="216">
        <f t="shared" si="7784"/>
        <v>2377.5588190323992</v>
      </c>
      <c r="CD325" s="135">
        <f t="shared" si="7784"/>
        <v>671.64420072659277</v>
      </c>
      <c r="CE325" s="135">
        <f t="shared" si="7784"/>
        <v>691.70760906389523</v>
      </c>
      <c r="CF325" s="135">
        <f t="shared" si="7784"/>
        <v>707.09587318795116</v>
      </c>
      <c r="CG325" s="135">
        <f t="shared" si="7784"/>
        <v>728.98760520961514</v>
      </c>
      <c r="CH325" s="216">
        <f t="shared" ref="CH325:DB325" si="7785">+CH346+CH450</f>
        <v>2799.4352881880541</v>
      </c>
      <c r="CI325" s="135">
        <f t="shared" si="7785"/>
        <v>773.95863911418041</v>
      </c>
      <c r="CJ325" s="135">
        <f t="shared" si="7785"/>
        <v>790.3942281714028</v>
      </c>
      <c r="CK325" s="135">
        <f t="shared" si="7785"/>
        <v>801.57819161684176</v>
      </c>
      <c r="CL325" s="135">
        <f t="shared" si="7785"/>
        <v>820.00081136042013</v>
      </c>
      <c r="CM325" s="216">
        <f t="shared" si="7785"/>
        <v>3185.9318702628452</v>
      </c>
      <c r="CN325" s="135">
        <f t="shared" si="7785"/>
        <v>868.66617256039297</v>
      </c>
      <c r="CO325" s="135">
        <f t="shared" si="7785"/>
        <v>885.28753868546346</v>
      </c>
      <c r="CP325" s="135">
        <f t="shared" si="7785"/>
        <v>896.38482136264929</v>
      </c>
      <c r="CQ325" s="135">
        <f t="shared" si="7785"/>
        <v>915.16322506705865</v>
      </c>
      <c r="CR325" s="216">
        <f t="shared" si="7785"/>
        <v>3565.5017576755645</v>
      </c>
      <c r="CS325" s="135">
        <f t="shared" si="7785"/>
        <v>968.37085065180565</v>
      </c>
      <c r="CT325" s="135">
        <f t="shared" si="7785"/>
        <v>985.96762823325207</v>
      </c>
      <c r="CU325" s="135">
        <f t="shared" si="7785"/>
        <v>997.75374781113169</v>
      </c>
      <c r="CV325" s="135">
        <f t="shared" si="7785"/>
        <v>1017.6896029774822</v>
      </c>
      <c r="CW325" s="216">
        <f t="shared" si="7785"/>
        <v>3969.7818296736714</v>
      </c>
      <c r="CX325" s="135">
        <f t="shared" si="7785"/>
        <v>1061.4493281646928</v>
      </c>
      <c r="CY325" s="135">
        <f t="shared" si="7785"/>
        <v>1075.4889168983509</v>
      </c>
      <c r="CZ325" s="135">
        <f t="shared" si="7785"/>
        <v>1083.4205091642314</v>
      </c>
      <c r="DA325" s="135">
        <f t="shared" si="7785"/>
        <v>1099.964815320119</v>
      </c>
      <c r="DB325" s="216">
        <f t="shared" si="7785"/>
        <v>4320.3235695473941</v>
      </c>
    </row>
    <row r="326" spans="1:106">
      <c r="A326" s="117" t="s">
        <v>281</v>
      </c>
      <c r="F326" s="217"/>
      <c r="K326" s="217"/>
      <c r="P326" s="217"/>
      <c r="U326" s="217"/>
      <c r="V326" s="119" t="s">
        <v>290</v>
      </c>
      <c r="W326" s="119" t="s">
        <v>290</v>
      </c>
      <c r="X326" s="119" t="s">
        <v>290</v>
      </c>
      <c r="Y326" s="119" t="s">
        <v>290</v>
      </c>
      <c r="Z326" s="235" t="s">
        <v>290</v>
      </c>
      <c r="AA326" s="13">
        <f>+AA325/V325-1</f>
        <v>1.4000000000000004</v>
      </c>
      <c r="AB326" s="13">
        <f t="shared" ref="AB326" si="7786">+AB325/W325-1</f>
        <v>0.19999999999999996</v>
      </c>
      <c r="AC326" s="13">
        <f t="shared" ref="AC326" si="7787">+AC325/X325-1</f>
        <v>0.39999999999999991</v>
      </c>
      <c r="AD326" s="13">
        <f t="shared" ref="AD326" si="7788">+AD325/Y325-1</f>
        <v>0.35000000000000009</v>
      </c>
      <c r="AE326" s="239">
        <f t="shared" ref="AE326" si="7789">+AE325/Z325-1</f>
        <v>0.56562500000000027</v>
      </c>
      <c r="AF326" s="13">
        <f>+AF325/AA325-1</f>
        <v>-0.5</v>
      </c>
      <c r="AG326" s="13">
        <f t="shared" ref="AG326" si="7790">+AG325/AB325-1</f>
        <v>-0.3305555555555556</v>
      </c>
      <c r="AH326" s="13">
        <f t="shared" ref="AH326" si="7791">+AH325/AC325-1</f>
        <v>-4.3386279365079217E-2</v>
      </c>
      <c r="AI326" s="13">
        <f t="shared" ref="AI326" si="7792">+AI325/AD325-1</f>
        <v>0.72947520370370356</v>
      </c>
      <c r="AJ326" s="239">
        <f t="shared" ref="AJ326" si="7793">+AJ325/AE325-1</f>
        <v>-0.10273899667332009</v>
      </c>
      <c r="AK326" s="13">
        <f>+AK325/AF325-1</f>
        <v>2.7585383740740745</v>
      </c>
      <c r="AL326" s="13">
        <f t="shared" ref="AL326" si="7794">+AL325/AG325-1</f>
        <v>15.375927797510371</v>
      </c>
      <c r="AM326" s="13">
        <f t="shared" ref="AM326" si="7795">+AM325/AH325-1</f>
        <v>5.6421778263208466</v>
      </c>
      <c r="AN326" s="13">
        <f t="shared" ref="AN326" si="7796">+AN325/AI325-1</f>
        <v>4.1258234765378754</v>
      </c>
      <c r="AO326" s="239">
        <f t="shared" ref="AO326" si="7797">+AO325/AJ325-1</f>
        <v>6.0003155940043058</v>
      </c>
      <c r="AP326" s="13">
        <f>+AP325/AK325-1</f>
        <v>3.5211962175180105</v>
      </c>
      <c r="AQ326" s="13">
        <f t="shared" ref="AQ326" si="7798">+AQ325/AL325-1</f>
        <v>0.69147061393796982</v>
      </c>
      <c r="AR326" s="13">
        <f t="shared" ref="AR326" si="7799">+AR325/AM325-1</f>
        <v>2.613272864744828</v>
      </c>
      <c r="AS326" s="13">
        <f t="shared" ref="AS326" si="7800">+AS325/AN325-1</f>
        <v>2.1547338122586166</v>
      </c>
      <c r="AT326" s="239">
        <f t="shared" ref="AT326" si="7801">+AT325/AO325-1</f>
        <v>1.8482929511261408</v>
      </c>
      <c r="AU326" s="13">
        <f>+AU325/AP325-1</f>
        <v>1.3179357076089628</v>
      </c>
      <c r="AV326" s="13">
        <f t="shared" ref="AV326" si="7802">+AV325/AQ325-1</f>
        <v>1.4240679094540614</v>
      </c>
      <c r="AW326" s="13">
        <f t="shared" ref="AW326" si="7803">+AW325/AR325-1</f>
        <v>1.0399336283185838</v>
      </c>
      <c r="AX326" s="13">
        <f t="shared" ref="AX326" si="7804">+AX325/AS325-1</f>
        <v>1.422482673376595</v>
      </c>
      <c r="AY326" s="239">
        <f t="shared" ref="AY326" si="7805">+AY325/AT325-1</f>
        <v>1.3021098117350784</v>
      </c>
      <c r="AZ326" s="13">
        <f t="shared" ref="AZ326" si="7806">+AZ325/AU325-1</f>
        <v>1.1509637987776213</v>
      </c>
      <c r="BA326" s="13">
        <f t="shared" ref="BA326" si="7807">+BA325/AV325-1</f>
        <v>0.85958747030308036</v>
      </c>
      <c r="BB326" s="13">
        <f t="shared" ref="BB326" si="7808">+BB325/AW325-1</f>
        <v>0.98524754622851263</v>
      </c>
      <c r="BC326" s="13">
        <f t="shared" ref="BC326" si="7809">+BC325/AX325-1</f>
        <v>0.51883866500232356</v>
      </c>
      <c r="BD326" s="239">
        <f t="shared" ref="BD326" si="7810">+BD325/AY325-1</f>
        <v>0.8187647611878095</v>
      </c>
      <c r="BE326" s="13">
        <f t="shared" ref="BE326" si="7811">+BE325/AZ325-1</f>
        <v>0.66171012655461081</v>
      </c>
      <c r="BF326" s="13">
        <f t="shared" ref="BF326" si="7812">+BF325/BA325-1</f>
        <v>0.61616052485243311</v>
      </c>
      <c r="BG326" s="13">
        <f t="shared" ref="BG326" si="7813">+BG325/BB325-1</f>
        <v>0.6852234160385362</v>
      </c>
      <c r="BH326" s="13">
        <f t="shared" ref="BH326" si="7814">+BH325/BC325-1</f>
        <v>0.67922423365493456</v>
      </c>
      <c r="BI326" s="239">
        <f t="shared" ref="BI326" si="7815">+BI325/BD325-1</f>
        <v>0.6620561930066684</v>
      </c>
      <c r="BJ326" s="13">
        <f t="shared" ref="BJ326" si="7816">+BJ325/BE325-1</f>
        <v>0.57986547536359789</v>
      </c>
      <c r="BK326" s="13">
        <f t="shared" ref="BK326" si="7817">+BK325/BF325-1</f>
        <v>0.45276881783772982</v>
      </c>
      <c r="BL326" s="13">
        <f t="shared" ref="BL326" si="7818">+BL325/BG325-1</f>
        <v>0.36557501650117374</v>
      </c>
      <c r="BM326" s="13">
        <f t="shared" ref="BM326" si="7819">+BM325/BH325-1</f>
        <v>0.29493133963639084</v>
      </c>
      <c r="BN326" s="239">
        <f t="shared" ref="BN326" si="7820">+BN325/BI325-1</f>
        <v>0.40836617134427255</v>
      </c>
      <c r="BO326" s="13">
        <f t="shared" ref="BO326" si="7821">+BO325/BJ325-1</f>
        <v>0.31397594485050884</v>
      </c>
      <c r="BP326" s="13">
        <f t="shared" ref="BP326" si="7822">+BP325/BK325-1</f>
        <v>0.28555071187657877</v>
      </c>
      <c r="BQ326" s="13">
        <f t="shared" ref="BQ326" si="7823">+BQ325/BL325-1</f>
        <v>0.24349568785508713</v>
      </c>
      <c r="BR326" s="13">
        <f t="shared" ref="BR326" si="7824">+BR325/BM325-1</f>
        <v>0.19876930172533247</v>
      </c>
      <c r="BS326" s="239">
        <f t="shared" ref="BS326" si="7825">+BS325/BN325-1</f>
        <v>0.25740014420122459</v>
      </c>
      <c r="BT326" s="13">
        <f>+BT325/BO325-1</f>
        <v>0.19722510803792481</v>
      </c>
      <c r="BU326" s="13">
        <f t="shared" ref="BU326" si="7826">+BU325/BP325-1</f>
        <v>0.19989616557679724</v>
      </c>
      <c r="BV326" s="13">
        <f t="shared" ref="BV326" si="7827">+BV325/BQ325-1</f>
        <v>0.20331715819187712</v>
      </c>
      <c r="BW326" s="13">
        <f t="shared" ref="BW326" si="7828">+BW325/BR325-1</f>
        <v>0.20538530017980539</v>
      </c>
      <c r="BX326" s="239">
        <f t="shared" ref="BX326" si="7829">+BX325/BS325-1</f>
        <v>0.20156493225466243</v>
      </c>
      <c r="BY326" s="13">
        <f>+BY325/BT325-1</f>
        <v>0.20390433445456746</v>
      </c>
      <c r="BZ326" s="13">
        <f t="shared" ref="BZ326" si="7830">+BZ325/BU325-1</f>
        <v>0.19506970603112861</v>
      </c>
      <c r="CA326" s="13">
        <f t="shared" ref="CA326" si="7831">+CA325/BV325-1</f>
        <v>0.19356437638271351</v>
      </c>
      <c r="CB326" s="13">
        <f t="shared" ref="CB326" si="7832">+CB325/BW325-1</f>
        <v>0.18545003803842053</v>
      </c>
      <c r="CC326" s="239">
        <f t="shared" ref="CC326" si="7833">+CC325/BX325-1</f>
        <v>0.1942537449406827</v>
      </c>
      <c r="CD326" s="13">
        <f>+CD325/BY325-1</f>
        <v>0.1810494602666628</v>
      </c>
      <c r="CE326" s="13">
        <f t="shared" ref="CE326" si="7834">+CE325/BZ325-1</f>
        <v>0.18019592449930744</v>
      </c>
      <c r="CF326" s="13">
        <f t="shared" ref="CF326" si="7835">+CF325/CA325-1</f>
        <v>0.17483232303770069</v>
      </c>
      <c r="CG326" s="13">
        <f t="shared" ref="CG326" si="7836">+CG325/CB325-1</f>
        <v>0.17406436349272636</v>
      </c>
      <c r="CH326" s="239">
        <f t="shared" ref="CH326" si="7837">+CH325/CC325-1</f>
        <v>0.17744102302686549</v>
      </c>
      <c r="CI326" s="13">
        <f>+CI325/CD325-1</f>
        <v>0.15233428395108994</v>
      </c>
      <c r="CJ326" s="13">
        <f t="shared" ref="CJ326" si="7838">+CJ325/CE325-1</f>
        <v>0.1426710040692809</v>
      </c>
      <c r="CK326" s="13">
        <f t="shared" ref="CK326" si="7839">+CK325/CF325-1</f>
        <v>0.13362023738438156</v>
      </c>
      <c r="CL326" s="13">
        <f t="shared" ref="CL326" si="7840">+CL325/CG325-1</f>
        <v>0.12484877040486131</v>
      </c>
      <c r="CM326" s="239">
        <f t="shared" ref="CM326" si="7841">+CM325/CH325-1</f>
        <v>0.13806233839573867</v>
      </c>
      <c r="CN326" s="13">
        <f>+CN325/CI325-1</f>
        <v>0.12236769338812237</v>
      </c>
      <c r="CO326" s="13">
        <f t="shared" ref="CO326" si="7842">+CO325/CJ325-1</f>
        <v>0.12005820277002632</v>
      </c>
      <c r="CP326" s="13">
        <f t="shared" ref="CP326" si="7843">+CP325/CK325-1</f>
        <v>0.11827496149137451</v>
      </c>
      <c r="CQ326" s="13">
        <f t="shared" ref="CQ326" si="7844">+CQ325/CL325-1</f>
        <v>0.11605160920360502</v>
      </c>
      <c r="CR326" s="239">
        <f t="shared" ref="CR326" si="7845">+CR325/CM325-1</f>
        <v>0.11913936106279754</v>
      </c>
      <c r="CS326" s="13">
        <f>+CS325/CN325-1</f>
        <v>0.11477905004350886</v>
      </c>
      <c r="CT326" s="13">
        <f t="shared" ref="CT326" si="7846">+CT325/CO325-1</f>
        <v>0.11372586323454348</v>
      </c>
      <c r="CU326" s="13">
        <f t="shared" ref="CU326" si="7847">+CU325/CP325-1</f>
        <v>0.11308639329075798</v>
      </c>
      <c r="CV326" s="13">
        <f t="shared" ref="CV326" si="7848">+CV325/CQ325-1</f>
        <v>0.11203070130239445</v>
      </c>
      <c r="CW326" s="239">
        <f t="shared" ref="CW326" si="7849">+CW325/CR325-1</f>
        <v>0.11338658608926533</v>
      </c>
      <c r="CX326" s="13">
        <f>+CX325/CS325-1</f>
        <v>9.6118627951508939E-2</v>
      </c>
      <c r="CY326" s="13">
        <f t="shared" ref="CY326" si="7850">+CY325/CT325-1</f>
        <v>9.0795362952748704E-2</v>
      </c>
      <c r="CZ326" s="13">
        <f t="shared" ref="CZ326" si="7851">+CZ325/CU325-1</f>
        <v>8.5859623720818012E-2</v>
      </c>
      <c r="DA326" s="13">
        <f t="shared" ref="DA326" si="7852">+DA325/CV325-1</f>
        <v>8.0845094714460997E-2</v>
      </c>
      <c r="DB326" s="239">
        <f t="shared" ref="DB326" si="7853">+DB325/CW325-1</f>
        <v>8.8302520116713357E-2</v>
      </c>
    </row>
    <row r="327" spans="1:106">
      <c r="A327" s="117" t="s">
        <v>288</v>
      </c>
      <c r="F327" s="217"/>
      <c r="K327" s="217"/>
      <c r="P327" s="217"/>
      <c r="U327" s="217"/>
      <c r="V327" s="119" t="s">
        <v>290</v>
      </c>
      <c r="W327" s="13">
        <f>+W325/V325-1</f>
        <v>0.20000000000000018</v>
      </c>
      <c r="X327" s="13">
        <f t="shared" ref="X327:Y327" si="7854">+X325/W325-1</f>
        <v>-0.16666666666666674</v>
      </c>
      <c r="Y327" s="13">
        <f t="shared" si="7854"/>
        <v>6.6666666666666652E-2</v>
      </c>
      <c r="Z327" s="235" t="s">
        <v>290</v>
      </c>
      <c r="AA327" s="13">
        <f>+AA325/Y325-1</f>
        <v>1.2500000000000004</v>
      </c>
      <c r="AB327" s="13">
        <f>+AB325/AA325-1</f>
        <v>-0.4</v>
      </c>
      <c r="AC327" s="13">
        <f t="shared" ref="AC327:AD327" si="7855">+AC325/AB325-1</f>
        <v>-2.7777777777777901E-2</v>
      </c>
      <c r="AD327" s="13">
        <f t="shared" si="7855"/>
        <v>2.8571428571428692E-2</v>
      </c>
      <c r="AE327" s="235" t="s">
        <v>290</v>
      </c>
      <c r="AF327" s="13">
        <f>+AF325/AD325-1</f>
        <v>-0.16666666666666663</v>
      </c>
      <c r="AG327" s="13">
        <f>+AG325/AF325-1</f>
        <v>-0.19666666666666666</v>
      </c>
      <c r="AH327" s="13">
        <f t="shared" ref="AH327:AI327" si="7856">+AH325/AG325-1</f>
        <v>0.38927303826648241</v>
      </c>
      <c r="AI327" s="13">
        <f t="shared" si="7856"/>
        <v>0.8595685411784626</v>
      </c>
      <c r="AJ327" s="235" t="s">
        <v>290</v>
      </c>
      <c r="AK327" s="13">
        <f>+AK325/AI325-1</f>
        <v>0.81102065240421584</v>
      </c>
      <c r="AL327" s="13">
        <f>+AL325/AK325-1</f>
        <v>2.5001182254101231</v>
      </c>
      <c r="AM327" s="13">
        <f t="shared" ref="AM327:AN327" si="7857">+AM325/AL325-1</f>
        <v>-0.43650224380679536</v>
      </c>
      <c r="AN327" s="13">
        <f t="shared" si="7857"/>
        <v>0.43504439866579148</v>
      </c>
      <c r="AO327" s="235" t="s">
        <v>290</v>
      </c>
      <c r="AP327" s="13">
        <f>+AP325/AN325-1</f>
        <v>0.59739791293541211</v>
      </c>
      <c r="AQ327" s="13">
        <f>+AQ325/AP325-1</f>
        <v>0.30946476081943097</v>
      </c>
      <c r="AR327" s="13">
        <f t="shared" ref="AR327:AS327" si="7858">+AR325/AQ325-1</f>
        <v>0.20372836218375512</v>
      </c>
      <c r="AS327" s="13">
        <f t="shared" si="7858"/>
        <v>0.25293141592920332</v>
      </c>
      <c r="AT327" s="235" t="s">
        <v>290</v>
      </c>
      <c r="AU327" s="13">
        <f>+AU325/AS325-1</f>
        <v>0.17368560455568804</v>
      </c>
      <c r="AV327" s="13">
        <f>+AV325/AU325-1</f>
        <v>0.36942172073342738</v>
      </c>
      <c r="AW327" s="13">
        <f t="shared" ref="AW327:AX327" si="7859">+AW325/AV325-1</f>
        <v>1.29773822766035E-2</v>
      </c>
      <c r="AX327" s="13">
        <f t="shared" si="7859"/>
        <v>0.48789382354536093</v>
      </c>
      <c r="AY327" s="235" t="s">
        <v>290</v>
      </c>
      <c r="AZ327" s="13">
        <f>+AZ325/AX325-1</f>
        <v>4.2135522491412614E-2</v>
      </c>
      <c r="BA327" s="13">
        <f t="shared" ref="BA327:BC327" si="7860">+BA325/AZ325-1</f>
        <v>0.18391554282966505</v>
      </c>
      <c r="BB327" s="13">
        <f t="shared" si="7860"/>
        <v>8.1428485975897358E-2</v>
      </c>
      <c r="BC327" s="13">
        <f t="shared" si="7860"/>
        <v>0.1383319288881848</v>
      </c>
      <c r="BD327" s="235" t="s">
        <v>290</v>
      </c>
      <c r="BE327" s="13">
        <f>+BE325/BC325-1</f>
        <v>0.14016530581515818</v>
      </c>
      <c r="BF327" s="13">
        <f t="shared" ref="BF327:BH327" si="7861">+BF325/BE325-1</f>
        <v>0.15146290228596171</v>
      </c>
      <c r="BG327" s="13">
        <f t="shared" si="7861"/>
        <v>0.12764083722691222</v>
      </c>
      <c r="BH327" s="13">
        <f t="shared" si="7861"/>
        <v>0.13427961108302977</v>
      </c>
      <c r="BI327" s="235" t="s">
        <v>290</v>
      </c>
      <c r="BJ327" s="13">
        <f>+BJ325/BH325-1</f>
        <v>7.2702362652359964E-2</v>
      </c>
      <c r="BK327" s="13">
        <f t="shared" ref="BK327:BM327" si="7862">+BK325/BJ325-1</f>
        <v>5.8830277275974785E-2</v>
      </c>
      <c r="BL327" s="13">
        <f t="shared" si="7862"/>
        <v>5.9960907748185299E-2</v>
      </c>
      <c r="BM327" s="13">
        <f t="shared" si="7862"/>
        <v>7.5601265806205298E-2</v>
      </c>
      <c r="BN327" s="235" t="s">
        <v>290</v>
      </c>
      <c r="BO327" s="13">
        <f>+BO325/BM325-1</f>
        <v>8.8478637720891484E-2</v>
      </c>
      <c r="BP327" s="13">
        <f t="shared" ref="BP327:BR327" si="7863">+BP325/BO325-1</f>
        <v>3.5924608850785633E-2</v>
      </c>
      <c r="BQ327" s="13">
        <f t="shared" si="7863"/>
        <v>2.528574400289707E-2</v>
      </c>
      <c r="BR327" s="13">
        <f t="shared" si="7863"/>
        <v>3.6913751240648107E-2</v>
      </c>
      <c r="BS327" s="235" t="s">
        <v>290</v>
      </c>
      <c r="BT327" s="13">
        <f>+BT325/BR325-1</f>
        <v>8.7076514861365917E-2</v>
      </c>
      <c r="BU327" s="13">
        <f t="shared" ref="BU327:BW327" si="7864">+BU325/BT325-1</f>
        <v>3.8235798465501292E-2</v>
      </c>
      <c r="BV327" s="13">
        <f t="shared" si="7864"/>
        <v>2.820890940604226E-2</v>
      </c>
      <c r="BW327" s="13">
        <f t="shared" si="7864"/>
        <v>3.8695895584059059E-2</v>
      </c>
      <c r="BX327" s="235" t="s">
        <v>290</v>
      </c>
      <c r="BY327" s="13">
        <f>+BY325/BW325-1</f>
        <v>8.5740906190030275E-2</v>
      </c>
      <c r="BZ327" s="13">
        <f t="shared" ref="BZ327:CB327" si="7865">+BZ325/BY325-1</f>
        <v>3.0616897832910217E-2</v>
      </c>
      <c r="CA327" s="13">
        <f t="shared" si="7865"/>
        <v>2.6913760388137753E-2</v>
      </c>
      <c r="CB327" s="13">
        <f t="shared" si="7865"/>
        <v>3.1634416454512149E-2</v>
      </c>
      <c r="CC327" s="235" t="s">
        <v>290</v>
      </c>
      <c r="CD327" s="13">
        <f>+CD325/CB325-1</f>
        <v>8.1710464463802701E-2</v>
      </c>
      <c r="CE327" s="13">
        <f t="shared" ref="CE327:CG327" si="7866">+CE325/CD325-1</f>
        <v>2.9872078573145666E-2</v>
      </c>
      <c r="CF327" s="13">
        <f t="shared" si="7866"/>
        <v>2.2246775837671207E-2</v>
      </c>
      <c r="CG327" s="13">
        <f t="shared" si="7866"/>
        <v>3.0960061926206484E-2</v>
      </c>
      <c r="CH327" s="235" t="s">
        <v>290</v>
      </c>
      <c r="CI327" s="13">
        <f>+CI325/CG325-1</f>
        <v>6.1689709925361713E-2</v>
      </c>
      <c r="CJ327" s="13">
        <f t="shared" ref="CJ327:CL327" si="7867">+CJ325/CI325-1</f>
        <v>2.1235745977373544E-2</v>
      </c>
      <c r="CK327" s="13">
        <f t="shared" si="7867"/>
        <v>1.4149854650777671E-2</v>
      </c>
      <c r="CL327" s="13">
        <f t="shared" si="7867"/>
        <v>2.2982935334628474E-2</v>
      </c>
      <c r="CM327" s="235" t="s">
        <v>290</v>
      </c>
      <c r="CN327" s="13">
        <f>+CN325/CL325-1</f>
        <v>5.9347942740733073E-2</v>
      </c>
      <c r="CO327" s="13">
        <f t="shared" ref="CO327:CQ327" si="7868">+CO325/CN325-1</f>
        <v>1.9134354082281257E-2</v>
      </c>
      <c r="CP327" s="13">
        <f t="shared" si="7868"/>
        <v>1.2535229733001696E-2</v>
      </c>
      <c r="CQ327" s="13">
        <f t="shared" si="7868"/>
        <v>2.0949042483632274E-2</v>
      </c>
      <c r="CR327" s="235" t="s">
        <v>290</v>
      </c>
      <c r="CS327" s="13">
        <f>+CS325/CQ325-1</f>
        <v>5.8140038986868481E-2</v>
      </c>
      <c r="CT327" s="13">
        <f t="shared" ref="CT327:CV327" si="7869">+CT325/CS325-1</f>
        <v>1.8171527539890375E-2</v>
      </c>
      <c r="CU327" s="13">
        <f t="shared" si="7869"/>
        <v>1.1953860593779453E-2</v>
      </c>
      <c r="CV327" s="13">
        <f t="shared" si="7869"/>
        <v>1.9980736940438115E-2</v>
      </c>
      <c r="CW327" s="235" t="s">
        <v>290</v>
      </c>
      <c r="CX327" s="13">
        <f>+CX325/CV325-1</f>
        <v>4.2999088385281325E-2</v>
      </c>
      <c r="CY327" s="13">
        <f t="shared" ref="CY327:DA327" si="7870">+CY325/CX325-1</f>
        <v>1.3226810136978795E-2</v>
      </c>
      <c r="CZ327" s="13">
        <f t="shared" si="7870"/>
        <v>7.3748712248515869E-3</v>
      </c>
      <c r="DA327" s="13">
        <f t="shared" si="7870"/>
        <v>1.5270438408675036E-2</v>
      </c>
      <c r="DB327" s="235" t="s">
        <v>290</v>
      </c>
    </row>
    <row r="328" spans="1:106">
      <c r="F328" s="217"/>
      <c r="K328" s="217"/>
      <c r="P328" s="217"/>
      <c r="U328" s="217"/>
      <c r="V328" s="119"/>
      <c r="W328" s="13"/>
      <c r="X328" s="13"/>
      <c r="Y328" s="13"/>
      <c r="Z328" s="235"/>
      <c r="AA328" s="13"/>
      <c r="AB328" s="13"/>
      <c r="AC328" s="13"/>
      <c r="AD328" s="13"/>
      <c r="AE328" s="235"/>
      <c r="AF328" s="13"/>
      <c r="AG328" s="13"/>
      <c r="AH328" s="13"/>
      <c r="AI328" s="13"/>
      <c r="AJ328" s="235"/>
      <c r="AK328" s="13"/>
      <c r="AL328" s="13"/>
      <c r="AM328" s="13"/>
      <c r="AN328" s="13"/>
      <c r="AO328" s="235"/>
      <c r="AP328" s="13"/>
      <c r="AQ328" s="13"/>
      <c r="AR328" s="13"/>
      <c r="AS328" s="13"/>
      <c r="AT328" s="235"/>
      <c r="AU328" s="13"/>
      <c r="AV328" s="13"/>
      <c r="AW328" s="13"/>
      <c r="AX328" s="13"/>
      <c r="AY328" s="235"/>
      <c r="AZ328" s="13"/>
      <c r="BA328" s="13"/>
      <c r="BB328" s="13"/>
      <c r="BC328" s="13"/>
      <c r="BD328" s="235"/>
      <c r="BE328" s="119"/>
      <c r="BF328" s="13"/>
      <c r="BG328" s="13"/>
      <c r="BH328" s="13"/>
      <c r="BI328" s="235"/>
      <c r="BJ328" s="13"/>
      <c r="BK328" s="13"/>
      <c r="BL328" s="13"/>
      <c r="BM328" s="13"/>
      <c r="BN328" s="235"/>
      <c r="BO328" s="13"/>
      <c r="BP328" s="13"/>
      <c r="BQ328" s="13"/>
      <c r="BR328" s="13"/>
      <c r="BS328" s="235"/>
      <c r="BT328" s="13"/>
      <c r="BU328" s="13"/>
      <c r="BV328" s="13"/>
      <c r="BW328" s="13"/>
      <c r="BX328" s="235"/>
      <c r="BY328" s="13"/>
      <c r="BZ328" s="13"/>
      <c r="CA328" s="13"/>
      <c r="CB328" s="13"/>
      <c r="CC328" s="235"/>
      <c r="CD328" s="13"/>
      <c r="CE328" s="13"/>
      <c r="CF328" s="13"/>
      <c r="CG328" s="13"/>
      <c r="CH328" s="235"/>
      <c r="CI328" s="13"/>
      <c r="CJ328" s="13"/>
      <c r="CK328" s="13"/>
      <c r="CL328" s="13"/>
      <c r="CM328" s="235"/>
      <c r="CN328" s="13"/>
      <c r="CO328" s="13"/>
      <c r="CP328" s="13"/>
      <c r="CQ328" s="13"/>
      <c r="CR328" s="235"/>
      <c r="CS328" s="13"/>
      <c r="CT328" s="13"/>
      <c r="CU328" s="13"/>
      <c r="CV328" s="13"/>
      <c r="CW328" s="235"/>
      <c r="CX328" s="13"/>
      <c r="CY328" s="13"/>
      <c r="CZ328" s="13"/>
      <c r="DA328" s="13"/>
      <c r="DB328" s="235"/>
    </row>
    <row r="329" spans="1:106" s="124" customFormat="1">
      <c r="A329" s="124" t="s">
        <v>385</v>
      </c>
      <c r="F329" s="243"/>
      <c r="K329" s="243"/>
      <c r="P329" s="243"/>
      <c r="U329" s="243"/>
      <c r="V329" s="126"/>
      <c r="W329" s="127"/>
      <c r="X329" s="127"/>
      <c r="Y329" s="127"/>
      <c r="Z329" s="251"/>
      <c r="AA329" s="127"/>
      <c r="AB329" s="127"/>
      <c r="AC329" s="127"/>
      <c r="AD329" s="127"/>
      <c r="AE329" s="251"/>
      <c r="AF329" s="127"/>
      <c r="AG329" s="127"/>
      <c r="AH329" s="127"/>
      <c r="AI329" s="127"/>
      <c r="AJ329" s="251"/>
      <c r="AK329" s="127"/>
      <c r="AL329" s="127"/>
      <c r="AM329" s="127"/>
      <c r="AN329" s="127"/>
      <c r="AO329" s="251"/>
      <c r="AP329" s="127"/>
      <c r="AQ329" s="127"/>
      <c r="AR329" s="127"/>
      <c r="AS329" s="127"/>
      <c r="AT329" s="251"/>
      <c r="AU329" s="127"/>
      <c r="AV329" s="127"/>
      <c r="AW329" s="127"/>
      <c r="AX329" s="127"/>
      <c r="AY329" s="251"/>
      <c r="AZ329" s="127"/>
      <c r="BA329" s="127"/>
      <c r="BB329" s="127"/>
      <c r="BC329" s="127"/>
      <c r="BD329" s="251"/>
      <c r="BE329" s="126"/>
      <c r="BF329" s="127"/>
      <c r="BG329" s="127"/>
      <c r="BH329" s="325"/>
      <c r="BI329" s="251"/>
      <c r="BJ329" s="325"/>
      <c r="BK329" s="127"/>
      <c r="BL329" s="127"/>
      <c r="BM329" s="127"/>
      <c r="BN329" s="251"/>
      <c r="BO329" s="127"/>
      <c r="BP329" s="127"/>
      <c r="BQ329" s="127"/>
      <c r="BR329" s="127"/>
      <c r="BS329" s="251"/>
      <c r="BT329" s="127"/>
      <c r="BU329" s="127"/>
      <c r="BV329" s="127"/>
      <c r="BW329" s="127"/>
      <c r="BX329" s="251"/>
      <c r="BY329" s="127"/>
      <c r="BZ329" s="127"/>
      <c r="CA329" s="127"/>
      <c r="CB329" s="127"/>
      <c r="CC329" s="251"/>
      <c r="CD329" s="127"/>
      <c r="CE329" s="127"/>
      <c r="CF329" s="127"/>
      <c r="CG329" s="127"/>
      <c r="CH329" s="251"/>
      <c r="CI329" s="127"/>
      <c r="CJ329" s="127"/>
      <c r="CK329" s="127"/>
      <c r="CL329" s="127"/>
      <c r="CM329" s="251"/>
      <c r="CN329" s="127"/>
      <c r="CO329" s="127"/>
      <c r="CP329" s="127"/>
      <c r="CQ329" s="127"/>
      <c r="CR329" s="251"/>
      <c r="CS329" s="127"/>
      <c r="CT329" s="127"/>
      <c r="CU329" s="127"/>
      <c r="CV329" s="127"/>
      <c r="CW329" s="251"/>
      <c r="CX329" s="127"/>
      <c r="CY329" s="127"/>
      <c r="CZ329" s="127"/>
      <c r="DA329" s="127"/>
      <c r="DB329" s="251"/>
    </row>
    <row r="330" spans="1:106">
      <c r="A330" s="12" t="s">
        <v>354</v>
      </c>
      <c r="F330" s="217"/>
      <c r="K330" s="217"/>
      <c r="P330" s="217"/>
      <c r="U330" s="217"/>
      <c r="V330" s="65"/>
      <c r="W330" s="65"/>
      <c r="X330" s="65"/>
      <c r="Y330" s="65"/>
      <c r="Z330" s="252"/>
      <c r="AA330" s="65"/>
      <c r="AB330" s="65"/>
      <c r="AC330" s="65"/>
      <c r="AD330" s="65"/>
      <c r="AE330" s="252"/>
      <c r="AF330" s="65">
        <f>+AF364</f>
        <v>0</v>
      </c>
      <c r="AG330" s="65">
        <f>+AG364</f>
        <v>0</v>
      </c>
      <c r="AH330" s="65">
        <f>+AH364</f>
        <v>2183.3322000000003</v>
      </c>
      <c r="AI330" s="65">
        <f>+AI364</f>
        <v>4366.6644000000006</v>
      </c>
      <c r="AJ330" s="252">
        <f>+AF330+AG330+AH330+AI330</f>
        <v>6549.9966000000004</v>
      </c>
      <c r="AK330" s="65">
        <f>+AK364</f>
        <v>7496.1072200000008</v>
      </c>
      <c r="AL330" s="65">
        <f>+AL364</f>
        <v>13492.992996000001</v>
      </c>
      <c r="AM330" s="65">
        <f>+AM364</f>
        <v>13492.992996000001</v>
      </c>
      <c r="AN330" s="65">
        <f>+AN364</f>
        <v>14992.214440000002</v>
      </c>
      <c r="AO330" s="252">
        <f>+AK330+AL330+AM330+AN330</f>
        <v>49474.30765200001</v>
      </c>
      <c r="AP330" s="65">
        <f>+AP364</f>
        <v>16986.178960519999</v>
      </c>
      <c r="AQ330" s="65">
        <f>+AQ337-AQ331-AQ332-AQ333-AQ334-AQ335-AQ336</f>
        <v>25600</v>
      </c>
      <c r="AR330" s="65">
        <f t="shared" ref="AR330" si="7871">+AR337-AR331-AR332-AR333-AR334-AR335-AR336</f>
        <v>31400</v>
      </c>
      <c r="AS330" s="65">
        <f>+AS337-AS331-AS332-AS333-AS334-AS335-AS336</f>
        <v>37156.719812950003</v>
      </c>
      <c r="AT330" s="252">
        <f>+AP330+AQ330+AR330+AS330</f>
        <v>111142.89877347001</v>
      </c>
      <c r="AU330" s="65">
        <f>+AU337-AU331-AU332-AU333-AU334-AU335-AU336</f>
        <v>45236.353425738125</v>
      </c>
      <c r="AV330" s="65">
        <f t="shared" ref="AV330:AX330" si="7872">+AV337-AV331-AV332-AV333-AV334-AV335-AV336</f>
        <v>51968.523517888752</v>
      </c>
      <c r="AW330" s="65">
        <f t="shared" si="7872"/>
        <v>59120.829573240131</v>
      </c>
      <c r="AX330" s="65">
        <f t="shared" si="7872"/>
        <v>65065.373702342491</v>
      </c>
      <c r="AY330" s="252">
        <f>+AU330+AV330+AW330+AX330</f>
        <v>221391.08021920949</v>
      </c>
      <c r="AZ330" s="65">
        <f t="shared" ref="AZ330:BA330" si="7873">+AZ337-AZ331-AZ332-AZ333-AZ334-AZ335-AZ336</f>
        <v>67703.55376908496</v>
      </c>
      <c r="BA330" s="65">
        <f t="shared" si="7873"/>
        <v>76374.402688416623</v>
      </c>
      <c r="BB330" s="65">
        <f>+BB337-BB331-BB332-BB333-BB334-BB335-BB336</f>
        <v>82435.251607748272</v>
      </c>
      <c r="BC330" s="65">
        <f>+BC337-BC331-BC332-BC333-BC334-BC335-BC336</f>
        <v>87568.553954761737</v>
      </c>
      <c r="BD330" s="252">
        <f>+AZ330+BA330+BB330+BC330</f>
        <v>314081.76202001155</v>
      </c>
      <c r="BE330" s="65">
        <f>+BE337-BE331-BE332-BE333-BE334-BE335-BE336</f>
        <v>95632.410994746926</v>
      </c>
      <c r="BF330" s="65">
        <f>+BF337-BF331-BF332-BF333-BF334-BF335-BF336</f>
        <v>108215.83111130353</v>
      </c>
      <c r="BG330" s="65">
        <f>+BG337-BG331-BG332-BG333-BG334-BG335-BG336</f>
        <v>123869.09212145262</v>
      </c>
      <c r="BH330" s="65">
        <f>+BH337-BH331-BH332-BH333-BH334-BH335-BH336</f>
        <v>137458.06899856802</v>
      </c>
      <c r="BI330" s="252">
        <f>+BE330+BF330+BG330+BH330</f>
        <v>465175.40322607104</v>
      </c>
      <c r="BJ330" s="65">
        <f>+BJ364</f>
        <v>149468.73544308761</v>
      </c>
      <c r="BK330" s="65">
        <f>+BK364</f>
        <v>152075.74827058331</v>
      </c>
      <c r="BL330" s="65">
        <f>+BL364</f>
        <v>158158.77820140665</v>
      </c>
      <c r="BM330" s="65">
        <f>+BM364</f>
        <v>166848.82095972571</v>
      </c>
      <c r="BN330" s="252">
        <f>+BJ330+BK330+BL330+BM330</f>
        <v>626552.08287480334</v>
      </c>
      <c r="BO330" s="65">
        <f>+BO364</f>
        <v>177224.73201315867</v>
      </c>
      <c r="BP330" s="65">
        <f>+BP364</f>
        <v>182595.17843779986</v>
      </c>
      <c r="BQ330" s="65">
        <f>+BQ364</f>
        <v>187965.62486244101</v>
      </c>
      <c r="BR330" s="65">
        <f>+BR364</f>
        <v>193336.07128708219</v>
      </c>
      <c r="BS330" s="252">
        <f>+BO330+BP330+BQ330+BR330</f>
        <v>741121.60660048167</v>
      </c>
      <c r="BT330" s="65">
        <f>+BT364</f>
        <v>206511.5665155352</v>
      </c>
      <c r="BU330" s="65">
        <f>+BU364</f>
        <v>213886.97960537573</v>
      </c>
      <c r="BV330" s="65">
        <f>+BV364</f>
        <v>221262.39269521629</v>
      </c>
      <c r="BW330" s="65">
        <f>+BW364</f>
        <v>228637.80578505684</v>
      </c>
      <c r="BX330" s="252">
        <f>+BT330+BU330+BV330+BW330</f>
        <v>870298.74460118404</v>
      </c>
      <c r="BY330" s="65">
        <f>+BY364</f>
        <v>243093.61544114436</v>
      </c>
      <c r="BZ330" s="65">
        <f>+BZ364</f>
        <v>250690.29092368012</v>
      </c>
      <c r="CA330" s="65">
        <f>+CA364</f>
        <v>258286.96640621588</v>
      </c>
      <c r="CB330" s="65">
        <f>+CB364</f>
        <v>265883.64188875165</v>
      </c>
      <c r="CC330" s="252">
        <f>+BY330+BZ330+CA330+CB330</f>
        <v>1017954.5146597921</v>
      </c>
      <c r="CD330" s="65">
        <f>+CD364</f>
        <v>281684.72689242603</v>
      </c>
      <c r="CE330" s="65">
        <f>+CE364</f>
        <v>289509.30263943784</v>
      </c>
      <c r="CF330" s="65">
        <f>+CF364</f>
        <v>297333.87838644971</v>
      </c>
      <c r="CG330" s="65">
        <f>+CG364</f>
        <v>305158.45413346152</v>
      </c>
      <c r="CH330" s="252">
        <f>+CD330+CE330+CF330+CG330</f>
        <v>1173686.362051775</v>
      </c>
      <c r="CI330" s="65">
        <f>+CI364</f>
        <v>319350.27839460428</v>
      </c>
      <c r="CJ330" s="65">
        <f>+CJ364</f>
        <v>324387.34903174313</v>
      </c>
      <c r="CK330" s="65">
        <f>+CK364</f>
        <v>329424.41966888198</v>
      </c>
      <c r="CL330" s="65">
        <f>+CL364</f>
        <v>334461.49030602089</v>
      </c>
      <c r="CM330" s="252">
        <f>+CI330+CJ330+CK330+CL330</f>
        <v>1307623.5374012503</v>
      </c>
      <c r="CN330" s="65">
        <f>+CN364</f>
        <v>349683.51777145453</v>
      </c>
      <c r="CO330" s="65">
        <f>+CO364</f>
        <v>354871.70052770752</v>
      </c>
      <c r="CP330" s="65">
        <f>+CP364</f>
        <v>360059.88328396057</v>
      </c>
      <c r="CQ330" s="65">
        <f>+CQ364</f>
        <v>365248.06604021363</v>
      </c>
      <c r="CR330" s="252">
        <f>+CN330+CO330+CP330+CQ330</f>
        <v>1429863.1676233364</v>
      </c>
      <c r="CS330" s="65">
        <f>+CS364</f>
        <v>381549.33626036067</v>
      </c>
      <c r="CT330" s="65">
        <f>+CT364</f>
        <v>386893.16449930129</v>
      </c>
      <c r="CU330" s="65">
        <f>+CU364</f>
        <v>392236.99273824191</v>
      </c>
      <c r="CV330" s="65">
        <f>+CV364</f>
        <v>397580.82097718253</v>
      </c>
      <c r="CW330" s="252">
        <f>+CS330+CT330+CU330+CV330</f>
        <v>1558260.3144750865</v>
      </c>
      <c r="CX330" s="65">
        <f>+CX364</f>
        <v>412260.31714955246</v>
      </c>
      <c r="CY330" s="65">
        <f>+CY364</f>
        <v>415012.38869260688</v>
      </c>
      <c r="CZ330" s="65">
        <f>+CZ364</f>
        <v>417764.4602356613</v>
      </c>
      <c r="DA330" s="65">
        <f>+DA364</f>
        <v>420516.53177871573</v>
      </c>
      <c r="DB330" s="252">
        <f>+CX330+CY330+CZ330+DA330</f>
        <v>1665553.6978565364</v>
      </c>
    </row>
    <row r="331" spans="1:106">
      <c r="A331" s="12" t="s">
        <v>355</v>
      </c>
      <c r="F331" s="217"/>
      <c r="K331" s="217"/>
      <c r="P331" s="217"/>
      <c r="U331" s="217"/>
      <c r="V331" s="65"/>
      <c r="W331" s="65"/>
      <c r="X331" s="65"/>
      <c r="Y331" s="65"/>
      <c r="Z331" s="252"/>
      <c r="AA331" s="65"/>
      <c r="AB331" s="65"/>
      <c r="AC331" s="65"/>
      <c r="AD331" s="65"/>
      <c r="AE331" s="252"/>
      <c r="AF331" s="65">
        <f>+AF383</f>
        <v>0</v>
      </c>
      <c r="AG331" s="65">
        <f>+AG383</f>
        <v>0</v>
      </c>
      <c r="AH331" s="65">
        <f>+AH383</f>
        <v>0</v>
      </c>
      <c r="AI331" s="65">
        <f>+AI383</f>
        <v>0</v>
      </c>
      <c r="AJ331" s="252">
        <f t="shared" ref="AJ331:AJ336" si="7874">+AF331+AG331+AH331+AI331</f>
        <v>0</v>
      </c>
      <c r="AK331" s="65">
        <f>+AK383</f>
        <v>0</v>
      </c>
      <c r="AL331" s="65">
        <f>+AL383</f>
        <v>0</v>
      </c>
      <c r="AM331" s="65">
        <f>+AM383</f>
        <v>0</v>
      </c>
      <c r="AN331" s="65">
        <f>+AN383</f>
        <v>0</v>
      </c>
      <c r="AO331" s="252">
        <f t="shared" ref="AO331:AO336" si="7875">+AK331+AL331+AM331+AN331</f>
        <v>0</v>
      </c>
      <c r="AP331" s="65">
        <f>+AP383</f>
        <v>0</v>
      </c>
      <c r="AQ331" s="65">
        <f>+AQ383</f>
        <v>0</v>
      </c>
      <c r="AR331" s="65">
        <f>+AR383</f>
        <v>0</v>
      </c>
      <c r="AS331" s="65">
        <f>+AS383</f>
        <v>343.28018704999994</v>
      </c>
      <c r="AT331" s="252">
        <f t="shared" ref="AT331:AT336" si="7876">+AP331+AQ331+AR331+AS331</f>
        <v>343.28018704999994</v>
      </c>
      <c r="AU331" s="65">
        <f>+AU383</f>
        <v>441.97324082687499</v>
      </c>
      <c r="AV331" s="65">
        <f>+AV383</f>
        <v>883.94648165374997</v>
      </c>
      <c r="AW331" s="65">
        <f>+AW383</f>
        <v>1149.1304261498749</v>
      </c>
      <c r="AX331" s="65">
        <f>+AX383</f>
        <v>1767.8929633074999</v>
      </c>
      <c r="AY331" s="252">
        <f t="shared" ref="AY331:AY336" si="7877">+AU331+AV331+AW331+AX331</f>
        <v>4242.9431119379997</v>
      </c>
      <c r="AZ331" s="65">
        <f>+AZ383</f>
        <v>2276.1621902584061</v>
      </c>
      <c r="BA331" s="65">
        <f>+BA383</f>
        <v>2731.3946283100872</v>
      </c>
      <c r="BB331" s="65">
        <f>+BB383</f>
        <v>3186.6270663617688</v>
      </c>
      <c r="BC331" s="65">
        <f>+BC383</f>
        <v>3823.9524796341225</v>
      </c>
      <c r="BD331" s="252">
        <f t="shared" ref="BD331:BD336" si="7878">+AZ331+BA331+BB331+BC331</f>
        <v>12018.136364564385</v>
      </c>
      <c r="BE331" s="65">
        <f>+BE383</f>
        <v>4407.5604652163775</v>
      </c>
      <c r="BF331" s="65">
        <f>+BF383</f>
        <v>5345.3392876028411</v>
      </c>
      <c r="BG331" s="65">
        <f>+BG383</f>
        <v>6283.1181099893047</v>
      </c>
      <c r="BH331" s="65">
        <f>+BH383</f>
        <v>7408.4526968530599</v>
      </c>
      <c r="BI331" s="252">
        <f t="shared" ref="BI331:BI336" si="7879">+BE331+BF331+BG331+BH331</f>
        <v>23444.470559661582</v>
      </c>
      <c r="BJ331" s="65">
        <f>+BJ383</f>
        <v>8403.436027405096</v>
      </c>
      <c r="BK331" s="65">
        <f>+BK383</f>
        <v>9176.165777051543</v>
      </c>
      <c r="BL331" s="65">
        <f>+BL383</f>
        <v>9948.8955266979901</v>
      </c>
      <c r="BM331" s="65">
        <f>+BM383</f>
        <v>10721.625276344435</v>
      </c>
      <c r="BN331" s="252">
        <f t="shared" ref="BN331:BN336" si="7880">+BJ331+BK331+BL331+BM331</f>
        <v>38250.122607499063</v>
      </c>
      <c r="BO331" s="65">
        <f>+BO383</f>
        <v>11441.22985570269</v>
      </c>
      <c r="BP331" s="65">
        <f>+BP383</f>
        <v>11839.18567677061</v>
      </c>
      <c r="BQ331" s="65">
        <f>+BQ383</f>
        <v>12237.141497838531</v>
      </c>
      <c r="BR331" s="65">
        <f>+BR383</f>
        <v>12635.09731890645</v>
      </c>
      <c r="BS331" s="252">
        <f t="shared" ref="BS331:BS336" si="7881">+BO331+BP331+BQ331+BR331</f>
        <v>48152.654349218283</v>
      </c>
      <c r="BT331" s="65">
        <f>+BT383</f>
        <v>13526.51835809859</v>
      </c>
      <c r="BU331" s="65">
        <f>+BU383</f>
        <v>14038.886477723538</v>
      </c>
      <c r="BV331" s="65">
        <f>+BV383</f>
        <v>14551.254597348485</v>
      </c>
      <c r="BW331" s="65">
        <f>+BW383</f>
        <v>15063.622716973432</v>
      </c>
      <c r="BX331" s="252">
        <f t="shared" ref="BX331:BX336" si="7882">+BT331+BU331+BV331+BW331</f>
        <v>57180.282150144049</v>
      </c>
      <c r="BY331" s="65">
        <f>+BY383</f>
        <v>16043.27056169633</v>
      </c>
      <c r="BZ331" s="65">
        <f>+BZ383</f>
        <v>15251.661816875789</v>
      </c>
      <c r="CA331" s="65">
        <f>+CA383</f>
        <v>16571.009724910025</v>
      </c>
      <c r="CB331" s="65">
        <f>+CB383</f>
        <v>15779.400980089484</v>
      </c>
      <c r="CC331" s="252">
        <f t="shared" ref="CC331:CC336" si="7883">+BY331+BZ331+CA331+CB331</f>
        <v>63645.343083571628</v>
      </c>
      <c r="CD331" s="65">
        <f>+CD383</f>
        <v>16741.997213791263</v>
      </c>
      <c r="CE331" s="65">
        <f>+CE383</f>
        <v>16877.89004831879</v>
      </c>
      <c r="CF331" s="65">
        <f>+CF383</f>
        <v>17231.211418090359</v>
      </c>
      <c r="CG331" s="65">
        <f>+CG383</f>
        <v>17367.104252617886</v>
      </c>
      <c r="CH331" s="252">
        <f t="shared" ref="CH331:CH336" si="7884">+CD331+CE331+CF331+CG331</f>
        <v>68218.202932818298</v>
      </c>
      <c r="CI331" s="65">
        <f>+CI383</f>
        <v>18168.056619323128</v>
      </c>
      <c r="CJ331" s="65">
        <f>+CJ383</f>
        <v>18447.995858449834</v>
      </c>
      <c r="CK331" s="65">
        <f>+CK383</f>
        <v>18727.935097576537</v>
      </c>
      <c r="CL331" s="65">
        <f>+CL383</f>
        <v>19007.874336703244</v>
      </c>
      <c r="CM331" s="252">
        <f t="shared" ref="CM331:CM336" si="7885">+CI331+CJ331+CK331+CL331</f>
        <v>74351.861912052744</v>
      </c>
      <c r="CN331" s="65">
        <f>+CN383</f>
        <v>19866.447983104848</v>
      </c>
      <c r="CO331" s="65">
        <f>+CO383</f>
        <v>20154.785399405355</v>
      </c>
      <c r="CP331" s="65">
        <f>+CP383</f>
        <v>20443.122815705858</v>
      </c>
      <c r="CQ331" s="65">
        <f>+CQ383</f>
        <v>20731.460232006364</v>
      </c>
      <c r="CR331" s="252">
        <f t="shared" ref="CR331:CR336" si="7886">+CN331+CO331+CP331+CQ331</f>
        <v>81195.816430222418</v>
      </c>
      <c r="CS331" s="65">
        <f>+CS383</f>
        <v>21650.391577756072</v>
      </c>
      <c r="CT331" s="65">
        <f>+CT383</f>
        <v>21947.379116545595</v>
      </c>
      <c r="CU331" s="65">
        <f>+CU383</f>
        <v>22244.366655335114</v>
      </c>
      <c r="CV331" s="65">
        <f>+CV383</f>
        <v>22541.354194124637</v>
      </c>
      <c r="CW331" s="252">
        <f t="shared" ref="CW331:CW336" si="7887">+CS331+CT331+CU331+CV331</f>
        <v>88383.491543761425</v>
      </c>
      <c r="CX331" s="65">
        <f>+CX383</f>
        <v>23523.491984901586</v>
      </c>
      <c r="CY331" s="65">
        <f>+CY383</f>
        <v>23829.389149854793</v>
      </c>
      <c r="CZ331" s="65">
        <f>+CZ383</f>
        <v>24135.286314808</v>
      </c>
      <c r="DA331" s="65">
        <f>+DA383</f>
        <v>24441.183479761206</v>
      </c>
      <c r="DB331" s="252">
        <f t="shared" ref="DB331:DB336" si="7888">+CX331+CY331+CZ331+DA331</f>
        <v>95929.350929325592</v>
      </c>
    </row>
    <row r="332" spans="1:106">
      <c r="A332" s="12" t="s">
        <v>356</v>
      </c>
      <c r="F332" s="217"/>
      <c r="K332" s="217"/>
      <c r="P332" s="217"/>
      <c r="U332" s="217"/>
      <c r="V332" s="65"/>
      <c r="W332" s="65"/>
      <c r="X332" s="65"/>
      <c r="Y332" s="65"/>
      <c r="Z332" s="252"/>
      <c r="AA332" s="65"/>
      <c r="AB332" s="65"/>
      <c r="AC332" s="65"/>
      <c r="AD332" s="65"/>
      <c r="AE332" s="252"/>
      <c r="AF332" s="65">
        <f>+AF410</f>
        <v>0</v>
      </c>
      <c r="AG332" s="65">
        <f>+AG410</f>
        <v>0</v>
      </c>
      <c r="AH332" s="65">
        <f>+AH410</f>
        <v>0</v>
      </c>
      <c r="AI332" s="65">
        <f>+AI410</f>
        <v>0</v>
      </c>
      <c r="AJ332" s="252">
        <f t="shared" si="7874"/>
        <v>0</v>
      </c>
      <c r="AK332" s="65">
        <f>+AK410</f>
        <v>0</v>
      </c>
      <c r="AL332" s="65">
        <f>+AL410</f>
        <v>0</v>
      </c>
      <c r="AM332" s="65">
        <f>+AM410</f>
        <v>0</v>
      </c>
      <c r="AN332" s="65">
        <f>+AN410</f>
        <v>0</v>
      </c>
      <c r="AO332" s="252">
        <f t="shared" si="7875"/>
        <v>0</v>
      </c>
      <c r="AP332" s="65">
        <f>+AP410</f>
        <v>0</v>
      </c>
      <c r="AQ332" s="65">
        <f>+AQ410</f>
        <v>0</v>
      </c>
      <c r="AR332" s="65">
        <f>+AR410</f>
        <v>0</v>
      </c>
      <c r="AS332" s="65">
        <f>+AS410</f>
        <v>0</v>
      </c>
      <c r="AT332" s="252">
        <f t="shared" si="7876"/>
        <v>0</v>
      </c>
      <c r="AU332" s="65">
        <f>+AU410</f>
        <v>521.67333343500013</v>
      </c>
      <c r="AV332" s="65">
        <f>+AV410</f>
        <v>2347.5300004575001</v>
      </c>
      <c r="AW332" s="65">
        <f>+AW410</f>
        <v>3130.0400006100008</v>
      </c>
      <c r="AX332" s="65">
        <f>+AX410</f>
        <v>5216.7333343500013</v>
      </c>
      <c r="AY332" s="252">
        <f t="shared" si="7877"/>
        <v>11215.976668852501</v>
      </c>
      <c r="AZ332" s="65">
        <f>+AZ410</f>
        <v>7170.2840406566456</v>
      </c>
      <c r="BA332" s="65">
        <f>+BA410</f>
        <v>9194.2026832733009</v>
      </c>
      <c r="BB332" s="65">
        <f>+BB410</f>
        <v>11218.121325889957</v>
      </c>
      <c r="BC332" s="65">
        <f>+BC410</f>
        <v>13552.493565604153</v>
      </c>
      <c r="BD332" s="252">
        <f t="shared" si="7878"/>
        <v>41135.10161542405</v>
      </c>
      <c r="BE332" s="65">
        <f>+BE410</f>
        <v>15810.028540036707</v>
      </c>
      <c r="BF332" s="65">
        <f>+BF410</f>
        <v>18724.829601093646</v>
      </c>
      <c r="BG332" s="65">
        <f>+BG410</f>
        <v>20575.789768558079</v>
      </c>
      <c r="BH332" s="65">
        <f>+BH410</f>
        <v>23856.478304578919</v>
      </c>
      <c r="BI332" s="252">
        <f t="shared" si="7879"/>
        <v>78967.126214267351</v>
      </c>
      <c r="BJ332" s="65">
        <f>+BJ410</f>
        <v>26326.649216438134</v>
      </c>
      <c r="BK332" s="65">
        <f>+BK410</f>
        <v>30969.361564723746</v>
      </c>
      <c r="BL332" s="65">
        <f>+BL410</f>
        <v>35852.760228473009</v>
      </c>
      <c r="BM332" s="65">
        <f>+BM410</f>
        <v>39292.040999440389</v>
      </c>
      <c r="BN332" s="252">
        <f t="shared" si="7880"/>
        <v>132440.81200907528</v>
      </c>
      <c r="BO332" s="65">
        <f>+BO410</f>
        <v>42388.818809652599</v>
      </c>
      <c r="BP332" s="65">
        <f>+BP410</f>
        <v>44306.835389881584</v>
      </c>
      <c r="BQ332" s="65">
        <f>+BQ410</f>
        <v>46224.851970110576</v>
      </c>
      <c r="BR332" s="65">
        <f>+BR410</f>
        <v>48142.868550339568</v>
      </c>
      <c r="BS332" s="252">
        <f t="shared" si="7881"/>
        <v>181063.37471998433</v>
      </c>
      <c r="BT332" s="65">
        <f>+BT410</f>
        <v>50669.007292221788</v>
      </c>
      <c r="BU332" s="65">
        <f>+BU410</f>
        <v>52899.908481933031</v>
      </c>
      <c r="BV332" s="65">
        <f>+BV410</f>
        <v>55130.809671644281</v>
      </c>
      <c r="BW332" s="65">
        <f>+BW410</f>
        <v>57361.710861355517</v>
      </c>
      <c r="BX332" s="252">
        <f t="shared" si="7882"/>
        <v>216061.43630715465</v>
      </c>
      <c r="BY332" s="65">
        <f>+BY410</f>
        <v>61428.83859807413</v>
      </c>
      <c r="BZ332" s="65">
        <f>+BZ410</f>
        <v>63775.115008952067</v>
      </c>
      <c r="CA332" s="65">
        <f>+CA410</f>
        <v>66121.391419830004</v>
      </c>
      <c r="CB332" s="65">
        <f>+CB410</f>
        <v>68467.667830707942</v>
      </c>
      <c r="CC332" s="252">
        <f t="shared" si="7883"/>
        <v>259793.01285756414</v>
      </c>
      <c r="CD332" s="65">
        <f>+CD410</f>
        <v>72938.362568833458</v>
      </c>
      <c r="CE332" s="65">
        <f>+CE410</f>
        <v>75355.027272037725</v>
      </c>
      <c r="CF332" s="65">
        <f>+CF410</f>
        <v>77771.691975242007</v>
      </c>
      <c r="CG332" s="65">
        <f>+CG410</f>
        <v>80188.356678446289</v>
      </c>
      <c r="CH332" s="252">
        <f t="shared" si="7884"/>
        <v>306253.43849455949</v>
      </c>
      <c r="CI332" s="65">
        <f>+CI410</f>
        <v>84752.75193757347</v>
      </c>
      <c r="CJ332" s="65">
        <f>+CJ410</f>
        <v>86911.496496347274</v>
      </c>
      <c r="CK332" s="65">
        <f>+CK410</f>
        <v>89070.241055121078</v>
      </c>
      <c r="CL332" s="65">
        <f>+CL410</f>
        <v>91228.985613894882</v>
      </c>
      <c r="CM332" s="252">
        <f t="shared" si="7885"/>
        <v>351963.47510293667</v>
      </c>
      <c r="CN332" s="65">
        <f>+CN410</f>
        <v>95678.863045710139</v>
      </c>
      <c r="CO332" s="65">
        <f>+CO410</f>
        <v>97391.870909108562</v>
      </c>
      <c r="CP332" s="65">
        <f>+CP410</f>
        <v>99104.878772506985</v>
      </c>
      <c r="CQ332" s="65">
        <f>+CQ410</f>
        <v>100817.88663590539</v>
      </c>
      <c r="CR332" s="252">
        <f t="shared" si="7886"/>
        <v>392993.49936323101</v>
      </c>
      <c r="CS332" s="65">
        <f>+CS410</f>
        <v>105606.82133428293</v>
      </c>
      <c r="CT332" s="65">
        <f>+CT410</f>
        <v>107371.21943358329</v>
      </c>
      <c r="CU332" s="65">
        <f>+CU410</f>
        <v>109135.61753288367</v>
      </c>
      <c r="CV332" s="65">
        <f>+CV410</f>
        <v>110900.01563218403</v>
      </c>
      <c r="CW332" s="252">
        <f t="shared" si="7887"/>
        <v>433013.67393293395</v>
      </c>
      <c r="CX332" s="65">
        <f>+CX410</f>
        <v>116044.34614342891</v>
      </c>
      <c r="CY332" s="65">
        <f>+CY410</f>
        <v>117861.6761857083</v>
      </c>
      <c r="CZ332" s="65">
        <f>+CZ410</f>
        <v>119679.00622798767</v>
      </c>
      <c r="DA332" s="65">
        <f>+DA410</f>
        <v>121496.33627026706</v>
      </c>
      <c r="DB332" s="252">
        <f t="shared" si="7888"/>
        <v>475081.36482739192</v>
      </c>
    </row>
    <row r="333" spans="1:106">
      <c r="A333" s="12" t="s">
        <v>357</v>
      </c>
      <c r="F333" s="217"/>
      <c r="K333" s="217"/>
      <c r="P333" s="217"/>
      <c r="U333" s="217"/>
      <c r="V333" s="65"/>
      <c r="W333" s="65"/>
      <c r="X333" s="65"/>
      <c r="Y333" s="65"/>
      <c r="Z333" s="252"/>
      <c r="AA333" s="65"/>
      <c r="AB333" s="65"/>
      <c r="AC333" s="65"/>
      <c r="AD333" s="65"/>
      <c r="AE333" s="252"/>
      <c r="AF333" s="65">
        <f>+AF417</f>
        <v>0</v>
      </c>
      <c r="AG333" s="65">
        <f>+AG417</f>
        <v>0</v>
      </c>
      <c r="AH333" s="65">
        <f>+AH417</f>
        <v>0</v>
      </c>
      <c r="AI333" s="65">
        <f>+AI417</f>
        <v>0</v>
      </c>
      <c r="AJ333" s="252">
        <f t="shared" si="7874"/>
        <v>0</v>
      </c>
      <c r="AK333" s="65">
        <f>+AK417</f>
        <v>0</v>
      </c>
      <c r="AL333" s="65">
        <f>+AL417</f>
        <v>0</v>
      </c>
      <c r="AM333" s="65">
        <f>+AM417</f>
        <v>0</v>
      </c>
      <c r="AN333" s="65">
        <f>+AN417</f>
        <v>0</v>
      </c>
      <c r="AO333" s="252">
        <f t="shared" si="7875"/>
        <v>0</v>
      </c>
      <c r="AP333" s="65">
        <f>+AP417</f>
        <v>0</v>
      </c>
      <c r="AQ333" s="65">
        <f>+AQ417</f>
        <v>0</v>
      </c>
      <c r="AR333" s="65">
        <f>+AR417</f>
        <v>0</v>
      </c>
      <c r="AS333" s="65">
        <f>+AS417</f>
        <v>0</v>
      </c>
      <c r="AT333" s="252">
        <f t="shared" si="7876"/>
        <v>0</v>
      </c>
      <c r="AU333" s="65">
        <f>+AU417</f>
        <v>0</v>
      </c>
      <c r="AV333" s="65">
        <f>+AV417</f>
        <v>0</v>
      </c>
      <c r="AW333" s="65">
        <f>+AW417</f>
        <v>0</v>
      </c>
      <c r="AX333" s="65">
        <f>+AX417</f>
        <v>0</v>
      </c>
      <c r="AY333" s="252">
        <f t="shared" si="7877"/>
        <v>0</v>
      </c>
      <c r="AZ333" s="65">
        <f>+AZ417</f>
        <v>250</v>
      </c>
      <c r="BA333" s="65">
        <f>+BA417</f>
        <v>500</v>
      </c>
      <c r="BB333" s="65">
        <f>+BB417</f>
        <v>1000</v>
      </c>
      <c r="BC333" s="65">
        <f>+BC417</f>
        <v>1375</v>
      </c>
      <c r="BD333" s="252">
        <f t="shared" si="7878"/>
        <v>3125</v>
      </c>
      <c r="BE333" s="65">
        <f>+BE417</f>
        <v>1500</v>
      </c>
      <c r="BF333" s="65">
        <f>+BF417</f>
        <v>1750.0000000000002</v>
      </c>
      <c r="BG333" s="65">
        <f>+BG417</f>
        <v>2000</v>
      </c>
      <c r="BH333" s="65">
        <f>+BH417</f>
        <v>2250</v>
      </c>
      <c r="BI333" s="252">
        <f t="shared" si="7879"/>
        <v>7500</v>
      </c>
      <c r="BJ333" s="65">
        <f>+BJ417</f>
        <v>2500</v>
      </c>
      <c r="BK333" s="65">
        <f>+BK417</f>
        <v>2749.9999999999995</v>
      </c>
      <c r="BL333" s="65">
        <f>+BL417</f>
        <v>2999.9999999999995</v>
      </c>
      <c r="BM333" s="65">
        <f>+BM417</f>
        <v>3249.9999999999995</v>
      </c>
      <c r="BN333" s="252">
        <f t="shared" si="7880"/>
        <v>11500</v>
      </c>
      <c r="BO333" s="65">
        <f>+BO417</f>
        <v>3499.9999999999995</v>
      </c>
      <c r="BP333" s="65">
        <f>+BP417</f>
        <v>3750</v>
      </c>
      <c r="BQ333" s="65">
        <f>+BQ417</f>
        <v>4000</v>
      </c>
      <c r="BR333" s="65">
        <f>+BR417</f>
        <v>4250</v>
      </c>
      <c r="BS333" s="252">
        <f t="shared" si="7881"/>
        <v>15500</v>
      </c>
      <c r="BT333" s="65">
        <f>+BT417</f>
        <v>4375</v>
      </c>
      <c r="BU333" s="65">
        <f>+BU417</f>
        <v>4500.0000000000009</v>
      </c>
      <c r="BV333" s="65">
        <f>+BV417</f>
        <v>4625.0000000000009</v>
      </c>
      <c r="BW333" s="65">
        <f>+BW417</f>
        <v>4750.0000000000009</v>
      </c>
      <c r="BX333" s="252">
        <f t="shared" si="7882"/>
        <v>18250</v>
      </c>
      <c r="BY333" s="65">
        <f>+BY417</f>
        <v>4875.0000000000009</v>
      </c>
      <c r="BZ333" s="65">
        <f>+BZ417</f>
        <v>5000.0000000000009</v>
      </c>
      <c r="CA333" s="65">
        <f>+CA417</f>
        <v>5125.0000000000009</v>
      </c>
      <c r="CB333" s="65">
        <f>+CB417</f>
        <v>5250.0000000000009</v>
      </c>
      <c r="CC333" s="252">
        <f t="shared" si="7883"/>
        <v>20250.000000000004</v>
      </c>
      <c r="CD333" s="65">
        <f>+CD417</f>
        <v>5375.0000000000009</v>
      </c>
      <c r="CE333" s="65">
        <f>+CE417</f>
        <v>5500.0000000000018</v>
      </c>
      <c r="CF333" s="65">
        <f>+CF417</f>
        <v>5625.0000000000018</v>
      </c>
      <c r="CG333" s="65">
        <f>+CG417</f>
        <v>5750.0000000000018</v>
      </c>
      <c r="CH333" s="252">
        <f t="shared" si="7884"/>
        <v>22250.000000000007</v>
      </c>
      <c r="CI333" s="65">
        <f>+CI417</f>
        <v>5875.0000000000018</v>
      </c>
      <c r="CJ333" s="65">
        <f>+CJ417</f>
        <v>6000.0000000000018</v>
      </c>
      <c r="CK333" s="65">
        <f>+CK417</f>
        <v>6125.0000000000018</v>
      </c>
      <c r="CL333" s="65">
        <f>+CL417</f>
        <v>6250.0000000000018</v>
      </c>
      <c r="CM333" s="252">
        <f t="shared" si="7885"/>
        <v>24250.000000000007</v>
      </c>
      <c r="CN333" s="65">
        <f>+CN417</f>
        <v>6375.0000000000018</v>
      </c>
      <c r="CO333" s="65">
        <f>+CO417</f>
        <v>6500.0000000000018</v>
      </c>
      <c r="CP333" s="65">
        <f>+CP417</f>
        <v>6625.0000000000018</v>
      </c>
      <c r="CQ333" s="65">
        <f>+CQ417</f>
        <v>6750.0000000000018</v>
      </c>
      <c r="CR333" s="252">
        <f t="shared" si="7886"/>
        <v>26250.000000000007</v>
      </c>
      <c r="CS333" s="65">
        <f>+CS417</f>
        <v>6875.0000000000018</v>
      </c>
      <c r="CT333" s="65">
        <f>+CT417</f>
        <v>7000.0000000000018</v>
      </c>
      <c r="CU333" s="65">
        <f>+CU417</f>
        <v>7125.0000000000018</v>
      </c>
      <c r="CV333" s="65">
        <f>+CV417</f>
        <v>7250.0000000000027</v>
      </c>
      <c r="CW333" s="252">
        <f t="shared" si="7887"/>
        <v>28250.000000000011</v>
      </c>
      <c r="CX333" s="65">
        <f>+CX417</f>
        <v>7375.0000000000027</v>
      </c>
      <c r="CY333" s="65">
        <f>+CY417</f>
        <v>7500.0000000000027</v>
      </c>
      <c r="CZ333" s="65">
        <f>+CZ417</f>
        <v>7625.0000000000027</v>
      </c>
      <c r="DA333" s="65">
        <f>+DA417</f>
        <v>7750.0000000000027</v>
      </c>
      <c r="DB333" s="252">
        <f t="shared" si="7888"/>
        <v>30250.000000000011</v>
      </c>
    </row>
    <row r="334" spans="1:106">
      <c r="A334" s="12" t="s">
        <v>358</v>
      </c>
      <c r="F334" s="217"/>
      <c r="K334" s="217"/>
      <c r="P334" s="217"/>
      <c r="U334" s="217"/>
      <c r="V334" s="65"/>
      <c r="W334" s="65"/>
      <c r="X334" s="65"/>
      <c r="Y334" s="65"/>
      <c r="Z334" s="252"/>
      <c r="AA334" s="65"/>
      <c r="AB334" s="65"/>
      <c r="AC334" s="65"/>
      <c r="AD334" s="65"/>
      <c r="AE334" s="252"/>
      <c r="AF334" s="65">
        <f>+AF424</f>
        <v>0</v>
      </c>
      <c r="AG334" s="65">
        <f>+AG424</f>
        <v>0</v>
      </c>
      <c r="AH334" s="65">
        <f>+AH424</f>
        <v>0</v>
      </c>
      <c r="AI334" s="65">
        <f>+AI424</f>
        <v>0</v>
      </c>
      <c r="AJ334" s="252">
        <f t="shared" si="7874"/>
        <v>0</v>
      </c>
      <c r="AK334" s="65">
        <f>+AK424</f>
        <v>0</v>
      </c>
      <c r="AL334" s="65">
        <f>+AL424</f>
        <v>0</v>
      </c>
      <c r="AM334" s="65">
        <f>+AM424</f>
        <v>0</v>
      </c>
      <c r="AN334" s="65">
        <f>+AN424</f>
        <v>0</v>
      </c>
      <c r="AO334" s="252">
        <f t="shared" si="7875"/>
        <v>0</v>
      </c>
      <c r="AP334" s="65">
        <f>+AP424</f>
        <v>0</v>
      </c>
      <c r="AQ334" s="65">
        <f>+AQ424</f>
        <v>0</v>
      </c>
      <c r="AR334" s="65">
        <f>+AR424</f>
        <v>0</v>
      </c>
      <c r="AS334" s="65">
        <f>+AS424</f>
        <v>0</v>
      </c>
      <c r="AT334" s="252">
        <f t="shared" si="7876"/>
        <v>0</v>
      </c>
      <c r="AU334" s="65">
        <f>+AU424</f>
        <v>0</v>
      </c>
      <c r="AV334" s="65">
        <f>+AV424</f>
        <v>0</v>
      </c>
      <c r="AW334" s="65">
        <f>+AW424</f>
        <v>0</v>
      </c>
      <c r="AX334" s="65">
        <f>+AX424</f>
        <v>0</v>
      </c>
      <c r="AY334" s="252">
        <f t="shared" si="7877"/>
        <v>0</v>
      </c>
      <c r="AZ334" s="65">
        <f>+AZ424</f>
        <v>0</v>
      </c>
      <c r="BA334" s="65">
        <f>+BA424</f>
        <v>0</v>
      </c>
      <c r="BB334" s="65">
        <f>+BB424</f>
        <v>0</v>
      </c>
      <c r="BC334" s="65">
        <f>+BC424</f>
        <v>0</v>
      </c>
      <c r="BD334" s="252">
        <f t="shared" si="7878"/>
        <v>0</v>
      </c>
      <c r="BE334" s="65">
        <f>+BE424</f>
        <v>250</v>
      </c>
      <c r="BF334" s="65">
        <f>+BF424</f>
        <v>500</v>
      </c>
      <c r="BG334" s="65">
        <f>+BG424</f>
        <v>1000</v>
      </c>
      <c r="BH334" s="65">
        <f>+BH424</f>
        <v>1375</v>
      </c>
      <c r="BI334" s="252">
        <f t="shared" si="7879"/>
        <v>3125</v>
      </c>
      <c r="BJ334" s="65">
        <f>+BJ424</f>
        <v>1500</v>
      </c>
      <c r="BK334" s="65">
        <f>+BK424</f>
        <v>1750.0000000000002</v>
      </c>
      <c r="BL334" s="65">
        <f>+BL424</f>
        <v>2000</v>
      </c>
      <c r="BM334" s="65">
        <f>+BM424</f>
        <v>2250</v>
      </c>
      <c r="BN334" s="252">
        <f t="shared" si="7880"/>
        <v>7500</v>
      </c>
      <c r="BO334" s="65">
        <f>+BO424</f>
        <v>2500</v>
      </c>
      <c r="BP334" s="65">
        <f>+BP424</f>
        <v>2749.9999999999995</v>
      </c>
      <c r="BQ334" s="65">
        <f>+BQ424</f>
        <v>2999.9999999999995</v>
      </c>
      <c r="BR334" s="65">
        <f>+BR424</f>
        <v>3249.9999999999995</v>
      </c>
      <c r="BS334" s="252">
        <f t="shared" si="7881"/>
        <v>11500</v>
      </c>
      <c r="BT334" s="65">
        <f>+BT424</f>
        <v>3499.9999999999995</v>
      </c>
      <c r="BU334" s="65">
        <f>+BU424</f>
        <v>3750</v>
      </c>
      <c r="BV334" s="65">
        <f>+BV424</f>
        <v>4000</v>
      </c>
      <c r="BW334" s="65">
        <f>+BW424</f>
        <v>4250</v>
      </c>
      <c r="BX334" s="252">
        <f t="shared" si="7882"/>
        <v>15500</v>
      </c>
      <c r="BY334" s="65">
        <f>+BY424</f>
        <v>4375</v>
      </c>
      <c r="BZ334" s="65">
        <f>+BZ424</f>
        <v>4500.0000000000009</v>
      </c>
      <c r="CA334" s="65">
        <f>+CA424</f>
        <v>4625.0000000000009</v>
      </c>
      <c r="CB334" s="65">
        <f>+CB424</f>
        <v>4750.0000000000009</v>
      </c>
      <c r="CC334" s="252">
        <f t="shared" si="7883"/>
        <v>18250</v>
      </c>
      <c r="CD334" s="65">
        <f>+CD424</f>
        <v>4875.0000000000009</v>
      </c>
      <c r="CE334" s="65">
        <f>+CE424</f>
        <v>5000.0000000000009</v>
      </c>
      <c r="CF334" s="65">
        <f>+CF424</f>
        <v>5125.0000000000009</v>
      </c>
      <c r="CG334" s="65">
        <f>+CG424</f>
        <v>5250.0000000000009</v>
      </c>
      <c r="CH334" s="252">
        <f t="shared" si="7884"/>
        <v>20250.000000000004</v>
      </c>
      <c r="CI334" s="65">
        <f>+CI424</f>
        <v>5375.0000000000009</v>
      </c>
      <c r="CJ334" s="65">
        <f>+CJ424</f>
        <v>5500.0000000000018</v>
      </c>
      <c r="CK334" s="65">
        <f>+CK424</f>
        <v>5625.0000000000018</v>
      </c>
      <c r="CL334" s="65">
        <f>+CL424</f>
        <v>5750.0000000000018</v>
      </c>
      <c r="CM334" s="252">
        <f t="shared" si="7885"/>
        <v>22250.000000000007</v>
      </c>
      <c r="CN334" s="65">
        <f>+CN424</f>
        <v>5875.0000000000018</v>
      </c>
      <c r="CO334" s="65">
        <f>+CO424</f>
        <v>6000.0000000000018</v>
      </c>
      <c r="CP334" s="65">
        <f>+CP424</f>
        <v>6125.0000000000018</v>
      </c>
      <c r="CQ334" s="65">
        <f>+CQ424</f>
        <v>6250.0000000000018</v>
      </c>
      <c r="CR334" s="252">
        <f t="shared" si="7886"/>
        <v>24250.000000000007</v>
      </c>
      <c r="CS334" s="65">
        <f>+CS424</f>
        <v>6375.0000000000018</v>
      </c>
      <c r="CT334" s="65">
        <f>+CT424</f>
        <v>6500.0000000000018</v>
      </c>
      <c r="CU334" s="65">
        <f>+CU424</f>
        <v>6625.0000000000018</v>
      </c>
      <c r="CV334" s="65">
        <f>+CV424</f>
        <v>6750.0000000000018</v>
      </c>
      <c r="CW334" s="252">
        <f t="shared" si="7887"/>
        <v>26250.000000000007</v>
      </c>
      <c r="CX334" s="65">
        <f>+CX424</f>
        <v>6875.0000000000018</v>
      </c>
      <c r="CY334" s="65">
        <f>+CY424</f>
        <v>7000.0000000000018</v>
      </c>
      <c r="CZ334" s="65">
        <f>+CZ424</f>
        <v>7125.0000000000018</v>
      </c>
      <c r="DA334" s="65">
        <f>+DA424</f>
        <v>7250.0000000000027</v>
      </c>
      <c r="DB334" s="252">
        <f t="shared" si="7888"/>
        <v>28250.000000000011</v>
      </c>
    </row>
    <row r="335" spans="1:106">
      <c r="A335" s="12" t="s">
        <v>359</v>
      </c>
      <c r="F335" s="217"/>
      <c r="K335" s="217"/>
      <c r="P335" s="217"/>
      <c r="U335" s="217"/>
      <c r="V335" s="65"/>
      <c r="W335" s="65"/>
      <c r="X335" s="65"/>
      <c r="Y335" s="65"/>
      <c r="Z335" s="252"/>
      <c r="AA335" s="65"/>
      <c r="AB335" s="65"/>
      <c r="AC335" s="65"/>
      <c r="AD335" s="65"/>
      <c r="AE335" s="252"/>
      <c r="AF335" s="65">
        <f>+AF431</f>
        <v>0</v>
      </c>
      <c r="AG335" s="65">
        <f>+AG431</f>
        <v>0</v>
      </c>
      <c r="AH335" s="65">
        <f>+AH431</f>
        <v>0</v>
      </c>
      <c r="AI335" s="65">
        <f>+AI431</f>
        <v>0</v>
      </c>
      <c r="AJ335" s="252">
        <f t="shared" si="7874"/>
        <v>0</v>
      </c>
      <c r="AK335" s="65">
        <f>+AK431</f>
        <v>0</v>
      </c>
      <c r="AL335" s="65">
        <f>+AL431</f>
        <v>0</v>
      </c>
      <c r="AM335" s="65">
        <f>+AM431</f>
        <v>300</v>
      </c>
      <c r="AN335" s="65">
        <f>+AN431</f>
        <v>600</v>
      </c>
      <c r="AO335" s="252">
        <f t="shared" si="7875"/>
        <v>900</v>
      </c>
      <c r="AP335" s="65">
        <f>+AP431</f>
        <v>3000</v>
      </c>
      <c r="AQ335" s="65">
        <f>+AQ431</f>
        <v>3400.0000000000005</v>
      </c>
      <c r="AR335" s="65">
        <f>+AR431</f>
        <v>4600</v>
      </c>
      <c r="AS335" s="65">
        <f>+AS431</f>
        <v>5500</v>
      </c>
      <c r="AT335" s="252">
        <f t="shared" si="7876"/>
        <v>16500</v>
      </c>
      <c r="AU335" s="65">
        <f>+AU431</f>
        <v>6800.0000000000009</v>
      </c>
      <c r="AV335" s="65">
        <f>+AV431</f>
        <v>7800</v>
      </c>
      <c r="AW335" s="65">
        <f>+AW431</f>
        <v>8800</v>
      </c>
      <c r="AX335" s="65">
        <f>+AX431</f>
        <v>9500</v>
      </c>
      <c r="AY335" s="252">
        <f t="shared" si="7877"/>
        <v>32900</v>
      </c>
      <c r="AZ335" s="65">
        <f>+AZ431</f>
        <v>11000</v>
      </c>
      <c r="BA335" s="65">
        <f>+BA431</f>
        <v>13000</v>
      </c>
      <c r="BB335" s="65">
        <f>+BB431</f>
        <v>15000</v>
      </c>
      <c r="BC335" s="65">
        <f>+BC431</f>
        <v>16000</v>
      </c>
      <c r="BD335" s="252">
        <f t="shared" si="7878"/>
        <v>55000</v>
      </c>
      <c r="BE335" s="65">
        <f>+BE431</f>
        <v>17000</v>
      </c>
      <c r="BF335" s="65">
        <f>+BF431</f>
        <v>18600</v>
      </c>
      <c r="BG335" s="65">
        <f>+BG431</f>
        <v>19600</v>
      </c>
      <c r="BH335" s="65">
        <f>+BH431</f>
        <v>21200.000000000004</v>
      </c>
      <c r="BI335" s="252">
        <f t="shared" si="7879"/>
        <v>76400</v>
      </c>
      <c r="BJ335" s="65">
        <f>+BJ431</f>
        <v>22200.000000000004</v>
      </c>
      <c r="BK335" s="65">
        <f>+BK431</f>
        <v>24000.000000000004</v>
      </c>
      <c r="BL335" s="65">
        <f>+BL431</f>
        <v>25800</v>
      </c>
      <c r="BM335" s="65">
        <f>+BM431</f>
        <v>27600.000000000004</v>
      </c>
      <c r="BN335" s="252">
        <f t="shared" si="7880"/>
        <v>99600</v>
      </c>
      <c r="BO335" s="65">
        <f>+BO431</f>
        <v>28100.000000000004</v>
      </c>
      <c r="BP335" s="65">
        <f>+BP431</f>
        <v>28600.000000000004</v>
      </c>
      <c r="BQ335" s="65">
        <f>+BQ431</f>
        <v>29100.000000000004</v>
      </c>
      <c r="BR335" s="65">
        <f>+BR431</f>
        <v>29600.000000000004</v>
      </c>
      <c r="BS335" s="252">
        <f t="shared" si="7881"/>
        <v>115400.00000000001</v>
      </c>
      <c r="BT335" s="65">
        <f>+BT431</f>
        <v>30100.000000000004</v>
      </c>
      <c r="BU335" s="65">
        <f>+BU431</f>
        <v>30600.000000000004</v>
      </c>
      <c r="BV335" s="65">
        <f>+BV431</f>
        <v>31100.000000000004</v>
      </c>
      <c r="BW335" s="65">
        <f>+BW431</f>
        <v>31600.000000000007</v>
      </c>
      <c r="BX335" s="252">
        <f t="shared" si="7882"/>
        <v>123400.00000000003</v>
      </c>
      <c r="BY335" s="65">
        <f>+BY431</f>
        <v>32100.000000000007</v>
      </c>
      <c r="BZ335" s="65">
        <f>+BZ431</f>
        <v>32600.000000000007</v>
      </c>
      <c r="CA335" s="65">
        <f>+CA431</f>
        <v>33100.000000000007</v>
      </c>
      <c r="CB335" s="65">
        <f>+CB431</f>
        <v>33600.000000000007</v>
      </c>
      <c r="CC335" s="252">
        <f t="shared" si="7883"/>
        <v>131400.00000000003</v>
      </c>
      <c r="CD335" s="65">
        <f>+CD431</f>
        <v>34100.000000000007</v>
      </c>
      <c r="CE335" s="65">
        <f>+CE431</f>
        <v>34600.000000000007</v>
      </c>
      <c r="CF335" s="65">
        <f>+CF431</f>
        <v>35100.000000000007</v>
      </c>
      <c r="CG335" s="65">
        <f>+CG431</f>
        <v>35600.000000000007</v>
      </c>
      <c r="CH335" s="252">
        <f t="shared" si="7884"/>
        <v>139400.00000000003</v>
      </c>
      <c r="CI335" s="65">
        <f>+CI431</f>
        <v>36100.000000000007</v>
      </c>
      <c r="CJ335" s="65">
        <f>+CJ431</f>
        <v>36600.000000000007</v>
      </c>
      <c r="CK335" s="65">
        <f>+CK431</f>
        <v>37100.000000000007</v>
      </c>
      <c r="CL335" s="65">
        <f>+CL431</f>
        <v>37600.000000000015</v>
      </c>
      <c r="CM335" s="252">
        <f t="shared" si="7885"/>
        <v>147400.00000000006</v>
      </c>
      <c r="CN335" s="65">
        <f>+CN431</f>
        <v>38100.000000000015</v>
      </c>
      <c r="CO335" s="65">
        <f>+CO431</f>
        <v>38600.000000000015</v>
      </c>
      <c r="CP335" s="65">
        <f>+CP431</f>
        <v>39100.000000000015</v>
      </c>
      <c r="CQ335" s="65">
        <f>+CQ431</f>
        <v>39600.000000000015</v>
      </c>
      <c r="CR335" s="252">
        <f t="shared" si="7886"/>
        <v>155400.00000000006</v>
      </c>
      <c r="CS335" s="65">
        <f>+CS431</f>
        <v>40100.000000000015</v>
      </c>
      <c r="CT335" s="65">
        <f>+CT431</f>
        <v>40600.000000000015</v>
      </c>
      <c r="CU335" s="65">
        <f>+CU431</f>
        <v>41100.000000000015</v>
      </c>
      <c r="CV335" s="65">
        <f>+CV431</f>
        <v>41600.000000000015</v>
      </c>
      <c r="CW335" s="252">
        <f t="shared" si="7887"/>
        <v>163400.00000000006</v>
      </c>
      <c r="CX335" s="65">
        <f>+CX431</f>
        <v>42100.000000000015</v>
      </c>
      <c r="CY335" s="65">
        <f>+CY431</f>
        <v>42600.000000000015</v>
      </c>
      <c r="CZ335" s="65">
        <f>+CZ431</f>
        <v>43100.000000000015</v>
      </c>
      <c r="DA335" s="65">
        <f>+DA431</f>
        <v>43600.000000000015</v>
      </c>
      <c r="DB335" s="252">
        <f t="shared" si="7888"/>
        <v>171400.00000000006</v>
      </c>
    </row>
    <row r="336" spans="1:106">
      <c r="A336" s="12" t="s">
        <v>360</v>
      </c>
      <c r="F336" s="217"/>
      <c r="K336" s="217"/>
      <c r="P336" s="217"/>
      <c r="U336" s="217"/>
      <c r="V336" s="65"/>
      <c r="W336" s="65"/>
      <c r="X336" s="65"/>
      <c r="Y336" s="65"/>
      <c r="Z336" s="252"/>
      <c r="AA336" s="65"/>
      <c r="AB336" s="65"/>
      <c r="AC336" s="65"/>
      <c r="AD336" s="65"/>
      <c r="AE336" s="252"/>
      <c r="AF336" s="65">
        <f>+AF437</f>
        <v>0</v>
      </c>
      <c r="AG336" s="65">
        <f>+AG437</f>
        <v>2250</v>
      </c>
      <c r="AH336" s="65">
        <f>+AH437</f>
        <v>2750</v>
      </c>
      <c r="AI336" s="65">
        <f>+AI437</f>
        <v>2750</v>
      </c>
      <c r="AJ336" s="252">
        <f t="shared" si="7874"/>
        <v>7750</v>
      </c>
      <c r="AK336" s="65">
        <f>+AK437</f>
        <v>2000</v>
      </c>
      <c r="AL336" s="65">
        <f>+AL437</f>
        <v>3000</v>
      </c>
      <c r="AM336" s="65">
        <f>+AM437</f>
        <v>4000</v>
      </c>
      <c r="AN336" s="65">
        <f>+AN437</f>
        <v>6000</v>
      </c>
      <c r="AO336" s="252">
        <f t="shared" si="7875"/>
        <v>15000</v>
      </c>
      <c r="AP336" s="65">
        <f>+AP437</f>
        <v>4000</v>
      </c>
      <c r="AQ336" s="65">
        <f>+AQ437</f>
        <v>6000</v>
      </c>
      <c r="AR336" s="65">
        <f>+AR437</f>
        <v>8000</v>
      </c>
      <c r="AS336" s="65">
        <f>+AS437</f>
        <v>9000</v>
      </c>
      <c r="AT336" s="252">
        <f t="shared" si="7876"/>
        <v>27000</v>
      </c>
      <c r="AU336" s="65">
        <f>+AU437</f>
        <v>8000</v>
      </c>
      <c r="AV336" s="65">
        <f>+AV437</f>
        <v>9000</v>
      </c>
      <c r="AW336" s="65">
        <f>+AW437</f>
        <v>8800</v>
      </c>
      <c r="AX336" s="65">
        <f>+AX437</f>
        <v>9450</v>
      </c>
      <c r="AY336" s="252">
        <f t="shared" si="7877"/>
        <v>35250</v>
      </c>
      <c r="AZ336" s="65">
        <f>+AZ437</f>
        <v>17600</v>
      </c>
      <c r="BA336" s="65">
        <f>+BA437</f>
        <v>16200</v>
      </c>
      <c r="BB336" s="65">
        <f>+BB437</f>
        <v>17160</v>
      </c>
      <c r="BC336" s="65">
        <f>+BC437</f>
        <v>22680</v>
      </c>
      <c r="BD336" s="252">
        <f t="shared" si="7878"/>
        <v>73640</v>
      </c>
      <c r="BE336" s="65">
        <f>+BE437</f>
        <v>26400</v>
      </c>
      <c r="BF336" s="65">
        <f>+BF437</f>
        <v>27864</v>
      </c>
      <c r="BG336" s="65">
        <f>+BG437</f>
        <v>29172</v>
      </c>
      <c r="BH336" s="65">
        <f>+BH437</f>
        <v>31751.999999999996</v>
      </c>
      <c r="BI336" s="252">
        <f t="shared" si="7879"/>
        <v>115188</v>
      </c>
      <c r="BJ336" s="65">
        <f>+BJ437</f>
        <v>28380</v>
      </c>
      <c r="BK336" s="65">
        <f>+BK437</f>
        <v>29953.8</v>
      </c>
      <c r="BL336" s="65">
        <f>+BL437</f>
        <v>31359.899999999998</v>
      </c>
      <c r="BM336" s="65">
        <f>+BM437</f>
        <v>34133.399999999994</v>
      </c>
      <c r="BN336" s="252">
        <f t="shared" si="7880"/>
        <v>123827.09999999999</v>
      </c>
      <c r="BO336" s="65">
        <f>+BO437</f>
        <v>30508.5</v>
      </c>
      <c r="BP336" s="65">
        <f>+BP437</f>
        <v>32200.334999999999</v>
      </c>
      <c r="BQ336" s="65">
        <f>+BQ437</f>
        <v>33711.892499999994</v>
      </c>
      <c r="BR336" s="65">
        <f>+BR437</f>
        <v>36693.404999999992</v>
      </c>
      <c r="BS336" s="252">
        <f t="shared" si="7881"/>
        <v>133114.13249999998</v>
      </c>
      <c r="BT336" s="65">
        <f>+BT437</f>
        <v>32796.637499999997</v>
      </c>
      <c r="BU336" s="65">
        <f>+BU437</f>
        <v>34615.360124999999</v>
      </c>
      <c r="BV336" s="65">
        <f>+BV437</f>
        <v>36240.284437499991</v>
      </c>
      <c r="BW336" s="65">
        <f>+BW437</f>
        <v>39445.410374999992</v>
      </c>
      <c r="BX336" s="252">
        <f t="shared" si="7882"/>
        <v>143097.69243749999</v>
      </c>
      <c r="BY336" s="65">
        <f>+BY437</f>
        <v>35256.385312499995</v>
      </c>
      <c r="BZ336" s="65">
        <f>+BZ437</f>
        <v>37211.512134375</v>
      </c>
      <c r="CA336" s="65">
        <f>+CA437</f>
        <v>38958.305770312487</v>
      </c>
      <c r="CB336" s="65">
        <f>+CB437</f>
        <v>42403.816153124993</v>
      </c>
      <c r="CC336" s="252">
        <f t="shared" si="7883"/>
        <v>153830.01937031248</v>
      </c>
      <c r="CD336" s="65">
        <f>+CD437</f>
        <v>37900.614210937492</v>
      </c>
      <c r="CE336" s="65">
        <f>+CE437</f>
        <v>40002.37554445312</v>
      </c>
      <c r="CF336" s="65">
        <f>+CF437</f>
        <v>41880.17870308592</v>
      </c>
      <c r="CG336" s="65">
        <f>+CG437</f>
        <v>45584.102364609367</v>
      </c>
      <c r="CH336" s="252">
        <f t="shared" si="7884"/>
        <v>165367.27082308591</v>
      </c>
      <c r="CI336" s="65">
        <f>+CI437</f>
        <v>39795.644921484367</v>
      </c>
      <c r="CJ336" s="65">
        <f>+CJ437</f>
        <v>42002.494321675775</v>
      </c>
      <c r="CK336" s="65">
        <f>+CK437</f>
        <v>43974.187638240219</v>
      </c>
      <c r="CL336" s="65">
        <f>+CL437</f>
        <v>47863.307482839838</v>
      </c>
      <c r="CM336" s="252">
        <f t="shared" si="7885"/>
        <v>173635.63436424022</v>
      </c>
      <c r="CN336" s="65">
        <f>+CN437</f>
        <v>41785.427167558584</v>
      </c>
      <c r="CO336" s="65">
        <f>+CO437</f>
        <v>44102.619037759563</v>
      </c>
      <c r="CP336" s="65">
        <f>+CP437</f>
        <v>46172.897020152232</v>
      </c>
      <c r="CQ336" s="65">
        <f>+CQ437</f>
        <v>50256.472856981833</v>
      </c>
      <c r="CR336" s="252">
        <f t="shared" si="7886"/>
        <v>182317.4160824522</v>
      </c>
      <c r="CS336" s="65">
        <f>+CS437</f>
        <v>43874.698525936517</v>
      </c>
      <c r="CT336" s="65">
        <f>+CT437</f>
        <v>46307.749989647542</v>
      </c>
      <c r="CU336" s="65">
        <f>+CU437</f>
        <v>48481.541871159847</v>
      </c>
      <c r="CV336" s="65">
        <f>+CV437</f>
        <v>52769.296499830925</v>
      </c>
      <c r="CW336" s="252">
        <f t="shared" si="7887"/>
        <v>191433.28688657485</v>
      </c>
      <c r="CX336" s="65">
        <f>+CX437</f>
        <v>46068.433452233345</v>
      </c>
      <c r="CY336" s="65">
        <f>+CY437</f>
        <v>48623.13748912992</v>
      </c>
      <c r="CZ336" s="65">
        <f>+CZ437</f>
        <v>50905.61896471784</v>
      </c>
      <c r="DA336" s="65">
        <f>+DA437</f>
        <v>55407.761324822473</v>
      </c>
      <c r="DB336" s="252">
        <f t="shared" si="7888"/>
        <v>201004.95123090356</v>
      </c>
    </row>
    <row r="337" spans="1:106" s="51" customFormat="1">
      <c r="A337" s="51" t="s">
        <v>361</v>
      </c>
      <c r="F337" s="233"/>
      <c r="K337" s="233"/>
      <c r="P337" s="233"/>
      <c r="U337" s="233"/>
      <c r="V337" s="213"/>
      <c r="W337" s="213"/>
      <c r="X337" s="213"/>
      <c r="Y337" s="213"/>
      <c r="Z337" s="234"/>
      <c r="AA337" s="213"/>
      <c r="AB337" s="213"/>
      <c r="AC337" s="213"/>
      <c r="AD337" s="213"/>
      <c r="AE337" s="234"/>
      <c r="AF337" s="213">
        <f t="shared" ref="AF337:AP337" si="7889">+AF330+AF331+AF332+AF333+AF334+AF335+AF336</f>
        <v>0</v>
      </c>
      <c r="AG337" s="213">
        <f t="shared" si="7889"/>
        <v>2250</v>
      </c>
      <c r="AH337" s="213">
        <f t="shared" si="7889"/>
        <v>4933.3322000000007</v>
      </c>
      <c r="AI337" s="213">
        <f t="shared" si="7889"/>
        <v>7116.6644000000006</v>
      </c>
      <c r="AJ337" s="234">
        <f t="shared" si="7889"/>
        <v>14299.9966</v>
      </c>
      <c r="AK337" s="213">
        <f t="shared" si="7889"/>
        <v>9496.1072200000017</v>
      </c>
      <c r="AL337" s="213">
        <f t="shared" si="7889"/>
        <v>16492.992996000001</v>
      </c>
      <c r="AM337" s="213">
        <f t="shared" si="7889"/>
        <v>17792.992996000001</v>
      </c>
      <c r="AN337" s="213">
        <f t="shared" si="7889"/>
        <v>21592.214440000003</v>
      </c>
      <c r="AO337" s="234">
        <f t="shared" si="7889"/>
        <v>65374.30765200001</v>
      </c>
      <c r="AP337" s="213">
        <f t="shared" si="7889"/>
        <v>23986.178960519999</v>
      </c>
      <c r="AQ337" s="213">
        <v>35000</v>
      </c>
      <c r="AR337" s="213">
        <v>44000</v>
      </c>
      <c r="AS337" s="213">
        <v>52000</v>
      </c>
      <c r="AT337" s="234">
        <f>+AT330+AT331+AT332+AT333+AT334+AT335+AT336</f>
        <v>154986.17896052002</v>
      </c>
      <c r="AU337" s="286">
        <v>61000</v>
      </c>
      <c r="AV337" s="286">
        <v>72000</v>
      </c>
      <c r="AW337" s="286">
        <v>81000</v>
      </c>
      <c r="AX337" s="286">
        <v>91000</v>
      </c>
      <c r="AY337" s="234">
        <f>+AY330+AY331+AY332+AY333+AY334+AY335+AY336</f>
        <v>305000</v>
      </c>
      <c r="AZ337" s="286">
        <v>106000</v>
      </c>
      <c r="BA337" s="286">
        <v>118000</v>
      </c>
      <c r="BB337" s="286">
        <v>130000</v>
      </c>
      <c r="BC337" s="286">
        <v>145000</v>
      </c>
      <c r="BD337" s="234">
        <f t="shared" ref="BD337:CI337" si="7890">+BD330+BD331+BD332+BD333+BD334+BD335+BD336</f>
        <v>498999.99999999994</v>
      </c>
      <c r="BE337" s="286">
        <v>161000</v>
      </c>
      <c r="BF337" s="286">
        <v>181000</v>
      </c>
      <c r="BG337" s="286">
        <v>202500</v>
      </c>
      <c r="BH337" s="286">
        <v>225300</v>
      </c>
      <c r="BI337" s="234">
        <f t="shared" si="7890"/>
        <v>769800</v>
      </c>
      <c r="BJ337" s="213">
        <f>+BJ330+BJ331+BJ332+BJ333+BJ334+BJ335+BJ336</f>
        <v>238778.82068693085</v>
      </c>
      <c r="BK337" s="213">
        <f t="shared" si="7890"/>
        <v>250675.07561235857</v>
      </c>
      <c r="BL337" s="213">
        <f t="shared" si="7890"/>
        <v>266120.33395657764</v>
      </c>
      <c r="BM337" s="213">
        <f t="shared" si="7890"/>
        <v>284095.88723551051</v>
      </c>
      <c r="BN337" s="234">
        <f t="shared" si="7890"/>
        <v>1039670.1174913776</v>
      </c>
      <c r="BO337" s="213">
        <f t="shared" si="7890"/>
        <v>295663.28067851398</v>
      </c>
      <c r="BP337" s="213">
        <f t="shared" si="7890"/>
        <v>306041.53450445208</v>
      </c>
      <c r="BQ337" s="213">
        <f t="shared" si="7890"/>
        <v>316239.51083039015</v>
      </c>
      <c r="BR337" s="213">
        <f t="shared" si="7890"/>
        <v>327907.44215632818</v>
      </c>
      <c r="BS337" s="234">
        <f t="shared" si="7890"/>
        <v>1245851.7681696843</v>
      </c>
      <c r="BT337" s="213">
        <f t="shared" si="7890"/>
        <v>341478.72966585559</v>
      </c>
      <c r="BU337" s="213">
        <f t="shared" si="7890"/>
        <v>354291.13469003234</v>
      </c>
      <c r="BV337" s="213">
        <f t="shared" si="7890"/>
        <v>366909.74140170903</v>
      </c>
      <c r="BW337" s="213">
        <f t="shared" si="7890"/>
        <v>381108.54973838577</v>
      </c>
      <c r="BX337" s="234">
        <f t="shared" si="7890"/>
        <v>1443788.1554959826</v>
      </c>
      <c r="BY337" s="213">
        <f t="shared" si="7890"/>
        <v>397172.10991341481</v>
      </c>
      <c r="BZ337" s="213">
        <f t="shared" si="7890"/>
        <v>409028.57988388295</v>
      </c>
      <c r="CA337" s="213">
        <f t="shared" si="7890"/>
        <v>422787.67332126846</v>
      </c>
      <c r="CB337" s="213">
        <f t="shared" si="7890"/>
        <v>436134.52685267408</v>
      </c>
      <c r="CC337" s="234">
        <f t="shared" si="7890"/>
        <v>1665122.8899712402</v>
      </c>
      <c r="CD337" s="213">
        <f t="shared" si="7890"/>
        <v>453615.70088598819</v>
      </c>
      <c r="CE337" s="213">
        <f t="shared" si="7890"/>
        <v>466844.59550424741</v>
      </c>
      <c r="CF337" s="213">
        <f t="shared" si="7890"/>
        <v>480066.96048286796</v>
      </c>
      <c r="CG337" s="213">
        <f t="shared" si="7890"/>
        <v>494898.01742913504</v>
      </c>
      <c r="CH337" s="234">
        <f t="shared" si="7890"/>
        <v>1895425.2743022388</v>
      </c>
      <c r="CI337" s="213">
        <f t="shared" si="7890"/>
        <v>509416.73187298526</v>
      </c>
      <c r="CJ337" s="213">
        <f t="shared" ref="CJ337:DB337" si="7891">+CJ330+CJ331+CJ332+CJ333+CJ334+CJ335+CJ336</f>
        <v>519849.33570821601</v>
      </c>
      <c r="CK337" s="213">
        <f t="shared" si="7891"/>
        <v>530046.78345981974</v>
      </c>
      <c r="CL337" s="213">
        <f t="shared" si="7891"/>
        <v>542161.65773945884</v>
      </c>
      <c r="CM337" s="234">
        <f t="shared" si="7891"/>
        <v>2101474.5087804799</v>
      </c>
      <c r="CN337" s="213">
        <f t="shared" si="7891"/>
        <v>557364.2559678281</v>
      </c>
      <c r="CO337" s="213">
        <f t="shared" si="7891"/>
        <v>567620.97587398102</v>
      </c>
      <c r="CP337" s="213">
        <f t="shared" si="7891"/>
        <v>577630.78189232561</v>
      </c>
      <c r="CQ337" s="213">
        <f t="shared" si="7891"/>
        <v>589653.88576510723</v>
      </c>
      <c r="CR337" s="234">
        <f t="shared" si="7891"/>
        <v>2292269.8994992422</v>
      </c>
      <c r="CS337" s="213">
        <f t="shared" si="7891"/>
        <v>606031.24769833614</v>
      </c>
      <c r="CT337" s="213">
        <f t="shared" si="7891"/>
        <v>616619.51303907775</v>
      </c>
      <c r="CU337" s="213">
        <f t="shared" si="7891"/>
        <v>626948.51879762055</v>
      </c>
      <c r="CV337" s="213">
        <f t="shared" si="7891"/>
        <v>639391.48730332206</v>
      </c>
      <c r="CW337" s="234">
        <f t="shared" si="7891"/>
        <v>2488990.7668383569</v>
      </c>
      <c r="CX337" s="213">
        <f t="shared" si="7891"/>
        <v>654246.58873011626</v>
      </c>
      <c r="CY337" s="213">
        <f t="shared" si="7891"/>
        <v>662426.59151729988</v>
      </c>
      <c r="CZ337" s="213">
        <f t="shared" si="7891"/>
        <v>670334.37174317485</v>
      </c>
      <c r="DA337" s="213">
        <f t="shared" si="7891"/>
        <v>680461.81285356637</v>
      </c>
      <c r="DB337" s="234">
        <f t="shared" si="7891"/>
        <v>2667469.3648441578</v>
      </c>
    </row>
    <row r="338" spans="1:106">
      <c r="A338" s="117" t="s">
        <v>281</v>
      </c>
      <c r="F338" s="217"/>
      <c r="K338" s="217"/>
      <c r="P338" s="217"/>
      <c r="U338" s="217"/>
      <c r="Z338" s="217"/>
      <c r="AE338" s="217"/>
      <c r="AF338" s="119" t="s">
        <v>290</v>
      </c>
      <c r="AG338" s="119" t="s">
        <v>290</v>
      </c>
      <c r="AH338" s="119" t="s">
        <v>290</v>
      </c>
      <c r="AI338" s="119" t="s">
        <v>290</v>
      </c>
      <c r="AJ338" s="235" t="s">
        <v>290</v>
      </c>
      <c r="AK338" s="13" t="e">
        <f t="shared" ref="AK338:AO338" si="7892">+AK337/AF337-1</f>
        <v>#DIV/0!</v>
      </c>
      <c r="AL338" s="13">
        <f t="shared" si="7892"/>
        <v>6.330219109333334</v>
      </c>
      <c r="AM338" s="13">
        <f t="shared" si="7892"/>
        <v>2.6066885980230561</v>
      </c>
      <c r="AN338" s="13">
        <f t="shared" si="7892"/>
        <v>2.0340357822690081</v>
      </c>
      <c r="AO338" s="239">
        <f t="shared" si="7892"/>
        <v>3.5716309926954812</v>
      </c>
      <c r="AP338" s="13">
        <f t="shared" ref="AP338:BU338" si="7893">+AP337/AK337-1</f>
        <v>1.5258959702984476</v>
      </c>
      <c r="AQ338" s="13">
        <f t="shared" si="7893"/>
        <v>1.1221133125132869</v>
      </c>
      <c r="AR338" s="13">
        <f t="shared" si="7893"/>
        <v>1.4728835676994607</v>
      </c>
      <c r="AS338" s="13">
        <f t="shared" si="7893"/>
        <v>1.4082754524551673</v>
      </c>
      <c r="AT338" s="239">
        <f t="shared" si="7893"/>
        <v>1.3707505980107841</v>
      </c>
      <c r="AU338" s="13">
        <f t="shared" si="7893"/>
        <v>1.5431311965279182</v>
      </c>
      <c r="AV338" s="13">
        <f t="shared" si="7893"/>
        <v>1.0571428571428569</v>
      </c>
      <c r="AW338" s="13">
        <f t="shared" si="7893"/>
        <v>0.84090909090909083</v>
      </c>
      <c r="AX338" s="13">
        <f t="shared" si="7893"/>
        <v>0.75</v>
      </c>
      <c r="AY338" s="239">
        <f t="shared" si="7893"/>
        <v>0.96791741073694926</v>
      </c>
      <c r="AZ338" s="13">
        <f t="shared" si="7893"/>
        <v>0.73770491803278682</v>
      </c>
      <c r="BA338" s="13">
        <f t="shared" si="7893"/>
        <v>0.63888888888888884</v>
      </c>
      <c r="BB338" s="13">
        <f t="shared" si="7893"/>
        <v>0.60493827160493829</v>
      </c>
      <c r="BC338" s="13">
        <f t="shared" si="7893"/>
        <v>0.5934065934065933</v>
      </c>
      <c r="BD338" s="239">
        <f t="shared" si="7893"/>
        <v>0.63606557377049167</v>
      </c>
      <c r="BE338" s="13">
        <f t="shared" si="7893"/>
        <v>0.51886792452830188</v>
      </c>
      <c r="BF338" s="13">
        <f t="shared" si="7893"/>
        <v>0.53389830508474567</v>
      </c>
      <c r="BG338" s="13">
        <f t="shared" si="7893"/>
        <v>0.55769230769230771</v>
      </c>
      <c r="BH338" s="13">
        <f t="shared" si="7893"/>
        <v>0.55379310344827593</v>
      </c>
      <c r="BI338" s="239">
        <f t="shared" si="7893"/>
        <v>0.54268537074148315</v>
      </c>
      <c r="BJ338" s="13">
        <f t="shared" si="7893"/>
        <v>0.48309826513621634</v>
      </c>
      <c r="BK338" s="13">
        <f t="shared" si="7893"/>
        <v>0.38494516912905286</v>
      </c>
      <c r="BL338" s="13">
        <f t="shared" si="7893"/>
        <v>0.31417448867445752</v>
      </c>
      <c r="BM338" s="13">
        <f t="shared" si="7893"/>
        <v>0.26096709824904796</v>
      </c>
      <c r="BN338" s="239">
        <f t="shared" si="7893"/>
        <v>0.35057172965884331</v>
      </c>
      <c r="BO338" s="13">
        <f t="shared" si="7893"/>
        <v>0.2382307602824032</v>
      </c>
      <c r="BP338" s="13">
        <f t="shared" si="7893"/>
        <v>0.22086942132895437</v>
      </c>
      <c r="BQ338" s="13">
        <f t="shared" si="7893"/>
        <v>0.18833275957781703</v>
      </c>
      <c r="BR338" s="13">
        <f t="shared" si="7893"/>
        <v>0.15421397101922363</v>
      </c>
      <c r="BS338" s="239">
        <f t="shared" si="7893"/>
        <v>0.19831449150024905</v>
      </c>
      <c r="BT338" s="13">
        <f t="shared" si="7893"/>
        <v>0.15495819731892402</v>
      </c>
      <c r="BU338" s="13">
        <f t="shared" si="7893"/>
        <v>0.15765703261064501</v>
      </c>
      <c r="BV338" s="13">
        <f t="shared" ref="BV338:DA338" si="7894">+BV337/BQ337-1</f>
        <v>0.16022738726817409</v>
      </c>
      <c r="BW338" s="13">
        <f t="shared" si="7894"/>
        <v>0.16224428220416609</v>
      </c>
      <c r="BX338" s="239">
        <f t="shared" si="7894"/>
        <v>0.15887635462210103</v>
      </c>
      <c r="BY338" s="13">
        <f t="shared" si="7894"/>
        <v>0.16309472716516327</v>
      </c>
      <c r="BZ338" s="13">
        <f t="shared" si="7894"/>
        <v>0.15449848961572288</v>
      </c>
      <c r="CA338" s="13">
        <f t="shared" si="7894"/>
        <v>0.15229339975027201</v>
      </c>
      <c r="CB338" s="13">
        <f t="shared" si="7894"/>
        <v>0.14438400070547153</v>
      </c>
      <c r="CC338" s="239">
        <f t="shared" si="7894"/>
        <v>0.15330139233565232</v>
      </c>
      <c r="CD338" s="13">
        <f t="shared" si="7894"/>
        <v>0.14211368211347541</v>
      </c>
      <c r="CE338" s="13">
        <f t="shared" si="7894"/>
        <v>0.14134957424436578</v>
      </c>
      <c r="CF338" s="13">
        <f t="shared" si="7894"/>
        <v>0.13548003117412089</v>
      </c>
      <c r="CG338" s="13">
        <f t="shared" si="7894"/>
        <v>0.13473707527932377</v>
      </c>
      <c r="CH338" s="239">
        <f t="shared" si="7894"/>
        <v>0.13830954202724133</v>
      </c>
      <c r="CI338" s="13">
        <f t="shared" si="7894"/>
        <v>0.12301388791880052</v>
      </c>
      <c r="CJ338" s="13">
        <f t="shared" si="7894"/>
        <v>0.11353829671459992</v>
      </c>
      <c r="CK338" s="13">
        <f t="shared" si="7894"/>
        <v>0.10411010773722129</v>
      </c>
      <c r="CL338" s="13">
        <f t="shared" si="7894"/>
        <v>9.5501777428501189E-2</v>
      </c>
      <c r="CM338" s="239">
        <f t="shared" si="7894"/>
        <v>0.1087087089487575</v>
      </c>
      <c r="CN338" s="13">
        <f t="shared" si="7894"/>
        <v>9.4122397430003835E-2</v>
      </c>
      <c r="CO338" s="13">
        <f t="shared" si="7894"/>
        <v>9.1895164395436657E-2</v>
      </c>
      <c r="CP338" s="13">
        <f t="shared" si="7894"/>
        <v>8.9773204776202542E-2</v>
      </c>
      <c r="CQ338" s="13">
        <f t="shared" si="7894"/>
        <v>8.7597909862654477E-2</v>
      </c>
      <c r="CR338" s="239">
        <f t="shared" si="7894"/>
        <v>9.0791199189698579E-2</v>
      </c>
      <c r="CS338" s="13">
        <f t="shared" si="7894"/>
        <v>8.7316312823112252E-2</v>
      </c>
      <c r="CT338" s="13">
        <f t="shared" si="7894"/>
        <v>8.6322632967628321E-2</v>
      </c>
      <c r="CU338" s="13">
        <f t="shared" si="7894"/>
        <v>8.5379343434104138E-2</v>
      </c>
      <c r="CV338" s="13">
        <f t="shared" si="7894"/>
        <v>8.435050245395681E-2</v>
      </c>
      <c r="CW338" s="239">
        <f t="shared" si="7894"/>
        <v>8.5819242918161232E-2</v>
      </c>
      <c r="CX338" s="13">
        <f t="shared" si="7894"/>
        <v>7.955916665171725E-2</v>
      </c>
      <c r="CY338" s="13">
        <f t="shared" si="7894"/>
        <v>7.4287429297293706E-2</v>
      </c>
      <c r="CZ338" s="13">
        <f t="shared" si="7894"/>
        <v>6.9201619662107028E-2</v>
      </c>
      <c r="DA338" s="13">
        <f t="shared" si="7894"/>
        <v>6.4233456913011633E-2</v>
      </c>
      <c r="DB338" s="239">
        <f t="shared" ref="DB338" si="7895">+DB337/CW337-1</f>
        <v>7.1707215785502321E-2</v>
      </c>
    </row>
    <row r="339" spans="1:106">
      <c r="A339" s="117" t="s">
        <v>288</v>
      </c>
      <c r="F339" s="217"/>
      <c r="K339" s="217"/>
      <c r="P339" s="217"/>
      <c r="U339" s="217"/>
      <c r="Z339" s="217"/>
      <c r="AE339" s="217"/>
      <c r="AF339" s="119" t="s">
        <v>290</v>
      </c>
      <c r="AG339" s="13" t="e">
        <f>+AG337/AF337-1</f>
        <v>#DIV/0!</v>
      </c>
      <c r="AH339" s="13">
        <f>+AH337/AG337-1</f>
        <v>1.192592088888889</v>
      </c>
      <c r="AI339" s="13">
        <f>+AI337/AH337-1</f>
        <v>0.442567439508736</v>
      </c>
      <c r="AJ339" s="235" t="s">
        <v>290</v>
      </c>
      <c r="AK339" s="119" t="s">
        <v>290</v>
      </c>
      <c r="AL339" s="13">
        <f>+AL337/AK337-1</f>
        <v>0.73681621467622782</v>
      </c>
      <c r="AM339" s="13">
        <f>+AM337/AL337-1</f>
        <v>7.882135160763637E-2</v>
      </c>
      <c r="AN339" s="13">
        <f>+AN337/AM337-1</f>
        <v>0.21352346088452334</v>
      </c>
      <c r="AO339" s="235" t="s">
        <v>290</v>
      </c>
      <c r="AP339" s="119" t="s">
        <v>290</v>
      </c>
      <c r="AQ339" s="13">
        <f>+AQ337/AP337-1</f>
        <v>0.45917363735208405</v>
      </c>
      <c r="AR339" s="13">
        <f>+AR337/AQ337-1</f>
        <v>0.25714285714285712</v>
      </c>
      <c r="AS339" s="13">
        <f>+AS337/AR337-1</f>
        <v>0.18181818181818188</v>
      </c>
      <c r="AT339" s="235" t="s">
        <v>290</v>
      </c>
      <c r="AU339" s="119" t="s">
        <v>290</v>
      </c>
      <c r="AV339" s="13">
        <f>+AV337/AU337-1</f>
        <v>0.18032786885245899</v>
      </c>
      <c r="AW339" s="13">
        <f>+AW337/AV337-1</f>
        <v>0.125</v>
      </c>
      <c r="AX339" s="13">
        <f>+AX337/AW337-1</f>
        <v>0.12345679012345689</v>
      </c>
      <c r="AY339" s="235" t="s">
        <v>290</v>
      </c>
      <c r="AZ339" s="119" t="s">
        <v>290</v>
      </c>
      <c r="BA339" s="13">
        <f>+BA337/AZ337-1</f>
        <v>0.1132075471698113</v>
      </c>
      <c r="BB339" s="13">
        <f>+BB337/BA337-1</f>
        <v>0.10169491525423724</v>
      </c>
      <c r="BC339" s="13">
        <f>+BC337/BB337-1</f>
        <v>0.11538461538461542</v>
      </c>
      <c r="BD339" s="235" t="s">
        <v>290</v>
      </c>
      <c r="BE339" s="13">
        <f>+BE337/BC337-1</f>
        <v>0.1103448275862069</v>
      </c>
      <c r="BF339" s="13">
        <f>+BF337/BE337-1</f>
        <v>0.12422360248447206</v>
      </c>
      <c r="BG339" s="13">
        <f>+BG337/BF337-1</f>
        <v>0.11878453038674031</v>
      </c>
      <c r="BH339" s="13">
        <f>+BH337/BG337-1</f>
        <v>0.11259259259259258</v>
      </c>
      <c r="BI339" s="235" t="s">
        <v>290</v>
      </c>
      <c r="BJ339" s="13">
        <f>+BJ337/BH337-1</f>
        <v>5.9826101584246949E-2</v>
      </c>
      <c r="BK339" s="13">
        <f>+BK337/BJ337-1</f>
        <v>4.9821231595013282E-2</v>
      </c>
      <c r="BL339" s="13">
        <f>+BL337/BK337-1</f>
        <v>6.1614655172592681E-2</v>
      </c>
      <c r="BM339" s="13">
        <f>+BM337/BL337-1</f>
        <v>6.7546710962214318E-2</v>
      </c>
      <c r="BN339" s="235" t="s">
        <v>290</v>
      </c>
      <c r="BO339" s="13">
        <f>+BO337/BM337-1</f>
        <v>4.0716511441132974E-2</v>
      </c>
      <c r="BP339" s="13">
        <f>+BP337/BO337-1</f>
        <v>3.5101598690649549E-2</v>
      </c>
      <c r="BQ339" s="13">
        <f>+BQ337/BP337-1</f>
        <v>3.3322197075148052E-2</v>
      </c>
      <c r="BR339" s="13">
        <f>+BR337/BQ337-1</f>
        <v>3.6895868246507479E-2</v>
      </c>
      <c r="BS339" s="235" t="s">
        <v>290</v>
      </c>
      <c r="BT339" s="13">
        <f>+BT337/BR337-1</f>
        <v>4.13875556476615E-2</v>
      </c>
      <c r="BU339" s="13">
        <f>+BU337/BT337-1</f>
        <v>3.7520360453238144E-2</v>
      </c>
      <c r="BV339" s="13">
        <f>+BV337/BU337-1</f>
        <v>3.5616490157781344E-2</v>
      </c>
      <c r="BW339" s="13">
        <f>+BW337/BV337-1</f>
        <v>3.8698368384641135E-2</v>
      </c>
      <c r="BX339" s="235" t="s">
        <v>290</v>
      </c>
      <c r="BY339" s="13">
        <f>+BY337/BW337-1</f>
        <v>4.2149566537029948E-2</v>
      </c>
      <c r="BZ339" s="13">
        <f>+BZ337/BY337-1</f>
        <v>2.9852221932332723E-2</v>
      </c>
      <c r="CA339" s="13">
        <f>+CA337/BZ337-1</f>
        <v>3.3638464679635716E-2</v>
      </c>
      <c r="CB339" s="13">
        <f>+CB337/CA337-1</f>
        <v>3.1568691268970772E-2</v>
      </c>
      <c r="CC339" s="235" t="s">
        <v>290</v>
      </c>
      <c r="CD339" s="13">
        <f>+CD337/CB337-1</f>
        <v>4.0082068621041023E-2</v>
      </c>
      <c r="CE339" s="13">
        <f>+CE337/CD337-1</f>
        <v>2.9163220303928927E-2</v>
      </c>
      <c r="CF339" s="13">
        <f>+CF337/CE337-1</f>
        <v>2.8322840418316897E-2</v>
      </c>
      <c r="CG339" s="13">
        <f>+CG337/CF337-1</f>
        <v>3.0893725598923671E-2</v>
      </c>
      <c r="CH339" s="235" t="s">
        <v>290</v>
      </c>
      <c r="CI339" s="13">
        <f>+CI337/CG337-1</f>
        <v>2.9336780371986837E-2</v>
      </c>
      <c r="CJ339" s="13">
        <f>+CJ337/CI337-1</f>
        <v>2.0479507606420588E-2</v>
      </c>
      <c r="CK339" s="13">
        <f>+CK337/CJ337-1</f>
        <v>1.9616160012422057E-2</v>
      </c>
      <c r="CL339" s="13">
        <f>+CL337/CK337-1</f>
        <v>2.2856235822356297E-2</v>
      </c>
      <c r="CM339" s="235" t="s">
        <v>290</v>
      </c>
      <c r="CN339" s="13">
        <f>+CN337/CL337-1</f>
        <v>2.8040710757297749E-2</v>
      </c>
      <c r="CO339" s="13">
        <f>+CO337/CN337-1</f>
        <v>1.840218456123055E-2</v>
      </c>
      <c r="CP339" s="13">
        <f>+CP337/CO337-1</f>
        <v>1.7634665461282895E-2</v>
      </c>
      <c r="CQ339" s="13">
        <f>+CQ337/CP337-1</f>
        <v>2.0814513785767819E-2</v>
      </c>
      <c r="CR339" s="235" t="s">
        <v>290</v>
      </c>
      <c r="CS339" s="13">
        <f>+CS337/CQ337-1</f>
        <v>2.7774534059041178E-2</v>
      </c>
      <c r="CT339" s="13">
        <f>+CT337/CS337-1</f>
        <v>1.7471484153589678E-2</v>
      </c>
      <c r="CU339" s="13">
        <f>+CU337/CT337-1</f>
        <v>1.6751019940376422E-2</v>
      </c>
      <c r="CV339" s="13">
        <f>+CV337/CU337-1</f>
        <v>1.9846874396585168E-2</v>
      </c>
      <c r="CW339" s="235" t="s">
        <v>290</v>
      </c>
      <c r="CX339" s="13">
        <f>+CX337/CV337-1</f>
        <v>2.3233186118017723E-2</v>
      </c>
      <c r="CY339" s="13">
        <f>+CY337/CX337-1</f>
        <v>1.2502935327581843E-2</v>
      </c>
      <c r="CZ339" s="13">
        <f>+CZ337/CY337-1</f>
        <v>1.193759478731371E-2</v>
      </c>
      <c r="DA339" s="13">
        <f>+DA337/CZ337-1</f>
        <v>1.5108043891670864E-2</v>
      </c>
      <c r="DB339" s="235" t="s">
        <v>290</v>
      </c>
    </row>
    <row r="340" spans="1:106">
      <c r="A340" s="117" t="s">
        <v>484</v>
      </c>
      <c r="F340" s="217"/>
      <c r="K340" s="217"/>
      <c r="P340" s="217"/>
      <c r="U340" s="217"/>
      <c r="Z340" s="217"/>
      <c r="AE340" s="217"/>
      <c r="AF340" s="65">
        <v>0</v>
      </c>
      <c r="AG340" s="65">
        <v>0</v>
      </c>
      <c r="AH340" s="65">
        <v>0</v>
      </c>
      <c r="AI340" s="65">
        <f>+AI337-AH337</f>
        <v>2183.3321999999998</v>
      </c>
      <c r="AJ340" s="235" t="s">
        <v>290</v>
      </c>
      <c r="AK340" s="65">
        <f>+AK337-AI337</f>
        <v>2379.4428200000011</v>
      </c>
      <c r="AL340" s="65">
        <f t="shared" ref="AL340:AN340" si="7896">+AL337-AK337</f>
        <v>6996.8857759999992</v>
      </c>
      <c r="AM340" s="65">
        <f t="shared" si="7896"/>
        <v>1300</v>
      </c>
      <c r="AN340" s="65">
        <f t="shared" si="7896"/>
        <v>3799.2214440000025</v>
      </c>
      <c r="AO340" s="235" t="s">
        <v>290</v>
      </c>
      <c r="AP340" s="65">
        <f>+AP337-AN337</f>
        <v>2393.9645205199959</v>
      </c>
      <c r="AQ340" s="65">
        <f t="shared" ref="AQ340:AS340" si="7897">+AQ337-AP337</f>
        <v>11013.821039480001</v>
      </c>
      <c r="AR340" s="65">
        <f t="shared" si="7897"/>
        <v>9000</v>
      </c>
      <c r="AS340" s="65">
        <f t="shared" si="7897"/>
        <v>8000</v>
      </c>
      <c r="AT340" s="235" t="s">
        <v>290</v>
      </c>
      <c r="AU340" s="65">
        <f>+AU337-AS337</f>
        <v>9000</v>
      </c>
      <c r="AV340" s="65">
        <f t="shared" ref="AV340:AX340" si="7898">+AV337-AU337</f>
        <v>11000</v>
      </c>
      <c r="AW340" s="65">
        <f t="shared" si="7898"/>
        <v>9000</v>
      </c>
      <c r="AX340" s="65">
        <f t="shared" si="7898"/>
        <v>10000</v>
      </c>
      <c r="AY340" s="235" t="s">
        <v>290</v>
      </c>
      <c r="AZ340" s="65">
        <f>+AZ337-AX337</f>
        <v>15000</v>
      </c>
      <c r="BA340" s="65">
        <f t="shared" ref="BA340:BC340" si="7899">+BA337-AZ337</f>
        <v>12000</v>
      </c>
      <c r="BB340" s="65">
        <f t="shared" si="7899"/>
        <v>12000</v>
      </c>
      <c r="BC340" s="65">
        <f t="shared" si="7899"/>
        <v>15000</v>
      </c>
      <c r="BD340" s="235" t="s">
        <v>290</v>
      </c>
      <c r="BE340" s="65">
        <f>+BE337-BC337</f>
        <v>16000</v>
      </c>
      <c r="BF340" s="65">
        <f>+BF337-BE337</f>
        <v>20000</v>
      </c>
      <c r="BG340" s="65">
        <f t="shared" ref="BG340:BH340" si="7900">+BG337-BF337</f>
        <v>21500</v>
      </c>
      <c r="BH340" s="65">
        <f t="shared" si="7900"/>
        <v>22800</v>
      </c>
      <c r="BI340" s="235" t="s">
        <v>290</v>
      </c>
      <c r="BJ340" s="65">
        <f>+BJ337-BH337</f>
        <v>13478.820686930849</v>
      </c>
      <c r="BK340" s="65">
        <f>+BK337-BJ337</f>
        <v>11896.254925427726</v>
      </c>
      <c r="BL340" s="65">
        <f>+BL337-BK337</f>
        <v>15445.258344219066</v>
      </c>
      <c r="BM340" s="65">
        <f>+BM337-BL337</f>
        <v>17975.553278932872</v>
      </c>
      <c r="BN340" s="235" t="s">
        <v>290</v>
      </c>
      <c r="BO340" s="65">
        <f>+BO337-BM337</f>
        <v>11567.393443003471</v>
      </c>
      <c r="BP340" s="65">
        <f>+BP337-BO337</f>
        <v>10378.253825938096</v>
      </c>
      <c r="BQ340" s="65">
        <f>+BQ337-BP337</f>
        <v>10197.976325938071</v>
      </c>
      <c r="BR340" s="65">
        <f>+BR337-BQ337</f>
        <v>11667.931325938029</v>
      </c>
      <c r="BS340" s="235" t="s">
        <v>290</v>
      </c>
      <c r="BT340" s="65">
        <f>+BT337-BR337</f>
        <v>13571.287509527407</v>
      </c>
      <c r="BU340" s="65">
        <f t="shared" ref="BU340:BW340" si="7901">+BU337-BT337</f>
        <v>12812.405024176755</v>
      </c>
      <c r="BV340" s="65">
        <f t="shared" si="7901"/>
        <v>12618.606711676694</v>
      </c>
      <c r="BW340" s="65">
        <f t="shared" si="7901"/>
        <v>14198.808336676739</v>
      </c>
      <c r="BX340" s="235" t="s">
        <v>290</v>
      </c>
      <c r="BY340" s="65">
        <f>+BY337-BW337</f>
        <v>16063.560175029037</v>
      </c>
      <c r="BZ340" s="65">
        <f t="shared" ref="BZ340:CB340" si="7902">+BZ337-BY337</f>
        <v>11856.469970468141</v>
      </c>
      <c r="CA340" s="65">
        <f t="shared" si="7902"/>
        <v>13759.093437385513</v>
      </c>
      <c r="CB340" s="65">
        <f t="shared" si="7902"/>
        <v>13346.853531405621</v>
      </c>
      <c r="CC340" s="235" t="s">
        <v>290</v>
      </c>
      <c r="CD340" s="65">
        <f>+CD337-CB337</f>
        <v>17481.174033314106</v>
      </c>
      <c r="CE340" s="65">
        <f t="shared" ref="CE340:CG340" si="7903">+CE337-CD337</f>
        <v>13228.894618259219</v>
      </c>
      <c r="CF340" s="65">
        <f t="shared" si="7903"/>
        <v>13222.36497862055</v>
      </c>
      <c r="CG340" s="65">
        <f t="shared" si="7903"/>
        <v>14831.056946267083</v>
      </c>
      <c r="CH340" s="235" t="s">
        <v>290</v>
      </c>
      <c r="CI340" s="65">
        <f>+CI337-CG337</f>
        <v>14518.714443850215</v>
      </c>
      <c r="CJ340" s="65">
        <f t="shared" ref="CJ340:CL340" si="7904">+CJ337-CI337</f>
        <v>10432.603835230751</v>
      </c>
      <c r="CK340" s="65">
        <f t="shared" si="7904"/>
        <v>10197.44775160373</v>
      </c>
      <c r="CL340" s="65">
        <f t="shared" si="7904"/>
        <v>12114.874279639102</v>
      </c>
      <c r="CM340" s="235" t="s">
        <v>290</v>
      </c>
      <c r="CN340" s="65">
        <f>+CN337-CL337</f>
        <v>15202.598228369257</v>
      </c>
      <c r="CO340" s="65">
        <f t="shared" ref="CO340:CQ340" si="7905">+CO337-CN337</f>
        <v>10256.719906152925</v>
      </c>
      <c r="CP340" s="65">
        <f t="shared" si="7905"/>
        <v>10009.806018344592</v>
      </c>
      <c r="CQ340" s="65">
        <f t="shared" si="7905"/>
        <v>12023.103872781619</v>
      </c>
      <c r="CR340" s="235" t="s">
        <v>290</v>
      </c>
      <c r="CS340" s="65">
        <f>+CS337-CQ337</f>
        <v>16377.361933228909</v>
      </c>
      <c r="CT340" s="65">
        <f t="shared" ref="CT340:CV340" si="7906">+CT337-CS337</f>
        <v>10588.265340741607</v>
      </c>
      <c r="CU340" s="65">
        <f t="shared" si="7906"/>
        <v>10329.0057585428</v>
      </c>
      <c r="CV340" s="65">
        <f t="shared" si="7906"/>
        <v>12442.968505701516</v>
      </c>
      <c r="CW340" s="235" t="s">
        <v>290</v>
      </c>
      <c r="CX340" s="65">
        <f>+CX337-CV337</f>
        <v>14855.101426794194</v>
      </c>
      <c r="CY340" s="65">
        <f t="shared" ref="CY340:DA340" si="7907">+CY337-CX337</f>
        <v>8180.002787183621</v>
      </c>
      <c r="CZ340" s="65">
        <f t="shared" si="7907"/>
        <v>7907.7802258749725</v>
      </c>
      <c r="DA340" s="65">
        <f t="shared" si="7907"/>
        <v>10127.441110391519</v>
      </c>
      <c r="DB340" s="235" t="s">
        <v>290</v>
      </c>
    </row>
    <row r="341" spans="1:106">
      <c r="F341" s="217"/>
      <c r="K341" s="217"/>
      <c r="P341" s="217"/>
      <c r="U341" s="217"/>
      <c r="Z341" s="217"/>
      <c r="AE341" s="217"/>
      <c r="AJ341" s="217"/>
      <c r="AO341" s="217"/>
      <c r="AT341" s="217"/>
      <c r="AY341" s="217"/>
      <c r="BD341" s="217"/>
      <c r="BI341" s="217"/>
      <c r="BN341" s="217"/>
      <c r="BS341" s="217"/>
      <c r="BX341" s="217"/>
      <c r="CC341" s="217"/>
      <c r="CH341" s="217"/>
      <c r="CM341" s="217"/>
      <c r="CR341" s="217"/>
      <c r="CW341" s="217"/>
      <c r="DB341" s="217"/>
    </row>
    <row r="342" spans="1:106" s="51" customFormat="1">
      <c r="A342" s="51" t="s">
        <v>362</v>
      </c>
      <c r="F342" s="233"/>
      <c r="K342" s="233"/>
      <c r="P342" s="233"/>
      <c r="U342" s="233"/>
      <c r="Z342" s="233"/>
      <c r="AE342" s="233"/>
      <c r="AF342" s="226">
        <v>0</v>
      </c>
      <c r="AG342" s="226">
        <v>50</v>
      </c>
      <c r="AH342" s="226">
        <v>50</v>
      </c>
      <c r="AI342" s="226">
        <v>75</v>
      </c>
      <c r="AJ342" s="236">
        <f>+AJ346/AJ337*1000000</f>
        <v>62.441723937193117</v>
      </c>
      <c r="AK342" s="226">
        <v>250</v>
      </c>
      <c r="AL342" s="226">
        <v>900</v>
      </c>
      <c r="AM342" s="226">
        <v>350</v>
      </c>
      <c r="AN342" s="226">
        <v>350</v>
      </c>
      <c r="AO342" s="236">
        <f>+AO346/AO337*1000000</f>
        <v>474.23130305306626</v>
      </c>
      <c r="AP342" s="226">
        <v>675</v>
      </c>
      <c r="AQ342" s="226">
        <v>650</v>
      </c>
      <c r="AR342" s="226">
        <v>650</v>
      </c>
      <c r="AS342" s="226">
        <v>675</v>
      </c>
      <c r="AT342" s="236">
        <f>+AT346/AT337*1000000</f>
        <v>662.25692824194925</v>
      </c>
      <c r="AU342" s="226">
        <v>750</v>
      </c>
      <c r="AV342" s="226">
        <v>900</v>
      </c>
      <c r="AW342" s="226">
        <v>850</v>
      </c>
      <c r="AX342" s="226">
        <v>1150</v>
      </c>
      <c r="AY342" s="236">
        <f>+AY346/AY337*1000000</f>
        <v>931.31147540983591</v>
      </c>
      <c r="AZ342" s="226">
        <v>1030</v>
      </c>
      <c r="BA342" s="226">
        <v>1100</v>
      </c>
      <c r="BB342" s="226">
        <v>1100</v>
      </c>
      <c r="BC342" s="226">
        <v>1125</v>
      </c>
      <c r="BD342" s="236">
        <f>+BD346/BD337*1000000</f>
        <v>1092.3947895791587</v>
      </c>
      <c r="BE342" s="226">
        <f>+BC342+20</f>
        <v>1145</v>
      </c>
      <c r="BF342" s="226">
        <v>1175</v>
      </c>
      <c r="BG342" s="226">
        <v>1200</v>
      </c>
      <c r="BH342" s="226">
        <v>1225</v>
      </c>
      <c r="BI342" s="236">
        <f>+BI346/BI337*1000000</f>
        <v>1189.9356975837882</v>
      </c>
      <c r="BJ342" s="226">
        <v>1230</v>
      </c>
      <c r="BK342" s="226">
        <v>1240</v>
      </c>
      <c r="BL342" s="226">
        <v>1250</v>
      </c>
      <c r="BM342" s="226">
        <v>1260</v>
      </c>
      <c r="BN342" s="236">
        <f>+BN346/BN337*1000000</f>
        <v>1245.7280985355012</v>
      </c>
      <c r="BO342" s="226">
        <f>+BM342+50</f>
        <v>1310</v>
      </c>
      <c r="BP342" s="226">
        <f>+BO342</f>
        <v>1310</v>
      </c>
      <c r="BQ342" s="226">
        <f>+BP342</f>
        <v>1310</v>
      </c>
      <c r="BR342" s="226">
        <f>+BQ342</f>
        <v>1310</v>
      </c>
      <c r="BS342" s="236">
        <f>+BS346/BS337*1000000</f>
        <v>1310</v>
      </c>
      <c r="BT342" s="226">
        <f>+BR342+50</f>
        <v>1360</v>
      </c>
      <c r="BU342" s="226">
        <f>+BT342</f>
        <v>1360</v>
      </c>
      <c r="BV342" s="226">
        <f>+BU342</f>
        <v>1360</v>
      </c>
      <c r="BW342" s="226">
        <f>+BV342</f>
        <v>1360</v>
      </c>
      <c r="BX342" s="236">
        <f>+BX346/BX337*1000000</f>
        <v>1360.0000000000002</v>
      </c>
      <c r="BY342" s="226">
        <f>+BW342+50</f>
        <v>1410</v>
      </c>
      <c r="BZ342" s="226">
        <f>+BY342</f>
        <v>1410</v>
      </c>
      <c r="CA342" s="226">
        <f>+BZ342</f>
        <v>1410</v>
      </c>
      <c r="CB342" s="226">
        <f>+CA342</f>
        <v>1410</v>
      </c>
      <c r="CC342" s="236">
        <f>+CC346/CC337*1000000</f>
        <v>1410.0000000000002</v>
      </c>
      <c r="CD342" s="226">
        <f>+CB342+50</f>
        <v>1460</v>
      </c>
      <c r="CE342" s="226">
        <f>+CD342</f>
        <v>1460</v>
      </c>
      <c r="CF342" s="226">
        <f>+CE342</f>
        <v>1460</v>
      </c>
      <c r="CG342" s="226">
        <f>+CF342</f>
        <v>1460</v>
      </c>
      <c r="CH342" s="236">
        <f>+CH346/CH337*1000000</f>
        <v>1459.9999999999995</v>
      </c>
      <c r="CI342" s="226">
        <f>+CG342+40</f>
        <v>1500</v>
      </c>
      <c r="CJ342" s="226">
        <f>+CI342</f>
        <v>1500</v>
      </c>
      <c r="CK342" s="226">
        <f>+CJ342</f>
        <v>1500</v>
      </c>
      <c r="CL342" s="226">
        <f>+CK342</f>
        <v>1500</v>
      </c>
      <c r="CM342" s="236">
        <f>+CM346/CM337*1000000</f>
        <v>1499.9999999999998</v>
      </c>
      <c r="CN342" s="226">
        <f>+CL342+40</f>
        <v>1540</v>
      </c>
      <c r="CO342" s="226">
        <f>+CN342</f>
        <v>1540</v>
      </c>
      <c r="CP342" s="226">
        <f>+CO342</f>
        <v>1540</v>
      </c>
      <c r="CQ342" s="226">
        <f>+CP342</f>
        <v>1540</v>
      </c>
      <c r="CR342" s="236">
        <f>+CR346/CR337*1000000</f>
        <v>1540</v>
      </c>
      <c r="CS342" s="226">
        <f>+CQ342+40</f>
        <v>1580</v>
      </c>
      <c r="CT342" s="226">
        <f>+CS342</f>
        <v>1580</v>
      </c>
      <c r="CU342" s="226">
        <f>+CT342</f>
        <v>1580</v>
      </c>
      <c r="CV342" s="226">
        <f>+CU342</f>
        <v>1580</v>
      </c>
      <c r="CW342" s="236">
        <f>+CW346/CW337*1000000</f>
        <v>1579.9999999999998</v>
      </c>
      <c r="CX342" s="226">
        <f>+CV342+25</f>
        <v>1605</v>
      </c>
      <c r="CY342" s="226">
        <f>+CX342</f>
        <v>1605</v>
      </c>
      <c r="CZ342" s="226">
        <f>+CY342</f>
        <v>1605</v>
      </c>
      <c r="DA342" s="226">
        <f>+CZ342</f>
        <v>1605</v>
      </c>
      <c r="DB342" s="236">
        <f>+DB346/DB337*1000000</f>
        <v>1604.9999999999998</v>
      </c>
    </row>
    <row r="343" spans="1:106">
      <c r="A343" s="117" t="s">
        <v>281</v>
      </c>
      <c r="F343" s="217"/>
      <c r="K343" s="217"/>
      <c r="P343" s="217"/>
      <c r="U343" s="217"/>
      <c r="Z343" s="217"/>
      <c r="AE343" s="217"/>
      <c r="AF343" s="119" t="s">
        <v>290</v>
      </c>
      <c r="AG343" s="119" t="s">
        <v>290</v>
      </c>
      <c r="AH343" s="119" t="s">
        <v>290</v>
      </c>
      <c r="AI343" s="119" t="s">
        <v>290</v>
      </c>
      <c r="AJ343" s="235" t="s">
        <v>290</v>
      </c>
      <c r="AK343" s="13" t="e">
        <f t="shared" ref="AK343" si="7908">+AK342/AF342-1</f>
        <v>#DIV/0!</v>
      </c>
      <c r="AL343" s="13">
        <f t="shared" ref="AL343" si="7909">+AL342/AG342-1</f>
        <v>17</v>
      </c>
      <c r="AM343" s="13">
        <f t="shared" ref="AM343" si="7910">+AM342/AH342-1</f>
        <v>6</v>
      </c>
      <c r="AN343" s="13">
        <f t="shared" ref="AN343" si="7911">+AN342/AI342-1</f>
        <v>3.666666666666667</v>
      </c>
      <c r="AO343" s="239">
        <f t="shared" ref="AO343" si="7912">+AO342/AJ342-1</f>
        <v>6.594782353063648</v>
      </c>
      <c r="AP343" s="13">
        <f t="shared" ref="AP343:BU343" si="7913">+AP342/AK342-1</f>
        <v>1.7000000000000002</v>
      </c>
      <c r="AQ343" s="13">
        <f t="shared" si="7913"/>
        <v>-0.27777777777777779</v>
      </c>
      <c r="AR343" s="13">
        <f t="shared" si="7913"/>
        <v>0.85714285714285721</v>
      </c>
      <c r="AS343" s="13">
        <f t="shared" si="7913"/>
        <v>0.9285714285714286</v>
      </c>
      <c r="AT343" s="239">
        <f t="shared" si="7913"/>
        <v>0.39648505692978908</v>
      </c>
      <c r="AU343" s="13">
        <f t="shared" si="7913"/>
        <v>0.11111111111111116</v>
      </c>
      <c r="AV343" s="13">
        <f t="shared" si="7913"/>
        <v>0.38461538461538458</v>
      </c>
      <c r="AW343" s="13">
        <f t="shared" si="7913"/>
        <v>0.30769230769230771</v>
      </c>
      <c r="AX343" s="13">
        <f t="shared" si="7913"/>
        <v>0.70370370370370372</v>
      </c>
      <c r="AY343" s="239">
        <f t="shared" si="7913"/>
        <v>0.40626913165276868</v>
      </c>
      <c r="AZ343" s="13">
        <f t="shared" si="7913"/>
        <v>0.37333333333333329</v>
      </c>
      <c r="BA343" s="13">
        <f t="shared" si="7913"/>
        <v>0.22222222222222232</v>
      </c>
      <c r="BB343" s="13">
        <f t="shared" si="7913"/>
        <v>0.29411764705882359</v>
      </c>
      <c r="BC343" s="13">
        <f t="shared" si="7913"/>
        <v>-2.1739130434782594E-2</v>
      </c>
      <c r="BD343" s="239">
        <f t="shared" si="7913"/>
        <v>0.17296395290140265</v>
      </c>
      <c r="BE343" s="13">
        <f t="shared" si="7913"/>
        <v>0.11165048543689315</v>
      </c>
      <c r="BF343" s="13">
        <f t="shared" si="7913"/>
        <v>6.8181818181818121E-2</v>
      </c>
      <c r="BG343" s="13">
        <f t="shared" si="7913"/>
        <v>9.0909090909090828E-2</v>
      </c>
      <c r="BH343" s="13">
        <f t="shared" si="7913"/>
        <v>8.8888888888888795E-2</v>
      </c>
      <c r="BI343" s="239">
        <f t="shared" si="7913"/>
        <v>8.9290894587850334E-2</v>
      </c>
      <c r="BJ343" s="13">
        <f t="shared" si="7913"/>
        <v>7.4235807860262071E-2</v>
      </c>
      <c r="BK343" s="13">
        <f t="shared" si="7913"/>
        <v>5.5319148936170182E-2</v>
      </c>
      <c r="BL343" s="13">
        <f t="shared" si="7913"/>
        <v>4.1666666666666741E-2</v>
      </c>
      <c r="BM343" s="13">
        <f t="shared" si="7913"/>
        <v>2.857142857142847E-2</v>
      </c>
      <c r="BN343" s="239">
        <f t="shared" si="7913"/>
        <v>4.6886904111711036E-2</v>
      </c>
      <c r="BO343" s="13">
        <f t="shared" si="7913"/>
        <v>6.5040650406503975E-2</v>
      </c>
      <c r="BP343" s="13">
        <f t="shared" si="7913"/>
        <v>5.6451612903225756E-2</v>
      </c>
      <c r="BQ343" s="13">
        <f t="shared" si="7913"/>
        <v>4.8000000000000043E-2</v>
      </c>
      <c r="BR343" s="13">
        <f t="shared" si="7913"/>
        <v>3.9682539682539764E-2</v>
      </c>
      <c r="BS343" s="239">
        <f t="shared" si="7913"/>
        <v>5.1593844226567542E-2</v>
      </c>
      <c r="BT343" s="13">
        <f t="shared" si="7913"/>
        <v>3.8167938931297662E-2</v>
      </c>
      <c r="BU343" s="13">
        <f t="shared" si="7913"/>
        <v>3.8167938931297662E-2</v>
      </c>
      <c r="BV343" s="13">
        <f t="shared" ref="BV343:DA343" si="7914">+BV342/BQ342-1</f>
        <v>3.8167938931297662E-2</v>
      </c>
      <c r="BW343" s="13">
        <f t="shared" si="7914"/>
        <v>3.8167938931297662E-2</v>
      </c>
      <c r="BX343" s="239">
        <f t="shared" si="7914"/>
        <v>3.8167938931297885E-2</v>
      </c>
      <c r="BY343" s="13">
        <f t="shared" si="7914"/>
        <v>3.6764705882353033E-2</v>
      </c>
      <c r="BZ343" s="13">
        <f t="shared" si="7914"/>
        <v>3.6764705882353033E-2</v>
      </c>
      <c r="CA343" s="13">
        <f t="shared" si="7914"/>
        <v>3.6764705882353033E-2</v>
      </c>
      <c r="CB343" s="13">
        <f t="shared" si="7914"/>
        <v>3.6764705882353033E-2</v>
      </c>
      <c r="CC343" s="239">
        <f t="shared" si="7914"/>
        <v>3.6764705882353033E-2</v>
      </c>
      <c r="CD343" s="13">
        <f t="shared" si="7914"/>
        <v>3.5460992907801359E-2</v>
      </c>
      <c r="CE343" s="13">
        <f t="shared" si="7914"/>
        <v>3.5460992907801359E-2</v>
      </c>
      <c r="CF343" s="13">
        <f t="shared" si="7914"/>
        <v>3.5460992907801359E-2</v>
      </c>
      <c r="CG343" s="13">
        <f t="shared" si="7914"/>
        <v>3.5460992907801359E-2</v>
      </c>
      <c r="CH343" s="239">
        <f t="shared" si="7914"/>
        <v>3.5460992907800915E-2</v>
      </c>
      <c r="CI343" s="13">
        <f t="shared" si="7914"/>
        <v>2.7397260273972712E-2</v>
      </c>
      <c r="CJ343" s="13">
        <f t="shared" si="7914"/>
        <v>2.7397260273972712E-2</v>
      </c>
      <c r="CK343" s="13">
        <f t="shared" si="7914"/>
        <v>2.7397260273972712E-2</v>
      </c>
      <c r="CL343" s="13">
        <f t="shared" si="7914"/>
        <v>2.7397260273972712E-2</v>
      </c>
      <c r="CM343" s="239">
        <f t="shared" si="7914"/>
        <v>2.7397260273972712E-2</v>
      </c>
      <c r="CN343" s="13">
        <f t="shared" si="7914"/>
        <v>2.6666666666666616E-2</v>
      </c>
      <c r="CO343" s="13">
        <f t="shared" si="7914"/>
        <v>2.6666666666666616E-2</v>
      </c>
      <c r="CP343" s="13">
        <f t="shared" si="7914"/>
        <v>2.6666666666666616E-2</v>
      </c>
      <c r="CQ343" s="13">
        <f t="shared" si="7914"/>
        <v>2.6666666666666616E-2</v>
      </c>
      <c r="CR343" s="239">
        <f t="shared" si="7914"/>
        <v>2.6666666666666838E-2</v>
      </c>
      <c r="CS343" s="13">
        <f t="shared" si="7914"/>
        <v>2.5974025974025983E-2</v>
      </c>
      <c r="CT343" s="13">
        <f t="shared" si="7914"/>
        <v>2.5974025974025983E-2</v>
      </c>
      <c r="CU343" s="13">
        <f t="shared" si="7914"/>
        <v>2.5974025974025983E-2</v>
      </c>
      <c r="CV343" s="13">
        <f t="shared" si="7914"/>
        <v>2.5974025974025983E-2</v>
      </c>
      <c r="CW343" s="239">
        <f t="shared" si="7914"/>
        <v>2.5974025974025761E-2</v>
      </c>
      <c r="CX343" s="13">
        <f t="shared" si="7914"/>
        <v>1.5822784810126667E-2</v>
      </c>
      <c r="CY343" s="13">
        <f t="shared" si="7914"/>
        <v>1.5822784810126667E-2</v>
      </c>
      <c r="CZ343" s="13">
        <f t="shared" si="7914"/>
        <v>1.5822784810126667E-2</v>
      </c>
      <c r="DA343" s="13">
        <f t="shared" si="7914"/>
        <v>1.5822784810126667E-2</v>
      </c>
      <c r="DB343" s="239">
        <f t="shared" ref="DB343" si="7915">+DB342/CW342-1</f>
        <v>1.5822784810126667E-2</v>
      </c>
    </row>
    <row r="344" spans="1:106">
      <c r="A344" s="117" t="s">
        <v>288</v>
      </c>
      <c r="F344" s="217"/>
      <c r="K344" s="217"/>
      <c r="P344" s="217"/>
      <c r="U344" s="217"/>
      <c r="Z344" s="217"/>
      <c r="AE344" s="217"/>
      <c r="AF344" s="119" t="s">
        <v>290</v>
      </c>
      <c r="AG344" s="13" t="e">
        <f>+AG342/AF342-1</f>
        <v>#DIV/0!</v>
      </c>
      <c r="AH344" s="13">
        <f>+AH342/AG342-1</f>
        <v>0</v>
      </c>
      <c r="AI344" s="13">
        <f>+AI342/AH342-1</f>
        <v>0.5</v>
      </c>
      <c r="AJ344" s="235" t="s">
        <v>290</v>
      </c>
      <c r="AK344" s="119" t="s">
        <v>290</v>
      </c>
      <c r="AL344" s="13">
        <f>+AL342/AK342-1</f>
        <v>2.6</v>
      </c>
      <c r="AM344" s="13">
        <f>+AM342/AL342-1</f>
        <v>-0.61111111111111116</v>
      </c>
      <c r="AN344" s="13">
        <f>+AN342/AM342-1</f>
        <v>0</v>
      </c>
      <c r="AO344" s="235" t="s">
        <v>290</v>
      </c>
      <c r="AP344" s="119" t="s">
        <v>290</v>
      </c>
      <c r="AQ344" s="13">
        <f>+AQ342/AP342-1</f>
        <v>-3.703703703703709E-2</v>
      </c>
      <c r="AR344" s="13">
        <f>+AR342/AQ342-1</f>
        <v>0</v>
      </c>
      <c r="AS344" s="13">
        <f>+AS342/AR342-1</f>
        <v>3.8461538461538547E-2</v>
      </c>
      <c r="AT344" s="235" t="s">
        <v>290</v>
      </c>
      <c r="AU344" s="119" t="s">
        <v>290</v>
      </c>
      <c r="AV344" s="13">
        <f>+AV342/AU342-1</f>
        <v>0.19999999999999996</v>
      </c>
      <c r="AW344" s="13">
        <f>+AW342/AV342-1</f>
        <v>-5.555555555555558E-2</v>
      </c>
      <c r="AX344" s="13">
        <f>+AX342/AW342-1</f>
        <v>0.35294117647058831</v>
      </c>
      <c r="AY344" s="235" t="s">
        <v>290</v>
      </c>
      <c r="AZ344" s="119" t="s">
        <v>290</v>
      </c>
      <c r="BA344" s="13">
        <f>+BA342/AZ342-1</f>
        <v>6.7961165048543659E-2</v>
      </c>
      <c r="BB344" s="13">
        <f>+BB342/BA342-1</f>
        <v>0</v>
      </c>
      <c r="BC344" s="13">
        <f>+BC342/BB342-1</f>
        <v>2.2727272727272707E-2</v>
      </c>
      <c r="BD344" s="235" t="s">
        <v>290</v>
      </c>
      <c r="BE344" s="13">
        <f>+BE342/BC342-1</f>
        <v>1.777777777777767E-2</v>
      </c>
      <c r="BF344" s="13">
        <f>+BF342/BE342-1</f>
        <v>2.6200873362445476E-2</v>
      </c>
      <c r="BG344" s="13">
        <f>+BG342/BF342-1</f>
        <v>2.1276595744680771E-2</v>
      </c>
      <c r="BH344" s="13">
        <f>+BH342/BG342-1</f>
        <v>2.0833333333333259E-2</v>
      </c>
      <c r="BI344" s="235" t="s">
        <v>290</v>
      </c>
      <c r="BJ344" s="13">
        <f>+BJ342/BH342-1</f>
        <v>4.0816326530612734E-3</v>
      </c>
      <c r="BK344" s="13">
        <f>+BK342/BJ342-1</f>
        <v>8.1300813008129413E-3</v>
      </c>
      <c r="BL344" s="13">
        <f>+BL342/BK342-1</f>
        <v>8.0645161290322509E-3</v>
      </c>
      <c r="BM344" s="13">
        <f>+BM342/BL342-1</f>
        <v>8.0000000000000071E-3</v>
      </c>
      <c r="BN344" s="235" t="s">
        <v>290</v>
      </c>
      <c r="BO344" s="13">
        <f>+BO342/BM342-1</f>
        <v>3.9682539682539764E-2</v>
      </c>
      <c r="BP344" s="13">
        <f>+BP342/BO342-1</f>
        <v>0</v>
      </c>
      <c r="BQ344" s="13">
        <f>+BQ342/BP342-1</f>
        <v>0</v>
      </c>
      <c r="BR344" s="13">
        <f>+BR342/BQ342-1</f>
        <v>0</v>
      </c>
      <c r="BS344" s="235" t="s">
        <v>290</v>
      </c>
      <c r="BT344" s="13">
        <f>+BT342/BR342-1</f>
        <v>3.8167938931297662E-2</v>
      </c>
      <c r="BU344" s="13">
        <f>+BU342/BT342-1</f>
        <v>0</v>
      </c>
      <c r="BV344" s="13">
        <f>+BV342/BU342-1</f>
        <v>0</v>
      </c>
      <c r="BW344" s="13">
        <f>+BW342/BV342-1</f>
        <v>0</v>
      </c>
      <c r="BX344" s="235" t="s">
        <v>290</v>
      </c>
      <c r="BY344" s="13">
        <f>+BY342/BW342-1</f>
        <v>3.6764705882353033E-2</v>
      </c>
      <c r="BZ344" s="13">
        <f>+BZ342/BY342-1</f>
        <v>0</v>
      </c>
      <c r="CA344" s="13">
        <f>+CA342/BZ342-1</f>
        <v>0</v>
      </c>
      <c r="CB344" s="13">
        <f>+CB342/CA342-1</f>
        <v>0</v>
      </c>
      <c r="CC344" s="235" t="s">
        <v>290</v>
      </c>
      <c r="CD344" s="13">
        <f>+CD342/CB342-1</f>
        <v>3.5460992907801359E-2</v>
      </c>
      <c r="CE344" s="13">
        <f>+CE342/CD342-1</f>
        <v>0</v>
      </c>
      <c r="CF344" s="13">
        <f>+CF342/CE342-1</f>
        <v>0</v>
      </c>
      <c r="CG344" s="13">
        <f>+CG342/CF342-1</f>
        <v>0</v>
      </c>
      <c r="CH344" s="235" t="s">
        <v>290</v>
      </c>
      <c r="CI344" s="13">
        <f>+CI342/CG342-1</f>
        <v>2.7397260273972712E-2</v>
      </c>
      <c r="CJ344" s="13">
        <f>+CJ342/CI342-1</f>
        <v>0</v>
      </c>
      <c r="CK344" s="13">
        <f>+CK342/CJ342-1</f>
        <v>0</v>
      </c>
      <c r="CL344" s="13">
        <f>+CL342/CK342-1</f>
        <v>0</v>
      </c>
      <c r="CM344" s="235" t="s">
        <v>290</v>
      </c>
      <c r="CN344" s="13">
        <f>+CN342/CL342-1</f>
        <v>2.6666666666666616E-2</v>
      </c>
      <c r="CO344" s="13">
        <f>+CO342/CN342-1</f>
        <v>0</v>
      </c>
      <c r="CP344" s="13">
        <f>+CP342/CO342-1</f>
        <v>0</v>
      </c>
      <c r="CQ344" s="13">
        <f>+CQ342/CP342-1</f>
        <v>0</v>
      </c>
      <c r="CR344" s="235" t="s">
        <v>290</v>
      </c>
      <c r="CS344" s="13">
        <f>+CS342/CQ342-1</f>
        <v>2.5974025974025983E-2</v>
      </c>
      <c r="CT344" s="13">
        <f>+CT342/CS342-1</f>
        <v>0</v>
      </c>
      <c r="CU344" s="13">
        <f>+CU342/CT342-1</f>
        <v>0</v>
      </c>
      <c r="CV344" s="13">
        <f>+CV342/CU342-1</f>
        <v>0</v>
      </c>
      <c r="CW344" s="235" t="s">
        <v>290</v>
      </c>
      <c r="CX344" s="13">
        <f>+CX342/CV342-1</f>
        <v>1.5822784810126667E-2</v>
      </c>
      <c r="CY344" s="13">
        <f>+CY342/CX342-1</f>
        <v>0</v>
      </c>
      <c r="CZ344" s="13">
        <f>+CZ342/CY342-1</f>
        <v>0</v>
      </c>
      <c r="DA344" s="13">
        <f>+DA342/CZ342-1</f>
        <v>0</v>
      </c>
      <c r="DB344" s="235" t="s">
        <v>290</v>
      </c>
    </row>
    <row r="345" spans="1:106">
      <c r="F345" s="217"/>
      <c r="K345" s="217"/>
      <c r="P345" s="217"/>
      <c r="U345" s="217"/>
      <c r="Z345" s="217"/>
      <c r="AE345" s="217"/>
      <c r="AJ345" s="217"/>
      <c r="AO345" s="217"/>
      <c r="AT345" s="217"/>
      <c r="AY345" s="217"/>
      <c r="BD345" s="217"/>
      <c r="BI345" s="217"/>
      <c r="BN345" s="217"/>
      <c r="BS345" s="217"/>
      <c r="BX345" s="217"/>
      <c r="CC345" s="217"/>
      <c r="CH345" s="217"/>
      <c r="CM345" s="217"/>
      <c r="CR345" s="217"/>
      <c r="CW345" s="217"/>
      <c r="DB345" s="217"/>
    </row>
    <row r="346" spans="1:106" s="51" customFormat="1">
      <c r="A346" s="51" t="s">
        <v>363</v>
      </c>
      <c r="F346" s="233"/>
      <c r="K346" s="233"/>
      <c r="P346" s="233"/>
      <c r="U346" s="233"/>
      <c r="Z346" s="233"/>
      <c r="AE346" s="233"/>
      <c r="AF346" s="135">
        <f>+AF337*AF342/1000000</f>
        <v>0</v>
      </c>
      <c r="AG346" s="135">
        <f>+AG337*AG342/1000000</f>
        <v>0.1125</v>
      </c>
      <c r="AH346" s="135">
        <f>+AH337*AH342/1000000</f>
        <v>0.24666661000000004</v>
      </c>
      <c r="AI346" s="135">
        <f>+AI337*AI342/1000000</f>
        <v>0.53374983000000009</v>
      </c>
      <c r="AJ346" s="216">
        <f>+AF346+AG346+AH346+AI346</f>
        <v>0.89291644000000014</v>
      </c>
      <c r="AK346" s="135">
        <f>+AK337*AK342/1000000</f>
        <v>2.3740268050000006</v>
      </c>
      <c r="AL346" s="135">
        <f>+AL337*AL342/1000000</f>
        <v>14.843693696400001</v>
      </c>
      <c r="AM346" s="135">
        <f>+AM337*AM342/1000000</f>
        <v>6.2275475486000005</v>
      </c>
      <c r="AN346" s="135">
        <f>+AN337*AN342/1000000</f>
        <v>7.5572750540000015</v>
      </c>
      <c r="AO346" s="216">
        <f>+AK346+AL346+AM346+AN346</f>
        <v>31.002543104000004</v>
      </c>
      <c r="AP346" s="135">
        <f>+AP337*AP342/1000000</f>
        <v>16.190670798351</v>
      </c>
      <c r="AQ346" s="135">
        <f>+AQ337*AQ342/1000000</f>
        <v>22.75</v>
      </c>
      <c r="AR346" s="135">
        <f>+AR337*AR342/1000000</f>
        <v>28.6</v>
      </c>
      <c r="AS346" s="135">
        <f>+AS337*AS342/1000000</f>
        <v>35.1</v>
      </c>
      <c r="AT346" s="216">
        <f>+AP346+AQ346+AR346+AS346</f>
        <v>102.64067079835101</v>
      </c>
      <c r="AU346" s="135">
        <f>+AU337*AU342/1000000</f>
        <v>45.75</v>
      </c>
      <c r="AV346" s="135">
        <f>+AV337*AV342/1000000</f>
        <v>64.8</v>
      </c>
      <c r="AW346" s="135">
        <f>+AW337*AW342/1000000</f>
        <v>68.849999999999994</v>
      </c>
      <c r="AX346" s="135">
        <f>+AX337*AX342/1000000</f>
        <v>104.65</v>
      </c>
      <c r="AY346" s="216">
        <f>+AU346+AV346+AW346+AX346</f>
        <v>284.04999999999995</v>
      </c>
      <c r="AZ346" s="135">
        <f>+AZ337*AZ342/1000000</f>
        <v>109.18</v>
      </c>
      <c r="BA346" s="135">
        <f>+BA337*BA342/1000000</f>
        <v>129.80000000000001</v>
      </c>
      <c r="BB346" s="135">
        <f>+BB337*BB342/1000000</f>
        <v>143</v>
      </c>
      <c r="BC346" s="135">
        <f>+BC337*BC342/1000000</f>
        <v>163.125</v>
      </c>
      <c r="BD346" s="216">
        <f>+AZ346+BA346+BB346+BC346</f>
        <v>545.10500000000002</v>
      </c>
      <c r="BE346" s="135">
        <f>+BE337*BE342/1000000</f>
        <v>184.345</v>
      </c>
      <c r="BF346" s="135">
        <f>+BF337*BF342/1000000</f>
        <v>212.67500000000001</v>
      </c>
      <c r="BG346" s="135">
        <f>+BG337*BG342/1000000</f>
        <v>243</v>
      </c>
      <c r="BH346" s="135">
        <f>+BH337*BH342/1000000</f>
        <v>275.99250000000001</v>
      </c>
      <c r="BI346" s="216">
        <f>+BE346+BF346+BG346+BH346</f>
        <v>916.01250000000005</v>
      </c>
      <c r="BJ346" s="135">
        <f>+BJ337*BJ342/1000000</f>
        <v>293.69794944492497</v>
      </c>
      <c r="BK346" s="135">
        <f>+BK337*BK342/1000000</f>
        <v>310.8370937593246</v>
      </c>
      <c r="BL346" s="135">
        <f>+BL337*BL342/1000000</f>
        <v>332.65041744572204</v>
      </c>
      <c r="BM346" s="135">
        <f>+BM337*BM342/1000000</f>
        <v>357.96081791674322</v>
      </c>
      <c r="BN346" s="216">
        <f>+BJ346+BK346+BL346+BM346</f>
        <v>1295.146278566715</v>
      </c>
      <c r="BO346" s="135">
        <f>+BO337*BO342/1000000</f>
        <v>387.31889768885333</v>
      </c>
      <c r="BP346" s="135">
        <f>+BP337*BP342/1000000</f>
        <v>400.91441020083226</v>
      </c>
      <c r="BQ346" s="135">
        <f>+BQ337*BQ342/1000000</f>
        <v>414.27375918781109</v>
      </c>
      <c r="BR346" s="135">
        <f>+BR337*BR342/1000000</f>
        <v>429.55874922478989</v>
      </c>
      <c r="BS346" s="216">
        <f>+BO346+BP346+BQ346+BR346</f>
        <v>1632.0658163022865</v>
      </c>
      <c r="BT346" s="135">
        <f>+BT337*BT342/1000000</f>
        <v>464.41107234556358</v>
      </c>
      <c r="BU346" s="135">
        <f>+BU337*BU342/1000000</f>
        <v>481.83594317844398</v>
      </c>
      <c r="BV346" s="135">
        <f>+BV337*BV342/1000000</f>
        <v>498.99724830632431</v>
      </c>
      <c r="BW346" s="135">
        <f>+BW337*BW342/1000000</f>
        <v>518.30762764420467</v>
      </c>
      <c r="BX346" s="216">
        <f>+BT346+BU346+BV346+BW346</f>
        <v>1963.5518914745367</v>
      </c>
      <c r="BY346" s="135">
        <f>+BY337*BY342/1000000</f>
        <v>560.01267497791491</v>
      </c>
      <c r="BZ346" s="135">
        <f>+BZ337*BZ342/1000000</f>
        <v>576.73029763627494</v>
      </c>
      <c r="CA346" s="135">
        <f>+CA337*CA342/1000000</f>
        <v>596.13061938298858</v>
      </c>
      <c r="CB346" s="135">
        <f>+CB337*CB342/1000000</f>
        <v>614.94968286227049</v>
      </c>
      <c r="CC346" s="216">
        <f>+BY346+BZ346+CA346+CB346</f>
        <v>2347.8232748594492</v>
      </c>
      <c r="CD346" s="135">
        <f>+CD337*CD342/1000000</f>
        <v>662.27892329354279</v>
      </c>
      <c r="CE346" s="135">
        <f>+CE337*CE342/1000000</f>
        <v>681.59310943620119</v>
      </c>
      <c r="CF346" s="135">
        <f>+CF337*CF342/1000000</f>
        <v>700.89776230498717</v>
      </c>
      <c r="CG346" s="135">
        <f>+CG337*CG342/1000000</f>
        <v>722.55110544653712</v>
      </c>
      <c r="CH346" s="216">
        <f>+CD346+CE346+CF346+CG346</f>
        <v>2767.3209004812679</v>
      </c>
      <c r="CI346" s="135">
        <f>+CI337*CI342/1000000</f>
        <v>764.12509780947789</v>
      </c>
      <c r="CJ346" s="135">
        <f>+CJ337*CJ342/1000000</f>
        <v>779.77400356232408</v>
      </c>
      <c r="CK346" s="135">
        <f>+CK337*CK342/1000000</f>
        <v>795.07017518972953</v>
      </c>
      <c r="CL346" s="135">
        <f>+CL337*CL342/1000000</f>
        <v>813.24248660918818</v>
      </c>
      <c r="CM346" s="216">
        <f>+CI346+CJ346+CK346+CL346</f>
        <v>3152.2117631707197</v>
      </c>
      <c r="CN346" s="135">
        <f>+CN337*CN342/1000000</f>
        <v>858.34095419045536</v>
      </c>
      <c r="CO346" s="135">
        <f>+CO337*CO342/1000000</f>
        <v>874.1363028459308</v>
      </c>
      <c r="CP346" s="135">
        <f>+CP337*CP342/1000000</f>
        <v>889.55140411418142</v>
      </c>
      <c r="CQ346" s="135">
        <f>+CQ337*CQ342/1000000</f>
        <v>908.06698407826514</v>
      </c>
      <c r="CR346" s="216">
        <f>+CN346+CO346+CP346+CQ346</f>
        <v>3530.0956452288328</v>
      </c>
      <c r="CS346" s="135">
        <f>+CS337*CS342/1000000</f>
        <v>957.52937136337118</v>
      </c>
      <c r="CT346" s="135">
        <f>+CT337*CT342/1000000</f>
        <v>974.25883060174283</v>
      </c>
      <c r="CU346" s="135">
        <f>+CU337*CU342/1000000</f>
        <v>990.57865970024045</v>
      </c>
      <c r="CV346" s="135">
        <f>+CV337*CV342/1000000</f>
        <v>1010.238549939249</v>
      </c>
      <c r="CW346" s="216">
        <f>+CS346+CT346+CU346+CV346</f>
        <v>3932.6054116046034</v>
      </c>
      <c r="CX346" s="135">
        <f>+CX337*CX342/1000000</f>
        <v>1050.0657749118366</v>
      </c>
      <c r="CY346" s="135">
        <f>+CY337*CY342/1000000</f>
        <v>1063.1946793852662</v>
      </c>
      <c r="CZ346" s="135">
        <f>+CZ337*CZ342/1000000</f>
        <v>1075.8866666477957</v>
      </c>
      <c r="DA346" s="135">
        <f>+DA337*DA342/1000000</f>
        <v>1092.1412096299741</v>
      </c>
      <c r="DB346" s="216">
        <f>+CX346+CY346+CZ346+DA346</f>
        <v>4281.2883305748728</v>
      </c>
    </row>
    <row r="347" spans="1:106">
      <c r="A347" s="117" t="s">
        <v>281</v>
      </c>
      <c r="F347" s="217"/>
      <c r="K347" s="217"/>
      <c r="P347" s="217"/>
      <c r="U347" s="217"/>
      <c r="Z347" s="217"/>
      <c r="AE347" s="217"/>
      <c r="AF347" s="119" t="s">
        <v>290</v>
      </c>
      <c r="AG347" s="119" t="s">
        <v>290</v>
      </c>
      <c r="AH347" s="119" t="s">
        <v>290</v>
      </c>
      <c r="AI347" s="119" t="s">
        <v>290</v>
      </c>
      <c r="AJ347" s="235" t="s">
        <v>290</v>
      </c>
      <c r="AK347" s="13" t="e">
        <f t="shared" ref="AK347" si="7916">+AK346/AF346-1</f>
        <v>#DIV/0!</v>
      </c>
      <c r="AL347" s="13">
        <f t="shared" ref="AL347" si="7917">+AL346/AG346-1</f>
        <v>130.94394396800001</v>
      </c>
      <c r="AM347" s="13">
        <f t="shared" ref="AM347" si="7918">+AM346/AH346-1</f>
        <v>24.246820186161393</v>
      </c>
      <c r="AN347" s="13">
        <f t="shared" ref="AN347" si="7919">+AN346/AI346-1</f>
        <v>13.158833650588704</v>
      </c>
      <c r="AO347" s="239">
        <f t="shared" ref="AO347" si="7920">+AO346/AJ346-1</f>
        <v>33.720542388042489</v>
      </c>
      <c r="AP347" s="13">
        <f t="shared" ref="AP347:BU347" si="7921">+AP346/AK346-1</f>
        <v>5.8199191198058084</v>
      </c>
      <c r="AQ347" s="13">
        <f t="shared" si="7921"/>
        <v>0.53263739237070706</v>
      </c>
      <c r="AR347" s="13">
        <f t="shared" si="7921"/>
        <v>3.592498054298999</v>
      </c>
      <c r="AS347" s="13">
        <f t="shared" si="7921"/>
        <v>3.644531229734965</v>
      </c>
      <c r="AT347" s="239">
        <f t="shared" si="7921"/>
        <v>2.3107177838294217</v>
      </c>
      <c r="AU347" s="13">
        <f t="shared" si="7921"/>
        <v>1.8257013294754643</v>
      </c>
      <c r="AV347" s="13">
        <f t="shared" si="7921"/>
        <v>1.8483516483516484</v>
      </c>
      <c r="AW347" s="13">
        <f t="shared" si="7921"/>
        <v>1.4073426573426571</v>
      </c>
      <c r="AX347" s="13">
        <f t="shared" si="7921"/>
        <v>1.9814814814814814</v>
      </c>
      <c r="AY347" s="239">
        <f t="shared" si="7921"/>
        <v>1.7674215083614144</v>
      </c>
      <c r="AZ347" s="13">
        <f t="shared" si="7921"/>
        <v>1.386448087431694</v>
      </c>
      <c r="BA347" s="13">
        <f t="shared" si="7921"/>
        <v>1.0030864197530867</v>
      </c>
      <c r="BB347" s="13">
        <f t="shared" si="7921"/>
        <v>1.0769789397240381</v>
      </c>
      <c r="BC347" s="13">
        <f t="shared" si="7921"/>
        <v>0.55876731963688475</v>
      </c>
      <c r="BD347" s="239">
        <f t="shared" si="7921"/>
        <v>0.91904594261573713</v>
      </c>
      <c r="BE347" s="13">
        <f t="shared" si="7921"/>
        <v>0.68845026561641309</v>
      </c>
      <c r="BF347" s="13">
        <f t="shared" si="7921"/>
        <v>0.63848228043143296</v>
      </c>
      <c r="BG347" s="13">
        <f t="shared" si="7921"/>
        <v>0.69930069930069938</v>
      </c>
      <c r="BH347" s="13">
        <f t="shared" si="7921"/>
        <v>0.6919080459770115</v>
      </c>
      <c r="BI347" s="239">
        <f t="shared" si="7921"/>
        <v>0.68043312756257968</v>
      </c>
      <c r="BJ347" s="13">
        <f t="shared" si="7921"/>
        <v>0.59319726298475661</v>
      </c>
      <c r="BK347" s="13">
        <f t="shared" si="7921"/>
        <v>0.46155915720853224</v>
      </c>
      <c r="BL347" s="13">
        <f t="shared" si="7921"/>
        <v>0.36893175903589315</v>
      </c>
      <c r="BM347" s="13">
        <f t="shared" si="7921"/>
        <v>0.2969947296275921</v>
      </c>
      <c r="BN347" s="239">
        <f t="shared" si="7921"/>
        <v>0.41389585684334529</v>
      </c>
      <c r="BO347" s="13">
        <f t="shared" si="7921"/>
        <v>0.31876609428451053</v>
      </c>
      <c r="BP347" s="13">
        <f t="shared" si="7921"/>
        <v>0.28978946930720206</v>
      </c>
      <c r="BQ347" s="13">
        <f t="shared" si="7921"/>
        <v>0.24537273203755228</v>
      </c>
      <c r="BR347" s="13">
        <f t="shared" si="7921"/>
        <v>0.20001611272633579</v>
      </c>
      <c r="BS347" s="239">
        <f t="shared" si="7921"/>
        <v>0.26014014270915142</v>
      </c>
      <c r="BT347" s="13">
        <f t="shared" si="7921"/>
        <v>0.19904057126239438</v>
      </c>
      <c r="BU347" s="13">
        <f t="shared" si="7921"/>
        <v>0.20184241553471538</v>
      </c>
      <c r="BV347" s="13">
        <f t="shared" ref="BV347:DA347" si="7922">+BV346/BQ346-1</f>
        <v>0.20451087533184498</v>
      </c>
      <c r="BW347" s="13">
        <f t="shared" si="7922"/>
        <v>0.20660475099058484</v>
      </c>
      <c r="BX347" s="239">
        <f t="shared" si="7922"/>
        <v>0.20310827655424246</v>
      </c>
      <c r="BY347" s="13">
        <f t="shared" si="7922"/>
        <v>0.20585556272270611</v>
      </c>
      <c r="BZ347" s="13">
        <f t="shared" si="7922"/>
        <v>0.19694328702806541</v>
      </c>
      <c r="CA347" s="13">
        <f t="shared" si="7922"/>
        <v>0.19465712768226751</v>
      </c>
      <c r="CB347" s="13">
        <f t="shared" si="7922"/>
        <v>0.18645694190787854</v>
      </c>
      <c r="CC347" s="239">
        <f t="shared" si="7922"/>
        <v>0.19570217881858087</v>
      </c>
      <c r="CD347" s="13">
        <f t="shared" si="7922"/>
        <v>0.18261416729480451</v>
      </c>
      <c r="CE347" s="13">
        <f t="shared" si="7922"/>
        <v>0.18182296340196746</v>
      </c>
      <c r="CF347" s="13">
        <f t="shared" si="7922"/>
        <v>0.17574528050653626</v>
      </c>
      <c r="CG347" s="13">
        <f t="shared" si="7922"/>
        <v>0.17497597865802295</v>
      </c>
      <c r="CH347" s="239">
        <f t="shared" si="7922"/>
        <v>0.17867512862395141</v>
      </c>
      <c r="CI347" s="13">
        <f t="shared" si="7922"/>
        <v>0.1537813916973978</v>
      </c>
      <c r="CJ347" s="13">
        <f t="shared" si="7922"/>
        <v>0.14404619525472606</v>
      </c>
      <c r="CK347" s="13">
        <f t="shared" si="7922"/>
        <v>0.13435969973002182</v>
      </c>
      <c r="CL347" s="13">
        <f t="shared" si="7922"/>
        <v>0.12551552475530947</v>
      </c>
      <c r="CM347" s="239">
        <f t="shared" si="7922"/>
        <v>0.1390842900158471</v>
      </c>
      <c r="CN347" s="13">
        <f t="shared" si="7922"/>
        <v>0.12329899469480399</v>
      </c>
      <c r="CO347" s="13">
        <f t="shared" si="7922"/>
        <v>0.12101236877931476</v>
      </c>
      <c r="CP347" s="13">
        <f t="shared" si="7922"/>
        <v>0.11883382357023464</v>
      </c>
      <c r="CQ347" s="13">
        <f t="shared" si="7922"/>
        <v>0.1166005207923253</v>
      </c>
      <c r="CR347" s="239">
        <f t="shared" si="7922"/>
        <v>0.11987896450142377</v>
      </c>
      <c r="CS347" s="13">
        <f t="shared" si="7922"/>
        <v>0.11555829497436187</v>
      </c>
      <c r="CT347" s="13">
        <f t="shared" si="7922"/>
        <v>0.11453880525250182</v>
      </c>
      <c r="CU347" s="13">
        <f t="shared" si="7922"/>
        <v>0.11357101469213271</v>
      </c>
      <c r="CV347" s="13">
        <f t="shared" si="7922"/>
        <v>0.11251545056964418</v>
      </c>
      <c r="CW347" s="239">
        <f t="shared" si="7922"/>
        <v>0.11402234013681478</v>
      </c>
      <c r="CX347" s="13">
        <f t="shared" si="7922"/>
        <v>9.6640799035446978E-2</v>
      </c>
      <c r="CY347" s="13">
        <f t="shared" si="7922"/>
        <v>9.1285648115288831E-2</v>
      </c>
      <c r="CZ347" s="13">
        <f t="shared" si="7922"/>
        <v>8.6119366808659503E-2</v>
      </c>
      <c r="DA347" s="13">
        <f t="shared" si="7922"/>
        <v>8.107259388948318E-2</v>
      </c>
      <c r="DB347" s="239">
        <f t="shared" ref="DB347" si="7923">+DB346/CW346-1</f>
        <v>8.866460844033619E-2</v>
      </c>
    </row>
    <row r="348" spans="1:106">
      <c r="A348" s="117" t="s">
        <v>288</v>
      </c>
      <c r="F348" s="217"/>
      <c r="K348" s="217"/>
      <c r="P348" s="217"/>
      <c r="U348" s="217"/>
      <c r="Z348" s="217"/>
      <c r="AE348" s="217"/>
      <c r="AF348" s="119" t="s">
        <v>290</v>
      </c>
      <c r="AG348" s="13" t="e">
        <f>+AG346/AF346-1</f>
        <v>#DIV/0!</v>
      </c>
      <c r="AH348" s="13">
        <f>+AH346/AG346-1</f>
        <v>1.192592088888889</v>
      </c>
      <c r="AI348" s="13">
        <f>+AI346/AH346-1</f>
        <v>1.1638511592631042</v>
      </c>
      <c r="AJ348" s="235" t="s">
        <v>290</v>
      </c>
      <c r="AK348" s="119" t="s">
        <v>290</v>
      </c>
      <c r="AL348" s="13">
        <f>+AL346/AK346-1</f>
        <v>5.2525383728344197</v>
      </c>
      <c r="AM348" s="13">
        <f>+AM346/AL346-1</f>
        <v>-0.58045836326369693</v>
      </c>
      <c r="AN348" s="13">
        <f>+AN346/AM346-1</f>
        <v>0.21352346088452334</v>
      </c>
      <c r="AO348" s="235" t="s">
        <v>290</v>
      </c>
      <c r="AP348" s="119" t="s">
        <v>290</v>
      </c>
      <c r="AQ348" s="13">
        <f>+AQ346/AP346-1</f>
        <v>0.40513016930200685</v>
      </c>
      <c r="AR348" s="13">
        <f>+AR346/AQ346-1</f>
        <v>0.25714285714285712</v>
      </c>
      <c r="AS348" s="13">
        <f>+AS346/AR346-1</f>
        <v>0.22727272727272729</v>
      </c>
      <c r="AT348" s="235" t="s">
        <v>290</v>
      </c>
      <c r="AU348" s="119" t="s">
        <v>290</v>
      </c>
      <c r="AV348" s="13">
        <f>+AV346/AU346-1</f>
        <v>0.41639344262295075</v>
      </c>
      <c r="AW348" s="13">
        <f>+AW346/AV346-1</f>
        <v>6.25E-2</v>
      </c>
      <c r="AX348" s="13">
        <f>+AX346/AW346-1</f>
        <v>0.51997095134350046</v>
      </c>
      <c r="AY348" s="235" t="s">
        <v>290</v>
      </c>
      <c r="AZ348" s="119" t="s">
        <v>290</v>
      </c>
      <c r="BA348" s="13">
        <f>+BA346/AZ346-1</f>
        <v>0.18886242901630346</v>
      </c>
      <c r="BB348" s="13">
        <f>+BB346/BA346-1</f>
        <v>0.10169491525423724</v>
      </c>
      <c r="BC348" s="13">
        <f>+BC346/BB346-1</f>
        <v>0.14073426573426584</v>
      </c>
      <c r="BD348" s="235" t="s">
        <v>290</v>
      </c>
      <c r="BE348" s="13">
        <f>+BE346/BC346-1</f>
        <v>0.13008429118773956</v>
      </c>
      <c r="BF348" s="13">
        <f>+BF346/BE346-1</f>
        <v>0.15367924272423994</v>
      </c>
      <c r="BG348" s="13">
        <f>+BG346/BF346-1</f>
        <v>0.1425884565651816</v>
      </c>
      <c r="BH348" s="13">
        <f>+BH346/BG346-1</f>
        <v>0.13577160493827156</v>
      </c>
      <c r="BI348" s="235" t="s">
        <v>290</v>
      </c>
      <c r="BJ348" s="13">
        <f>+BJ346/BH346-1</f>
        <v>6.415192240703993E-2</v>
      </c>
      <c r="BK348" s="13">
        <f>+BK346/BJ346-1</f>
        <v>5.8356363559200153E-2</v>
      </c>
      <c r="BL348" s="13">
        <f>+BL346/BK346-1</f>
        <v>7.0176063682049206E-2</v>
      </c>
      <c r="BM348" s="13">
        <f>+BM346/BL346-1</f>
        <v>7.6087084649911985E-2</v>
      </c>
      <c r="BN348" s="235" t="s">
        <v>290</v>
      </c>
      <c r="BO348" s="13">
        <f>+BO346/BM346-1</f>
        <v>8.2014785704670023E-2</v>
      </c>
      <c r="BP348" s="13">
        <f>+BP346/BO346-1</f>
        <v>3.5101598690649771E-2</v>
      </c>
      <c r="BQ348" s="13">
        <f>+BQ346/BP346-1</f>
        <v>3.332219707514783E-2</v>
      </c>
      <c r="BR348" s="13">
        <f>+BR346/BQ346-1</f>
        <v>3.6895868246507257E-2</v>
      </c>
      <c r="BS348" s="235" t="s">
        <v>290</v>
      </c>
      <c r="BT348" s="13">
        <f>+BT346/BR346-1</f>
        <v>8.1135172275434986E-2</v>
      </c>
      <c r="BU348" s="13">
        <f>+BU346/BT346-1</f>
        <v>3.7520360453238144E-2</v>
      </c>
      <c r="BV348" s="13">
        <f>+BV346/BU346-1</f>
        <v>3.5616490157781344E-2</v>
      </c>
      <c r="BW348" s="13">
        <f>+BW346/BV346-1</f>
        <v>3.8698368384641135E-2</v>
      </c>
      <c r="BX348" s="235" t="s">
        <v>290</v>
      </c>
      <c r="BY348" s="13">
        <f>+BY346/BW346-1</f>
        <v>8.0463888836185271E-2</v>
      </c>
      <c r="BZ348" s="13">
        <f>+BZ346/BY346-1</f>
        <v>2.9852221932332723E-2</v>
      </c>
      <c r="CA348" s="13">
        <f>+CA346/BZ346-1</f>
        <v>3.3638464679635716E-2</v>
      </c>
      <c r="CB348" s="13">
        <f>+CB346/CA346-1</f>
        <v>3.1568691268970772E-2</v>
      </c>
      <c r="CC348" s="235" t="s">
        <v>290</v>
      </c>
      <c r="CD348" s="13">
        <f>+CD346/CB346-1</f>
        <v>7.696441147994304E-2</v>
      </c>
      <c r="CE348" s="13">
        <f>+CE346/CD346-1</f>
        <v>2.9163220303928927E-2</v>
      </c>
      <c r="CF348" s="13">
        <f>+CF346/CE346-1</f>
        <v>2.8322840418316897E-2</v>
      </c>
      <c r="CG348" s="13">
        <f>+CG346/CF346-1</f>
        <v>3.0893725598923671E-2</v>
      </c>
      <c r="CH348" s="235" t="s">
        <v>290</v>
      </c>
      <c r="CI348" s="13">
        <f>+CI346/CG346-1</f>
        <v>5.7537788053411143E-2</v>
      </c>
      <c r="CJ348" s="13">
        <f>+CJ346/CI346-1</f>
        <v>2.047950760642081E-2</v>
      </c>
      <c r="CK348" s="13">
        <f>+CK346/CJ346-1</f>
        <v>1.9616160012422057E-2</v>
      </c>
      <c r="CL348" s="13">
        <f>+CL346/CK346-1</f>
        <v>2.2856235822356297E-2</v>
      </c>
      <c r="CM348" s="235" t="s">
        <v>290</v>
      </c>
      <c r="CN348" s="13">
        <f>+CN346/CL346-1</f>
        <v>5.545512971082589E-2</v>
      </c>
      <c r="CO348" s="13">
        <f>+CO346/CN346-1</f>
        <v>1.840218456123055E-2</v>
      </c>
      <c r="CP348" s="13">
        <f>+CP346/CO346-1</f>
        <v>1.7634665461282895E-2</v>
      </c>
      <c r="CQ348" s="13">
        <f>+CQ346/CP346-1</f>
        <v>2.0814513785767819E-2</v>
      </c>
      <c r="CR348" s="235" t="s">
        <v>290</v>
      </c>
      <c r="CS348" s="13">
        <f>+CS346/CQ346-1</f>
        <v>5.4469976502133255E-2</v>
      </c>
      <c r="CT348" s="13">
        <f>+CT346/CS346-1</f>
        <v>1.7471484153589456E-2</v>
      </c>
      <c r="CU348" s="13">
        <f>+CU346/CT346-1</f>
        <v>1.6751019940376422E-2</v>
      </c>
      <c r="CV348" s="13">
        <f>+CV346/CU346-1</f>
        <v>1.984687439658539E-2</v>
      </c>
      <c r="CW348" s="235" t="s">
        <v>290</v>
      </c>
      <c r="CX348" s="13">
        <f>+CX346/CV346-1</f>
        <v>3.9423584632543029E-2</v>
      </c>
      <c r="CY348" s="13">
        <f>+CY346/CX346-1</f>
        <v>1.2502935327581621E-2</v>
      </c>
      <c r="CZ348" s="13">
        <f>+CZ346/CY346-1</f>
        <v>1.1937594787313932E-2</v>
      </c>
      <c r="DA348" s="13">
        <f>+DA346/CZ346-1</f>
        <v>1.5108043891670864E-2</v>
      </c>
      <c r="DB348" s="235" t="s">
        <v>290</v>
      </c>
    </row>
    <row r="349" spans="1:106">
      <c r="F349" s="217"/>
      <c r="K349" s="217"/>
      <c r="P349" s="217"/>
      <c r="U349" s="217"/>
      <c r="Z349" s="217"/>
      <c r="AE349" s="217"/>
      <c r="AJ349" s="217"/>
      <c r="AO349" s="217"/>
      <c r="AT349" s="217"/>
      <c r="AY349" s="217"/>
      <c r="BD349" s="217"/>
      <c r="BI349" s="217"/>
      <c r="BJ349" s="12">
        <v>287.61097241076476</v>
      </c>
      <c r="BK349" s="12">
        <v>310.0850784810786</v>
      </c>
      <c r="BL349" s="12">
        <v>332.65041744572204</v>
      </c>
      <c r="BM349" s="12">
        <v>355.11985904438814</v>
      </c>
      <c r="BN349" s="217">
        <v>1285.4663273819535</v>
      </c>
      <c r="BS349" s="217"/>
      <c r="BX349" s="217"/>
      <c r="CC349" s="217"/>
      <c r="CH349" s="217"/>
      <c r="CM349" s="217"/>
      <c r="CR349" s="217"/>
      <c r="CW349" s="217"/>
      <c r="DB349" s="217"/>
    </row>
    <row r="350" spans="1:106" s="128" customFormat="1">
      <c r="A350" s="128" t="s">
        <v>266</v>
      </c>
      <c r="F350" s="244"/>
      <c r="K350" s="244"/>
      <c r="P350" s="244"/>
      <c r="U350" s="244"/>
      <c r="Z350" s="244"/>
      <c r="AE350" s="244"/>
      <c r="AJ350" s="244"/>
      <c r="AO350" s="244"/>
      <c r="AT350" s="244"/>
      <c r="AY350" s="244"/>
      <c r="BD350" s="244"/>
      <c r="BI350" s="244"/>
      <c r="BN350" s="244"/>
      <c r="BS350" s="244"/>
      <c r="BX350" s="244"/>
      <c r="CC350" s="244"/>
      <c r="CH350" s="244"/>
      <c r="CM350" s="244"/>
      <c r="CR350" s="244"/>
      <c r="CW350" s="244"/>
      <c r="DB350" s="244"/>
    </row>
    <row r="351" spans="1:106" s="51" customFormat="1">
      <c r="A351" s="51" t="s">
        <v>330</v>
      </c>
      <c r="F351" s="233"/>
      <c r="K351" s="233"/>
      <c r="P351" s="233"/>
      <c r="U351" s="233"/>
      <c r="V351" s="51">
        <f>+$Z351/4</f>
        <v>26500</v>
      </c>
      <c r="W351" s="51">
        <f>+$Z351/4</f>
        <v>26500</v>
      </c>
      <c r="X351" s="51">
        <f>+$Z351/4</f>
        <v>26500</v>
      </c>
      <c r="Y351" s="51">
        <f>+$Z351/4</f>
        <v>26500</v>
      </c>
      <c r="Z351" s="233">
        <v>106000</v>
      </c>
      <c r="AA351" s="213">
        <f>+V351*(1+AA352)</f>
        <v>27295</v>
      </c>
      <c r="AB351" s="213">
        <f t="shared" ref="AB351" si="7924">+W351*(1+AB352)</f>
        <v>27295</v>
      </c>
      <c r="AC351" s="213">
        <f t="shared" ref="AC351" si="7925">+X351*(1+AC352)</f>
        <v>27295</v>
      </c>
      <c r="AD351" s="213">
        <f t="shared" ref="AD351" si="7926">+Y351*(1+AD352)</f>
        <v>27295</v>
      </c>
      <c r="AE351" s="234">
        <f>+AA351+AB351+AC351+AD351</f>
        <v>109180</v>
      </c>
      <c r="AF351" s="213">
        <f>+AA351*(1+AF352)</f>
        <v>28113.850000000002</v>
      </c>
      <c r="AG351" s="213">
        <f t="shared" ref="AG351" si="7927">+AB351*(1+AG352)</f>
        <v>28113.850000000002</v>
      </c>
      <c r="AH351" s="213">
        <f t="shared" ref="AH351" si="7928">+AC351*(1+AH352)</f>
        <v>28113.850000000002</v>
      </c>
      <c r="AI351" s="213">
        <f t="shared" ref="AI351" si="7929">+AD351*(1+AI352)</f>
        <v>28113.850000000002</v>
      </c>
      <c r="AJ351" s="234">
        <f>+AF351+AG351+AH351+AI351</f>
        <v>112455.40000000001</v>
      </c>
      <c r="AK351" s="213">
        <f>+AF351*(1+AK352)</f>
        <v>28957.265500000001</v>
      </c>
      <c r="AL351" s="213">
        <f t="shared" ref="AL351" si="7930">+AG351*(1+AL352)</f>
        <v>28957.265500000001</v>
      </c>
      <c r="AM351" s="213">
        <f t="shared" ref="AM351" si="7931">+AH351*(1+AM352)</f>
        <v>28957.265500000001</v>
      </c>
      <c r="AN351" s="213">
        <f t="shared" ref="AN351" si="7932">+AI351*(1+AN352)</f>
        <v>28957.265500000001</v>
      </c>
      <c r="AO351" s="234">
        <f>+AK351+AL351+AM351+AN351</f>
        <v>115829.06200000001</v>
      </c>
      <c r="AP351" s="213">
        <f>+AK351*(1+AP352)</f>
        <v>29825.983465000001</v>
      </c>
      <c r="AQ351" s="213">
        <f t="shared" ref="AQ351" si="7933">+AL351*(1+AQ352)</f>
        <v>29825.983465000001</v>
      </c>
      <c r="AR351" s="213">
        <f t="shared" ref="AR351" si="7934">+AM351*(1+AR352)</f>
        <v>29825.983465000001</v>
      </c>
      <c r="AS351" s="213">
        <f t="shared" ref="AS351" si="7935">+AN351*(1+AS352)</f>
        <v>29825.983465000001</v>
      </c>
      <c r="AT351" s="234">
        <f>+AP351+AQ351+AR351+AS351</f>
        <v>119303.93386</v>
      </c>
      <c r="AU351" s="213">
        <f>+AP351*(1+AU352)</f>
        <v>30720.762968950003</v>
      </c>
      <c r="AV351" s="213">
        <f t="shared" ref="AV351" si="7936">+AQ351*(1+AV352)</f>
        <v>30720.762968950003</v>
      </c>
      <c r="AW351" s="213">
        <f t="shared" ref="AW351" si="7937">+AR351*(1+AW352)</f>
        <v>30720.762968950003</v>
      </c>
      <c r="AX351" s="213">
        <f t="shared" ref="AX351" si="7938">+AS351*(1+AX352)</f>
        <v>30720.762968950003</v>
      </c>
      <c r="AY351" s="234">
        <f>+AU351+AV351+AW351+AX351</f>
        <v>122883.05187580001</v>
      </c>
      <c r="AZ351" s="213">
        <f>+AU351*(1+AZ352)</f>
        <v>31642.385858018504</v>
      </c>
      <c r="BA351" s="213">
        <f t="shared" ref="BA351" si="7939">+AV351*(1+BA352)</f>
        <v>31642.385858018504</v>
      </c>
      <c r="BB351" s="213">
        <f t="shared" ref="BB351" si="7940">+AW351*(1+BB352)</f>
        <v>31642.385858018504</v>
      </c>
      <c r="BC351" s="213">
        <f t="shared" ref="BC351" si="7941">+AX351*(1+BC352)</f>
        <v>31642.385858018504</v>
      </c>
      <c r="BD351" s="234">
        <f>+AZ351+BA351+BB351+BC351</f>
        <v>126569.54343207402</v>
      </c>
      <c r="BE351" s="213">
        <f>+AZ351*(1+BE352)</f>
        <v>32591.657433759061</v>
      </c>
      <c r="BF351" s="213">
        <f t="shared" ref="BF351" si="7942">+BA351*(1+BF352)</f>
        <v>32591.657433759061</v>
      </c>
      <c r="BG351" s="213">
        <f t="shared" ref="BG351" si="7943">+BB351*(1+BG352)</f>
        <v>32591.657433759061</v>
      </c>
      <c r="BH351" s="213">
        <f t="shared" ref="BH351" si="7944">+BC351*(1+BH352)</f>
        <v>32591.657433759061</v>
      </c>
      <c r="BI351" s="234">
        <f>+BE351+BF351+BG351+BH351</f>
        <v>130366.62973503624</v>
      </c>
      <c r="BJ351" s="213">
        <f>+BE351*(1+BJ352)</f>
        <v>33569.407156771835</v>
      </c>
      <c r="BK351" s="213">
        <f t="shared" ref="BK351" si="7945">+BF351*(1+BK352)</f>
        <v>33569.407156771835</v>
      </c>
      <c r="BL351" s="213">
        <f t="shared" ref="BL351" si="7946">+BG351*(1+BL352)</f>
        <v>33569.407156771835</v>
      </c>
      <c r="BM351" s="213">
        <f t="shared" ref="BM351" si="7947">+BH351*(1+BM352)</f>
        <v>33569.407156771835</v>
      </c>
      <c r="BN351" s="234">
        <f>+BJ351+BK351+BL351+BM351</f>
        <v>134277.62862708734</v>
      </c>
      <c r="BO351" s="213">
        <f>+BJ351*(1+BO352)</f>
        <v>34576.489371474992</v>
      </c>
      <c r="BP351" s="213">
        <f t="shared" ref="BP351" si="7948">+BK351*(1+BP352)</f>
        <v>34576.489371474992</v>
      </c>
      <c r="BQ351" s="213">
        <f t="shared" ref="BQ351" si="7949">+BL351*(1+BQ352)</f>
        <v>34576.489371474992</v>
      </c>
      <c r="BR351" s="213">
        <f t="shared" ref="BR351" si="7950">+BM351*(1+BR352)</f>
        <v>34576.489371474992</v>
      </c>
      <c r="BS351" s="234">
        <f>+BO351+BP351+BQ351+BR351</f>
        <v>138305.95748589997</v>
      </c>
      <c r="BT351" s="213">
        <f>+BO351*(1+BT352)</f>
        <v>35613.784052619245</v>
      </c>
      <c r="BU351" s="213">
        <f t="shared" ref="BU351" si="7951">+BP351*(1+BU352)</f>
        <v>35613.784052619245</v>
      </c>
      <c r="BV351" s="213">
        <f t="shared" ref="BV351" si="7952">+BQ351*(1+BV352)</f>
        <v>35613.784052619245</v>
      </c>
      <c r="BW351" s="213">
        <f t="shared" ref="BW351" si="7953">+BR351*(1+BW352)</f>
        <v>35613.784052619245</v>
      </c>
      <c r="BX351" s="234">
        <f>+BT351+BU351+BV351+BW351</f>
        <v>142455.13621047698</v>
      </c>
      <c r="BY351" s="213">
        <f>+BT351*(1+BY352)</f>
        <v>36682.197574197824</v>
      </c>
      <c r="BZ351" s="213">
        <f t="shared" ref="BZ351" si="7954">+BU351*(1+BZ352)</f>
        <v>36682.197574197824</v>
      </c>
      <c r="CA351" s="213">
        <f t="shared" ref="CA351" si="7955">+BV351*(1+CA352)</f>
        <v>36682.197574197824</v>
      </c>
      <c r="CB351" s="213">
        <f t="shared" ref="CB351" si="7956">+BW351*(1+CB352)</f>
        <v>36682.197574197824</v>
      </c>
      <c r="CC351" s="234">
        <f>+BY351+BZ351+CA351+CB351</f>
        <v>146728.7902967913</v>
      </c>
      <c r="CD351" s="213">
        <f>+BY351*(1+CD352)</f>
        <v>37782.663501423762</v>
      </c>
      <c r="CE351" s="213">
        <f t="shared" ref="CE351" si="7957">+BZ351*(1+CE352)</f>
        <v>37782.663501423762</v>
      </c>
      <c r="CF351" s="213">
        <f t="shared" ref="CF351" si="7958">+CA351*(1+CF352)</f>
        <v>37782.663501423762</v>
      </c>
      <c r="CG351" s="213">
        <f t="shared" ref="CG351" si="7959">+CB351*(1+CG352)</f>
        <v>37782.663501423762</v>
      </c>
      <c r="CH351" s="234">
        <f>+CD351+CE351+CF351+CG351</f>
        <v>151130.65400569505</v>
      </c>
      <c r="CI351" s="213">
        <f>+CD351*(1+CI352)</f>
        <v>38916.143406466479</v>
      </c>
      <c r="CJ351" s="213">
        <f t="shared" ref="CJ351" si="7960">+CE351*(1+CJ352)</f>
        <v>38916.143406466479</v>
      </c>
      <c r="CK351" s="213">
        <f t="shared" ref="CK351" si="7961">+CF351*(1+CK352)</f>
        <v>38916.143406466479</v>
      </c>
      <c r="CL351" s="213">
        <f t="shared" ref="CL351" si="7962">+CG351*(1+CL352)</f>
        <v>38916.143406466479</v>
      </c>
      <c r="CM351" s="234">
        <f>+CI351+CJ351+CK351+CL351</f>
        <v>155664.57362586592</v>
      </c>
      <c r="CN351" s="213">
        <f>+CI351*(1+CN352)</f>
        <v>40083.627708660475</v>
      </c>
      <c r="CO351" s="213">
        <f t="shared" ref="CO351" si="7963">+CJ351*(1+CO352)</f>
        <v>40083.627708660475</v>
      </c>
      <c r="CP351" s="213">
        <f t="shared" ref="CP351" si="7964">+CK351*(1+CP352)</f>
        <v>40083.627708660475</v>
      </c>
      <c r="CQ351" s="213">
        <f t="shared" ref="CQ351" si="7965">+CL351*(1+CQ352)</f>
        <v>40083.627708660475</v>
      </c>
      <c r="CR351" s="234">
        <f>+CN351+CO351+CP351+CQ351</f>
        <v>160334.5108346419</v>
      </c>
      <c r="CS351" s="213">
        <f>+CN351*(1+CS352)</f>
        <v>41286.136539920291</v>
      </c>
      <c r="CT351" s="213">
        <f t="shared" ref="CT351" si="7966">+CO351*(1+CT352)</f>
        <v>41286.136539920291</v>
      </c>
      <c r="CU351" s="213">
        <f t="shared" ref="CU351" si="7967">+CP351*(1+CU352)</f>
        <v>41286.136539920291</v>
      </c>
      <c r="CV351" s="213">
        <f t="shared" ref="CV351" si="7968">+CQ351*(1+CV352)</f>
        <v>41286.136539920291</v>
      </c>
      <c r="CW351" s="234">
        <f>+CS351+CT351+CU351+CV351</f>
        <v>165144.54615968117</v>
      </c>
      <c r="CX351" s="213">
        <f>+CS351*(1+CX352)</f>
        <v>42524.720636117898</v>
      </c>
      <c r="CY351" s="213">
        <f t="shared" ref="CY351" si="7969">+CT351*(1+CY352)</f>
        <v>42524.720636117898</v>
      </c>
      <c r="CZ351" s="213">
        <f t="shared" ref="CZ351" si="7970">+CU351*(1+CZ352)</f>
        <v>42524.720636117898</v>
      </c>
      <c r="DA351" s="213">
        <f t="shared" ref="DA351" si="7971">+CV351*(1+DA352)</f>
        <v>42524.720636117898</v>
      </c>
      <c r="DB351" s="234">
        <f>+CX351+CY351+CZ351+DA351</f>
        <v>170098.88254447159</v>
      </c>
    </row>
    <row r="352" spans="1:106">
      <c r="A352" s="117" t="s">
        <v>281</v>
      </c>
      <c r="F352" s="217"/>
      <c r="K352" s="217"/>
      <c r="P352" s="217"/>
      <c r="U352" s="217"/>
      <c r="V352" s="119" t="s">
        <v>290</v>
      </c>
      <c r="Z352" s="217"/>
      <c r="AA352" s="118">
        <v>0.03</v>
      </c>
      <c r="AB352" s="118">
        <v>0.03</v>
      </c>
      <c r="AC352" s="118">
        <v>0.03</v>
      </c>
      <c r="AD352" s="118">
        <v>0.03</v>
      </c>
      <c r="AE352" s="239">
        <f>+AE351/Z351-1</f>
        <v>3.0000000000000027E-2</v>
      </c>
      <c r="AF352" s="118">
        <v>0.03</v>
      </c>
      <c r="AG352" s="118">
        <v>0.03</v>
      </c>
      <c r="AH352" s="118">
        <v>0.03</v>
      </c>
      <c r="AI352" s="118">
        <v>0.03</v>
      </c>
      <c r="AJ352" s="239">
        <f>+AJ351/AE351-1</f>
        <v>3.0000000000000027E-2</v>
      </c>
      <c r="AK352" s="118">
        <v>0.03</v>
      </c>
      <c r="AL352" s="118">
        <v>0.03</v>
      </c>
      <c r="AM352" s="118">
        <v>0.03</v>
      </c>
      <c r="AN352" s="118">
        <v>0.03</v>
      </c>
      <c r="AO352" s="239">
        <f>+AO351/AJ351-1</f>
        <v>3.0000000000000027E-2</v>
      </c>
      <c r="AP352" s="118">
        <v>0.03</v>
      </c>
      <c r="AQ352" s="118">
        <v>0.03</v>
      </c>
      <c r="AR352" s="118">
        <v>0.03</v>
      </c>
      <c r="AS352" s="118">
        <v>0.03</v>
      </c>
      <c r="AT352" s="239">
        <f>+AT351/AO351-1</f>
        <v>3.0000000000000027E-2</v>
      </c>
      <c r="AU352" s="118">
        <v>0.03</v>
      </c>
      <c r="AV352" s="118">
        <v>0.03</v>
      </c>
      <c r="AW352" s="118">
        <v>0.03</v>
      </c>
      <c r="AX352" s="118">
        <v>0.03</v>
      </c>
      <c r="AY352" s="239">
        <f>+AY351/AT351-1</f>
        <v>3.0000000000000027E-2</v>
      </c>
      <c r="AZ352" s="118">
        <v>0.03</v>
      </c>
      <c r="BA352" s="118">
        <v>0.03</v>
      </c>
      <c r="BB352" s="118">
        <v>0.03</v>
      </c>
      <c r="BC352" s="118">
        <v>0.03</v>
      </c>
      <c r="BD352" s="239">
        <f>+BD351/AY351-1</f>
        <v>3.0000000000000027E-2</v>
      </c>
      <c r="BE352" s="118">
        <v>0.03</v>
      </c>
      <c r="BF352" s="118">
        <v>0.03</v>
      </c>
      <c r="BG352" s="118">
        <v>0.03</v>
      </c>
      <c r="BH352" s="118">
        <v>0.03</v>
      </c>
      <c r="BI352" s="239">
        <f>+BI351/BD351-1</f>
        <v>3.0000000000000027E-2</v>
      </c>
      <c r="BJ352" s="118">
        <v>0.03</v>
      </c>
      <c r="BK352" s="118">
        <v>0.03</v>
      </c>
      <c r="BL352" s="118">
        <v>0.03</v>
      </c>
      <c r="BM352" s="118">
        <v>0.03</v>
      </c>
      <c r="BN352" s="239">
        <f>+BN351/BI351-1</f>
        <v>3.0000000000000027E-2</v>
      </c>
      <c r="BO352" s="118">
        <v>0.03</v>
      </c>
      <c r="BP352" s="118">
        <v>0.03</v>
      </c>
      <c r="BQ352" s="118">
        <v>0.03</v>
      </c>
      <c r="BR352" s="118">
        <v>0.03</v>
      </c>
      <c r="BS352" s="239">
        <f>+BS351/BN351-1</f>
        <v>3.0000000000000027E-2</v>
      </c>
      <c r="BT352" s="118">
        <v>0.03</v>
      </c>
      <c r="BU352" s="118">
        <v>0.03</v>
      </c>
      <c r="BV352" s="118">
        <v>0.03</v>
      </c>
      <c r="BW352" s="118">
        <v>0.03</v>
      </c>
      <c r="BX352" s="239">
        <f>+BX351/BS351-1</f>
        <v>3.0000000000000027E-2</v>
      </c>
      <c r="BY352" s="118">
        <v>0.03</v>
      </c>
      <c r="BZ352" s="118">
        <v>0.03</v>
      </c>
      <c r="CA352" s="118">
        <v>0.03</v>
      </c>
      <c r="CB352" s="118">
        <v>0.03</v>
      </c>
      <c r="CC352" s="239">
        <f>+CC351/BX351-1</f>
        <v>3.0000000000000027E-2</v>
      </c>
      <c r="CD352" s="118">
        <v>0.03</v>
      </c>
      <c r="CE352" s="118">
        <v>0.03</v>
      </c>
      <c r="CF352" s="118">
        <v>0.03</v>
      </c>
      <c r="CG352" s="118">
        <v>0.03</v>
      </c>
      <c r="CH352" s="239">
        <f>+CH351/CC351-1</f>
        <v>3.0000000000000027E-2</v>
      </c>
      <c r="CI352" s="118">
        <v>0.03</v>
      </c>
      <c r="CJ352" s="118">
        <v>0.03</v>
      </c>
      <c r="CK352" s="118">
        <v>0.03</v>
      </c>
      <c r="CL352" s="118">
        <v>0.03</v>
      </c>
      <c r="CM352" s="239">
        <f>+CM351/CH351-1</f>
        <v>3.0000000000000027E-2</v>
      </c>
      <c r="CN352" s="118">
        <v>0.03</v>
      </c>
      <c r="CO352" s="118">
        <v>0.03</v>
      </c>
      <c r="CP352" s="118">
        <v>0.03</v>
      </c>
      <c r="CQ352" s="118">
        <v>0.03</v>
      </c>
      <c r="CR352" s="239">
        <f>+CR351/CM351-1</f>
        <v>3.0000000000000027E-2</v>
      </c>
      <c r="CS352" s="118">
        <v>0.03</v>
      </c>
      <c r="CT352" s="118">
        <v>0.03</v>
      </c>
      <c r="CU352" s="118">
        <v>0.03</v>
      </c>
      <c r="CV352" s="118">
        <v>0.03</v>
      </c>
      <c r="CW352" s="239">
        <f>+CW351/CR351-1</f>
        <v>3.0000000000000027E-2</v>
      </c>
      <c r="CX352" s="118">
        <v>0.03</v>
      </c>
      <c r="CY352" s="118">
        <v>0.03</v>
      </c>
      <c r="CZ352" s="118">
        <v>0.03</v>
      </c>
      <c r="DA352" s="118">
        <v>0.03</v>
      </c>
      <c r="DB352" s="239">
        <f>+DB351/CW351-1</f>
        <v>3.0000000000000027E-2</v>
      </c>
    </row>
    <row r="353" spans="1:106" s="51" customFormat="1">
      <c r="A353" s="51" t="s">
        <v>331</v>
      </c>
      <c r="F353" s="233"/>
      <c r="K353" s="233"/>
      <c r="P353" s="233"/>
      <c r="U353" s="233"/>
      <c r="V353" s="213">
        <f>+V351*V354</f>
        <v>106000</v>
      </c>
      <c r="W353" s="213">
        <f t="shared" ref="W353" si="7972">+W351*W354</f>
        <v>106000</v>
      </c>
      <c r="X353" s="213">
        <f t="shared" ref="X353" si="7973">+X351*X354</f>
        <v>106000</v>
      </c>
      <c r="Y353" s="213">
        <f t="shared" ref="Y353" si="7974">+Y351*Y354</f>
        <v>106000</v>
      </c>
      <c r="Z353" s="234">
        <f>+V353+W353+X353+Y353</f>
        <v>424000</v>
      </c>
      <c r="AA353" s="213">
        <f>+AA351*AA354</f>
        <v>109180</v>
      </c>
      <c r="AB353" s="213">
        <f t="shared" ref="AB353" si="7975">+AB351*AB354</f>
        <v>109180</v>
      </c>
      <c r="AC353" s="213">
        <f t="shared" ref="AC353" si="7976">+AC351*AC354</f>
        <v>109180</v>
      </c>
      <c r="AD353" s="213">
        <f t="shared" ref="AD353" si="7977">+AD351*AD354</f>
        <v>109180</v>
      </c>
      <c r="AE353" s="234">
        <f>+AA353+AB353+AC353+AD353</f>
        <v>436720</v>
      </c>
      <c r="AF353" s="213">
        <f>+AF351*AF354</f>
        <v>112455.40000000001</v>
      </c>
      <c r="AG353" s="213">
        <f t="shared" ref="AG353" si="7978">+AG351*AG354</f>
        <v>112455.40000000001</v>
      </c>
      <c r="AH353" s="213">
        <f t="shared" ref="AH353" si="7979">+AH351*AH354</f>
        <v>112455.40000000001</v>
      </c>
      <c r="AI353" s="213">
        <f t="shared" ref="AI353" si="7980">+AI351*AI354</f>
        <v>112455.40000000001</v>
      </c>
      <c r="AJ353" s="234">
        <f>+AF353+AG353+AH353+AI353</f>
        <v>449821.60000000003</v>
      </c>
      <c r="AK353" s="213">
        <f>+AK351*AK354</f>
        <v>115829.06200000001</v>
      </c>
      <c r="AL353" s="213">
        <f t="shared" ref="AL353" si="7981">+AL351*AL354</f>
        <v>115829.06200000001</v>
      </c>
      <c r="AM353" s="213">
        <f t="shared" ref="AM353" si="7982">+AM351*AM354</f>
        <v>115829.06200000001</v>
      </c>
      <c r="AN353" s="213">
        <f t="shared" ref="AN353" si="7983">+AN351*AN354</f>
        <v>115829.06200000001</v>
      </c>
      <c r="AO353" s="234">
        <f>+AK353+AL353+AM353+AN353</f>
        <v>463316.24800000002</v>
      </c>
      <c r="AP353" s="213">
        <f>+AP351*AP354</f>
        <v>119303.93386</v>
      </c>
      <c r="AQ353" s="213">
        <f t="shared" ref="AQ353" si="7984">+AQ351*AQ354</f>
        <v>119303.93386</v>
      </c>
      <c r="AR353" s="213">
        <f t="shared" ref="AR353" si="7985">+AR351*AR354</f>
        <v>119303.93386</v>
      </c>
      <c r="AS353" s="213">
        <f t="shared" ref="AS353" si="7986">+AS351*AS354</f>
        <v>119303.93386</v>
      </c>
      <c r="AT353" s="234">
        <f>+AP353+AQ353+AR353+AS353</f>
        <v>477215.73544000002</v>
      </c>
      <c r="AU353" s="213">
        <f>+AU351*AU354</f>
        <v>122883.05187580001</v>
      </c>
      <c r="AV353" s="213">
        <f t="shared" ref="AV353" si="7987">+AV351*AV354</f>
        <v>122883.05187580001</v>
      </c>
      <c r="AW353" s="213">
        <f t="shared" ref="AW353" si="7988">+AW351*AW354</f>
        <v>122883.05187580001</v>
      </c>
      <c r="AX353" s="213">
        <f t="shared" ref="AX353" si="7989">+AX351*AX354</f>
        <v>122883.05187580001</v>
      </c>
      <c r="AY353" s="234">
        <f>+AU353+AV353+AW353+AX353</f>
        <v>491532.20750320004</v>
      </c>
      <c r="AZ353" s="213">
        <f>+AZ351*AZ354</f>
        <v>126569.54343207402</v>
      </c>
      <c r="BA353" s="213">
        <f t="shared" ref="BA353" si="7990">+BA351*BA354</f>
        <v>126569.54343207402</v>
      </c>
      <c r="BB353" s="213">
        <f t="shared" ref="BB353" si="7991">+BB351*BB354</f>
        <v>126569.54343207402</v>
      </c>
      <c r="BC353" s="213">
        <f t="shared" ref="BC353" si="7992">+BC351*BC354</f>
        <v>126569.54343207402</v>
      </c>
      <c r="BD353" s="234">
        <f>+AZ353+BA353+BB353+BC353</f>
        <v>506278.17372829607</v>
      </c>
      <c r="BE353" s="213">
        <f>+BE351*BE354</f>
        <v>130366.62973503624</v>
      </c>
      <c r="BF353" s="213">
        <f t="shared" ref="BF353" si="7993">+BF351*BF354</f>
        <v>130366.62973503624</v>
      </c>
      <c r="BG353" s="213">
        <f t="shared" ref="BG353" si="7994">+BG351*BG354</f>
        <v>130366.62973503624</v>
      </c>
      <c r="BH353" s="213">
        <f t="shared" ref="BH353" si="7995">+BH351*BH354</f>
        <v>130366.62973503624</v>
      </c>
      <c r="BI353" s="234">
        <f>+BE353+BF353+BG353+BH353</f>
        <v>521466.51894014498</v>
      </c>
      <c r="BJ353" s="213">
        <f>+BJ351*BJ354</f>
        <v>134277.62862708734</v>
      </c>
      <c r="BK353" s="213">
        <f t="shared" ref="BK353" si="7996">+BK351*BK354</f>
        <v>134277.62862708734</v>
      </c>
      <c r="BL353" s="213">
        <f t="shared" ref="BL353" si="7997">+BL351*BL354</f>
        <v>134277.62862708734</v>
      </c>
      <c r="BM353" s="213">
        <f t="shared" ref="BM353" si="7998">+BM351*BM354</f>
        <v>134277.62862708734</v>
      </c>
      <c r="BN353" s="234">
        <f>+BJ353+BK353+BL353+BM353</f>
        <v>537110.51450834936</v>
      </c>
      <c r="BO353" s="213">
        <f>+BO351*BO354</f>
        <v>138305.95748589997</v>
      </c>
      <c r="BP353" s="213">
        <f t="shared" ref="BP353" si="7999">+BP351*BP354</f>
        <v>138305.95748589997</v>
      </c>
      <c r="BQ353" s="213">
        <f t="shared" ref="BQ353" si="8000">+BQ351*BQ354</f>
        <v>138305.95748589997</v>
      </c>
      <c r="BR353" s="213">
        <f t="shared" ref="BR353" si="8001">+BR351*BR354</f>
        <v>138305.95748589997</v>
      </c>
      <c r="BS353" s="234">
        <f>+BO353+BP353+BQ353+BR353</f>
        <v>553223.82994359988</v>
      </c>
      <c r="BT353" s="213">
        <f>+BT351*BT354</f>
        <v>142455.13621047698</v>
      </c>
      <c r="BU353" s="213">
        <f t="shared" ref="BU353" si="8002">+BU351*BU354</f>
        <v>142455.13621047698</v>
      </c>
      <c r="BV353" s="213">
        <f t="shared" ref="BV353" si="8003">+BV351*BV354</f>
        <v>142455.13621047698</v>
      </c>
      <c r="BW353" s="213">
        <f t="shared" ref="BW353" si="8004">+BW351*BW354</f>
        <v>142455.13621047698</v>
      </c>
      <c r="BX353" s="234">
        <f>+BT353+BU353+BV353+BW353</f>
        <v>569820.54484190792</v>
      </c>
      <c r="BY353" s="213">
        <f>+BY351*BY354</f>
        <v>146728.7902967913</v>
      </c>
      <c r="BZ353" s="213">
        <f t="shared" ref="BZ353" si="8005">+BZ351*BZ354</f>
        <v>146728.7902967913</v>
      </c>
      <c r="CA353" s="213">
        <f t="shared" ref="CA353" si="8006">+CA351*CA354</f>
        <v>146728.7902967913</v>
      </c>
      <c r="CB353" s="213">
        <f t="shared" ref="CB353" si="8007">+CB351*CB354</f>
        <v>146728.7902967913</v>
      </c>
      <c r="CC353" s="234">
        <f>+BY353+BZ353+CA353+CB353</f>
        <v>586915.16118716518</v>
      </c>
      <c r="CD353" s="213">
        <f>+CD351*CD354</f>
        <v>151130.65400569505</v>
      </c>
      <c r="CE353" s="213">
        <f t="shared" ref="CE353" si="8008">+CE351*CE354</f>
        <v>151130.65400569505</v>
      </c>
      <c r="CF353" s="213">
        <f t="shared" ref="CF353" si="8009">+CF351*CF354</f>
        <v>151130.65400569505</v>
      </c>
      <c r="CG353" s="213">
        <f t="shared" ref="CG353" si="8010">+CG351*CG354</f>
        <v>151130.65400569505</v>
      </c>
      <c r="CH353" s="234">
        <f>+CD353+CE353+CF353+CG353</f>
        <v>604522.61602278019</v>
      </c>
      <c r="CI353" s="213">
        <f>+CI351*CI354</f>
        <v>155664.57362586592</v>
      </c>
      <c r="CJ353" s="213">
        <f t="shared" ref="CJ353" si="8011">+CJ351*CJ354</f>
        <v>155664.57362586592</v>
      </c>
      <c r="CK353" s="213">
        <f t="shared" ref="CK353" si="8012">+CK351*CK354</f>
        <v>155664.57362586592</v>
      </c>
      <c r="CL353" s="213">
        <f t="shared" ref="CL353" si="8013">+CL351*CL354</f>
        <v>155664.57362586592</v>
      </c>
      <c r="CM353" s="234">
        <f>+CI353+CJ353+CK353+CL353</f>
        <v>622658.29450346367</v>
      </c>
      <c r="CN353" s="213">
        <f>+CN351*CN354</f>
        <v>160334.5108346419</v>
      </c>
      <c r="CO353" s="213">
        <f t="shared" ref="CO353" si="8014">+CO351*CO354</f>
        <v>160334.5108346419</v>
      </c>
      <c r="CP353" s="213">
        <f t="shared" ref="CP353" si="8015">+CP351*CP354</f>
        <v>160334.5108346419</v>
      </c>
      <c r="CQ353" s="213">
        <f t="shared" ref="CQ353" si="8016">+CQ351*CQ354</f>
        <v>160334.5108346419</v>
      </c>
      <c r="CR353" s="234">
        <f>+CN353+CO353+CP353+CQ353</f>
        <v>641338.0433385676</v>
      </c>
      <c r="CS353" s="213">
        <f>+CS351*CS354</f>
        <v>165144.54615968117</v>
      </c>
      <c r="CT353" s="213">
        <f t="shared" ref="CT353" si="8017">+CT351*CT354</f>
        <v>165144.54615968117</v>
      </c>
      <c r="CU353" s="213">
        <f t="shared" ref="CU353" si="8018">+CU351*CU354</f>
        <v>165144.54615968117</v>
      </c>
      <c r="CV353" s="213">
        <f t="shared" ref="CV353" si="8019">+CV351*CV354</f>
        <v>165144.54615968117</v>
      </c>
      <c r="CW353" s="234">
        <f>+CS353+CT353+CU353+CV353</f>
        <v>660578.18463872466</v>
      </c>
      <c r="CX353" s="213">
        <f>+CX351*CX354</f>
        <v>170098.88254447159</v>
      </c>
      <c r="CY353" s="213">
        <f t="shared" ref="CY353" si="8020">+CY351*CY354</f>
        <v>170098.88254447159</v>
      </c>
      <c r="CZ353" s="213">
        <f t="shared" ref="CZ353" si="8021">+CZ351*CZ354</f>
        <v>170098.88254447159</v>
      </c>
      <c r="DA353" s="213">
        <f t="shared" ref="DA353" si="8022">+DA351*DA354</f>
        <v>170098.88254447159</v>
      </c>
      <c r="DB353" s="234">
        <f>+CX353+CY353+CZ353+DA353</f>
        <v>680395.53017788636</v>
      </c>
    </row>
    <row r="354" spans="1:106">
      <c r="A354" s="117" t="s">
        <v>311</v>
      </c>
      <c r="F354" s="217"/>
      <c r="K354" s="217"/>
      <c r="P354" s="217"/>
      <c r="U354" s="217"/>
      <c r="V354" s="120">
        <v>4</v>
      </c>
      <c r="W354" s="120">
        <v>4</v>
      </c>
      <c r="X354" s="120">
        <v>4</v>
      </c>
      <c r="Y354" s="120">
        <v>4</v>
      </c>
      <c r="Z354" s="250">
        <f>+Z353/Z351</f>
        <v>4</v>
      </c>
      <c r="AA354" s="120">
        <v>4</v>
      </c>
      <c r="AB354" s="120">
        <v>4</v>
      </c>
      <c r="AC354" s="120">
        <v>4</v>
      </c>
      <c r="AD354" s="120">
        <v>4</v>
      </c>
      <c r="AE354" s="250">
        <f>+AE353/AE351</f>
        <v>4</v>
      </c>
      <c r="AF354" s="120">
        <v>4</v>
      </c>
      <c r="AG354" s="120">
        <v>4</v>
      </c>
      <c r="AH354" s="120">
        <v>4</v>
      </c>
      <c r="AI354" s="120">
        <v>4</v>
      </c>
      <c r="AJ354" s="250">
        <f>+AJ353/AJ351</f>
        <v>4</v>
      </c>
      <c r="AK354" s="120">
        <v>4</v>
      </c>
      <c r="AL354" s="120">
        <v>4</v>
      </c>
      <c r="AM354" s="120">
        <v>4</v>
      </c>
      <c r="AN354" s="120">
        <v>4</v>
      </c>
      <c r="AO354" s="250">
        <f>+AO353/AO351</f>
        <v>4</v>
      </c>
      <c r="AP354" s="120">
        <v>4</v>
      </c>
      <c r="AQ354" s="120">
        <v>4</v>
      </c>
      <c r="AR354" s="120">
        <v>4</v>
      </c>
      <c r="AS354" s="120">
        <v>4</v>
      </c>
      <c r="AT354" s="250">
        <f>+AT353/AT351</f>
        <v>4</v>
      </c>
      <c r="AU354" s="120">
        <v>4</v>
      </c>
      <c r="AV354" s="120">
        <v>4</v>
      </c>
      <c r="AW354" s="120">
        <v>4</v>
      </c>
      <c r="AX354" s="120">
        <v>4</v>
      </c>
      <c r="AY354" s="250">
        <f>+AY353/AY351</f>
        <v>4</v>
      </c>
      <c r="AZ354" s="120">
        <v>4</v>
      </c>
      <c r="BA354" s="120">
        <v>4</v>
      </c>
      <c r="BB354" s="120">
        <v>4</v>
      </c>
      <c r="BC354" s="120">
        <v>4</v>
      </c>
      <c r="BD354" s="250">
        <f>+BD353/BD351</f>
        <v>4</v>
      </c>
      <c r="BE354" s="120">
        <v>4</v>
      </c>
      <c r="BF354" s="120">
        <v>4</v>
      </c>
      <c r="BG354" s="120">
        <v>4</v>
      </c>
      <c r="BH354" s="120">
        <v>4</v>
      </c>
      <c r="BI354" s="250">
        <f>+BI353/BI351</f>
        <v>4</v>
      </c>
      <c r="BJ354" s="120">
        <v>4</v>
      </c>
      <c r="BK354" s="120">
        <v>4</v>
      </c>
      <c r="BL354" s="120">
        <v>4</v>
      </c>
      <c r="BM354" s="120">
        <v>4</v>
      </c>
      <c r="BN354" s="250">
        <f>+BN353/BN351</f>
        <v>4</v>
      </c>
      <c r="BO354" s="120">
        <v>4</v>
      </c>
      <c r="BP354" s="120">
        <v>4</v>
      </c>
      <c r="BQ354" s="120">
        <v>4</v>
      </c>
      <c r="BR354" s="120">
        <v>4</v>
      </c>
      <c r="BS354" s="250">
        <f>+BS353/BS351</f>
        <v>4</v>
      </c>
      <c r="BT354" s="120">
        <v>4</v>
      </c>
      <c r="BU354" s="120">
        <v>4</v>
      </c>
      <c r="BV354" s="120">
        <v>4</v>
      </c>
      <c r="BW354" s="120">
        <v>4</v>
      </c>
      <c r="BX354" s="250">
        <f>+BX353/BX351</f>
        <v>4</v>
      </c>
      <c r="BY354" s="120">
        <v>4</v>
      </c>
      <c r="BZ354" s="120">
        <v>4</v>
      </c>
      <c r="CA354" s="120">
        <v>4</v>
      </c>
      <c r="CB354" s="120">
        <v>4</v>
      </c>
      <c r="CC354" s="250">
        <f>+CC353/CC351</f>
        <v>4</v>
      </c>
      <c r="CD354" s="120">
        <v>4</v>
      </c>
      <c r="CE354" s="120">
        <v>4</v>
      </c>
      <c r="CF354" s="120">
        <v>4</v>
      </c>
      <c r="CG354" s="120">
        <v>4</v>
      </c>
      <c r="CH354" s="250">
        <f>+CH353/CH351</f>
        <v>4</v>
      </c>
      <c r="CI354" s="120">
        <v>4</v>
      </c>
      <c r="CJ354" s="120">
        <v>4</v>
      </c>
      <c r="CK354" s="120">
        <v>4</v>
      </c>
      <c r="CL354" s="120">
        <v>4</v>
      </c>
      <c r="CM354" s="250">
        <f>+CM353/CM351</f>
        <v>4</v>
      </c>
      <c r="CN354" s="120">
        <v>4</v>
      </c>
      <c r="CO354" s="120">
        <v>4</v>
      </c>
      <c r="CP354" s="120">
        <v>4</v>
      </c>
      <c r="CQ354" s="120">
        <v>4</v>
      </c>
      <c r="CR354" s="250">
        <f>+CR353/CR351</f>
        <v>4</v>
      </c>
      <c r="CS354" s="120">
        <v>4</v>
      </c>
      <c r="CT354" s="120">
        <v>4</v>
      </c>
      <c r="CU354" s="120">
        <v>4</v>
      </c>
      <c r="CV354" s="120">
        <v>4</v>
      </c>
      <c r="CW354" s="250">
        <f>+CW353/CW351</f>
        <v>4</v>
      </c>
      <c r="CX354" s="120">
        <v>4</v>
      </c>
      <c r="CY354" s="120">
        <v>4</v>
      </c>
      <c r="CZ354" s="120">
        <v>4</v>
      </c>
      <c r="DA354" s="120">
        <v>4</v>
      </c>
      <c r="DB354" s="250">
        <f>+DB353/DB351</f>
        <v>4</v>
      </c>
    </row>
    <row r="355" spans="1:106">
      <c r="F355" s="217"/>
      <c r="K355" s="217"/>
      <c r="P355" s="217"/>
      <c r="U355" s="217"/>
      <c r="Z355" s="217"/>
      <c r="AE355" s="217"/>
      <c r="AJ355" s="217"/>
      <c r="AO355" s="217"/>
      <c r="AT355" s="217"/>
      <c r="AY355" s="217"/>
      <c r="BD355" s="217"/>
      <c r="BI355" s="217"/>
      <c r="BN355" s="217"/>
      <c r="BS355" s="217"/>
      <c r="BX355" s="217"/>
      <c r="CC355" s="217"/>
      <c r="CH355" s="217"/>
      <c r="CM355" s="217"/>
      <c r="CR355" s="217"/>
      <c r="CW355" s="217"/>
      <c r="DB355" s="217"/>
    </row>
    <row r="356" spans="1:106" s="51" customFormat="1">
      <c r="A356" s="51" t="s">
        <v>332</v>
      </c>
      <c r="F356" s="233"/>
      <c r="K356" s="233"/>
      <c r="P356" s="233"/>
      <c r="U356" s="233"/>
      <c r="V356" s="51">
        <f>+$Z356/4</f>
        <v>290000</v>
      </c>
      <c r="W356" s="51">
        <f>+$Z356/4</f>
        <v>290000</v>
      </c>
      <c r="X356" s="51">
        <f>+$Z356/4</f>
        <v>290000</v>
      </c>
      <c r="Y356" s="51">
        <f>+$Z356/4</f>
        <v>290000</v>
      </c>
      <c r="Z356" s="233">
        <v>1160000</v>
      </c>
      <c r="AA356" s="213">
        <f>+V356*(1+AA357)</f>
        <v>298700</v>
      </c>
      <c r="AB356" s="213">
        <f t="shared" ref="AB356" si="8023">+W356*(1+AB357)</f>
        <v>298700</v>
      </c>
      <c r="AC356" s="213">
        <f t="shared" ref="AC356" si="8024">+X356*(1+AC357)</f>
        <v>298700</v>
      </c>
      <c r="AD356" s="213">
        <f t="shared" ref="AD356" si="8025">+Y356*(1+AD357)</f>
        <v>298700</v>
      </c>
      <c r="AE356" s="234">
        <f>+AA356+AB356+AC356+AD356</f>
        <v>1194800</v>
      </c>
      <c r="AF356" s="213">
        <f>+AA356*(1+AF357)</f>
        <v>307661</v>
      </c>
      <c r="AG356" s="213">
        <f t="shared" ref="AG356" si="8026">+AB356*(1+AG357)</f>
        <v>307661</v>
      </c>
      <c r="AH356" s="213">
        <f t="shared" ref="AH356" si="8027">+AC356*(1+AH357)</f>
        <v>307661</v>
      </c>
      <c r="AI356" s="213">
        <f t="shared" ref="AI356" si="8028">+AD356*(1+AI357)</f>
        <v>307661</v>
      </c>
      <c r="AJ356" s="234">
        <f>+AF356+AG356+AH356+AI356</f>
        <v>1230644</v>
      </c>
      <c r="AK356" s="213">
        <f>+AF356*(1+AK357)</f>
        <v>316890.83</v>
      </c>
      <c r="AL356" s="213">
        <f t="shared" ref="AL356" si="8029">+AG356*(1+AL357)</f>
        <v>316890.83</v>
      </c>
      <c r="AM356" s="213">
        <f t="shared" ref="AM356" si="8030">+AH356*(1+AM357)</f>
        <v>316890.83</v>
      </c>
      <c r="AN356" s="213">
        <f t="shared" ref="AN356" si="8031">+AI356*(1+AN357)</f>
        <v>316890.83</v>
      </c>
      <c r="AO356" s="234">
        <f>+AK356+AL356+AM356+AN356</f>
        <v>1267563.32</v>
      </c>
      <c r="AP356" s="213">
        <f>+AK356*(1+AP357)</f>
        <v>326397.55490000005</v>
      </c>
      <c r="AQ356" s="213">
        <f t="shared" ref="AQ356" si="8032">+AL356*(1+AQ357)</f>
        <v>326397.55490000005</v>
      </c>
      <c r="AR356" s="213">
        <f t="shared" ref="AR356" si="8033">+AM356*(1+AR357)</f>
        <v>326397.55490000005</v>
      </c>
      <c r="AS356" s="213">
        <f t="shared" ref="AS356" si="8034">+AN356*(1+AS357)</f>
        <v>326397.55490000005</v>
      </c>
      <c r="AT356" s="234">
        <f>+AP356+AQ356+AR356+AS356</f>
        <v>1305590.2196000002</v>
      </c>
      <c r="AU356" s="213">
        <f>+AP356*(1+AU357)</f>
        <v>336189.48154700006</v>
      </c>
      <c r="AV356" s="213">
        <f t="shared" ref="AV356" si="8035">+AQ356*(1+AV357)</f>
        <v>336189.48154700006</v>
      </c>
      <c r="AW356" s="213">
        <f t="shared" ref="AW356" si="8036">+AR356*(1+AW357)</f>
        <v>336189.48154700006</v>
      </c>
      <c r="AX356" s="213">
        <f t="shared" ref="AX356" si="8037">+AS356*(1+AX357)</f>
        <v>336189.48154700006</v>
      </c>
      <c r="AY356" s="234">
        <f>+AU356+AV356+AW356+AX356</f>
        <v>1344757.9261880002</v>
      </c>
      <c r="AZ356" s="213">
        <f>+AU356*(1+AZ357)</f>
        <v>346275.16599341005</v>
      </c>
      <c r="BA356" s="213">
        <f t="shared" ref="BA356" si="8038">+AV356*(1+BA357)</f>
        <v>346275.16599341005</v>
      </c>
      <c r="BB356" s="213">
        <f t="shared" ref="BB356" si="8039">+AW356*(1+BB357)</f>
        <v>346275.16599341005</v>
      </c>
      <c r="BC356" s="213">
        <f t="shared" ref="BC356" si="8040">+AX356*(1+BC357)</f>
        <v>346275.16599341005</v>
      </c>
      <c r="BD356" s="234">
        <f>+AZ356+BA356+BB356+BC356</f>
        <v>1385100.6639736402</v>
      </c>
      <c r="BE356" s="213">
        <f>+AZ356*(1+BE357)</f>
        <v>356663.42097321234</v>
      </c>
      <c r="BF356" s="213">
        <f t="shared" ref="BF356" si="8041">+BA356*(1+BF357)</f>
        <v>356663.42097321234</v>
      </c>
      <c r="BG356" s="213">
        <f t="shared" ref="BG356" si="8042">+BB356*(1+BG357)</f>
        <v>356663.42097321234</v>
      </c>
      <c r="BH356" s="213">
        <f t="shared" ref="BH356" si="8043">+BC356*(1+BH357)</f>
        <v>356663.42097321234</v>
      </c>
      <c r="BI356" s="234">
        <f>+BE356+BF356+BG356+BH356</f>
        <v>1426653.6838928494</v>
      </c>
      <c r="BJ356" s="213">
        <f>+BE356*(1+BJ357)</f>
        <v>367363.32360240869</v>
      </c>
      <c r="BK356" s="213">
        <f t="shared" ref="BK356" si="8044">+BF356*(1+BK357)</f>
        <v>367363.32360240869</v>
      </c>
      <c r="BL356" s="213">
        <f t="shared" ref="BL356" si="8045">+BG356*(1+BL357)</f>
        <v>367363.32360240869</v>
      </c>
      <c r="BM356" s="213">
        <f t="shared" ref="BM356" si="8046">+BH356*(1+BM357)</f>
        <v>367363.32360240869</v>
      </c>
      <c r="BN356" s="234">
        <f>+BJ356+BK356+BL356+BM356</f>
        <v>1469453.2944096348</v>
      </c>
      <c r="BO356" s="213">
        <f>+BJ356*(1+BO357)</f>
        <v>378384.22331048094</v>
      </c>
      <c r="BP356" s="213">
        <f t="shared" ref="BP356" si="8047">+BK356*(1+BP357)</f>
        <v>378384.22331048094</v>
      </c>
      <c r="BQ356" s="213">
        <f t="shared" ref="BQ356" si="8048">+BL356*(1+BQ357)</f>
        <v>378384.22331048094</v>
      </c>
      <c r="BR356" s="213">
        <f t="shared" ref="BR356" si="8049">+BM356*(1+BR357)</f>
        <v>378384.22331048094</v>
      </c>
      <c r="BS356" s="234">
        <f>+BO356+BP356+BQ356+BR356</f>
        <v>1513536.8932419238</v>
      </c>
      <c r="BT356" s="213">
        <f>+BO356*(1+BT357)</f>
        <v>389735.75000979536</v>
      </c>
      <c r="BU356" s="213">
        <f t="shared" ref="BU356" si="8050">+BP356*(1+BU357)</f>
        <v>389735.75000979536</v>
      </c>
      <c r="BV356" s="213">
        <f t="shared" ref="BV356" si="8051">+BQ356*(1+BV357)</f>
        <v>389735.75000979536</v>
      </c>
      <c r="BW356" s="213">
        <f t="shared" ref="BW356" si="8052">+BR356*(1+BW357)</f>
        <v>389735.75000979536</v>
      </c>
      <c r="BX356" s="234">
        <f>+BT356+BU356+BV356+BW356</f>
        <v>1558943.0000391814</v>
      </c>
      <c r="BY356" s="213">
        <f>+BT356*(1+BY357)</f>
        <v>401427.82251008926</v>
      </c>
      <c r="BZ356" s="213">
        <f t="shared" ref="BZ356" si="8053">+BU356*(1+BZ357)</f>
        <v>401427.82251008926</v>
      </c>
      <c r="CA356" s="213">
        <f t="shared" ref="CA356" si="8054">+BV356*(1+CA357)</f>
        <v>401427.82251008926</v>
      </c>
      <c r="CB356" s="213">
        <f t="shared" ref="CB356" si="8055">+BW356*(1+CB357)</f>
        <v>401427.82251008926</v>
      </c>
      <c r="CC356" s="234">
        <f>+BY356+BZ356+CA356+CB356</f>
        <v>1605711.290040357</v>
      </c>
      <c r="CD356" s="213">
        <f>+BY356*(1+CD357)</f>
        <v>413470.65718539193</v>
      </c>
      <c r="CE356" s="213">
        <f t="shared" ref="CE356" si="8056">+BZ356*(1+CE357)</f>
        <v>413470.65718539193</v>
      </c>
      <c r="CF356" s="213">
        <f t="shared" ref="CF356" si="8057">+CA356*(1+CF357)</f>
        <v>413470.65718539193</v>
      </c>
      <c r="CG356" s="213">
        <f t="shared" ref="CG356" si="8058">+CB356*(1+CG357)</f>
        <v>413470.65718539193</v>
      </c>
      <c r="CH356" s="234">
        <f>+CD356+CE356+CF356+CG356</f>
        <v>1653882.6287415677</v>
      </c>
      <c r="CI356" s="213">
        <f>+CD356*(1+CI357)</f>
        <v>425874.77690095367</v>
      </c>
      <c r="CJ356" s="213">
        <f t="shared" ref="CJ356" si="8059">+CE356*(1+CJ357)</f>
        <v>425874.77690095367</v>
      </c>
      <c r="CK356" s="213">
        <f t="shared" ref="CK356" si="8060">+CF356*(1+CK357)</f>
        <v>425874.77690095367</v>
      </c>
      <c r="CL356" s="213">
        <f t="shared" ref="CL356" si="8061">+CG356*(1+CL357)</f>
        <v>425874.77690095367</v>
      </c>
      <c r="CM356" s="234">
        <f>+CI356+CJ356+CK356+CL356</f>
        <v>1703499.1076038147</v>
      </c>
      <c r="CN356" s="213">
        <f>+CI356*(1+CN357)</f>
        <v>438651.02020798228</v>
      </c>
      <c r="CO356" s="213">
        <f t="shared" ref="CO356" si="8062">+CJ356*(1+CO357)</f>
        <v>438651.02020798228</v>
      </c>
      <c r="CP356" s="213">
        <f t="shared" ref="CP356" si="8063">+CK356*(1+CP357)</f>
        <v>438651.02020798228</v>
      </c>
      <c r="CQ356" s="213">
        <f t="shared" ref="CQ356" si="8064">+CL356*(1+CQ357)</f>
        <v>438651.02020798228</v>
      </c>
      <c r="CR356" s="234">
        <f>+CN356+CO356+CP356+CQ356</f>
        <v>1754604.0808319291</v>
      </c>
      <c r="CS356" s="213">
        <f>+CN356*(1+CS357)</f>
        <v>451810.55081422173</v>
      </c>
      <c r="CT356" s="213">
        <f t="shared" ref="CT356" si="8065">+CO356*(1+CT357)</f>
        <v>451810.55081422173</v>
      </c>
      <c r="CU356" s="213">
        <f t="shared" ref="CU356" si="8066">+CP356*(1+CU357)</f>
        <v>451810.55081422173</v>
      </c>
      <c r="CV356" s="213">
        <f t="shared" ref="CV356" si="8067">+CQ356*(1+CV357)</f>
        <v>451810.55081422173</v>
      </c>
      <c r="CW356" s="234">
        <f>+CS356+CT356+CU356+CV356</f>
        <v>1807242.2032568869</v>
      </c>
      <c r="CX356" s="213">
        <f>+CS356*(1+CX357)</f>
        <v>465364.86733864842</v>
      </c>
      <c r="CY356" s="213">
        <f t="shared" ref="CY356" si="8068">+CT356*(1+CY357)</f>
        <v>465364.86733864842</v>
      </c>
      <c r="CZ356" s="213">
        <f t="shared" ref="CZ356" si="8069">+CU356*(1+CZ357)</f>
        <v>465364.86733864842</v>
      </c>
      <c r="DA356" s="213">
        <f t="shared" ref="DA356" si="8070">+CV356*(1+DA357)</f>
        <v>465364.86733864842</v>
      </c>
      <c r="DB356" s="234">
        <f>+CX356+CY356+CZ356+DA356</f>
        <v>1861459.4693545937</v>
      </c>
    </row>
    <row r="357" spans="1:106">
      <c r="A357" s="117" t="s">
        <v>281</v>
      </c>
      <c r="F357" s="217"/>
      <c r="K357" s="217"/>
      <c r="P357" s="217"/>
      <c r="U357" s="217"/>
      <c r="V357" s="119" t="s">
        <v>290</v>
      </c>
      <c r="Z357" s="217"/>
      <c r="AA357" s="118">
        <v>0.03</v>
      </c>
      <c r="AB357" s="118">
        <v>0.03</v>
      </c>
      <c r="AC357" s="118">
        <v>0.03</v>
      </c>
      <c r="AD357" s="118">
        <v>0.03</v>
      </c>
      <c r="AE357" s="239">
        <f>+AE356/Z356-1</f>
        <v>3.0000000000000027E-2</v>
      </c>
      <c r="AF357" s="118">
        <v>0.03</v>
      </c>
      <c r="AG357" s="118">
        <v>0.03</v>
      </c>
      <c r="AH357" s="118">
        <v>0.03</v>
      </c>
      <c r="AI357" s="118">
        <v>0.03</v>
      </c>
      <c r="AJ357" s="239">
        <f>+AJ356/AE356-1</f>
        <v>3.0000000000000027E-2</v>
      </c>
      <c r="AK357" s="118">
        <v>0.03</v>
      </c>
      <c r="AL357" s="118">
        <v>0.03</v>
      </c>
      <c r="AM357" s="118">
        <v>0.03</v>
      </c>
      <c r="AN357" s="118">
        <v>0.03</v>
      </c>
      <c r="AO357" s="239">
        <f>+AO356/AJ356-1</f>
        <v>3.0000000000000027E-2</v>
      </c>
      <c r="AP357" s="118">
        <v>0.03</v>
      </c>
      <c r="AQ357" s="118">
        <v>0.03</v>
      </c>
      <c r="AR357" s="118">
        <v>0.03</v>
      </c>
      <c r="AS357" s="118">
        <v>0.03</v>
      </c>
      <c r="AT357" s="239">
        <f>+AT356/AO356-1</f>
        <v>3.0000000000000027E-2</v>
      </c>
      <c r="AU357" s="118">
        <v>0.03</v>
      </c>
      <c r="AV357" s="118">
        <v>0.03</v>
      </c>
      <c r="AW357" s="118">
        <v>0.03</v>
      </c>
      <c r="AX357" s="118">
        <v>0.03</v>
      </c>
      <c r="AY357" s="239">
        <f>+AY356/AT356-1</f>
        <v>3.0000000000000027E-2</v>
      </c>
      <c r="AZ357" s="118">
        <v>0.03</v>
      </c>
      <c r="BA357" s="118">
        <v>0.03</v>
      </c>
      <c r="BB357" s="118">
        <v>0.03</v>
      </c>
      <c r="BC357" s="118">
        <v>0.03</v>
      </c>
      <c r="BD357" s="239">
        <f>+BD356/AY356-1</f>
        <v>3.0000000000000027E-2</v>
      </c>
      <c r="BE357" s="118">
        <v>0.03</v>
      </c>
      <c r="BF357" s="118">
        <v>0.03</v>
      </c>
      <c r="BG357" s="118">
        <v>0.03</v>
      </c>
      <c r="BH357" s="118">
        <v>0.03</v>
      </c>
      <c r="BI357" s="239">
        <f>+BI356/BD356-1</f>
        <v>3.0000000000000027E-2</v>
      </c>
      <c r="BJ357" s="118">
        <v>0.03</v>
      </c>
      <c r="BK357" s="118">
        <v>0.03</v>
      </c>
      <c r="BL357" s="118">
        <v>0.03</v>
      </c>
      <c r="BM357" s="118">
        <v>0.03</v>
      </c>
      <c r="BN357" s="239">
        <f>+BN356/BI356-1</f>
        <v>3.0000000000000027E-2</v>
      </c>
      <c r="BO357" s="118">
        <v>0.03</v>
      </c>
      <c r="BP357" s="118">
        <v>0.03</v>
      </c>
      <c r="BQ357" s="118">
        <v>0.03</v>
      </c>
      <c r="BR357" s="118">
        <v>0.03</v>
      </c>
      <c r="BS357" s="239">
        <f>+BS356/BN356-1</f>
        <v>3.0000000000000027E-2</v>
      </c>
      <c r="BT357" s="118">
        <v>0.03</v>
      </c>
      <c r="BU357" s="118">
        <v>0.03</v>
      </c>
      <c r="BV357" s="118">
        <v>0.03</v>
      </c>
      <c r="BW357" s="118">
        <v>0.03</v>
      </c>
      <c r="BX357" s="239">
        <f>+BX356/BS356-1</f>
        <v>3.0000000000000027E-2</v>
      </c>
      <c r="BY357" s="118">
        <v>0.03</v>
      </c>
      <c r="BZ357" s="118">
        <v>0.03</v>
      </c>
      <c r="CA357" s="118">
        <v>0.03</v>
      </c>
      <c r="CB357" s="118">
        <v>0.03</v>
      </c>
      <c r="CC357" s="239">
        <f>+CC356/BX356-1</f>
        <v>3.0000000000000027E-2</v>
      </c>
      <c r="CD357" s="118">
        <v>0.03</v>
      </c>
      <c r="CE357" s="118">
        <v>0.03</v>
      </c>
      <c r="CF357" s="118">
        <v>0.03</v>
      </c>
      <c r="CG357" s="118">
        <v>0.03</v>
      </c>
      <c r="CH357" s="239">
        <f>+CH356/CC356-1</f>
        <v>3.0000000000000027E-2</v>
      </c>
      <c r="CI357" s="118">
        <v>0.03</v>
      </c>
      <c r="CJ357" s="118">
        <v>0.03</v>
      </c>
      <c r="CK357" s="118">
        <v>0.03</v>
      </c>
      <c r="CL357" s="118">
        <v>0.03</v>
      </c>
      <c r="CM357" s="239">
        <f>+CM356/CH356-1</f>
        <v>3.0000000000000027E-2</v>
      </c>
      <c r="CN357" s="118">
        <v>0.03</v>
      </c>
      <c r="CO357" s="118">
        <v>0.03</v>
      </c>
      <c r="CP357" s="118">
        <v>0.03</v>
      </c>
      <c r="CQ357" s="118">
        <v>0.03</v>
      </c>
      <c r="CR357" s="239">
        <f>+CR356/CM356-1</f>
        <v>3.0000000000000027E-2</v>
      </c>
      <c r="CS357" s="118">
        <v>0.03</v>
      </c>
      <c r="CT357" s="118">
        <v>0.03</v>
      </c>
      <c r="CU357" s="118">
        <v>0.03</v>
      </c>
      <c r="CV357" s="118">
        <v>0.03</v>
      </c>
      <c r="CW357" s="239">
        <f>+CW356/CR356-1</f>
        <v>3.0000000000000027E-2</v>
      </c>
      <c r="CX357" s="118">
        <v>0.03</v>
      </c>
      <c r="CY357" s="118">
        <v>0.03</v>
      </c>
      <c r="CZ357" s="118">
        <v>0.03</v>
      </c>
      <c r="DA357" s="118">
        <v>0.03</v>
      </c>
      <c r="DB357" s="239">
        <f>+DB356/CW356-1</f>
        <v>3.0000000000000027E-2</v>
      </c>
    </row>
    <row r="358" spans="1:106" s="51" customFormat="1">
      <c r="A358" s="51" t="s">
        <v>333</v>
      </c>
      <c r="F358" s="233"/>
      <c r="K358" s="233"/>
      <c r="P358" s="233"/>
      <c r="U358" s="233"/>
      <c r="V358" s="213">
        <f>+V356*V359</f>
        <v>580000</v>
      </c>
      <c r="W358" s="213">
        <f t="shared" ref="W358" si="8071">+W356*W359</f>
        <v>580000</v>
      </c>
      <c r="X358" s="213">
        <f t="shared" ref="X358" si="8072">+X356*X359</f>
        <v>580000</v>
      </c>
      <c r="Y358" s="213">
        <f t="shared" ref="Y358" si="8073">+Y356*Y359</f>
        <v>580000</v>
      </c>
      <c r="Z358" s="234">
        <f>+V358+W358+X358+Y358</f>
        <v>2320000</v>
      </c>
      <c r="AA358" s="213">
        <f>+AA356*AA359</f>
        <v>597400</v>
      </c>
      <c r="AB358" s="213">
        <f t="shared" ref="AB358" si="8074">+AB356*AB359</f>
        <v>597400</v>
      </c>
      <c r="AC358" s="213">
        <f t="shared" ref="AC358" si="8075">+AC356*AC359</f>
        <v>597400</v>
      </c>
      <c r="AD358" s="213">
        <f t="shared" ref="AD358" si="8076">+AD356*AD359</f>
        <v>597400</v>
      </c>
      <c r="AE358" s="234">
        <f>+AA358+AB358+AC358+AD358</f>
        <v>2389600</v>
      </c>
      <c r="AF358" s="213">
        <f>+AF356*AF359</f>
        <v>615322</v>
      </c>
      <c r="AG358" s="213">
        <f t="shared" ref="AG358" si="8077">+AG356*AG359</f>
        <v>615322</v>
      </c>
      <c r="AH358" s="213">
        <f t="shared" ref="AH358" si="8078">+AH356*AH359</f>
        <v>615322</v>
      </c>
      <c r="AI358" s="213">
        <f t="shared" ref="AI358" si="8079">+AI356*AI359</f>
        <v>615322</v>
      </c>
      <c r="AJ358" s="234">
        <f>+AF358+AG358+AH358+AI358</f>
        <v>2461288</v>
      </c>
      <c r="AK358" s="213">
        <f>+AK356*AK359</f>
        <v>633781.66</v>
      </c>
      <c r="AL358" s="213">
        <f t="shared" ref="AL358" si="8080">+AL356*AL359</f>
        <v>633781.66</v>
      </c>
      <c r="AM358" s="213">
        <f t="shared" ref="AM358" si="8081">+AM356*AM359</f>
        <v>633781.66</v>
      </c>
      <c r="AN358" s="213">
        <f t="shared" ref="AN358" si="8082">+AN356*AN359</f>
        <v>633781.66</v>
      </c>
      <c r="AO358" s="234">
        <f>+AK358+AL358+AM358+AN358</f>
        <v>2535126.64</v>
      </c>
      <c r="AP358" s="213">
        <f>+AP356*AP359</f>
        <v>652795.10980000009</v>
      </c>
      <c r="AQ358" s="213">
        <f t="shared" ref="AQ358" si="8083">+AQ356*AQ359</f>
        <v>652795.10980000009</v>
      </c>
      <c r="AR358" s="213">
        <f t="shared" ref="AR358" si="8084">+AR356*AR359</f>
        <v>652795.10980000009</v>
      </c>
      <c r="AS358" s="213">
        <f t="shared" ref="AS358" si="8085">+AS356*AS359</f>
        <v>652795.10980000009</v>
      </c>
      <c r="AT358" s="234">
        <f>+AP358+AQ358+AR358+AS358</f>
        <v>2611180.4392000004</v>
      </c>
      <c r="AU358" s="213">
        <f>+AU356*AU359</f>
        <v>672378.96309400012</v>
      </c>
      <c r="AV358" s="213">
        <f t="shared" ref="AV358" si="8086">+AV356*AV359</f>
        <v>672378.96309400012</v>
      </c>
      <c r="AW358" s="213">
        <f t="shared" ref="AW358" si="8087">+AW356*AW359</f>
        <v>672378.96309400012</v>
      </c>
      <c r="AX358" s="213">
        <f t="shared" ref="AX358" si="8088">+AX356*AX359</f>
        <v>672378.96309400012</v>
      </c>
      <c r="AY358" s="234">
        <f>+AU358+AV358+AW358+AX358</f>
        <v>2689515.8523760005</v>
      </c>
      <c r="AZ358" s="213">
        <f>+AZ356*AZ359</f>
        <v>692550.33198682009</v>
      </c>
      <c r="BA358" s="213">
        <f t="shared" ref="BA358" si="8089">+BA356*BA359</f>
        <v>692550.33198682009</v>
      </c>
      <c r="BB358" s="213">
        <f t="shared" ref="BB358" si="8090">+BB356*BB359</f>
        <v>692550.33198682009</v>
      </c>
      <c r="BC358" s="213">
        <f t="shared" ref="BC358" si="8091">+BC356*BC359</f>
        <v>692550.33198682009</v>
      </c>
      <c r="BD358" s="234">
        <f>+AZ358+BA358+BB358+BC358</f>
        <v>2770201.3279472804</v>
      </c>
      <c r="BE358" s="213">
        <f>+BE356*BE359</f>
        <v>713326.84194642468</v>
      </c>
      <c r="BF358" s="213">
        <f t="shared" ref="BF358" si="8092">+BF356*BF359</f>
        <v>713326.84194642468</v>
      </c>
      <c r="BG358" s="213">
        <f t="shared" ref="BG358" si="8093">+BG356*BG359</f>
        <v>713326.84194642468</v>
      </c>
      <c r="BH358" s="213">
        <f t="shared" ref="BH358" si="8094">+BH356*BH359</f>
        <v>713326.84194642468</v>
      </c>
      <c r="BI358" s="234">
        <f>+BE358+BF358+BG358+BH358</f>
        <v>2853307.3677856987</v>
      </c>
      <c r="BJ358" s="213">
        <f>+BJ356*BJ359</f>
        <v>734726.64720481739</v>
      </c>
      <c r="BK358" s="213">
        <f t="shared" ref="BK358" si="8095">+BK356*BK359</f>
        <v>734726.64720481739</v>
      </c>
      <c r="BL358" s="213">
        <f t="shared" ref="BL358" si="8096">+BL356*BL359</f>
        <v>734726.64720481739</v>
      </c>
      <c r="BM358" s="213">
        <f t="shared" ref="BM358" si="8097">+BM356*BM359</f>
        <v>734726.64720481739</v>
      </c>
      <c r="BN358" s="234">
        <f>+BJ358+BK358+BL358+BM358</f>
        <v>2938906.5888192696</v>
      </c>
      <c r="BO358" s="213">
        <f>+BO356*BO359</f>
        <v>756768.44662096188</v>
      </c>
      <c r="BP358" s="213">
        <f t="shared" ref="BP358" si="8098">+BP356*BP359</f>
        <v>756768.44662096188</v>
      </c>
      <c r="BQ358" s="213">
        <f t="shared" ref="BQ358" si="8099">+BQ356*BQ359</f>
        <v>756768.44662096188</v>
      </c>
      <c r="BR358" s="213">
        <f t="shared" ref="BR358" si="8100">+BR356*BR359</f>
        <v>756768.44662096188</v>
      </c>
      <c r="BS358" s="234">
        <f>+BO358+BP358+BQ358+BR358</f>
        <v>3027073.7864838475</v>
      </c>
      <c r="BT358" s="213">
        <f>+BT356*BT359</f>
        <v>779471.50001959072</v>
      </c>
      <c r="BU358" s="213">
        <f t="shared" ref="BU358" si="8101">+BU356*BU359</f>
        <v>779471.50001959072</v>
      </c>
      <c r="BV358" s="213">
        <f t="shared" ref="BV358" si="8102">+BV356*BV359</f>
        <v>779471.50001959072</v>
      </c>
      <c r="BW358" s="213">
        <f t="shared" ref="BW358" si="8103">+BW356*BW359</f>
        <v>779471.50001959072</v>
      </c>
      <c r="BX358" s="234">
        <f>+BT358+BU358+BV358+BW358</f>
        <v>3117886.0000783629</v>
      </c>
      <c r="BY358" s="213">
        <f>+BY356*BY359</f>
        <v>802855.64502017852</v>
      </c>
      <c r="BZ358" s="213">
        <f t="shared" ref="BZ358" si="8104">+BZ356*BZ359</f>
        <v>802855.64502017852</v>
      </c>
      <c r="CA358" s="213">
        <f t="shared" ref="CA358" si="8105">+CA356*CA359</f>
        <v>802855.64502017852</v>
      </c>
      <c r="CB358" s="213">
        <f t="shared" ref="CB358" si="8106">+CB356*CB359</f>
        <v>802855.64502017852</v>
      </c>
      <c r="CC358" s="234">
        <f>+BY358+BZ358+CA358+CB358</f>
        <v>3211422.5800807141</v>
      </c>
      <c r="CD358" s="213">
        <f>+CD356*CD359</f>
        <v>826941.31437078386</v>
      </c>
      <c r="CE358" s="213">
        <f t="shared" ref="CE358" si="8107">+CE356*CE359</f>
        <v>826941.31437078386</v>
      </c>
      <c r="CF358" s="213">
        <f t="shared" ref="CF358" si="8108">+CF356*CF359</f>
        <v>826941.31437078386</v>
      </c>
      <c r="CG358" s="213">
        <f t="shared" ref="CG358" si="8109">+CG356*CG359</f>
        <v>826941.31437078386</v>
      </c>
      <c r="CH358" s="234">
        <f>+CD358+CE358+CF358+CG358</f>
        <v>3307765.2574831354</v>
      </c>
      <c r="CI358" s="213">
        <f>+CI356*CI359</f>
        <v>851749.55380190734</v>
      </c>
      <c r="CJ358" s="213">
        <f t="shared" ref="CJ358" si="8110">+CJ356*CJ359</f>
        <v>851749.55380190734</v>
      </c>
      <c r="CK358" s="213">
        <f t="shared" ref="CK358" si="8111">+CK356*CK359</f>
        <v>851749.55380190734</v>
      </c>
      <c r="CL358" s="213">
        <f t="shared" ref="CL358" si="8112">+CL356*CL359</f>
        <v>851749.55380190734</v>
      </c>
      <c r="CM358" s="234">
        <f>+CI358+CJ358+CK358+CL358</f>
        <v>3406998.2152076294</v>
      </c>
      <c r="CN358" s="213">
        <f>+CN356*CN359</f>
        <v>877302.04041596455</v>
      </c>
      <c r="CO358" s="213">
        <f t="shared" ref="CO358" si="8113">+CO356*CO359</f>
        <v>877302.04041596455</v>
      </c>
      <c r="CP358" s="213">
        <f t="shared" ref="CP358" si="8114">+CP356*CP359</f>
        <v>877302.04041596455</v>
      </c>
      <c r="CQ358" s="213">
        <f t="shared" ref="CQ358" si="8115">+CQ356*CQ359</f>
        <v>877302.04041596455</v>
      </c>
      <c r="CR358" s="234">
        <f>+CN358+CO358+CP358+CQ358</f>
        <v>3509208.1616638582</v>
      </c>
      <c r="CS358" s="213">
        <f>+CS356*CS359</f>
        <v>903621.10162844346</v>
      </c>
      <c r="CT358" s="213">
        <f t="shared" ref="CT358" si="8116">+CT356*CT359</f>
        <v>903621.10162844346</v>
      </c>
      <c r="CU358" s="213">
        <f t="shared" ref="CU358" si="8117">+CU356*CU359</f>
        <v>903621.10162844346</v>
      </c>
      <c r="CV358" s="213">
        <f t="shared" ref="CV358" si="8118">+CV356*CV359</f>
        <v>903621.10162844346</v>
      </c>
      <c r="CW358" s="234">
        <f>+CS358+CT358+CU358+CV358</f>
        <v>3614484.4065137738</v>
      </c>
      <c r="CX358" s="213">
        <f>+CX356*CX359</f>
        <v>930729.73467729683</v>
      </c>
      <c r="CY358" s="213">
        <f t="shared" ref="CY358" si="8119">+CY356*CY359</f>
        <v>930729.73467729683</v>
      </c>
      <c r="CZ358" s="213">
        <f t="shared" ref="CZ358" si="8120">+CZ356*CZ359</f>
        <v>930729.73467729683</v>
      </c>
      <c r="DA358" s="213">
        <f t="shared" ref="DA358" si="8121">+DA356*DA359</f>
        <v>930729.73467729683</v>
      </c>
      <c r="DB358" s="234">
        <f>+CX358+CY358+CZ358+DA358</f>
        <v>3722918.9387091873</v>
      </c>
    </row>
    <row r="359" spans="1:106">
      <c r="A359" s="117" t="s">
        <v>311</v>
      </c>
      <c r="F359" s="217"/>
      <c r="K359" s="217"/>
      <c r="P359" s="217"/>
      <c r="U359" s="217"/>
      <c r="V359" s="120">
        <v>2</v>
      </c>
      <c r="W359" s="120">
        <v>2</v>
      </c>
      <c r="X359" s="120">
        <v>2</v>
      </c>
      <c r="Y359" s="120">
        <v>2</v>
      </c>
      <c r="Z359" s="250">
        <f>+Z358/Z356</f>
        <v>2</v>
      </c>
      <c r="AA359" s="120">
        <v>2</v>
      </c>
      <c r="AB359" s="120">
        <v>2</v>
      </c>
      <c r="AC359" s="120">
        <v>2</v>
      </c>
      <c r="AD359" s="120">
        <v>2</v>
      </c>
      <c r="AE359" s="250">
        <f>+AE358/AE356</f>
        <v>2</v>
      </c>
      <c r="AF359" s="120">
        <v>2</v>
      </c>
      <c r="AG359" s="120">
        <v>2</v>
      </c>
      <c r="AH359" s="120">
        <v>2</v>
      </c>
      <c r="AI359" s="120">
        <v>2</v>
      </c>
      <c r="AJ359" s="250">
        <f>+AJ358/AJ356</f>
        <v>2</v>
      </c>
      <c r="AK359" s="120">
        <v>2</v>
      </c>
      <c r="AL359" s="120">
        <v>2</v>
      </c>
      <c r="AM359" s="120">
        <v>2</v>
      </c>
      <c r="AN359" s="120">
        <v>2</v>
      </c>
      <c r="AO359" s="250">
        <f>+AO358/AO356</f>
        <v>2</v>
      </c>
      <c r="AP359" s="120">
        <v>2</v>
      </c>
      <c r="AQ359" s="120">
        <v>2</v>
      </c>
      <c r="AR359" s="120">
        <v>2</v>
      </c>
      <c r="AS359" s="120">
        <v>2</v>
      </c>
      <c r="AT359" s="250">
        <f>+AT358/AT356</f>
        <v>2</v>
      </c>
      <c r="AU359" s="120">
        <v>2</v>
      </c>
      <c r="AV359" s="120">
        <v>2</v>
      </c>
      <c r="AW359" s="120">
        <v>2</v>
      </c>
      <c r="AX359" s="120">
        <v>2</v>
      </c>
      <c r="AY359" s="250">
        <f>+AY358/AY356</f>
        <v>2</v>
      </c>
      <c r="AZ359" s="120">
        <v>2</v>
      </c>
      <c r="BA359" s="120">
        <v>2</v>
      </c>
      <c r="BB359" s="120">
        <v>2</v>
      </c>
      <c r="BC359" s="120">
        <v>2</v>
      </c>
      <c r="BD359" s="250">
        <f>+BD358/BD356</f>
        <v>2</v>
      </c>
      <c r="BE359" s="120">
        <v>2</v>
      </c>
      <c r="BF359" s="120">
        <v>2</v>
      </c>
      <c r="BG359" s="120">
        <v>2</v>
      </c>
      <c r="BH359" s="120">
        <v>2</v>
      </c>
      <c r="BI359" s="250">
        <f>+BI358/BI356</f>
        <v>2</v>
      </c>
      <c r="BJ359" s="120">
        <v>2</v>
      </c>
      <c r="BK359" s="120">
        <v>2</v>
      </c>
      <c r="BL359" s="120">
        <v>2</v>
      </c>
      <c r="BM359" s="120">
        <v>2</v>
      </c>
      <c r="BN359" s="250">
        <f>+BN358/BN356</f>
        <v>2</v>
      </c>
      <c r="BO359" s="120">
        <v>2</v>
      </c>
      <c r="BP359" s="120">
        <v>2</v>
      </c>
      <c r="BQ359" s="120">
        <v>2</v>
      </c>
      <c r="BR359" s="120">
        <v>2</v>
      </c>
      <c r="BS359" s="250">
        <f>+BS358/BS356</f>
        <v>2</v>
      </c>
      <c r="BT359" s="120">
        <v>2</v>
      </c>
      <c r="BU359" s="120">
        <v>2</v>
      </c>
      <c r="BV359" s="120">
        <v>2</v>
      </c>
      <c r="BW359" s="120">
        <v>2</v>
      </c>
      <c r="BX359" s="250">
        <f>+BX358/BX356</f>
        <v>2</v>
      </c>
      <c r="BY359" s="120">
        <v>2</v>
      </c>
      <c r="BZ359" s="120">
        <v>2</v>
      </c>
      <c r="CA359" s="120">
        <v>2</v>
      </c>
      <c r="CB359" s="120">
        <v>2</v>
      </c>
      <c r="CC359" s="250">
        <f>+CC358/CC356</f>
        <v>2</v>
      </c>
      <c r="CD359" s="120">
        <v>2</v>
      </c>
      <c r="CE359" s="120">
        <v>2</v>
      </c>
      <c r="CF359" s="120">
        <v>2</v>
      </c>
      <c r="CG359" s="120">
        <v>2</v>
      </c>
      <c r="CH359" s="250">
        <f>+CH358/CH356</f>
        <v>2</v>
      </c>
      <c r="CI359" s="120">
        <v>2</v>
      </c>
      <c r="CJ359" s="120">
        <v>2</v>
      </c>
      <c r="CK359" s="120">
        <v>2</v>
      </c>
      <c r="CL359" s="120">
        <v>2</v>
      </c>
      <c r="CM359" s="250">
        <f>+CM358/CM356</f>
        <v>2</v>
      </c>
      <c r="CN359" s="120">
        <v>2</v>
      </c>
      <c r="CO359" s="120">
        <v>2</v>
      </c>
      <c r="CP359" s="120">
        <v>2</v>
      </c>
      <c r="CQ359" s="120">
        <v>2</v>
      </c>
      <c r="CR359" s="250">
        <f>+CR358/CR356</f>
        <v>2</v>
      </c>
      <c r="CS359" s="120">
        <v>2</v>
      </c>
      <c r="CT359" s="120">
        <v>2</v>
      </c>
      <c r="CU359" s="120">
        <v>2</v>
      </c>
      <c r="CV359" s="120">
        <v>2</v>
      </c>
      <c r="CW359" s="250">
        <f>+CW358/CW356</f>
        <v>2</v>
      </c>
      <c r="CX359" s="120">
        <v>2</v>
      </c>
      <c r="CY359" s="120">
        <v>2</v>
      </c>
      <c r="CZ359" s="120">
        <v>2</v>
      </c>
      <c r="DA359" s="120">
        <v>2</v>
      </c>
      <c r="DB359" s="250">
        <f>+DB358/DB356</f>
        <v>2</v>
      </c>
    </row>
    <row r="360" spans="1:106">
      <c r="F360" s="217"/>
      <c r="K360" s="217"/>
      <c r="P360" s="217"/>
      <c r="U360" s="217"/>
      <c r="Z360" s="217"/>
      <c r="AE360" s="217"/>
      <c r="AJ360" s="217"/>
      <c r="AO360" s="217"/>
      <c r="AT360" s="217"/>
      <c r="AY360" s="217"/>
      <c r="BD360" s="217"/>
      <c r="BI360" s="217"/>
      <c r="BN360" s="217"/>
      <c r="BS360" s="217"/>
      <c r="BX360" s="217"/>
      <c r="CC360" s="217"/>
      <c r="CH360" s="217"/>
      <c r="CM360" s="217"/>
      <c r="CR360" s="217"/>
      <c r="CW360" s="217"/>
      <c r="DB360" s="217"/>
    </row>
    <row r="361" spans="1:106" s="51" customFormat="1">
      <c r="A361" s="51" t="s">
        <v>334</v>
      </c>
      <c r="F361" s="233"/>
      <c r="K361" s="233"/>
      <c r="P361" s="233"/>
      <c r="U361" s="233"/>
      <c r="V361" s="213">
        <f>+V353+V358</f>
        <v>686000</v>
      </c>
      <c r="W361" s="213">
        <f t="shared" ref="W361:AC361" si="8122">+W353+W358</f>
        <v>686000</v>
      </c>
      <c r="X361" s="213">
        <f t="shared" si="8122"/>
        <v>686000</v>
      </c>
      <c r="Y361" s="213">
        <f t="shared" si="8122"/>
        <v>686000</v>
      </c>
      <c r="Z361" s="234">
        <f>+V361+W361+X361+Y361</f>
        <v>2744000</v>
      </c>
      <c r="AA361" s="213">
        <f t="shared" si="8122"/>
        <v>706580</v>
      </c>
      <c r="AB361" s="213">
        <f t="shared" si="8122"/>
        <v>706580</v>
      </c>
      <c r="AC361" s="213">
        <f t="shared" si="8122"/>
        <v>706580</v>
      </c>
      <c r="AD361" s="213">
        <f>+AD353+AD358</f>
        <v>706580</v>
      </c>
      <c r="AE361" s="234">
        <f>+AA361+AB361+AC361+AD361</f>
        <v>2826320</v>
      </c>
      <c r="AF361" s="213">
        <f t="shared" ref="AF361:AI361" si="8123">+AF353+AF358</f>
        <v>727777.4</v>
      </c>
      <c r="AG361" s="213">
        <f t="shared" si="8123"/>
        <v>727777.4</v>
      </c>
      <c r="AH361" s="213">
        <f>+AH353+AH358</f>
        <v>727777.4</v>
      </c>
      <c r="AI361" s="213">
        <f t="shared" si="8123"/>
        <v>727777.4</v>
      </c>
      <c r="AJ361" s="234">
        <f>+AF361+AG361+AH361+AI361</f>
        <v>2911109.6</v>
      </c>
      <c r="AK361" s="213">
        <f t="shared" ref="AK361:AN361" si="8124">+AK353+AK358</f>
        <v>749610.72200000007</v>
      </c>
      <c r="AL361" s="213">
        <f t="shared" si="8124"/>
        <v>749610.72200000007</v>
      </c>
      <c r="AM361" s="213">
        <f t="shared" si="8124"/>
        <v>749610.72200000007</v>
      </c>
      <c r="AN361" s="213">
        <f t="shared" si="8124"/>
        <v>749610.72200000007</v>
      </c>
      <c r="AO361" s="234">
        <f>+AK361+AL361+AM361+AN361</f>
        <v>2998442.8880000003</v>
      </c>
      <c r="AP361" s="213">
        <f t="shared" ref="AP361:AS361" si="8125">+AP353+AP358</f>
        <v>772099.04366000008</v>
      </c>
      <c r="AQ361" s="213">
        <f t="shared" si="8125"/>
        <v>772099.04366000008</v>
      </c>
      <c r="AR361" s="213">
        <f t="shared" si="8125"/>
        <v>772099.04366000008</v>
      </c>
      <c r="AS361" s="213">
        <f t="shared" si="8125"/>
        <v>772099.04366000008</v>
      </c>
      <c r="AT361" s="234">
        <f>+AP361+AQ361+AR361+AS361</f>
        <v>3088396.1746400003</v>
      </c>
      <c r="AU361" s="213">
        <f t="shared" ref="AU361:AX361" si="8126">+AU353+AU358</f>
        <v>795262.01496980013</v>
      </c>
      <c r="AV361" s="213">
        <f t="shared" si="8126"/>
        <v>795262.01496980013</v>
      </c>
      <c r="AW361" s="213">
        <f t="shared" si="8126"/>
        <v>795262.01496980013</v>
      </c>
      <c r="AX361" s="213">
        <f t="shared" si="8126"/>
        <v>795262.01496980013</v>
      </c>
      <c r="AY361" s="234">
        <f>+AU361+AV361+AW361+AX361</f>
        <v>3181048.0598792005</v>
      </c>
      <c r="AZ361" s="213">
        <f t="shared" ref="AZ361:BC361" si="8127">+AZ353+AZ358</f>
        <v>819119.87541889411</v>
      </c>
      <c r="BA361" s="213">
        <f t="shared" si="8127"/>
        <v>819119.87541889411</v>
      </c>
      <c r="BB361" s="213">
        <f t="shared" si="8127"/>
        <v>819119.87541889411</v>
      </c>
      <c r="BC361" s="213">
        <f t="shared" si="8127"/>
        <v>819119.87541889411</v>
      </c>
      <c r="BD361" s="234">
        <f>+AZ361+BA361+BB361+BC361</f>
        <v>3276479.5016755764</v>
      </c>
      <c r="BE361" s="213">
        <f t="shared" ref="BE361:BH361" si="8128">+BE353+BE358</f>
        <v>843693.47168146097</v>
      </c>
      <c r="BF361" s="213">
        <f t="shared" si="8128"/>
        <v>843693.47168146097</v>
      </c>
      <c r="BG361" s="213">
        <f t="shared" si="8128"/>
        <v>843693.47168146097</v>
      </c>
      <c r="BH361" s="213">
        <f t="shared" si="8128"/>
        <v>843693.47168146097</v>
      </c>
      <c r="BI361" s="234">
        <f>+BE361+BF361+BG361+BH361</f>
        <v>3374773.8867258439</v>
      </c>
      <c r="BJ361" s="213">
        <f t="shared" ref="BJ361:BM361" si="8129">+BJ353+BJ358</f>
        <v>869004.27583190473</v>
      </c>
      <c r="BK361" s="213">
        <f t="shared" si="8129"/>
        <v>869004.27583190473</v>
      </c>
      <c r="BL361" s="213">
        <f t="shared" si="8129"/>
        <v>869004.27583190473</v>
      </c>
      <c r="BM361" s="213">
        <f t="shared" si="8129"/>
        <v>869004.27583190473</v>
      </c>
      <c r="BN361" s="234">
        <f>+BJ361+BK361+BL361+BM361</f>
        <v>3476017.1033276189</v>
      </c>
      <c r="BO361" s="213">
        <f t="shared" ref="BO361:BR361" si="8130">+BO353+BO358</f>
        <v>895074.40410686191</v>
      </c>
      <c r="BP361" s="213">
        <f t="shared" si="8130"/>
        <v>895074.40410686191</v>
      </c>
      <c r="BQ361" s="213">
        <f t="shared" si="8130"/>
        <v>895074.40410686191</v>
      </c>
      <c r="BR361" s="213">
        <f t="shared" si="8130"/>
        <v>895074.40410686191</v>
      </c>
      <c r="BS361" s="234">
        <f>+BO361+BP361+BQ361+BR361</f>
        <v>3580297.6164274476</v>
      </c>
      <c r="BT361" s="213">
        <f t="shared" ref="BT361:BW361" si="8131">+BT353+BT358</f>
        <v>921926.6362300677</v>
      </c>
      <c r="BU361" s="213">
        <f t="shared" si="8131"/>
        <v>921926.6362300677</v>
      </c>
      <c r="BV361" s="213">
        <f t="shared" si="8131"/>
        <v>921926.6362300677</v>
      </c>
      <c r="BW361" s="213">
        <f t="shared" si="8131"/>
        <v>921926.6362300677</v>
      </c>
      <c r="BX361" s="234">
        <f>+BT361+BU361+BV361+BW361</f>
        <v>3687706.5449202708</v>
      </c>
      <c r="BY361" s="213">
        <f t="shared" ref="BY361:CB361" si="8132">+BY353+BY358</f>
        <v>949584.43531696987</v>
      </c>
      <c r="BZ361" s="213">
        <f t="shared" si="8132"/>
        <v>949584.43531696987</v>
      </c>
      <c r="CA361" s="213">
        <f t="shared" si="8132"/>
        <v>949584.43531696987</v>
      </c>
      <c r="CB361" s="213">
        <f t="shared" si="8132"/>
        <v>949584.43531696987</v>
      </c>
      <c r="CC361" s="234">
        <f>+BY361+BZ361+CA361+CB361</f>
        <v>3798337.7412678795</v>
      </c>
      <c r="CD361" s="213">
        <f t="shared" ref="CD361:CG361" si="8133">+CD353+CD358</f>
        <v>978071.96837647888</v>
      </c>
      <c r="CE361" s="213">
        <f t="shared" si="8133"/>
        <v>978071.96837647888</v>
      </c>
      <c r="CF361" s="213">
        <f t="shared" si="8133"/>
        <v>978071.96837647888</v>
      </c>
      <c r="CG361" s="213">
        <f t="shared" si="8133"/>
        <v>978071.96837647888</v>
      </c>
      <c r="CH361" s="234">
        <f>+CD361+CE361+CF361+CG361</f>
        <v>3912287.8735059155</v>
      </c>
      <c r="CI361" s="213">
        <f t="shared" ref="CI361:CL361" si="8134">+CI353+CI358</f>
        <v>1007414.1274277733</v>
      </c>
      <c r="CJ361" s="213">
        <f t="shared" si="8134"/>
        <v>1007414.1274277733</v>
      </c>
      <c r="CK361" s="213">
        <f t="shared" si="8134"/>
        <v>1007414.1274277733</v>
      </c>
      <c r="CL361" s="213">
        <f t="shared" si="8134"/>
        <v>1007414.1274277733</v>
      </c>
      <c r="CM361" s="234">
        <f>+CI361+CJ361+CK361+CL361</f>
        <v>4029656.5097110933</v>
      </c>
      <c r="CN361" s="213">
        <f t="shared" ref="CN361:CQ361" si="8135">+CN353+CN358</f>
        <v>1037636.5512506064</v>
      </c>
      <c r="CO361" s="213">
        <f t="shared" si="8135"/>
        <v>1037636.5512506064</v>
      </c>
      <c r="CP361" s="213">
        <f t="shared" si="8135"/>
        <v>1037636.5512506064</v>
      </c>
      <c r="CQ361" s="213">
        <f t="shared" si="8135"/>
        <v>1037636.5512506064</v>
      </c>
      <c r="CR361" s="234">
        <f>+CN361+CO361+CP361+CQ361</f>
        <v>4150546.2050024257</v>
      </c>
      <c r="CS361" s="213">
        <f t="shared" ref="CS361:CV361" si="8136">+CS353+CS358</f>
        <v>1068765.6477881246</v>
      </c>
      <c r="CT361" s="213">
        <f t="shared" si="8136"/>
        <v>1068765.6477881246</v>
      </c>
      <c r="CU361" s="213">
        <f t="shared" si="8136"/>
        <v>1068765.6477881246</v>
      </c>
      <c r="CV361" s="213">
        <f t="shared" si="8136"/>
        <v>1068765.6477881246</v>
      </c>
      <c r="CW361" s="234">
        <f>+CS361+CT361+CU361+CV361</f>
        <v>4275062.5911524985</v>
      </c>
      <c r="CX361" s="213">
        <f t="shared" ref="CX361:DA361" si="8137">+CX353+CX358</f>
        <v>1100828.6172217685</v>
      </c>
      <c r="CY361" s="213">
        <f t="shared" si="8137"/>
        <v>1100828.6172217685</v>
      </c>
      <c r="CZ361" s="213">
        <f t="shared" si="8137"/>
        <v>1100828.6172217685</v>
      </c>
      <c r="DA361" s="213">
        <f t="shared" si="8137"/>
        <v>1100828.6172217685</v>
      </c>
      <c r="DB361" s="234">
        <f>+CX361+CY361+CZ361+DA361</f>
        <v>4403314.4688870739</v>
      </c>
    </row>
    <row r="362" spans="1:106">
      <c r="A362" s="117" t="s">
        <v>281</v>
      </c>
      <c r="F362" s="217"/>
      <c r="K362" s="217"/>
      <c r="P362" s="217"/>
      <c r="U362" s="217"/>
      <c r="V362" s="119" t="s">
        <v>290</v>
      </c>
      <c r="W362" s="119" t="s">
        <v>290</v>
      </c>
      <c r="X362" s="119" t="s">
        <v>290</v>
      </c>
      <c r="Y362" s="119" t="s">
        <v>290</v>
      </c>
      <c r="Z362" s="235" t="s">
        <v>290</v>
      </c>
      <c r="AA362" s="13">
        <f>+AA361/V361-1</f>
        <v>3.0000000000000027E-2</v>
      </c>
      <c r="AB362" s="13">
        <f t="shared" ref="AB362" si="8138">+AB361/W361-1</f>
        <v>3.0000000000000027E-2</v>
      </c>
      <c r="AC362" s="13">
        <f t="shared" ref="AC362" si="8139">+AC361/X361-1</f>
        <v>3.0000000000000027E-2</v>
      </c>
      <c r="AD362" s="13">
        <f t="shared" ref="AD362" si="8140">+AD361/Y361-1</f>
        <v>3.0000000000000027E-2</v>
      </c>
      <c r="AE362" s="239">
        <f t="shared" ref="AE362" si="8141">+AE361/Z361-1</f>
        <v>3.0000000000000027E-2</v>
      </c>
      <c r="AF362" s="13">
        <f>+AF361/AA361-1</f>
        <v>3.0000000000000027E-2</v>
      </c>
      <c r="AG362" s="13">
        <f t="shared" ref="AG362" si="8142">+AG361/AB361-1</f>
        <v>3.0000000000000027E-2</v>
      </c>
      <c r="AH362" s="13">
        <f t="shared" ref="AH362" si="8143">+AH361/AC361-1</f>
        <v>3.0000000000000027E-2</v>
      </c>
      <c r="AI362" s="13">
        <f t="shared" ref="AI362" si="8144">+AI361/AD361-1</f>
        <v>3.0000000000000027E-2</v>
      </c>
      <c r="AJ362" s="239">
        <f t="shared" ref="AJ362" si="8145">+AJ361/AE361-1</f>
        <v>3.0000000000000027E-2</v>
      </c>
      <c r="AK362" s="13">
        <f>+AK361/AF361-1</f>
        <v>3.0000000000000027E-2</v>
      </c>
      <c r="AL362" s="13">
        <f t="shared" ref="AL362" si="8146">+AL361/AG361-1</f>
        <v>3.0000000000000027E-2</v>
      </c>
      <c r="AM362" s="13">
        <f t="shared" ref="AM362" si="8147">+AM361/AH361-1</f>
        <v>3.0000000000000027E-2</v>
      </c>
      <c r="AN362" s="13">
        <f t="shared" ref="AN362" si="8148">+AN361/AI361-1</f>
        <v>3.0000000000000027E-2</v>
      </c>
      <c r="AO362" s="239">
        <f t="shared" ref="AO362" si="8149">+AO361/AJ361-1</f>
        <v>3.0000000000000027E-2</v>
      </c>
      <c r="AP362" s="13">
        <f>+AP361/AK361-1</f>
        <v>3.0000000000000027E-2</v>
      </c>
      <c r="AQ362" s="13">
        <f t="shared" ref="AQ362" si="8150">+AQ361/AL361-1</f>
        <v>3.0000000000000027E-2</v>
      </c>
      <c r="AR362" s="13">
        <f t="shared" ref="AR362" si="8151">+AR361/AM361-1</f>
        <v>3.0000000000000027E-2</v>
      </c>
      <c r="AS362" s="13">
        <f t="shared" ref="AS362" si="8152">+AS361/AN361-1</f>
        <v>3.0000000000000027E-2</v>
      </c>
      <c r="AT362" s="239">
        <f t="shared" ref="AT362" si="8153">+AT361/AO361-1</f>
        <v>3.0000000000000027E-2</v>
      </c>
      <c r="AU362" s="13">
        <f>+AU361/AP361-1</f>
        <v>3.0000000000000027E-2</v>
      </c>
      <c r="AV362" s="13">
        <f t="shared" ref="AV362" si="8154">+AV361/AQ361-1</f>
        <v>3.0000000000000027E-2</v>
      </c>
      <c r="AW362" s="13">
        <f t="shared" ref="AW362" si="8155">+AW361/AR361-1</f>
        <v>3.0000000000000027E-2</v>
      </c>
      <c r="AX362" s="13">
        <f t="shared" ref="AX362" si="8156">+AX361/AS361-1</f>
        <v>3.0000000000000027E-2</v>
      </c>
      <c r="AY362" s="239">
        <f t="shared" ref="AY362" si="8157">+AY361/AT361-1</f>
        <v>3.0000000000000027E-2</v>
      </c>
      <c r="AZ362" s="13">
        <f>+AZ361/AU361-1</f>
        <v>3.0000000000000027E-2</v>
      </c>
      <c r="BA362" s="13">
        <f t="shared" ref="BA362" si="8158">+BA361/AV361-1</f>
        <v>3.0000000000000027E-2</v>
      </c>
      <c r="BB362" s="13">
        <f t="shared" ref="BB362" si="8159">+BB361/AW361-1</f>
        <v>3.0000000000000027E-2</v>
      </c>
      <c r="BC362" s="13">
        <f t="shared" ref="BC362" si="8160">+BC361/AX361-1</f>
        <v>3.0000000000000027E-2</v>
      </c>
      <c r="BD362" s="239">
        <f t="shared" ref="BD362" si="8161">+BD361/AY361-1</f>
        <v>3.0000000000000027E-2</v>
      </c>
      <c r="BE362" s="13">
        <f>+BE361/AZ361-1</f>
        <v>3.0000000000000027E-2</v>
      </c>
      <c r="BF362" s="13">
        <f t="shared" ref="BF362" si="8162">+BF361/BA361-1</f>
        <v>3.0000000000000027E-2</v>
      </c>
      <c r="BG362" s="13">
        <f t="shared" ref="BG362" si="8163">+BG361/BB361-1</f>
        <v>3.0000000000000027E-2</v>
      </c>
      <c r="BH362" s="13">
        <f t="shared" ref="BH362" si="8164">+BH361/BC361-1</f>
        <v>3.0000000000000027E-2</v>
      </c>
      <c r="BI362" s="239">
        <f t="shared" ref="BI362" si="8165">+BI361/BD361-1</f>
        <v>3.0000000000000027E-2</v>
      </c>
      <c r="BJ362" s="13">
        <f>+BJ361/BE361-1</f>
        <v>2.9999999999999805E-2</v>
      </c>
      <c r="BK362" s="13">
        <f t="shared" ref="BK362" si="8166">+BK361/BF361-1</f>
        <v>2.9999999999999805E-2</v>
      </c>
      <c r="BL362" s="13">
        <f t="shared" ref="BL362" si="8167">+BL361/BG361-1</f>
        <v>2.9999999999999805E-2</v>
      </c>
      <c r="BM362" s="13">
        <f t="shared" ref="BM362" si="8168">+BM361/BH361-1</f>
        <v>2.9999999999999805E-2</v>
      </c>
      <c r="BN362" s="239">
        <f t="shared" ref="BN362" si="8169">+BN361/BI361-1</f>
        <v>2.9999999999999805E-2</v>
      </c>
      <c r="BO362" s="13">
        <f>+BO361/BJ361-1</f>
        <v>3.0000000000000027E-2</v>
      </c>
      <c r="BP362" s="13">
        <f t="shared" ref="BP362" si="8170">+BP361/BK361-1</f>
        <v>3.0000000000000027E-2</v>
      </c>
      <c r="BQ362" s="13">
        <f t="shared" ref="BQ362" si="8171">+BQ361/BL361-1</f>
        <v>3.0000000000000027E-2</v>
      </c>
      <c r="BR362" s="13">
        <f t="shared" ref="BR362" si="8172">+BR361/BM361-1</f>
        <v>3.0000000000000027E-2</v>
      </c>
      <c r="BS362" s="239">
        <f t="shared" ref="BS362" si="8173">+BS361/BN361-1</f>
        <v>3.0000000000000027E-2</v>
      </c>
      <c r="BT362" s="13">
        <f>+BT361/BO361-1</f>
        <v>3.0000000000000027E-2</v>
      </c>
      <c r="BU362" s="13">
        <f t="shared" ref="BU362" si="8174">+BU361/BP361-1</f>
        <v>3.0000000000000027E-2</v>
      </c>
      <c r="BV362" s="13">
        <f t="shared" ref="BV362" si="8175">+BV361/BQ361-1</f>
        <v>3.0000000000000027E-2</v>
      </c>
      <c r="BW362" s="13">
        <f t="shared" ref="BW362" si="8176">+BW361/BR361-1</f>
        <v>3.0000000000000027E-2</v>
      </c>
      <c r="BX362" s="239">
        <f t="shared" ref="BX362" si="8177">+BX361/BS361-1</f>
        <v>3.0000000000000027E-2</v>
      </c>
      <c r="BY362" s="13">
        <f>+BY361/BT361-1</f>
        <v>3.0000000000000249E-2</v>
      </c>
      <c r="BZ362" s="13">
        <f t="shared" ref="BZ362" si="8178">+BZ361/BU361-1</f>
        <v>3.0000000000000249E-2</v>
      </c>
      <c r="CA362" s="13">
        <f t="shared" ref="CA362" si="8179">+CA361/BV361-1</f>
        <v>3.0000000000000249E-2</v>
      </c>
      <c r="CB362" s="13">
        <f t="shared" ref="CB362" si="8180">+CB361/BW361-1</f>
        <v>3.0000000000000249E-2</v>
      </c>
      <c r="CC362" s="239">
        <f t="shared" ref="CC362" si="8181">+CC361/BX361-1</f>
        <v>3.0000000000000249E-2</v>
      </c>
      <c r="CD362" s="13">
        <f>+CD361/BY361-1</f>
        <v>2.9999999999999805E-2</v>
      </c>
      <c r="CE362" s="13">
        <f t="shared" ref="CE362" si="8182">+CE361/BZ361-1</f>
        <v>2.9999999999999805E-2</v>
      </c>
      <c r="CF362" s="13">
        <f t="shared" ref="CF362" si="8183">+CF361/CA361-1</f>
        <v>2.9999999999999805E-2</v>
      </c>
      <c r="CG362" s="13">
        <f t="shared" ref="CG362" si="8184">+CG361/CB361-1</f>
        <v>2.9999999999999805E-2</v>
      </c>
      <c r="CH362" s="239">
        <f t="shared" ref="CH362" si="8185">+CH361/CC361-1</f>
        <v>2.9999999999999805E-2</v>
      </c>
      <c r="CI362" s="13">
        <f>+CI361/CD361-1</f>
        <v>3.0000000000000027E-2</v>
      </c>
      <c r="CJ362" s="13">
        <f t="shared" ref="CJ362" si="8186">+CJ361/CE361-1</f>
        <v>3.0000000000000027E-2</v>
      </c>
      <c r="CK362" s="13">
        <f t="shared" ref="CK362" si="8187">+CK361/CF361-1</f>
        <v>3.0000000000000027E-2</v>
      </c>
      <c r="CL362" s="13">
        <f t="shared" ref="CL362" si="8188">+CL361/CG361-1</f>
        <v>3.0000000000000027E-2</v>
      </c>
      <c r="CM362" s="239">
        <f t="shared" ref="CM362" si="8189">+CM361/CH361-1</f>
        <v>3.0000000000000027E-2</v>
      </c>
      <c r="CN362" s="13">
        <f>+CN361/CI361-1</f>
        <v>2.9999999999999805E-2</v>
      </c>
      <c r="CO362" s="13">
        <f t="shared" ref="CO362" si="8190">+CO361/CJ361-1</f>
        <v>2.9999999999999805E-2</v>
      </c>
      <c r="CP362" s="13">
        <f t="shared" ref="CP362" si="8191">+CP361/CK361-1</f>
        <v>2.9999999999999805E-2</v>
      </c>
      <c r="CQ362" s="13">
        <f t="shared" ref="CQ362" si="8192">+CQ361/CL361-1</f>
        <v>2.9999999999999805E-2</v>
      </c>
      <c r="CR362" s="239">
        <f t="shared" ref="CR362" si="8193">+CR361/CM361-1</f>
        <v>2.9999999999999805E-2</v>
      </c>
      <c r="CS362" s="13">
        <f>+CS361/CN361-1</f>
        <v>3.0000000000000027E-2</v>
      </c>
      <c r="CT362" s="13">
        <f t="shared" ref="CT362" si="8194">+CT361/CO361-1</f>
        <v>3.0000000000000027E-2</v>
      </c>
      <c r="CU362" s="13">
        <f t="shared" ref="CU362" si="8195">+CU361/CP361-1</f>
        <v>3.0000000000000027E-2</v>
      </c>
      <c r="CV362" s="13">
        <f t="shared" ref="CV362" si="8196">+CV361/CQ361-1</f>
        <v>3.0000000000000027E-2</v>
      </c>
      <c r="CW362" s="239">
        <f t="shared" ref="CW362" si="8197">+CW361/CR361-1</f>
        <v>3.0000000000000027E-2</v>
      </c>
      <c r="CX362" s="13">
        <f>+CX361/CS361-1</f>
        <v>3.0000000000000027E-2</v>
      </c>
      <c r="CY362" s="13">
        <f t="shared" ref="CY362" si="8198">+CY361/CT361-1</f>
        <v>3.0000000000000027E-2</v>
      </c>
      <c r="CZ362" s="13">
        <f t="shared" ref="CZ362" si="8199">+CZ361/CU361-1</f>
        <v>3.0000000000000027E-2</v>
      </c>
      <c r="DA362" s="13">
        <f t="shared" ref="DA362" si="8200">+DA361/CV361-1</f>
        <v>3.0000000000000027E-2</v>
      </c>
      <c r="DB362" s="239">
        <f t="shared" ref="DB362" si="8201">+DB361/CW361-1</f>
        <v>3.0000000000000027E-2</v>
      </c>
    </row>
    <row r="363" spans="1:106">
      <c r="F363" s="217"/>
      <c r="K363" s="217"/>
      <c r="P363" s="217"/>
      <c r="U363" s="217"/>
      <c r="Z363" s="217"/>
      <c r="AE363" s="217"/>
      <c r="AJ363" s="217"/>
      <c r="AO363" s="217"/>
      <c r="AT363" s="217"/>
      <c r="AY363" s="217"/>
      <c r="BD363" s="217"/>
      <c r="BI363" s="217"/>
      <c r="BN363" s="217"/>
      <c r="BS363" s="217"/>
      <c r="BX363" s="217"/>
      <c r="CC363" s="217"/>
      <c r="CH363" s="217"/>
      <c r="CM363" s="217"/>
      <c r="CR363" s="217"/>
      <c r="CW363" s="217"/>
      <c r="DB363" s="217"/>
    </row>
    <row r="364" spans="1:106" s="51" customFormat="1">
      <c r="A364" s="51" t="s">
        <v>335</v>
      </c>
      <c r="F364" s="233"/>
      <c r="K364" s="233"/>
      <c r="P364" s="233"/>
      <c r="U364" s="233"/>
      <c r="V364" s="213">
        <f>+V361*V367</f>
        <v>0</v>
      </c>
      <c r="W364" s="213">
        <f t="shared" ref="W364:Y364" si="8202">+W361*W367</f>
        <v>0</v>
      </c>
      <c r="X364" s="213">
        <f t="shared" si="8202"/>
        <v>0</v>
      </c>
      <c r="Y364" s="213">
        <f t="shared" si="8202"/>
        <v>0</v>
      </c>
      <c r="Z364" s="234">
        <f>+V364+W364+X364+Y364</f>
        <v>0</v>
      </c>
      <c r="AA364" s="213">
        <f>+AA361*AA367</f>
        <v>0</v>
      </c>
      <c r="AB364" s="213">
        <f t="shared" ref="AB364:AC364" si="8203">+AB361*AB367</f>
        <v>0</v>
      </c>
      <c r="AC364" s="213">
        <f t="shared" si="8203"/>
        <v>0</v>
      </c>
      <c r="AD364" s="213">
        <f>+AD361*AD367</f>
        <v>0</v>
      </c>
      <c r="AE364" s="234">
        <f>+AA364+AB364+AC364+AD364</f>
        <v>0</v>
      </c>
      <c r="AF364" s="213">
        <f>+AF361*AF367</f>
        <v>0</v>
      </c>
      <c r="AG364" s="213">
        <f t="shared" ref="AG364:AI364" si="8204">+AG361*AG367</f>
        <v>0</v>
      </c>
      <c r="AH364" s="213">
        <f>+AH361*AH367</f>
        <v>2183.3322000000003</v>
      </c>
      <c r="AI364" s="213">
        <f t="shared" si="8204"/>
        <v>4366.6644000000006</v>
      </c>
      <c r="AJ364" s="234">
        <f>+AF364+AG364+AH364+AI364</f>
        <v>6549.9966000000004</v>
      </c>
      <c r="AK364" s="213">
        <f>+AK361*AK367</f>
        <v>7496.1072200000008</v>
      </c>
      <c r="AL364" s="213">
        <f t="shared" ref="AL364:AN364" si="8205">+AL361*AL367</f>
        <v>13492.992996000001</v>
      </c>
      <c r="AM364" s="213">
        <f t="shared" si="8205"/>
        <v>13492.992996000001</v>
      </c>
      <c r="AN364" s="213">
        <f t="shared" si="8205"/>
        <v>14992.214440000002</v>
      </c>
      <c r="AO364" s="234">
        <f>+AK364+AL364+AM364+AN364</f>
        <v>49474.30765200001</v>
      </c>
      <c r="AP364" s="213">
        <f>+AP361*AP367</f>
        <v>16986.178960519999</v>
      </c>
      <c r="AQ364" s="213">
        <f>+AQ330</f>
        <v>25600</v>
      </c>
      <c r="AR364" s="213">
        <f>+AR330</f>
        <v>31400</v>
      </c>
      <c r="AS364" s="213">
        <f>+AS330</f>
        <v>37156.719812950003</v>
      </c>
      <c r="AT364" s="234">
        <f>+AP364+AQ364+AR364+AS364</f>
        <v>111142.89877347001</v>
      </c>
      <c r="AU364" s="213">
        <f>+AU330</f>
        <v>45236.353425738125</v>
      </c>
      <c r="AV364" s="213">
        <f>+AV330</f>
        <v>51968.523517888752</v>
      </c>
      <c r="AW364" s="213">
        <f>+AW330</f>
        <v>59120.829573240131</v>
      </c>
      <c r="AX364" s="213">
        <f>+AX330</f>
        <v>65065.373702342491</v>
      </c>
      <c r="AY364" s="234">
        <f>+AU364+AV364+AW364+AX364</f>
        <v>221391.08021920949</v>
      </c>
      <c r="AZ364" s="213">
        <f>+AZ330</f>
        <v>67703.55376908496</v>
      </c>
      <c r="BA364" s="213">
        <f>+BA330</f>
        <v>76374.402688416623</v>
      </c>
      <c r="BB364" s="213">
        <f>+BB330</f>
        <v>82435.251607748272</v>
      </c>
      <c r="BC364" s="213">
        <f>+BC330</f>
        <v>87568.553954761737</v>
      </c>
      <c r="BD364" s="234">
        <f>+AZ364+BA364+BB364+BC364</f>
        <v>314081.76202001155</v>
      </c>
      <c r="BE364" s="213">
        <f>+BE330</f>
        <v>95632.410994746926</v>
      </c>
      <c r="BF364" s="213">
        <f>+BF330</f>
        <v>108215.83111130353</v>
      </c>
      <c r="BG364" s="213">
        <f>+BG330</f>
        <v>123869.09212145262</v>
      </c>
      <c r="BH364" s="213">
        <f>+BH330</f>
        <v>137458.06899856802</v>
      </c>
      <c r="BI364" s="234">
        <f>+BE364+BF364+BG364+BH364</f>
        <v>465175.40322607104</v>
      </c>
      <c r="BJ364" s="213">
        <f>+BJ361*BJ367</f>
        <v>149468.73544308761</v>
      </c>
      <c r="BK364" s="213">
        <f t="shared" ref="BK364:BM364" si="8206">+BK361*BK367</f>
        <v>152075.74827058331</v>
      </c>
      <c r="BL364" s="213">
        <f t="shared" si="8206"/>
        <v>158158.77820140665</v>
      </c>
      <c r="BM364" s="213">
        <f t="shared" si="8206"/>
        <v>166848.82095972571</v>
      </c>
      <c r="BN364" s="234">
        <f>+BJ364+BK364+BL364+BM364</f>
        <v>626552.08287480334</v>
      </c>
      <c r="BO364" s="213">
        <f>+BO361*BO367</f>
        <v>177224.73201315867</v>
      </c>
      <c r="BP364" s="213">
        <f t="shared" ref="BP364:BR364" si="8207">+BP361*BP367</f>
        <v>182595.17843779986</v>
      </c>
      <c r="BQ364" s="213">
        <f t="shared" si="8207"/>
        <v>187965.62486244101</v>
      </c>
      <c r="BR364" s="213">
        <f t="shared" si="8207"/>
        <v>193336.07128708219</v>
      </c>
      <c r="BS364" s="234">
        <f>+BO364+BP364+BQ364+BR364</f>
        <v>741121.60660048167</v>
      </c>
      <c r="BT364" s="213">
        <f>+BT361*BT367</f>
        <v>206511.5665155352</v>
      </c>
      <c r="BU364" s="213">
        <f t="shared" ref="BU364:BW364" si="8208">+BU361*BU367</f>
        <v>213886.97960537573</v>
      </c>
      <c r="BV364" s="213">
        <f t="shared" si="8208"/>
        <v>221262.39269521629</v>
      </c>
      <c r="BW364" s="213">
        <f t="shared" si="8208"/>
        <v>228637.80578505684</v>
      </c>
      <c r="BX364" s="234">
        <f>+BT364+BU364+BV364+BW364</f>
        <v>870298.74460118404</v>
      </c>
      <c r="BY364" s="213">
        <f>+BY361*BY367</f>
        <v>243093.61544114436</v>
      </c>
      <c r="BZ364" s="213">
        <f t="shared" ref="BZ364:CB364" si="8209">+BZ361*BZ367</f>
        <v>250690.29092368012</v>
      </c>
      <c r="CA364" s="213">
        <f t="shared" si="8209"/>
        <v>258286.96640621588</v>
      </c>
      <c r="CB364" s="213">
        <f t="shared" si="8209"/>
        <v>265883.64188875165</v>
      </c>
      <c r="CC364" s="234">
        <f>+BY364+BZ364+CA364+CB364</f>
        <v>1017954.5146597921</v>
      </c>
      <c r="CD364" s="213">
        <f>+CD361*CD367</f>
        <v>281684.72689242603</v>
      </c>
      <c r="CE364" s="213">
        <f t="shared" ref="CE364:CG364" si="8210">+CE361*CE367</f>
        <v>289509.30263943784</v>
      </c>
      <c r="CF364" s="213">
        <f t="shared" si="8210"/>
        <v>297333.87838644971</v>
      </c>
      <c r="CG364" s="213">
        <f t="shared" si="8210"/>
        <v>305158.45413346152</v>
      </c>
      <c r="CH364" s="234">
        <f>+CD364+CE364+CF364+CG364</f>
        <v>1173686.362051775</v>
      </c>
      <c r="CI364" s="213">
        <f>+CI361*CI367</f>
        <v>319350.27839460428</v>
      </c>
      <c r="CJ364" s="213">
        <f t="shared" ref="CJ364:CL364" si="8211">+CJ361*CJ367</f>
        <v>324387.34903174313</v>
      </c>
      <c r="CK364" s="213">
        <f t="shared" si="8211"/>
        <v>329424.41966888198</v>
      </c>
      <c r="CL364" s="213">
        <f t="shared" si="8211"/>
        <v>334461.49030602089</v>
      </c>
      <c r="CM364" s="234">
        <f>+CI364+CJ364+CK364+CL364</f>
        <v>1307623.5374012503</v>
      </c>
      <c r="CN364" s="213">
        <f>+CN361*CN367</f>
        <v>349683.51777145453</v>
      </c>
      <c r="CO364" s="213">
        <f t="shared" ref="CO364:CQ364" si="8212">+CO361*CO367</f>
        <v>354871.70052770752</v>
      </c>
      <c r="CP364" s="213">
        <f t="shared" si="8212"/>
        <v>360059.88328396057</v>
      </c>
      <c r="CQ364" s="213">
        <f t="shared" si="8212"/>
        <v>365248.06604021363</v>
      </c>
      <c r="CR364" s="234">
        <f>+CN364+CO364+CP364+CQ364</f>
        <v>1429863.1676233364</v>
      </c>
      <c r="CS364" s="213">
        <f>+CS361*CS367</f>
        <v>381549.33626036067</v>
      </c>
      <c r="CT364" s="213">
        <f t="shared" ref="CT364:CV364" si="8213">+CT361*CT367</f>
        <v>386893.16449930129</v>
      </c>
      <c r="CU364" s="213">
        <f t="shared" si="8213"/>
        <v>392236.99273824191</v>
      </c>
      <c r="CV364" s="213">
        <f t="shared" si="8213"/>
        <v>397580.82097718253</v>
      </c>
      <c r="CW364" s="234">
        <f>+CS364+CT364+CU364+CV364</f>
        <v>1558260.3144750865</v>
      </c>
      <c r="CX364" s="213">
        <f>+CX361*CX367</f>
        <v>412260.31714955246</v>
      </c>
      <c r="CY364" s="213">
        <f t="shared" ref="CY364:DA364" si="8214">+CY361*CY367</f>
        <v>415012.38869260688</v>
      </c>
      <c r="CZ364" s="213">
        <f t="shared" si="8214"/>
        <v>417764.4602356613</v>
      </c>
      <c r="DA364" s="213">
        <f t="shared" si="8214"/>
        <v>420516.53177871573</v>
      </c>
      <c r="DB364" s="234">
        <f>+CX364+CY364+CZ364+DA364</f>
        <v>1665553.6978565364</v>
      </c>
    </row>
    <row r="365" spans="1:106">
      <c r="A365" s="117" t="s">
        <v>281</v>
      </c>
      <c r="F365" s="217"/>
      <c r="K365" s="217"/>
      <c r="P365" s="217"/>
      <c r="U365" s="217"/>
      <c r="V365" s="119" t="s">
        <v>290</v>
      </c>
      <c r="W365" s="119" t="s">
        <v>290</v>
      </c>
      <c r="X365" s="119" t="s">
        <v>290</v>
      </c>
      <c r="Y365" s="119" t="s">
        <v>290</v>
      </c>
      <c r="Z365" s="235" t="s">
        <v>290</v>
      </c>
      <c r="AA365" s="13" t="e">
        <f>+AA364/V364-1</f>
        <v>#DIV/0!</v>
      </c>
      <c r="AB365" s="13" t="e">
        <f t="shared" ref="AB365" si="8215">+AB364/W364-1</f>
        <v>#DIV/0!</v>
      </c>
      <c r="AC365" s="13" t="e">
        <f t="shared" ref="AC365" si="8216">+AC364/X364-1</f>
        <v>#DIV/0!</v>
      </c>
      <c r="AD365" s="13" t="e">
        <f t="shared" ref="AD365" si="8217">+AD364/Y364-1</f>
        <v>#DIV/0!</v>
      </c>
      <c r="AE365" s="239" t="e">
        <f t="shared" ref="AE365" si="8218">+AE364/Z364-1</f>
        <v>#DIV/0!</v>
      </c>
      <c r="AF365" s="13" t="e">
        <f>+AF364/AA364-1</f>
        <v>#DIV/0!</v>
      </c>
      <c r="AG365" s="13" t="e">
        <f t="shared" ref="AG365" si="8219">+AG364/AB364-1</f>
        <v>#DIV/0!</v>
      </c>
      <c r="AH365" s="13" t="e">
        <f t="shared" ref="AH365" si="8220">+AH364/AC364-1</f>
        <v>#DIV/0!</v>
      </c>
      <c r="AI365" s="13" t="e">
        <f t="shared" ref="AI365" si="8221">+AI364/AD364-1</f>
        <v>#DIV/0!</v>
      </c>
      <c r="AJ365" s="239" t="e">
        <f t="shared" ref="AJ365" si="8222">+AJ364/AE364-1</f>
        <v>#DIV/0!</v>
      </c>
      <c r="AK365" s="13" t="e">
        <f>+AK364/AF364-1</f>
        <v>#DIV/0!</v>
      </c>
      <c r="AL365" s="13" t="e">
        <f t="shared" ref="AL365" si="8223">+AL364/AG364-1</f>
        <v>#DIV/0!</v>
      </c>
      <c r="AM365" s="13">
        <f t="shared" ref="AM365" si="8224">+AM364/AH364-1</f>
        <v>5.18</v>
      </c>
      <c r="AN365" s="13">
        <f t="shared" ref="AN365" si="8225">+AN364/AI364-1</f>
        <v>2.4333333333333331</v>
      </c>
      <c r="AO365" s="239">
        <f t="shared" ref="AO365" si="8226">+AO364/AJ364-1</f>
        <v>6.5533333333333346</v>
      </c>
      <c r="AP365" s="13">
        <f>+AP364/AK364-1</f>
        <v>1.2659999999999996</v>
      </c>
      <c r="AQ365" s="13">
        <f t="shared" ref="AQ365" si="8227">+AQ364/AL364-1</f>
        <v>0.89728105599618435</v>
      </c>
      <c r="AR365" s="13">
        <f t="shared" ref="AR365" si="8228">+AR364/AM364-1</f>
        <v>1.3271337952453197</v>
      </c>
      <c r="AS365" s="13">
        <f t="shared" ref="AS365" si="8229">+AS364/AN364-1</f>
        <v>1.4784010368617699</v>
      </c>
      <c r="AT365" s="239">
        <f t="shared" ref="AT365" si="8230">+AT364/AO364-1</f>
        <v>1.2464770918118555</v>
      </c>
      <c r="AU365" s="13">
        <f t="shared" ref="AU365" si="8231">+AU364/AP364-1</f>
        <v>1.6631270947326287</v>
      </c>
      <c r="AV365" s="13">
        <f t="shared" ref="AV365" si="8232">+AV364/AQ364-1</f>
        <v>1.0300204499175294</v>
      </c>
      <c r="AW365" s="13">
        <f t="shared" ref="AW365" si="8233">+AW364/AR364-1</f>
        <v>0.88282896730064109</v>
      </c>
      <c r="AX365" s="13">
        <f t="shared" ref="AX365" si="8234">+AX364/AS364-1</f>
        <v>0.7511065032082207</v>
      </c>
      <c r="AY365" s="239">
        <f t="shared" ref="AY365" si="8235">+AY364/AT364-1</f>
        <v>0.99194984711030321</v>
      </c>
      <c r="AZ365" s="13">
        <f t="shared" ref="AZ365" si="8236">+AZ364/AU364-1</f>
        <v>0.49666249911655513</v>
      </c>
      <c r="BA365" s="13">
        <f t="shared" ref="BA365" si="8237">+BA364/AV364-1</f>
        <v>0.46962810406046662</v>
      </c>
      <c r="BB365" s="13">
        <f t="shared" ref="BB365" si="8238">+BB364/AW364-1</f>
        <v>0.39435207866333721</v>
      </c>
      <c r="BC365" s="13">
        <f t="shared" ref="BC365" si="8239">+BC364/AX364-1</f>
        <v>0.34585492977210208</v>
      </c>
      <c r="BD365" s="239">
        <f t="shared" ref="BD365" si="8240">+BD364/AY364-1</f>
        <v>0.4186739669413273</v>
      </c>
      <c r="BE365" s="13">
        <f>+BE364/AZ364-1</f>
        <v>0.41251685725269782</v>
      </c>
      <c r="BF365" s="13">
        <f t="shared" ref="BF365" si="8241">+BF364/BA364-1</f>
        <v>0.4169123070302736</v>
      </c>
      <c r="BG365" s="13">
        <f t="shared" ref="BG365" si="8242">+BG364/BB364-1</f>
        <v>0.50262284284469727</v>
      </c>
      <c r="BH365" s="13">
        <f t="shared" ref="BH365" si="8243">+BH364/BC364-1</f>
        <v>0.5697195259108585</v>
      </c>
      <c r="BI365" s="239">
        <f t="shared" ref="BI365" si="8244">+BI364/BD364-1</f>
        <v>0.48106467638968686</v>
      </c>
      <c r="BJ365" s="13">
        <f>+BJ364/BE364-1</f>
        <v>0.56295061358745735</v>
      </c>
      <c r="BK365" s="13">
        <f t="shared" ref="BK365" si="8245">+BK364/BF364-1</f>
        <v>0.40530037711551103</v>
      </c>
      <c r="BL365" s="13">
        <f t="shared" ref="BL365" si="8246">+BL364/BG364-1</f>
        <v>0.27682196981256046</v>
      </c>
      <c r="BM365" s="13">
        <f t="shared" ref="BM365" si="8247">+BM364/BH364-1</f>
        <v>0.21381612716721543</v>
      </c>
      <c r="BN365" s="239">
        <f t="shared" ref="BN365" si="8248">+BN364/BI364-1</f>
        <v>0.34691576237599286</v>
      </c>
      <c r="BO365" s="13">
        <f>+BO364/BJ364-1</f>
        <v>0.18569767441860474</v>
      </c>
      <c r="BP365" s="13">
        <f t="shared" ref="BP365" si="8249">+BP364/BK364-1</f>
        <v>0.20068571428571458</v>
      </c>
      <c r="BQ365" s="13">
        <f t="shared" ref="BQ365" si="8250">+BQ364/BL364-1</f>
        <v>0.18846153846153868</v>
      </c>
      <c r="BR365" s="13">
        <f t="shared" ref="BR365" si="8251">+BR364/BM364-1</f>
        <v>0.15875000000000017</v>
      </c>
      <c r="BS365" s="239">
        <f t="shared" ref="BS365" si="8252">+BS364/BN364-1</f>
        <v>0.18285714285714283</v>
      </c>
      <c r="BT365" s="13">
        <f>+BT364/BO364-1</f>
        <v>0.16525252525252521</v>
      </c>
      <c r="BU365" s="13">
        <f t="shared" ref="BU365" si="8253">+BU364/BP364-1</f>
        <v>0.17137254901960763</v>
      </c>
      <c r="BV365" s="13">
        <f t="shared" ref="BV365" si="8254">+BV364/BQ364-1</f>
        <v>0.17714285714285727</v>
      </c>
      <c r="BW365" s="13">
        <f t="shared" ref="BW365" si="8255">+BW364/BR364-1</f>
        <v>0.18259259259259264</v>
      </c>
      <c r="BX365" s="239">
        <f t="shared" ref="BX365" si="8256">+BX364/BS364-1</f>
        <v>0.17429951690821266</v>
      </c>
      <c r="BY365" s="13">
        <f>+BY364/BT364-1</f>
        <v>0.17714285714285749</v>
      </c>
      <c r="BZ365" s="13">
        <f t="shared" ref="BZ365" si="8257">+BZ364/BU364-1</f>
        <v>0.17206896551724182</v>
      </c>
      <c r="CA365" s="13">
        <f t="shared" ref="CA365" si="8258">+CA364/BV364-1</f>
        <v>0.16733333333333356</v>
      </c>
      <c r="CB365" s="13">
        <f t="shared" ref="CB365" si="8259">+CB364/BW364-1</f>
        <v>0.16290322580645178</v>
      </c>
      <c r="CC365" s="239">
        <f t="shared" ref="CC365" si="8260">+CC364/BX364-1</f>
        <v>0.16966101694915303</v>
      </c>
      <c r="CD365" s="13">
        <f>+CD364/BY364-1</f>
        <v>0.15874999999999995</v>
      </c>
      <c r="CE365" s="13">
        <f t="shared" ref="CE365" si="8261">+CE364/BZ364-1</f>
        <v>0.15484848484848479</v>
      </c>
      <c r="CF365" s="13">
        <f t="shared" ref="CF365" si="8262">+CF364/CA364-1</f>
        <v>0.15117647058823525</v>
      </c>
      <c r="CG365" s="13">
        <f t="shared" ref="CG365" si="8263">+CG364/CB364-1</f>
        <v>0.14771428571428569</v>
      </c>
      <c r="CH365" s="239">
        <f t="shared" ref="CH365" si="8264">+CH364/CC364-1</f>
        <v>0.1529850746268655</v>
      </c>
      <c r="CI365" s="13">
        <f>+CI364/CD364-1</f>
        <v>0.13371527777777792</v>
      </c>
      <c r="CJ365" s="13">
        <f t="shared" ref="CJ365" si="8265">+CJ364/CE364-1</f>
        <v>0.12047297297297321</v>
      </c>
      <c r="CK365" s="13">
        <f t="shared" ref="CK365" si="8266">+CK364/CF364-1</f>
        <v>0.10792763157894725</v>
      </c>
      <c r="CL365" s="13">
        <f t="shared" ref="CL365" si="8267">+CL364/CG364-1</f>
        <v>9.6025641025641262E-2</v>
      </c>
      <c r="CM365" s="239">
        <f t="shared" ref="CM365" si="8268">+CM364/CH364-1</f>
        <v>0.11411666666666687</v>
      </c>
      <c r="CN365" s="13">
        <f>+CN364/CI364-1</f>
        <v>9.4984227129337517E-2</v>
      </c>
      <c r="CO365" s="13">
        <f t="shared" ref="CO365" si="8269">+CO364/CJ364-1</f>
        <v>9.3975155279502953E-2</v>
      </c>
      <c r="CP365" s="13">
        <f t="shared" ref="CP365" si="8270">+CP364/CK364-1</f>
        <v>9.2996941896024365E-2</v>
      </c>
      <c r="CQ365" s="13">
        <f t="shared" ref="CQ365" si="8271">+CQ364/CL364-1</f>
        <v>9.2048192771084336E-2</v>
      </c>
      <c r="CR365" s="239">
        <f t="shared" ref="CR365" si="8272">+CR364/CM364-1</f>
        <v>9.3482280431433029E-2</v>
      </c>
      <c r="CS365" s="13">
        <f>+CS364/CN364-1</f>
        <v>9.1127596439169123E-2</v>
      </c>
      <c r="CT365" s="13">
        <f t="shared" ref="CT365" si="8273">+CT364/CO364-1</f>
        <v>9.0233918128655111E-2</v>
      </c>
      <c r="CU365" s="13">
        <f t="shared" ref="CU365" si="8274">+CU364/CP364-1</f>
        <v>8.9365994236311197E-2</v>
      </c>
      <c r="CV365" s="13">
        <f t="shared" ref="CV365" si="8275">+CV364/CQ364-1</f>
        <v>8.8522727272727364E-2</v>
      </c>
      <c r="CW365" s="239">
        <f t="shared" ref="CW365" si="8276">+CW364/CR364-1</f>
        <v>8.9796806966618181E-2</v>
      </c>
      <c r="CX365" s="13">
        <f>+CX364/CS364-1</f>
        <v>8.0490196078431442E-2</v>
      </c>
      <c r="CY365" s="13">
        <f t="shared" ref="CY365" si="8277">+CY364/CT364-1</f>
        <v>7.267955801104975E-2</v>
      </c>
      <c r="CZ365" s="13">
        <f t="shared" ref="CZ365" si="8278">+CZ364/CU364-1</f>
        <v>6.5081743869209951E-2</v>
      </c>
      <c r="DA365" s="13">
        <f t="shared" ref="DA365" si="8279">+DA364/CV364-1</f>
        <v>5.768817204301091E-2</v>
      </c>
      <c r="DB365" s="239">
        <f t="shared" ref="DB365" si="8280">+DB364/CW364-1</f>
        <v>6.8854595336076851E-2</v>
      </c>
    </row>
    <row r="366" spans="1:106">
      <c r="A366" s="117" t="s">
        <v>288</v>
      </c>
      <c r="F366" s="217"/>
      <c r="K366" s="217"/>
      <c r="P366" s="217"/>
      <c r="U366" s="217"/>
      <c r="V366" s="119" t="s">
        <v>290</v>
      </c>
      <c r="W366" s="13" t="e">
        <f>+W364/V364-1</f>
        <v>#DIV/0!</v>
      </c>
      <c r="X366" s="13" t="e">
        <f t="shared" ref="X366:Y366" si="8281">+X364/W364-1</f>
        <v>#DIV/0!</v>
      </c>
      <c r="Y366" s="13" t="e">
        <f t="shared" si="8281"/>
        <v>#DIV/0!</v>
      </c>
      <c r="Z366" s="235" t="s">
        <v>290</v>
      </c>
      <c r="AA366" s="13" t="e">
        <f>+AA364/Y364-1</f>
        <v>#DIV/0!</v>
      </c>
      <c r="AB366" s="13" t="e">
        <f>+AB364/AA364-1</f>
        <v>#DIV/0!</v>
      </c>
      <c r="AC366" s="13" t="e">
        <f t="shared" ref="AC366:AD366" si="8282">+AC364/AB364-1</f>
        <v>#DIV/0!</v>
      </c>
      <c r="AD366" s="13" t="e">
        <f t="shared" si="8282"/>
        <v>#DIV/0!</v>
      </c>
      <c r="AE366" s="235" t="s">
        <v>290</v>
      </c>
      <c r="AF366" s="13" t="e">
        <f>+AF364/AD364-1</f>
        <v>#DIV/0!</v>
      </c>
      <c r="AG366" s="13" t="e">
        <f>+AG364/AF364-1</f>
        <v>#DIV/0!</v>
      </c>
      <c r="AH366" s="13" t="e">
        <f t="shared" ref="AH366:AI366" si="8283">+AH364/AG364-1</f>
        <v>#DIV/0!</v>
      </c>
      <c r="AI366" s="13">
        <f t="shared" si="8283"/>
        <v>1</v>
      </c>
      <c r="AJ366" s="235" t="s">
        <v>290</v>
      </c>
      <c r="AK366" s="13">
        <f>+AK364/AI364-1</f>
        <v>0.71666666666666656</v>
      </c>
      <c r="AL366" s="13">
        <f>+AL364/AK364-1</f>
        <v>0.79999999999999982</v>
      </c>
      <c r="AM366" s="13">
        <f t="shared" ref="AM366:AN366" si="8284">+AM364/AL364-1</f>
        <v>0</v>
      </c>
      <c r="AN366" s="13">
        <f t="shared" si="8284"/>
        <v>0.11111111111111116</v>
      </c>
      <c r="AO366" s="235" t="s">
        <v>290</v>
      </c>
      <c r="AP366" s="13">
        <f>+AP364/AN364-1</f>
        <v>0.13299999999999979</v>
      </c>
      <c r="AQ366" s="13">
        <f>+AQ364/AP364-1</f>
        <v>0.50710763494842537</v>
      </c>
      <c r="AR366" s="13">
        <f t="shared" ref="AR366:AS366" si="8285">+AR364/AQ364-1</f>
        <v>0.2265625</v>
      </c>
      <c r="AS366" s="13">
        <f t="shared" si="8285"/>
        <v>0.1833350258901274</v>
      </c>
      <c r="AT366" s="235" t="s">
        <v>290</v>
      </c>
      <c r="AU366" s="13">
        <f t="shared" ref="AU366:AX366" si="8286">+AU364/AT364-1</f>
        <v>-0.59298926044804479</v>
      </c>
      <c r="AV366" s="13">
        <f t="shared" si="8286"/>
        <v>0.14882212164166675</v>
      </c>
      <c r="AW366" s="13">
        <f t="shared" si="8286"/>
        <v>0.13762765557288525</v>
      </c>
      <c r="AX366" s="13">
        <f t="shared" si="8286"/>
        <v>0.10054906488986481</v>
      </c>
      <c r="AY366" s="235" t="s">
        <v>290</v>
      </c>
      <c r="AZ366" s="13">
        <f t="shared" ref="AZ366:BC366" si="8287">+AZ364/AY364-1</f>
        <v>-0.69419023701384641</v>
      </c>
      <c r="BA366" s="13">
        <f t="shared" si="8287"/>
        <v>0.12807080923558511</v>
      </c>
      <c r="BB366" s="13">
        <f t="shared" si="8287"/>
        <v>7.9357071295967918E-2</v>
      </c>
      <c r="BC366" s="13">
        <f t="shared" si="8287"/>
        <v>6.2270718496005406E-2</v>
      </c>
      <c r="BD366" s="235" t="s">
        <v>290</v>
      </c>
      <c r="BE366" s="13">
        <f>+BE364/BC364-1</f>
        <v>9.2086219034186678E-2</v>
      </c>
      <c r="BF366" s="13">
        <f>+BF364/BE364-1</f>
        <v>0.13158112386445864</v>
      </c>
      <c r="BG366" s="13">
        <f t="shared" ref="BG366:BH366" si="8288">+BG364/BF364-1</f>
        <v>0.14464853108275078</v>
      </c>
      <c r="BH366" s="13">
        <f t="shared" si="8288"/>
        <v>0.10970433902745924</v>
      </c>
      <c r="BI366" s="235" t="s">
        <v>290</v>
      </c>
      <c r="BJ366" s="13">
        <f>+BJ364/BH364-1</f>
        <v>8.7376947253963833E-2</v>
      </c>
      <c r="BK366" s="13">
        <f>+BK364/BJ364-1</f>
        <v>1.7441860465116088E-2</v>
      </c>
      <c r="BL366" s="13">
        <f t="shared" ref="BL366:BM366" si="8289">+BL364/BK364-1</f>
        <v>4.0000000000000036E-2</v>
      </c>
      <c r="BM366" s="13">
        <f t="shared" si="8289"/>
        <v>5.4945054945054972E-2</v>
      </c>
      <c r="BN366" s="235" t="s">
        <v>290</v>
      </c>
      <c r="BO366" s="13">
        <f>+BO364/BM364-1</f>
        <v>6.2187500000000062E-2</v>
      </c>
      <c r="BP366" s="13">
        <f>+BP364/BO364-1</f>
        <v>3.0303030303030276E-2</v>
      </c>
      <c r="BQ366" s="13">
        <f t="shared" ref="BQ366:BR366" si="8290">+BQ364/BP364-1</f>
        <v>2.9411764705882248E-2</v>
      </c>
      <c r="BR366" s="13">
        <f t="shared" si="8290"/>
        <v>2.8571428571428692E-2</v>
      </c>
      <c r="BS366" s="235" t="s">
        <v>290</v>
      </c>
      <c r="BT366" s="13">
        <f>+BT364/BR364-1</f>
        <v>6.8148148148148291E-2</v>
      </c>
      <c r="BU366" s="13">
        <f>+BU364/BT364-1</f>
        <v>3.5714285714285587E-2</v>
      </c>
      <c r="BV366" s="13">
        <f t="shared" ref="BV366:BW366" si="8291">+BV364/BU364-1</f>
        <v>3.4482758620689724E-2</v>
      </c>
      <c r="BW366" s="13">
        <f t="shared" si="8291"/>
        <v>3.3333333333333437E-2</v>
      </c>
      <c r="BX366" s="235" t="s">
        <v>290</v>
      </c>
      <c r="BY366" s="13">
        <f>+BY364/BW364-1</f>
        <v>6.3225806451613131E-2</v>
      </c>
      <c r="BZ366" s="13">
        <f>+BZ364/BY364-1</f>
        <v>3.125E-2</v>
      </c>
      <c r="CA366" s="13">
        <f t="shared" ref="CA366:CB366" si="8292">+CA364/BZ364-1</f>
        <v>3.0303030303030276E-2</v>
      </c>
      <c r="CB366" s="13">
        <f t="shared" si="8292"/>
        <v>2.941176470588247E-2</v>
      </c>
      <c r="CC366" s="235" t="s">
        <v>290</v>
      </c>
      <c r="CD366" s="13">
        <f>+CD364/CB364-1</f>
        <v>5.9428571428571386E-2</v>
      </c>
      <c r="CE366" s="13">
        <f>+CE364/CD364-1</f>
        <v>2.7777777777777679E-2</v>
      </c>
      <c r="CF366" s="13">
        <f t="shared" ref="CF366:CG366" si="8293">+CF364/CE364-1</f>
        <v>2.7027027027027195E-2</v>
      </c>
      <c r="CG366" s="13">
        <f t="shared" si="8293"/>
        <v>2.631578947368407E-2</v>
      </c>
      <c r="CH366" s="235" t="s">
        <v>290</v>
      </c>
      <c r="CI366" s="13">
        <f>+CI364/CG364-1</f>
        <v>4.6506410256410335E-2</v>
      </c>
      <c r="CJ366" s="13">
        <f>+CJ364/CI364-1</f>
        <v>1.577287066246047E-2</v>
      </c>
      <c r="CK366" s="13">
        <f t="shared" ref="CK366:CL366" si="8294">+CK364/CJ364-1</f>
        <v>1.552795031055898E-2</v>
      </c>
      <c r="CL366" s="13">
        <f t="shared" si="8294"/>
        <v>1.5290519877676045E-2</v>
      </c>
      <c r="CM366" s="235" t="s">
        <v>290</v>
      </c>
      <c r="CN366" s="13">
        <f>+CN364/CL364-1</f>
        <v>4.5512048192771104E-2</v>
      </c>
      <c r="CO366" s="13">
        <f>+CO364/CN364-1</f>
        <v>1.4836795252225476E-2</v>
      </c>
      <c r="CP366" s="13">
        <f t="shared" ref="CP366:CQ366" si="8295">+CP364/CO364-1</f>
        <v>1.4619883040935644E-2</v>
      </c>
      <c r="CQ366" s="13">
        <f t="shared" si="8295"/>
        <v>1.4409221902017322E-2</v>
      </c>
      <c r="CR366" s="235" t="s">
        <v>290</v>
      </c>
      <c r="CS366" s="13">
        <f>+CS364/CQ364-1</f>
        <v>4.4630681818181861E-2</v>
      </c>
      <c r="CT366" s="13">
        <f>+CT364/CS364-1</f>
        <v>1.4005602240896309E-2</v>
      </c>
      <c r="CU366" s="13">
        <f t="shared" ref="CU366:CV366" si="8296">+CU364/CT364-1</f>
        <v>1.3812154696132506E-2</v>
      </c>
      <c r="CV366" s="13">
        <f t="shared" si="8296"/>
        <v>1.3623978201634968E-2</v>
      </c>
      <c r="CW366" s="235" t="s">
        <v>290</v>
      </c>
      <c r="CX366" s="13">
        <f>+CX364/CV364-1</f>
        <v>3.6922043010752859E-2</v>
      </c>
      <c r="CY366" s="13">
        <f>+CY364/CX364-1</f>
        <v>6.6755674232310547E-3</v>
      </c>
      <c r="CZ366" s="13">
        <f t="shared" ref="CZ366:DA366" si="8297">+CZ364/CY364-1</f>
        <v>6.6312997347479641E-3</v>
      </c>
      <c r="DA366" s="13">
        <f t="shared" si="8297"/>
        <v>6.5876152832675672E-3</v>
      </c>
      <c r="DB366" s="235" t="s">
        <v>290</v>
      </c>
    </row>
    <row r="367" spans="1:106">
      <c r="A367" s="117" t="s">
        <v>505</v>
      </c>
      <c r="F367" s="217"/>
      <c r="K367" s="217"/>
      <c r="P367" s="217"/>
      <c r="U367" s="217"/>
      <c r="V367" s="118">
        <v>0</v>
      </c>
      <c r="W367" s="118">
        <v>0</v>
      </c>
      <c r="X367" s="118">
        <v>0</v>
      </c>
      <c r="Y367" s="118">
        <v>0</v>
      </c>
      <c r="Z367" s="239">
        <f>+Z364/Z361</f>
        <v>0</v>
      </c>
      <c r="AA367" s="118">
        <v>0</v>
      </c>
      <c r="AB367" s="118">
        <v>0</v>
      </c>
      <c r="AC367" s="118">
        <v>0</v>
      </c>
      <c r="AD367" s="118">
        <v>0</v>
      </c>
      <c r="AE367" s="239">
        <f>+AE364/AE361</f>
        <v>0</v>
      </c>
      <c r="AF367" s="118">
        <v>0</v>
      </c>
      <c r="AG367" s="118">
        <v>0</v>
      </c>
      <c r="AH367" s="118">
        <v>3.0000000000000001E-3</v>
      </c>
      <c r="AI367" s="118">
        <v>6.0000000000000001E-3</v>
      </c>
      <c r="AJ367" s="239">
        <f>+AJ364/AJ361</f>
        <v>2.2500000000000003E-3</v>
      </c>
      <c r="AK367" s="118">
        <v>0.01</v>
      </c>
      <c r="AL367" s="118">
        <v>1.7999999999999999E-2</v>
      </c>
      <c r="AM367" s="118">
        <v>1.7999999999999999E-2</v>
      </c>
      <c r="AN367" s="118">
        <v>0.02</v>
      </c>
      <c r="AO367" s="239">
        <f>+AO364/AO361</f>
        <v>1.6500000000000001E-2</v>
      </c>
      <c r="AP367" s="118">
        <v>2.1999999999999999E-2</v>
      </c>
      <c r="AQ367" s="13">
        <f>+AQ364/AQ361</f>
        <v>3.3156367968865355E-2</v>
      </c>
      <c r="AR367" s="13">
        <f t="shared" ref="AR367" si="8298">+AR364/AR361</f>
        <v>4.0668357586811414E-2</v>
      </c>
      <c r="AS367" s="13">
        <f>+AS364/AS361</f>
        <v>4.8124291977898442E-2</v>
      </c>
      <c r="AT367" s="239">
        <f>+AT364/AT361</f>
        <v>3.5987254383393806E-2</v>
      </c>
      <c r="AU367" s="13">
        <f>+AU364/AU361</f>
        <v>5.6882326295260015E-2</v>
      </c>
      <c r="AV367" s="13">
        <f t="shared" ref="AV367:AX367" si="8299">+AV364/AV361</f>
        <v>6.5347674778434173E-2</v>
      </c>
      <c r="AW367" s="13">
        <f>+AW364/AW361</f>
        <v>7.4341322055329437E-2</v>
      </c>
      <c r="AX367" s="13">
        <f t="shared" si="8299"/>
        <v>8.1816272470669096E-2</v>
      </c>
      <c r="AY367" s="239">
        <f>+AY364/AY361</f>
        <v>6.9596898899923182E-2</v>
      </c>
      <c r="AZ367" s="13">
        <f t="shared" ref="AZ367:BA367" si="8300">+AZ364/AZ361</f>
        <v>8.2654023911288538E-2</v>
      </c>
      <c r="BA367" s="13">
        <f t="shared" si="8300"/>
        <v>9.3239591640184666E-2</v>
      </c>
      <c r="BB367" s="13">
        <f t="shared" ref="BB367:BH367" si="8301">+BB364/BB361</f>
        <v>0.10063881256158175</v>
      </c>
      <c r="BC367" s="13">
        <f t="shared" si="8301"/>
        <v>0.10690566372837625</v>
      </c>
      <c r="BD367" s="239">
        <f t="shared" si="8301"/>
        <v>9.5859522960357782E-2</v>
      </c>
      <c r="BE367" s="13">
        <f t="shared" si="8301"/>
        <v>0.11334971077132291</v>
      </c>
      <c r="BF367" s="13">
        <f t="shared" si="8301"/>
        <v>0.12826439310432491</v>
      </c>
      <c r="BG367" s="13">
        <f t="shared" si="8301"/>
        <v>0.14681764915708601</v>
      </c>
      <c r="BH367" s="13">
        <f t="shared" si="8301"/>
        <v>0.16292418231542952</v>
      </c>
      <c r="BI367" s="239">
        <f>+BI364/BI361</f>
        <v>0.13783898383704082</v>
      </c>
      <c r="BJ367" s="118">
        <v>0.17199999999999999</v>
      </c>
      <c r="BK367" s="118">
        <v>0.17499999999999999</v>
      </c>
      <c r="BL367" s="118">
        <v>0.182</v>
      </c>
      <c r="BM367" s="118">
        <v>0.192</v>
      </c>
      <c r="BN367" s="239">
        <f>+BN364/BN361</f>
        <v>0.18025000000000002</v>
      </c>
      <c r="BO367" s="118">
        <f>+BM367+0.006</f>
        <v>0.19800000000000001</v>
      </c>
      <c r="BP367" s="118">
        <f>+BO367+0.006</f>
        <v>0.20400000000000001</v>
      </c>
      <c r="BQ367" s="118">
        <f>+BP367+0.006</f>
        <v>0.21000000000000002</v>
      </c>
      <c r="BR367" s="118">
        <f>+BQ367+0.006</f>
        <v>0.21600000000000003</v>
      </c>
      <c r="BS367" s="239">
        <f>+BS364/BS361</f>
        <v>0.20699999999999999</v>
      </c>
      <c r="BT367" s="118">
        <f>+BR367+0.008</f>
        <v>0.22400000000000003</v>
      </c>
      <c r="BU367" s="118">
        <f>BT367+0.008</f>
        <v>0.23200000000000004</v>
      </c>
      <c r="BV367" s="118">
        <f>BU367+0.008</f>
        <v>0.24000000000000005</v>
      </c>
      <c r="BW367" s="118">
        <f>BV367+0.008</f>
        <v>0.24800000000000005</v>
      </c>
      <c r="BX367" s="239">
        <f>+BX364/BX361</f>
        <v>0.23600000000000004</v>
      </c>
      <c r="BY367" s="118">
        <f>+BW367+0.008</f>
        <v>0.25600000000000006</v>
      </c>
      <c r="BZ367" s="118">
        <f>BY367+0.008</f>
        <v>0.26400000000000007</v>
      </c>
      <c r="CA367" s="118">
        <f>BZ367+0.008</f>
        <v>0.27200000000000008</v>
      </c>
      <c r="CB367" s="118">
        <f>CA367+0.008</f>
        <v>0.28000000000000008</v>
      </c>
      <c r="CC367" s="239">
        <f>+CC364/CC361</f>
        <v>0.26800000000000007</v>
      </c>
      <c r="CD367" s="118">
        <f>+CB367+0.008</f>
        <v>0.28800000000000009</v>
      </c>
      <c r="CE367" s="118">
        <f>CD367+0.008</f>
        <v>0.2960000000000001</v>
      </c>
      <c r="CF367" s="118">
        <f>CE367+0.008</f>
        <v>0.3040000000000001</v>
      </c>
      <c r="CG367" s="118">
        <f>CF367+0.008</f>
        <v>0.31200000000000011</v>
      </c>
      <c r="CH367" s="239">
        <f>+CH364/CH361</f>
        <v>0.3000000000000001</v>
      </c>
      <c r="CI367" s="118">
        <f>CG367+0.005</f>
        <v>0.31700000000000012</v>
      </c>
      <c r="CJ367" s="118">
        <f>CI367+0.005</f>
        <v>0.32200000000000012</v>
      </c>
      <c r="CK367" s="118">
        <f t="shared" ref="CK367:CL367" si="8302">CJ367+0.005</f>
        <v>0.32700000000000012</v>
      </c>
      <c r="CL367" s="118">
        <f t="shared" si="8302"/>
        <v>0.33200000000000013</v>
      </c>
      <c r="CM367" s="239">
        <f>+CM364/CM361</f>
        <v>0.32450000000000012</v>
      </c>
      <c r="CN367" s="118">
        <f>CL367+0.005</f>
        <v>0.33700000000000013</v>
      </c>
      <c r="CO367" s="118">
        <f>CN367+0.005</f>
        <v>0.34200000000000014</v>
      </c>
      <c r="CP367" s="118">
        <f t="shared" ref="CP367:CQ367" si="8303">CO367+0.005</f>
        <v>0.34700000000000014</v>
      </c>
      <c r="CQ367" s="118">
        <f t="shared" si="8303"/>
        <v>0.35200000000000015</v>
      </c>
      <c r="CR367" s="239">
        <f>+CR364/CR361</f>
        <v>0.34450000000000019</v>
      </c>
      <c r="CS367" s="118">
        <f>CQ367+0.005</f>
        <v>0.35700000000000015</v>
      </c>
      <c r="CT367" s="118">
        <f>CS367+0.005</f>
        <v>0.36200000000000015</v>
      </c>
      <c r="CU367" s="118">
        <f t="shared" ref="CU367:CV367" si="8304">CT367+0.005</f>
        <v>0.36700000000000016</v>
      </c>
      <c r="CV367" s="118">
        <f t="shared" si="8304"/>
        <v>0.37200000000000016</v>
      </c>
      <c r="CW367" s="239">
        <f>+CW364/CW361</f>
        <v>0.36450000000000021</v>
      </c>
      <c r="CX367" s="118">
        <f>+CV367+0.0025</f>
        <v>0.37450000000000017</v>
      </c>
      <c r="CY367" s="118">
        <f>+CX367+0.0025</f>
        <v>0.37700000000000017</v>
      </c>
      <c r="CZ367" s="118">
        <f>+CY367+0.0025</f>
        <v>0.37950000000000017</v>
      </c>
      <c r="DA367" s="118">
        <f>+CZ367+0.0025</f>
        <v>0.38200000000000017</v>
      </c>
      <c r="DB367" s="239">
        <f>+DB364/DB361</f>
        <v>0.37825000000000014</v>
      </c>
    </row>
    <row r="368" spans="1:106">
      <c r="F368" s="217"/>
      <c r="K368" s="217"/>
      <c r="P368" s="217"/>
      <c r="U368" s="217"/>
      <c r="Z368" s="217"/>
      <c r="AE368" s="217"/>
      <c r="AJ368" s="217"/>
      <c r="AO368" s="217"/>
      <c r="AT368" s="217"/>
      <c r="AY368" s="217"/>
      <c r="BD368" s="217"/>
      <c r="BI368" s="217"/>
      <c r="BN368" s="217"/>
      <c r="BS368" s="217"/>
      <c r="BX368" s="217"/>
      <c r="CC368" s="217"/>
      <c r="CH368" s="217"/>
      <c r="CM368" s="217"/>
      <c r="CR368" s="217"/>
      <c r="CW368" s="217"/>
      <c r="DB368" s="217"/>
    </row>
    <row r="369" spans="1:106" s="128" customFormat="1">
      <c r="A369" s="128" t="s">
        <v>267</v>
      </c>
      <c r="F369" s="244"/>
      <c r="K369" s="244"/>
      <c r="P369" s="244"/>
      <c r="U369" s="244"/>
      <c r="Z369" s="244"/>
      <c r="AE369" s="244"/>
      <c r="AJ369" s="244"/>
      <c r="AO369" s="244"/>
      <c r="AT369" s="244"/>
      <c r="AY369" s="244"/>
      <c r="BD369" s="244"/>
      <c r="BI369" s="244"/>
      <c r="BN369" s="244"/>
      <c r="BS369" s="244"/>
      <c r="BX369" s="244"/>
      <c r="CC369" s="244"/>
      <c r="CH369" s="244"/>
      <c r="CM369" s="244"/>
      <c r="CR369" s="244"/>
      <c r="CW369" s="244"/>
      <c r="DB369" s="244"/>
    </row>
    <row r="370" spans="1:106" s="51" customFormat="1">
      <c r="A370" s="51" t="s">
        <v>336</v>
      </c>
      <c r="F370" s="233"/>
      <c r="K370" s="233"/>
      <c r="P370" s="233"/>
      <c r="U370" s="233"/>
      <c r="V370" s="51">
        <f>+$Z370/4</f>
        <v>8750</v>
      </c>
      <c r="W370" s="51">
        <f>+$Z370/4</f>
        <v>8750</v>
      </c>
      <c r="X370" s="51">
        <f>+$Z370/4</f>
        <v>8750</v>
      </c>
      <c r="Y370" s="51">
        <f>+$Z370/4</f>
        <v>8750</v>
      </c>
      <c r="Z370" s="233">
        <v>35000</v>
      </c>
      <c r="AA370" s="213">
        <f>+V370*(1+AA371)</f>
        <v>9012.5</v>
      </c>
      <c r="AB370" s="213">
        <f t="shared" ref="AB370" si="8305">+W370*(1+AB371)</f>
        <v>9012.5</v>
      </c>
      <c r="AC370" s="213">
        <f t="shared" ref="AC370" si="8306">+X370*(1+AC371)</f>
        <v>9012.5</v>
      </c>
      <c r="AD370" s="213">
        <f t="shared" ref="AD370" si="8307">+Y370*(1+AD371)</f>
        <v>9012.5</v>
      </c>
      <c r="AE370" s="234">
        <f>+AA370+AB370+AC370+AD370</f>
        <v>36050</v>
      </c>
      <c r="AF370" s="213">
        <f>+AA370*(1+AF371)</f>
        <v>9282.875</v>
      </c>
      <c r="AG370" s="213">
        <f t="shared" ref="AG370" si="8308">+AB370*(1+AG371)</f>
        <v>9282.875</v>
      </c>
      <c r="AH370" s="213">
        <f t="shared" ref="AH370" si="8309">+AC370*(1+AH371)</f>
        <v>9282.875</v>
      </c>
      <c r="AI370" s="213">
        <f t="shared" ref="AI370" si="8310">+AD370*(1+AI371)</f>
        <v>9282.875</v>
      </c>
      <c r="AJ370" s="234">
        <f>+AF370+AG370+AH370+AI370</f>
        <v>37131.5</v>
      </c>
      <c r="AK370" s="213">
        <f>+AF370*(1+AK371)</f>
        <v>9561.3612499999999</v>
      </c>
      <c r="AL370" s="213">
        <f t="shared" ref="AL370" si="8311">+AG370*(1+AL371)</f>
        <v>9561.3612499999999</v>
      </c>
      <c r="AM370" s="213">
        <f t="shared" ref="AM370" si="8312">+AH370*(1+AM371)</f>
        <v>9561.3612499999999</v>
      </c>
      <c r="AN370" s="213">
        <f t="shared" ref="AN370" si="8313">+AI370*(1+AN371)</f>
        <v>9561.3612499999999</v>
      </c>
      <c r="AO370" s="234">
        <f>+AK370+AL370+AM370+AN370</f>
        <v>38245.445</v>
      </c>
      <c r="AP370" s="213">
        <f>+AK370*(1+AP371)</f>
        <v>9848.2020874999998</v>
      </c>
      <c r="AQ370" s="213">
        <f t="shared" ref="AQ370" si="8314">+AL370*(1+AQ371)</f>
        <v>9848.2020874999998</v>
      </c>
      <c r="AR370" s="213">
        <f t="shared" ref="AR370" si="8315">+AM370*(1+AR371)</f>
        <v>9848.2020874999998</v>
      </c>
      <c r="AS370" s="213">
        <f t="shared" ref="AS370" si="8316">+AN370*(1+AS371)</f>
        <v>9848.2020874999998</v>
      </c>
      <c r="AT370" s="234">
        <f>+AP370+AQ370+AR370+AS370</f>
        <v>39392.808349999999</v>
      </c>
      <c r="AU370" s="213">
        <f>+AP370*(1+AU371)</f>
        <v>10143.648150125</v>
      </c>
      <c r="AV370" s="213">
        <f t="shared" ref="AV370" si="8317">+AQ370*(1+AV371)</f>
        <v>10143.648150125</v>
      </c>
      <c r="AW370" s="213">
        <f t="shared" ref="AW370" si="8318">+AR370*(1+AW371)</f>
        <v>10143.648150125</v>
      </c>
      <c r="AX370" s="213">
        <f t="shared" ref="AX370" si="8319">+AS370*(1+AX371)</f>
        <v>10143.648150125</v>
      </c>
      <c r="AY370" s="234">
        <f>+AU370+AV370+AW370+AX370</f>
        <v>40574.5926005</v>
      </c>
      <c r="AZ370" s="213">
        <f>+AU370*(1+AZ371)</f>
        <v>10447.95759462875</v>
      </c>
      <c r="BA370" s="213">
        <f t="shared" ref="BA370" si="8320">+AV370*(1+BA371)</f>
        <v>10447.95759462875</v>
      </c>
      <c r="BB370" s="213">
        <f t="shared" ref="BB370" si="8321">+AW370*(1+BB371)</f>
        <v>10447.95759462875</v>
      </c>
      <c r="BC370" s="213">
        <f t="shared" ref="BC370" si="8322">+AX370*(1+BC371)</f>
        <v>10447.95759462875</v>
      </c>
      <c r="BD370" s="234">
        <f>+AZ370+BA370+BB370+BC370</f>
        <v>41791.830378514998</v>
      </c>
      <c r="BE370" s="213">
        <f>+AZ370*(1+BE371)</f>
        <v>10761.396322467612</v>
      </c>
      <c r="BF370" s="213">
        <f t="shared" ref="BF370" si="8323">+BA370*(1+BF371)</f>
        <v>10761.396322467612</v>
      </c>
      <c r="BG370" s="213">
        <f t="shared" ref="BG370" si="8324">+BB370*(1+BG371)</f>
        <v>10761.396322467612</v>
      </c>
      <c r="BH370" s="213">
        <f t="shared" ref="BH370" si="8325">+BC370*(1+BH371)</f>
        <v>10761.396322467612</v>
      </c>
      <c r="BI370" s="234">
        <f>+BE370+BF370+BG370+BH370</f>
        <v>43045.585289870447</v>
      </c>
      <c r="BJ370" s="213">
        <f>+BE370*(1+BJ371)</f>
        <v>11084.238212141641</v>
      </c>
      <c r="BK370" s="213">
        <f t="shared" ref="BK370" si="8326">+BF370*(1+BK371)</f>
        <v>11084.238212141641</v>
      </c>
      <c r="BL370" s="213">
        <f t="shared" ref="BL370" si="8327">+BG370*(1+BL371)</f>
        <v>11084.238212141641</v>
      </c>
      <c r="BM370" s="213">
        <f t="shared" ref="BM370" si="8328">+BH370*(1+BM371)</f>
        <v>11084.238212141641</v>
      </c>
      <c r="BN370" s="234">
        <f>+BJ370+BK370+BL370+BM370</f>
        <v>44336.952848566565</v>
      </c>
      <c r="BO370" s="213">
        <f>+BJ370*(1+BO371)</f>
        <v>11416.765358505891</v>
      </c>
      <c r="BP370" s="213">
        <f t="shared" ref="BP370" si="8329">+BK370*(1+BP371)</f>
        <v>11416.765358505891</v>
      </c>
      <c r="BQ370" s="213">
        <f t="shared" ref="BQ370" si="8330">+BL370*(1+BQ371)</f>
        <v>11416.765358505891</v>
      </c>
      <c r="BR370" s="213">
        <f t="shared" ref="BR370" si="8331">+BM370*(1+BR371)</f>
        <v>11416.765358505891</v>
      </c>
      <c r="BS370" s="234">
        <f>+BO370+BP370+BQ370+BR370</f>
        <v>45667.061434023562</v>
      </c>
      <c r="BT370" s="213">
        <f>+BO370*(1+BT371)</f>
        <v>11759.268319261068</v>
      </c>
      <c r="BU370" s="213">
        <f t="shared" ref="BU370" si="8332">+BP370*(1+BU371)</f>
        <v>11759.268319261068</v>
      </c>
      <c r="BV370" s="213">
        <f t="shared" ref="BV370" si="8333">+BQ370*(1+BV371)</f>
        <v>11759.268319261068</v>
      </c>
      <c r="BW370" s="213">
        <f t="shared" ref="BW370" si="8334">+BR370*(1+BW371)</f>
        <v>11759.268319261068</v>
      </c>
      <c r="BX370" s="234">
        <f>+BT370+BU370+BV370+BW370</f>
        <v>47037.07327704427</v>
      </c>
      <c r="BY370" s="213">
        <f>+BT370*(1+BY371)</f>
        <v>12112.046368838899</v>
      </c>
      <c r="BZ370" s="213">
        <f t="shared" ref="BZ370" si="8335">+BU370*(1+BZ371)</f>
        <v>12112.046368838899</v>
      </c>
      <c r="CA370" s="213">
        <f t="shared" ref="CA370" si="8336">+BV370*(1+CA371)</f>
        <v>12112.046368838899</v>
      </c>
      <c r="CB370" s="213">
        <f t="shared" ref="CB370" si="8337">+BW370*(1+CB371)</f>
        <v>12112.046368838899</v>
      </c>
      <c r="CC370" s="234">
        <f>+BY370+BZ370+CA370+CB370</f>
        <v>48448.185475355596</v>
      </c>
      <c r="CD370" s="213">
        <f>+BY370*(1+CD371)</f>
        <v>12475.407759904067</v>
      </c>
      <c r="CE370" s="213">
        <f t="shared" ref="CE370" si="8338">+BZ370*(1+CE371)</f>
        <v>12475.407759904067</v>
      </c>
      <c r="CF370" s="213">
        <f t="shared" ref="CF370" si="8339">+CA370*(1+CF371)</f>
        <v>12475.407759904067</v>
      </c>
      <c r="CG370" s="213">
        <f t="shared" ref="CG370" si="8340">+CB370*(1+CG371)</f>
        <v>12475.407759904067</v>
      </c>
      <c r="CH370" s="234">
        <f>+CD370+CE370+CF370+CG370</f>
        <v>49901.631039616266</v>
      </c>
      <c r="CI370" s="213">
        <f>+CD370*(1+CI371)</f>
        <v>12849.669992701189</v>
      </c>
      <c r="CJ370" s="213">
        <f t="shared" ref="CJ370" si="8341">+CE370*(1+CJ371)</f>
        <v>12849.669992701189</v>
      </c>
      <c r="CK370" s="213">
        <f t="shared" ref="CK370" si="8342">+CF370*(1+CK371)</f>
        <v>12849.669992701189</v>
      </c>
      <c r="CL370" s="213">
        <f t="shared" ref="CL370" si="8343">+CG370*(1+CL371)</f>
        <v>12849.669992701189</v>
      </c>
      <c r="CM370" s="234">
        <f>+CI370+CJ370+CK370+CL370</f>
        <v>51398.679970804755</v>
      </c>
      <c r="CN370" s="213">
        <f>+CI370*(1+CN371)</f>
        <v>13235.160092482225</v>
      </c>
      <c r="CO370" s="213">
        <f t="shared" ref="CO370" si="8344">+CJ370*(1+CO371)</f>
        <v>13235.160092482225</v>
      </c>
      <c r="CP370" s="213">
        <f t="shared" ref="CP370" si="8345">+CK370*(1+CP371)</f>
        <v>13235.160092482225</v>
      </c>
      <c r="CQ370" s="213">
        <f t="shared" ref="CQ370" si="8346">+CL370*(1+CQ371)</f>
        <v>13235.160092482225</v>
      </c>
      <c r="CR370" s="234">
        <f>+CN370+CO370+CP370+CQ370</f>
        <v>52940.6403699289</v>
      </c>
      <c r="CS370" s="213">
        <f>+CN370*(1+CS371)</f>
        <v>13632.214895256691</v>
      </c>
      <c r="CT370" s="213">
        <f t="shared" ref="CT370" si="8347">+CO370*(1+CT371)</f>
        <v>13632.214895256691</v>
      </c>
      <c r="CU370" s="213">
        <f t="shared" ref="CU370" si="8348">+CP370*(1+CU371)</f>
        <v>13632.214895256691</v>
      </c>
      <c r="CV370" s="213">
        <f t="shared" ref="CV370" si="8349">+CQ370*(1+CV371)</f>
        <v>13632.214895256691</v>
      </c>
      <c r="CW370" s="234">
        <f>+CS370+CT370+CU370+CV370</f>
        <v>54528.859581026765</v>
      </c>
      <c r="CX370" s="213">
        <f>+CS370*(1+CX371)</f>
        <v>14041.181342114392</v>
      </c>
      <c r="CY370" s="213">
        <f t="shared" ref="CY370" si="8350">+CT370*(1+CY371)</f>
        <v>14041.181342114392</v>
      </c>
      <c r="CZ370" s="213">
        <f t="shared" ref="CZ370" si="8351">+CU370*(1+CZ371)</f>
        <v>14041.181342114392</v>
      </c>
      <c r="DA370" s="213">
        <f t="shared" ref="DA370" si="8352">+CV370*(1+DA371)</f>
        <v>14041.181342114392</v>
      </c>
      <c r="DB370" s="234">
        <f>+CX370+CY370+CZ370+DA370</f>
        <v>56164.72536845757</v>
      </c>
    </row>
    <row r="371" spans="1:106">
      <c r="A371" s="117" t="s">
        <v>281</v>
      </c>
      <c r="F371" s="217"/>
      <c r="K371" s="217"/>
      <c r="P371" s="217"/>
      <c r="U371" s="217"/>
      <c r="V371" s="119" t="s">
        <v>290</v>
      </c>
      <c r="W371" s="119" t="s">
        <v>290</v>
      </c>
      <c r="X371" s="119" t="s">
        <v>290</v>
      </c>
      <c r="Y371" s="119" t="s">
        <v>290</v>
      </c>
      <c r="Z371" s="235" t="s">
        <v>290</v>
      </c>
      <c r="AA371" s="118">
        <v>0.03</v>
      </c>
      <c r="AB371" s="118">
        <v>0.03</v>
      </c>
      <c r="AC371" s="118">
        <v>0.03</v>
      </c>
      <c r="AD371" s="118">
        <v>0.03</v>
      </c>
      <c r="AE371" s="239">
        <f>+AE370/Z370-1</f>
        <v>3.0000000000000027E-2</v>
      </c>
      <c r="AF371" s="118">
        <v>0.03</v>
      </c>
      <c r="AG371" s="118">
        <v>0.03</v>
      </c>
      <c r="AH371" s="118">
        <v>0.03</v>
      </c>
      <c r="AI371" s="118">
        <v>0.03</v>
      </c>
      <c r="AJ371" s="239">
        <f>+AJ370/AE370-1</f>
        <v>3.0000000000000027E-2</v>
      </c>
      <c r="AK371" s="118">
        <v>0.03</v>
      </c>
      <c r="AL371" s="118">
        <v>0.03</v>
      </c>
      <c r="AM371" s="118">
        <v>0.03</v>
      </c>
      <c r="AN371" s="118">
        <v>0.03</v>
      </c>
      <c r="AO371" s="239">
        <f>+AO370/AJ370-1</f>
        <v>3.0000000000000027E-2</v>
      </c>
      <c r="AP371" s="118">
        <v>0.03</v>
      </c>
      <c r="AQ371" s="118">
        <v>0.03</v>
      </c>
      <c r="AR371" s="118">
        <v>0.03</v>
      </c>
      <c r="AS371" s="118">
        <v>0.03</v>
      </c>
      <c r="AT371" s="239">
        <f>+AT370/AO370-1</f>
        <v>3.0000000000000027E-2</v>
      </c>
      <c r="AU371" s="118">
        <v>0.03</v>
      </c>
      <c r="AV371" s="118">
        <v>0.03</v>
      </c>
      <c r="AW371" s="118">
        <v>0.03</v>
      </c>
      <c r="AX371" s="118">
        <v>0.03</v>
      </c>
      <c r="AY371" s="239">
        <f>+AY370/AT370-1</f>
        <v>3.0000000000000027E-2</v>
      </c>
      <c r="AZ371" s="118">
        <v>0.03</v>
      </c>
      <c r="BA371" s="118">
        <v>0.03</v>
      </c>
      <c r="BB371" s="118">
        <v>0.03</v>
      </c>
      <c r="BC371" s="118">
        <v>0.03</v>
      </c>
      <c r="BD371" s="239">
        <f>+BD370/AY370-1</f>
        <v>3.0000000000000027E-2</v>
      </c>
      <c r="BE371" s="118">
        <v>0.03</v>
      </c>
      <c r="BF371" s="118">
        <v>0.03</v>
      </c>
      <c r="BG371" s="118">
        <v>0.03</v>
      </c>
      <c r="BH371" s="118">
        <v>0.03</v>
      </c>
      <c r="BI371" s="239">
        <f>+BI370/BD370-1</f>
        <v>3.0000000000000027E-2</v>
      </c>
      <c r="BJ371" s="118">
        <v>0.03</v>
      </c>
      <c r="BK371" s="118">
        <v>0.03</v>
      </c>
      <c r="BL371" s="118">
        <v>0.03</v>
      </c>
      <c r="BM371" s="118">
        <v>0.03</v>
      </c>
      <c r="BN371" s="239">
        <f>+BN370/BI370-1</f>
        <v>3.0000000000000027E-2</v>
      </c>
      <c r="BO371" s="118">
        <v>0.03</v>
      </c>
      <c r="BP371" s="118">
        <v>0.03</v>
      </c>
      <c r="BQ371" s="118">
        <v>0.03</v>
      </c>
      <c r="BR371" s="118">
        <v>0.03</v>
      </c>
      <c r="BS371" s="239">
        <f>+BS370/BN370-1</f>
        <v>3.0000000000000027E-2</v>
      </c>
      <c r="BT371" s="118">
        <v>0.03</v>
      </c>
      <c r="BU371" s="118">
        <v>0.03</v>
      </c>
      <c r="BV371" s="118">
        <v>0.03</v>
      </c>
      <c r="BW371" s="118">
        <v>0.03</v>
      </c>
      <c r="BX371" s="239">
        <f>+BX370/BS370-1</f>
        <v>3.0000000000000027E-2</v>
      </c>
      <c r="BY371" s="118">
        <v>0.03</v>
      </c>
      <c r="BZ371" s="118">
        <v>0.03</v>
      </c>
      <c r="CA371" s="118">
        <v>0.03</v>
      </c>
      <c r="CB371" s="118">
        <v>0.03</v>
      </c>
      <c r="CC371" s="239">
        <f>+CC370/BX370-1</f>
        <v>3.0000000000000027E-2</v>
      </c>
      <c r="CD371" s="118">
        <v>0.03</v>
      </c>
      <c r="CE371" s="118">
        <v>0.03</v>
      </c>
      <c r="CF371" s="118">
        <v>0.03</v>
      </c>
      <c r="CG371" s="118">
        <v>0.03</v>
      </c>
      <c r="CH371" s="239">
        <f>+CH370/CC370-1</f>
        <v>3.0000000000000027E-2</v>
      </c>
      <c r="CI371" s="118">
        <v>0.03</v>
      </c>
      <c r="CJ371" s="118">
        <v>0.03</v>
      </c>
      <c r="CK371" s="118">
        <v>0.03</v>
      </c>
      <c r="CL371" s="118">
        <v>0.03</v>
      </c>
      <c r="CM371" s="239">
        <f>+CM370/CH370-1</f>
        <v>3.0000000000000027E-2</v>
      </c>
      <c r="CN371" s="118">
        <v>0.03</v>
      </c>
      <c r="CO371" s="118">
        <v>0.03</v>
      </c>
      <c r="CP371" s="118">
        <v>0.03</v>
      </c>
      <c r="CQ371" s="118">
        <v>0.03</v>
      </c>
      <c r="CR371" s="239">
        <f>+CR370/CM370-1</f>
        <v>3.0000000000000027E-2</v>
      </c>
      <c r="CS371" s="118">
        <v>0.03</v>
      </c>
      <c r="CT371" s="118">
        <v>0.03</v>
      </c>
      <c r="CU371" s="118">
        <v>0.03</v>
      </c>
      <c r="CV371" s="118">
        <v>0.03</v>
      </c>
      <c r="CW371" s="239">
        <f>+CW370/CR370-1</f>
        <v>3.0000000000000027E-2</v>
      </c>
      <c r="CX371" s="118">
        <v>0.03</v>
      </c>
      <c r="CY371" s="118">
        <v>0.03</v>
      </c>
      <c r="CZ371" s="118">
        <v>0.03</v>
      </c>
      <c r="DA371" s="118">
        <v>0.03</v>
      </c>
      <c r="DB371" s="239">
        <f>+DB370/CW370-1</f>
        <v>3.0000000000000027E-2</v>
      </c>
    </row>
    <row r="372" spans="1:106" s="51" customFormat="1">
      <c r="A372" s="51" t="s">
        <v>331</v>
      </c>
      <c r="F372" s="233"/>
      <c r="K372" s="233"/>
      <c r="P372" s="233"/>
      <c r="U372" s="233"/>
      <c r="V372" s="213">
        <f>+V370*V373</f>
        <v>26250</v>
      </c>
      <c r="W372" s="213">
        <f t="shared" ref="W372" si="8353">+W370*W373</f>
        <v>26250</v>
      </c>
      <c r="X372" s="213">
        <f t="shared" ref="X372" si="8354">+X370*X373</f>
        <v>26250</v>
      </c>
      <c r="Y372" s="213">
        <f t="shared" ref="Y372" si="8355">+Y370*Y373</f>
        <v>26250</v>
      </c>
      <c r="Z372" s="234">
        <f>+V372+W372+X372+Y372</f>
        <v>105000</v>
      </c>
      <c r="AA372" s="213">
        <f>+AA370*AA373</f>
        <v>27037.5</v>
      </c>
      <c r="AB372" s="213">
        <f t="shared" ref="AB372" si="8356">+AB370*AB373</f>
        <v>27037.5</v>
      </c>
      <c r="AC372" s="213">
        <f t="shared" ref="AC372" si="8357">+AC370*AC373</f>
        <v>27037.5</v>
      </c>
      <c r="AD372" s="213">
        <f t="shared" ref="AD372" si="8358">+AD370*AD373</f>
        <v>27037.5</v>
      </c>
      <c r="AE372" s="234">
        <f>+AA372+AB372+AC372+AD372</f>
        <v>108150</v>
      </c>
      <c r="AF372" s="213">
        <f>+AF370*AF373</f>
        <v>27848.625</v>
      </c>
      <c r="AG372" s="213">
        <f t="shared" ref="AG372" si="8359">+AG370*AG373</f>
        <v>27848.625</v>
      </c>
      <c r="AH372" s="213">
        <f t="shared" ref="AH372" si="8360">+AH370*AH373</f>
        <v>27848.625</v>
      </c>
      <c r="AI372" s="213">
        <f t="shared" ref="AI372" si="8361">+AI370*AI373</f>
        <v>27848.625</v>
      </c>
      <c r="AJ372" s="234">
        <f>+AF372+AG372+AH372+AI372</f>
        <v>111394.5</v>
      </c>
      <c r="AK372" s="213">
        <f>+AK370*AK373</f>
        <v>28684.083749999998</v>
      </c>
      <c r="AL372" s="213">
        <f t="shared" ref="AL372" si="8362">+AL370*AL373</f>
        <v>28684.083749999998</v>
      </c>
      <c r="AM372" s="213">
        <f t="shared" ref="AM372" si="8363">+AM370*AM373</f>
        <v>28684.083749999998</v>
      </c>
      <c r="AN372" s="213">
        <f t="shared" ref="AN372" si="8364">+AN370*AN373</f>
        <v>28684.083749999998</v>
      </c>
      <c r="AO372" s="234">
        <f>+AK372+AL372+AM372+AN372</f>
        <v>114736.33499999999</v>
      </c>
      <c r="AP372" s="213">
        <f>+AP370*AP373</f>
        <v>29544.606262499998</v>
      </c>
      <c r="AQ372" s="213">
        <f t="shared" ref="AQ372" si="8365">+AQ370*AQ373</f>
        <v>29544.606262499998</v>
      </c>
      <c r="AR372" s="213">
        <f t="shared" ref="AR372" si="8366">+AR370*AR373</f>
        <v>29544.606262499998</v>
      </c>
      <c r="AS372" s="213">
        <f t="shared" ref="AS372" si="8367">+AS370*AS373</f>
        <v>29544.606262499998</v>
      </c>
      <c r="AT372" s="234">
        <f>+AP372+AQ372+AR372+AS372</f>
        <v>118178.42504999999</v>
      </c>
      <c r="AU372" s="213">
        <f>+AU370*AU373</f>
        <v>30430.944450374998</v>
      </c>
      <c r="AV372" s="213">
        <f t="shared" ref="AV372" si="8368">+AV370*AV373</f>
        <v>30430.944450374998</v>
      </c>
      <c r="AW372" s="213">
        <f t="shared" ref="AW372" si="8369">+AW370*AW373</f>
        <v>30430.944450374998</v>
      </c>
      <c r="AX372" s="213">
        <f t="shared" ref="AX372" si="8370">+AX370*AX373</f>
        <v>30430.944450374998</v>
      </c>
      <c r="AY372" s="234">
        <f>+AU372+AV372+AW372+AX372</f>
        <v>121723.77780149999</v>
      </c>
      <c r="AZ372" s="213">
        <f>+AZ370*AZ373</f>
        <v>31343.872783886247</v>
      </c>
      <c r="BA372" s="213">
        <f t="shared" ref="BA372" si="8371">+BA370*BA373</f>
        <v>31343.872783886247</v>
      </c>
      <c r="BB372" s="213">
        <f t="shared" ref="BB372" si="8372">+BB370*BB373</f>
        <v>31343.872783886247</v>
      </c>
      <c r="BC372" s="213">
        <f t="shared" ref="BC372" si="8373">+BC370*BC373</f>
        <v>31343.872783886247</v>
      </c>
      <c r="BD372" s="234">
        <f>+AZ372+BA372+BB372+BC372</f>
        <v>125375.49113554499</v>
      </c>
      <c r="BE372" s="213">
        <f>+BE370*BE373</f>
        <v>32284.188967402835</v>
      </c>
      <c r="BF372" s="213">
        <f t="shared" ref="BF372" si="8374">+BF370*BF373</f>
        <v>32284.188967402835</v>
      </c>
      <c r="BG372" s="213">
        <f t="shared" ref="BG372" si="8375">+BG370*BG373</f>
        <v>32284.188967402835</v>
      </c>
      <c r="BH372" s="213">
        <f t="shared" ref="BH372" si="8376">+BH370*BH373</f>
        <v>32284.188967402835</v>
      </c>
      <c r="BI372" s="234">
        <f>+BE372+BF372+BG372+BH372</f>
        <v>129136.75586961134</v>
      </c>
      <c r="BJ372" s="213">
        <f>+BJ370*BJ373</f>
        <v>33252.71463642492</v>
      </c>
      <c r="BK372" s="213">
        <f t="shared" ref="BK372" si="8377">+BK370*BK373</f>
        <v>33252.71463642492</v>
      </c>
      <c r="BL372" s="213">
        <f t="shared" ref="BL372" si="8378">+BL370*BL373</f>
        <v>33252.71463642492</v>
      </c>
      <c r="BM372" s="213">
        <f t="shared" ref="BM372" si="8379">+BM370*BM373</f>
        <v>33252.71463642492</v>
      </c>
      <c r="BN372" s="234">
        <f>+BJ372+BK372+BL372+BM372</f>
        <v>133010.85854569968</v>
      </c>
      <c r="BO372" s="213">
        <f>+BO370*BO373</f>
        <v>34250.296075517675</v>
      </c>
      <c r="BP372" s="213">
        <f t="shared" ref="BP372" si="8380">+BP370*BP373</f>
        <v>34250.296075517675</v>
      </c>
      <c r="BQ372" s="213">
        <f t="shared" ref="BQ372" si="8381">+BQ370*BQ373</f>
        <v>34250.296075517675</v>
      </c>
      <c r="BR372" s="213">
        <f t="shared" ref="BR372" si="8382">+BR370*BR373</f>
        <v>34250.296075517675</v>
      </c>
      <c r="BS372" s="234">
        <f>+BO372+BP372+BQ372+BR372</f>
        <v>137001.1843020707</v>
      </c>
      <c r="BT372" s="213">
        <f>+BT370*BT373</f>
        <v>35277.804957783199</v>
      </c>
      <c r="BU372" s="213">
        <f t="shared" ref="BU372" si="8383">+BU370*BU373</f>
        <v>35277.804957783199</v>
      </c>
      <c r="BV372" s="213">
        <f t="shared" ref="BV372" si="8384">+BV370*BV373</f>
        <v>35277.804957783199</v>
      </c>
      <c r="BW372" s="213">
        <f t="shared" ref="BW372" si="8385">+BW370*BW373</f>
        <v>35277.804957783199</v>
      </c>
      <c r="BX372" s="234">
        <f>+BT372+BU372+BV372+BW372</f>
        <v>141111.2198311328</v>
      </c>
      <c r="BY372" s="213">
        <f>+BY370*BY373</f>
        <v>36336.139106516697</v>
      </c>
      <c r="BZ372" s="213">
        <f t="shared" ref="BZ372" si="8386">+BZ370*BZ373</f>
        <v>36336.139106516697</v>
      </c>
      <c r="CA372" s="213">
        <f t="shared" ref="CA372" si="8387">+CA370*CA373</f>
        <v>36336.139106516697</v>
      </c>
      <c r="CB372" s="213">
        <f t="shared" ref="CB372" si="8388">+CB370*CB373</f>
        <v>36336.139106516697</v>
      </c>
      <c r="CC372" s="234">
        <f>+BY372+BZ372+CA372+CB372</f>
        <v>145344.55642606679</v>
      </c>
      <c r="CD372" s="213">
        <f>+CD370*CD373</f>
        <v>37426.223279712198</v>
      </c>
      <c r="CE372" s="213">
        <f t="shared" ref="CE372" si="8389">+CE370*CE373</f>
        <v>37426.223279712198</v>
      </c>
      <c r="CF372" s="213">
        <f t="shared" ref="CF372" si="8390">+CF370*CF373</f>
        <v>37426.223279712198</v>
      </c>
      <c r="CG372" s="213">
        <f t="shared" ref="CG372" si="8391">+CG370*CG373</f>
        <v>37426.223279712198</v>
      </c>
      <c r="CH372" s="234">
        <f>+CD372+CE372+CF372+CG372</f>
        <v>149704.89311884879</v>
      </c>
      <c r="CI372" s="213">
        <f>+CI370*CI373</f>
        <v>38549.009978103568</v>
      </c>
      <c r="CJ372" s="213">
        <f t="shared" ref="CJ372" si="8392">+CJ370*CJ373</f>
        <v>38549.009978103568</v>
      </c>
      <c r="CK372" s="213">
        <f t="shared" ref="CK372" si="8393">+CK370*CK373</f>
        <v>38549.009978103568</v>
      </c>
      <c r="CL372" s="213">
        <f t="shared" ref="CL372" si="8394">+CL370*CL373</f>
        <v>38549.009978103568</v>
      </c>
      <c r="CM372" s="234">
        <f>+CI372+CJ372+CK372+CL372</f>
        <v>154196.03991241427</v>
      </c>
      <c r="CN372" s="213">
        <f>+CN370*CN373</f>
        <v>39705.480277446673</v>
      </c>
      <c r="CO372" s="213">
        <f t="shared" ref="CO372" si="8395">+CO370*CO373</f>
        <v>39705.480277446673</v>
      </c>
      <c r="CP372" s="213">
        <f t="shared" ref="CP372" si="8396">+CP370*CP373</f>
        <v>39705.480277446673</v>
      </c>
      <c r="CQ372" s="213">
        <f t="shared" ref="CQ372" si="8397">+CQ370*CQ373</f>
        <v>39705.480277446673</v>
      </c>
      <c r="CR372" s="234">
        <f>+CN372+CO372+CP372+CQ372</f>
        <v>158821.92110978669</v>
      </c>
      <c r="CS372" s="213">
        <f>+CS370*CS373</f>
        <v>40896.644685770072</v>
      </c>
      <c r="CT372" s="213">
        <f t="shared" ref="CT372" si="8398">+CT370*CT373</f>
        <v>40896.644685770072</v>
      </c>
      <c r="CU372" s="213">
        <f t="shared" ref="CU372" si="8399">+CU370*CU373</f>
        <v>40896.644685770072</v>
      </c>
      <c r="CV372" s="213">
        <f t="shared" ref="CV372" si="8400">+CV370*CV373</f>
        <v>40896.644685770072</v>
      </c>
      <c r="CW372" s="234">
        <f>+CS372+CT372+CU372+CV372</f>
        <v>163586.57874308029</v>
      </c>
      <c r="CX372" s="213">
        <f>+CX370*CX373</f>
        <v>42123.544026343181</v>
      </c>
      <c r="CY372" s="213">
        <f t="shared" ref="CY372" si="8401">+CY370*CY373</f>
        <v>42123.544026343181</v>
      </c>
      <c r="CZ372" s="213">
        <f t="shared" ref="CZ372" si="8402">+CZ370*CZ373</f>
        <v>42123.544026343181</v>
      </c>
      <c r="DA372" s="213">
        <f t="shared" ref="DA372" si="8403">+DA370*DA373</f>
        <v>42123.544026343181</v>
      </c>
      <c r="DB372" s="234">
        <f>+CX372+CY372+CZ372+DA372</f>
        <v>168494.17610537272</v>
      </c>
    </row>
    <row r="373" spans="1:106">
      <c r="A373" s="117" t="s">
        <v>311</v>
      </c>
      <c r="F373" s="217"/>
      <c r="K373" s="217"/>
      <c r="P373" s="217"/>
      <c r="U373" s="217"/>
      <c r="V373" s="120">
        <v>3</v>
      </c>
      <c r="W373" s="120">
        <v>3</v>
      </c>
      <c r="X373" s="120">
        <v>3</v>
      </c>
      <c r="Y373" s="120">
        <v>3</v>
      </c>
      <c r="Z373" s="250">
        <f>+Z372/Z370</f>
        <v>3</v>
      </c>
      <c r="AA373" s="120">
        <v>3</v>
      </c>
      <c r="AB373" s="120">
        <v>3</v>
      </c>
      <c r="AC373" s="120">
        <v>3</v>
      </c>
      <c r="AD373" s="120">
        <v>3</v>
      </c>
      <c r="AE373" s="250">
        <f>+AE372/AE370</f>
        <v>3</v>
      </c>
      <c r="AF373" s="120">
        <v>3</v>
      </c>
      <c r="AG373" s="120">
        <v>3</v>
      </c>
      <c r="AH373" s="120">
        <v>3</v>
      </c>
      <c r="AI373" s="120">
        <v>3</v>
      </c>
      <c r="AJ373" s="250">
        <f>+AJ372/AJ370</f>
        <v>3</v>
      </c>
      <c r="AK373" s="120">
        <v>3</v>
      </c>
      <c r="AL373" s="120">
        <v>3</v>
      </c>
      <c r="AM373" s="120">
        <v>3</v>
      </c>
      <c r="AN373" s="120">
        <v>3</v>
      </c>
      <c r="AO373" s="250">
        <f>+AO372/AO370</f>
        <v>3</v>
      </c>
      <c r="AP373" s="120">
        <v>3</v>
      </c>
      <c r="AQ373" s="120">
        <v>3</v>
      </c>
      <c r="AR373" s="120">
        <v>3</v>
      </c>
      <c r="AS373" s="120">
        <v>3</v>
      </c>
      <c r="AT373" s="250">
        <f>+AT372/AT370</f>
        <v>3</v>
      </c>
      <c r="AU373" s="120">
        <v>3</v>
      </c>
      <c r="AV373" s="120">
        <v>3</v>
      </c>
      <c r="AW373" s="120">
        <v>3</v>
      </c>
      <c r="AX373" s="120">
        <v>3</v>
      </c>
      <c r="AY373" s="250">
        <f>+AY372/AY370</f>
        <v>3</v>
      </c>
      <c r="AZ373" s="120">
        <v>3</v>
      </c>
      <c r="BA373" s="120">
        <v>3</v>
      </c>
      <c r="BB373" s="120">
        <v>3</v>
      </c>
      <c r="BC373" s="120">
        <v>3</v>
      </c>
      <c r="BD373" s="250">
        <f>+BD372/BD370</f>
        <v>3</v>
      </c>
      <c r="BE373" s="120">
        <v>3</v>
      </c>
      <c r="BF373" s="120">
        <v>3</v>
      </c>
      <c r="BG373" s="120">
        <v>3</v>
      </c>
      <c r="BH373" s="120">
        <v>3</v>
      </c>
      <c r="BI373" s="250">
        <f>+BI372/BI370</f>
        <v>3</v>
      </c>
      <c r="BJ373" s="120">
        <v>3</v>
      </c>
      <c r="BK373" s="120">
        <v>3</v>
      </c>
      <c r="BL373" s="120">
        <v>3</v>
      </c>
      <c r="BM373" s="120">
        <v>3</v>
      </c>
      <c r="BN373" s="250">
        <f>+BN372/BN370</f>
        <v>2.9999999999999996</v>
      </c>
      <c r="BO373" s="120">
        <v>3</v>
      </c>
      <c r="BP373" s="120">
        <v>3</v>
      </c>
      <c r="BQ373" s="120">
        <v>3</v>
      </c>
      <c r="BR373" s="120">
        <v>3</v>
      </c>
      <c r="BS373" s="250">
        <f>+BS372/BS370</f>
        <v>3.0000000000000004</v>
      </c>
      <c r="BT373" s="120">
        <v>3</v>
      </c>
      <c r="BU373" s="120">
        <v>3</v>
      </c>
      <c r="BV373" s="120">
        <v>3</v>
      </c>
      <c r="BW373" s="120">
        <v>3</v>
      </c>
      <c r="BX373" s="250">
        <f>+BX372/BX370</f>
        <v>2.9999999999999996</v>
      </c>
      <c r="BY373" s="120">
        <v>3</v>
      </c>
      <c r="BZ373" s="120">
        <v>3</v>
      </c>
      <c r="CA373" s="120">
        <v>3</v>
      </c>
      <c r="CB373" s="120">
        <v>3</v>
      </c>
      <c r="CC373" s="250">
        <f>+CC372/CC370</f>
        <v>3</v>
      </c>
      <c r="CD373" s="120">
        <v>3</v>
      </c>
      <c r="CE373" s="120">
        <v>3</v>
      </c>
      <c r="CF373" s="120">
        <v>3</v>
      </c>
      <c r="CG373" s="120">
        <v>3</v>
      </c>
      <c r="CH373" s="250">
        <f>+CH372/CH370</f>
        <v>3</v>
      </c>
      <c r="CI373" s="120">
        <v>3</v>
      </c>
      <c r="CJ373" s="120">
        <v>3</v>
      </c>
      <c r="CK373" s="120">
        <v>3</v>
      </c>
      <c r="CL373" s="120">
        <v>3</v>
      </c>
      <c r="CM373" s="250">
        <f>+CM372/CM370</f>
        <v>3</v>
      </c>
      <c r="CN373" s="120">
        <v>3</v>
      </c>
      <c r="CO373" s="120">
        <v>3</v>
      </c>
      <c r="CP373" s="120">
        <v>3</v>
      </c>
      <c r="CQ373" s="120">
        <v>3</v>
      </c>
      <c r="CR373" s="250">
        <f>+CR372/CR370</f>
        <v>3</v>
      </c>
      <c r="CS373" s="120">
        <v>3</v>
      </c>
      <c r="CT373" s="120">
        <v>3</v>
      </c>
      <c r="CU373" s="120">
        <v>3</v>
      </c>
      <c r="CV373" s="120">
        <v>3</v>
      </c>
      <c r="CW373" s="250">
        <f>+CW372/CW370</f>
        <v>3</v>
      </c>
      <c r="CX373" s="120">
        <v>3</v>
      </c>
      <c r="CY373" s="120">
        <v>3</v>
      </c>
      <c r="CZ373" s="120">
        <v>3</v>
      </c>
      <c r="DA373" s="120">
        <v>3</v>
      </c>
      <c r="DB373" s="250">
        <f>+DB372/DB370</f>
        <v>3.0000000000000004</v>
      </c>
    </row>
    <row r="374" spans="1:106">
      <c r="F374" s="217"/>
      <c r="K374" s="217"/>
      <c r="P374" s="217"/>
      <c r="U374" s="217"/>
      <c r="Z374" s="217"/>
      <c r="AE374" s="217"/>
      <c r="AJ374" s="217"/>
      <c r="AO374" s="217"/>
      <c r="AT374" s="217"/>
      <c r="AY374" s="217"/>
      <c r="BD374" s="217"/>
      <c r="BI374" s="217"/>
      <c r="BN374" s="217"/>
      <c r="BS374" s="217"/>
      <c r="BX374" s="217"/>
      <c r="CC374" s="217"/>
      <c r="CH374" s="217"/>
      <c r="CM374" s="217"/>
      <c r="CR374" s="217"/>
      <c r="CW374" s="217"/>
      <c r="DB374" s="217"/>
    </row>
    <row r="375" spans="1:106" s="51" customFormat="1">
      <c r="A375" s="51" t="s">
        <v>337</v>
      </c>
      <c r="F375" s="233"/>
      <c r="K375" s="233"/>
      <c r="P375" s="233"/>
      <c r="U375" s="233"/>
      <c r="V375" s="51">
        <f>+$Z375/4</f>
        <v>25000</v>
      </c>
      <c r="W375" s="51">
        <f>+$Z375/4</f>
        <v>25000</v>
      </c>
      <c r="X375" s="51">
        <f>+$Z375/4</f>
        <v>25000</v>
      </c>
      <c r="Y375" s="51">
        <f>+$Z375/4</f>
        <v>25000</v>
      </c>
      <c r="Z375" s="233">
        <v>100000</v>
      </c>
      <c r="AA375" s="213">
        <f>+V375*(1+AA376)</f>
        <v>25750</v>
      </c>
      <c r="AB375" s="213">
        <f t="shared" ref="AB375" si="8404">+W375*(1+AB376)</f>
        <v>25750</v>
      </c>
      <c r="AC375" s="213">
        <f t="shared" ref="AC375" si="8405">+X375*(1+AC376)</f>
        <v>25750</v>
      </c>
      <c r="AD375" s="213">
        <f t="shared" ref="AD375" si="8406">+Y375*(1+AD376)</f>
        <v>25750</v>
      </c>
      <c r="AE375" s="234">
        <f>+AA375+AB375+AC375+AD375</f>
        <v>103000</v>
      </c>
      <c r="AF375" s="213">
        <f>+AA375*(1+AF376)</f>
        <v>26522.5</v>
      </c>
      <c r="AG375" s="213">
        <f t="shared" ref="AG375" si="8407">+AB375*(1+AG376)</f>
        <v>26522.5</v>
      </c>
      <c r="AH375" s="213">
        <f t="shared" ref="AH375" si="8408">+AC375*(1+AH376)</f>
        <v>26522.5</v>
      </c>
      <c r="AI375" s="213">
        <f t="shared" ref="AI375" si="8409">+AD375*(1+AI376)</f>
        <v>26522.5</v>
      </c>
      <c r="AJ375" s="234">
        <f>+AF375+AG375+AH375+AI375</f>
        <v>106090</v>
      </c>
      <c r="AK375" s="213">
        <f>+AF375*(1+AK376)</f>
        <v>27318.174999999999</v>
      </c>
      <c r="AL375" s="213">
        <f t="shared" ref="AL375" si="8410">+AG375*(1+AL376)</f>
        <v>27318.174999999999</v>
      </c>
      <c r="AM375" s="213">
        <f t="shared" ref="AM375" si="8411">+AH375*(1+AM376)</f>
        <v>27318.174999999999</v>
      </c>
      <c r="AN375" s="213">
        <f t="shared" ref="AN375" si="8412">+AI375*(1+AN376)</f>
        <v>27318.174999999999</v>
      </c>
      <c r="AO375" s="234">
        <f>+AK375+AL375+AM375+AN375</f>
        <v>109272.7</v>
      </c>
      <c r="AP375" s="213">
        <f>+AK375*(1+AP376)</f>
        <v>28137.720249999998</v>
      </c>
      <c r="AQ375" s="213">
        <f t="shared" ref="AQ375" si="8413">+AL375*(1+AQ376)</f>
        <v>28137.720249999998</v>
      </c>
      <c r="AR375" s="213">
        <f t="shared" ref="AR375" si="8414">+AM375*(1+AR376)</f>
        <v>28137.720249999998</v>
      </c>
      <c r="AS375" s="213">
        <f t="shared" ref="AS375" si="8415">+AN375*(1+AS376)</f>
        <v>28137.720249999998</v>
      </c>
      <c r="AT375" s="234">
        <f>+AP375+AQ375+AR375+AS375</f>
        <v>112550.88099999999</v>
      </c>
      <c r="AU375" s="213">
        <f>+AP375*(1+AU376)</f>
        <v>28981.851857499998</v>
      </c>
      <c r="AV375" s="213">
        <f t="shared" ref="AV375" si="8416">+AQ375*(1+AV376)</f>
        <v>28981.851857499998</v>
      </c>
      <c r="AW375" s="213">
        <f t="shared" ref="AW375" si="8417">+AR375*(1+AW376)</f>
        <v>28981.851857499998</v>
      </c>
      <c r="AX375" s="213">
        <f t="shared" ref="AX375" si="8418">+AS375*(1+AX376)</f>
        <v>28981.851857499998</v>
      </c>
      <c r="AY375" s="234">
        <f>+AU375+AV375+AW375+AX375</f>
        <v>115927.40742999999</v>
      </c>
      <c r="AZ375" s="213">
        <f>+AU375*(1+AZ376)</f>
        <v>29851.307413225</v>
      </c>
      <c r="BA375" s="213">
        <f t="shared" ref="BA375" si="8419">+AV375*(1+BA376)</f>
        <v>29851.307413225</v>
      </c>
      <c r="BB375" s="213">
        <f t="shared" ref="BB375" si="8420">+AW375*(1+BB376)</f>
        <v>29851.307413225</v>
      </c>
      <c r="BC375" s="213">
        <f t="shared" ref="BC375" si="8421">+AX375*(1+BC376)</f>
        <v>29851.307413225</v>
      </c>
      <c r="BD375" s="234">
        <f>+AZ375+BA375+BB375+BC375</f>
        <v>119405.2296529</v>
      </c>
      <c r="BE375" s="213">
        <f>+AZ375*(1+BE376)</f>
        <v>30746.84663562175</v>
      </c>
      <c r="BF375" s="213">
        <f t="shared" ref="BF375" si="8422">+BA375*(1+BF376)</f>
        <v>30746.84663562175</v>
      </c>
      <c r="BG375" s="213">
        <f t="shared" ref="BG375" si="8423">+BB375*(1+BG376)</f>
        <v>30746.84663562175</v>
      </c>
      <c r="BH375" s="213">
        <f t="shared" ref="BH375" si="8424">+BC375*(1+BH376)</f>
        <v>30746.84663562175</v>
      </c>
      <c r="BI375" s="234">
        <f>+BE375+BF375+BG375+BH375</f>
        <v>122987.386542487</v>
      </c>
      <c r="BJ375" s="213">
        <f>+BE375*(1+BJ376)</f>
        <v>31669.252034690402</v>
      </c>
      <c r="BK375" s="213">
        <f t="shared" ref="BK375" si="8425">+BF375*(1+BK376)</f>
        <v>31669.252034690402</v>
      </c>
      <c r="BL375" s="213">
        <f t="shared" ref="BL375" si="8426">+BG375*(1+BL376)</f>
        <v>31669.252034690402</v>
      </c>
      <c r="BM375" s="213">
        <f t="shared" ref="BM375" si="8427">+BH375*(1+BM376)</f>
        <v>31669.252034690402</v>
      </c>
      <c r="BN375" s="234">
        <f>+BJ375+BK375+BL375+BM375</f>
        <v>126677.00813876161</v>
      </c>
      <c r="BO375" s="213">
        <f>+BJ375*(1+BO376)</f>
        <v>32619.329595731117</v>
      </c>
      <c r="BP375" s="213">
        <f t="shared" ref="BP375" si="8428">+BK375*(1+BP376)</f>
        <v>32619.329595731117</v>
      </c>
      <c r="BQ375" s="213">
        <f t="shared" ref="BQ375" si="8429">+BL375*(1+BQ376)</f>
        <v>32619.329595731117</v>
      </c>
      <c r="BR375" s="213">
        <f t="shared" ref="BR375" si="8430">+BM375*(1+BR376)</f>
        <v>32619.329595731117</v>
      </c>
      <c r="BS375" s="234">
        <f>+BO375+BP375+BQ375+BR375</f>
        <v>130477.31838292447</v>
      </c>
      <c r="BT375" s="213">
        <f>+BO375*(1+BT376)</f>
        <v>33597.909483603049</v>
      </c>
      <c r="BU375" s="213">
        <f t="shared" ref="BU375" si="8431">+BP375*(1+BU376)</f>
        <v>33597.909483603049</v>
      </c>
      <c r="BV375" s="213">
        <f t="shared" ref="BV375" si="8432">+BQ375*(1+BV376)</f>
        <v>33597.909483603049</v>
      </c>
      <c r="BW375" s="213">
        <f t="shared" ref="BW375" si="8433">+BR375*(1+BW376)</f>
        <v>33597.909483603049</v>
      </c>
      <c r="BX375" s="234">
        <f>+BT375+BU375+BV375+BW375</f>
        <v>134391.6379344122</v>
      </c>
      <c r="BY375" s="213">
        <f>+BT375*(1+BY376)</f>
        <v>34605.846768111143</v>
      </c>
      <c r="BZ375" s="213">
        <f t="shared" ref="BZ375" si="8434">+BU375*(1+BZ376)</f>
        <v>34605.846768111143</v>
      </c>
      <c r="CA375" s="213">
        <f t="shared" ref="CA375" si="8435">+BV375*(1+CA376)</f>
        <v>34605.846768111143</v>
      </c>
      <c r="CB375" s="213">
        <f t="shared" ref="CB375" si="8436">+BW375*(1+CB376)</f>
        <v>34605.846768111143</v>
      </c>
      <c r="CC375" s="234">
        <f>+BY375+BZ375+CA375+CB375</f>
        <v>138423.38707244457</v>
      </c>
      <c r="CD375" s="213">
        <f>+BY375*(1+CD376)</f>
        <v>35644.02217115448</v>
      </c>
      <c r="CE375" s="213">
        <f t="shared" ref="CE375" si="8437">+BZ375*(1+CE376)</f>
        <v>35644.02217115448</v>
      </c>
      <c r="CF375" s="213">
        <f t="shared" ref="CF375" si="8438">+CA375*(1+CF376)</f>
        <v>35644.02217115448</v>
      </c>
      <c r="CG375" s="213">
        <f t="shared" ref="CG375" si="8439">+CB375*(1+CG376)</f>
        <v>35644.02217115448</v>
      </c>
      <c r="CH375" s="234">
        <f>+CD375+CE375+CF375+CG375</f>
        <v>142576.08868461792</v>
      </c>
      <c r="CI375" s="213">
        <f>+CD375*(1+CI376)</f>
        <v>36713.342836289114</v>
      </c>
      <c r="CJ375" s="213">
        <f t="shared" ref="CJ375" si="8440">+CE375*(1+CJ376)</f>
        <v>36713.342836289114</v>
      </c>
      <c r="CK375" s="213">
        <f t="shared" ref="CK375" si="8441">+CF375*(1+CK376)</f>
        <v>36713.342836289114</v>
      </c>
      <c r="CL375" s="213">
        <f t="shared" ref="CL375" si="8442">+CG375*(1+CL376)</f>
        <v>36713.342836289114</v>
      </c>
      <c r="CM375" s="234">
        <f>+CI375+CJ375+CK375+CL375</f>
        <v>146853.37134515645</v>
      </c>
      <c r="CN375" s="213">
        <f>+CI375*(1+CN376)</f>
        <v>37814.743121377789</v>
      </c>
      <c r="CO375" s="213">
        <f t="shared" ref="CO375" si="8443">+CJ375*(1+CO376)</f>
        <v>37814.743121377789</v>
      </c>
      <c r="CP375" s="213">
        <f t="shared" ref="CP375" si="8444">+CK375*(1+CP376)</f>
        <v>37814.743121377789</v>
      </c>
      <c r="CQ375" s="213">
        <f t="shared" ref="CQ375" si="8445">+CL375*(1+CQ376)</f>
        <v>37814.743121377789</v>
      </c>
      <c r="CR375" s="234">
        <f>+CN375+CO375+CP375+CQ375</f>
        <v>151258.97248551116</v>
      </c>
      <c r="CS375" s="213">
        <f>+CN375*(1+CS376)</f>
        <v>38949.185415019121</v>
      </c>
      <c r="CT375" s="213">
        <f t="shared" ref="CT375" si="8446">+CO375*(1+CT376)</f>
        <v>38949.185415019121</v>
      </c>
      <c r="CU375" s="213">
        <f t="shared" ref="CU375" si="8447">+CP375*(1+CU376)</f>
        <v>38949.185415019121</v>
      </c>
      <c r="CV375" s="213">
        <f t="shared" ref="CV375" si="8448">+CQ375*(1+CV376)</f>
        <v>38949.185415019121</v>
      </c>
      <c r="CW375" s="234">
        <f>+CS375+CT375+CU375+CV375</f>
        <v>155796.74166007648</v>
      </c>
      <c r="CX375" s="213">
        <f>+CS375*(1+CX376)</f>
        <v>40117.660977469699</v>
      </c>
      <c r="CY375" s="213">
        <f t="shared" ref="CY375" si="8449">+CT375*(1+CY376)</f>
        <v>40117.660977469699</v>
      </c>
      <c r="CZ375" s="213">
        <f t="shared" ref="CZ375" si="8450">+CU375*(1+CZ376)</f>
        <v>40117.660977469699</v>
      </c>
      <c r="DA375" s="213">
        <f t="shared" ref="DA375" si="8451">+CV375*(1+DA376)</f>
        <v>40117.660977469699</v>
      </c>
      <c r="DB375" s="234">
        <f>+CX375+CY375+CZ375+DA375</f>
        <v>160470.6439098788</v>
      </c>
    </row>
    <row r="376" spans="1:106">
      <c r="A376" s="117" t="s">
        <v>281</v>
      </c>
      <c r="F376" s="217"/>
      <c r="K376" s="217"/>
      <c r="P376" s="217"/>
      <c r="U376" s="217"/>
      <c r="V376" s="119" t="s">
        <v>290</v>
      </c>
      <c r="W376" s="119" t="s">
        <v>290</v>
      </c>
      <c r="X376" s="119" t="s">
        <v>290</v>
      </c>
      <c r="Y376" s="119" t="s">
        <v>290</v>
      </c>
      <c r="Z376" s="235" t="s">
        <v>290</v>
      </c>
      <c r="AA376" s="118">
        <v>0.03</v>
      </c>
      <c r="AB376" s="118">
        <v>0.03</v>
      </c>
      <c r="AC376" s="118">
        <v>0.03</v>
      </c>
      <c r="AD376" s="118">
        <v>0.03</v>
      </c>
      <c r="AE376" s="239">
        <f>+AE375/Z375-1</f>
        <v>3.0000000000000027E-2</v>
      </c>
      <c r="AF376" s="118">
        <v>0.03</v>
      </c>
      <c r="AG376" s="118">
        <v>0.03</v>
      </c>
      <c r="AH376" s="118">
        <v>0.03</v>
      </c>
      <c r="AI376" s="118">
        <v>0.03</v>
      </c>
      <c r="AJ376" s="239">
        <f>+AJ375/AE375-1</f>
        <v>3.0000000000000027E-2</v>
      </c>
      <c r="AK376" s="118">
        <v>0.03</v>
      </c>
      <c r="AL376" s="118">
        <v>0.03</v>
      </c>
      <c r="AM376" s="118">
        <v>0.03</v>
      </c>
      <c r="AN376" s="118">
        <v>0.03</v>
      </c>
      <c r="AO376" s="239">
        <f>+AO375/AJ375-1</f>
        <v>3.0000000000000027E-2</v>
      </c>
      <c r="AP376" s="118">
        <v>0.03</v>
      </c>
      <c r="AQ376" s="118">
        <v>0.03</v>
      </c>
      <c r="AR376" s="118">
        <v>0.03</v>
      </c>
      <c r="AS376" s="118">
        <v>0.03</v>
      </c>
      <c r="AT376" s="239">
        <f>+AT375/AO375-1</f>
        <v>3.0000000000000027E-2</v>
      </c>
      <c r="AU376" s="118">
        <v>0.03</v>
      </c>
      <c r="AV376" s="118">
        <v>0.03</v>
      </c>
      <c r="AW376" s="118">
        <v>0.03</v>
      </c>
      <c r="AX376" s="118">
        <v>0.03</v>
      </c>
      <c r="AY376" s="239">
        <f>+AY375/AT375-1</f>
        <v>3.0000000000000027E-2</v>
      </c>
      <c r="AZ376" s="118">
        <v>0.03</v>
      </c>
      <c r="BA376" s="118">
        <v>0.03</v>
      </c>
      <c r="BB376" s="118">
        <v>0.03</v>
      </c>
      <c r="BC376" s="118">
        <v>0.03</v>
      </c>
      <c r="BD376" s="239">
        <f>+BD375/AY375-1</f>
        <v>3.0000000000000027E-2</v>
      </c>
      <c r="BE376" s="118">
        <v>0.03</v>
      </c>
      <c r="BF376" s="118">
        <v>0.03</v>
      </c>
      <c r="BG376" s="118">
        <v>0.03</v>
      </c>
      <c r="BH376" s="118">
        <v>0.03</v>
      </c>
      <c r="BI376" s="239">
        <f>+BI375/BD375-1</f>
        <v>3.0000000000000027E-2</v>
      </c>
      <c r="BJ376" s="118">
        <v>0.03</v>
      </c>
      <c r="BK376" s="118">
        <v>0.03</v>
      </c>
      <c r="BL376" s="118">
        <v>0.03</v>
      </c>
      <c r="BM376" s="118">
        <v>0.03</v>
      </c>
      <c r="BN376" s="239">
        <f>+BN375/BI375-1</f>
        <v>3.0000000000000027E-2</v>
      </c>
      <c r="BO376" s="118">
        <v>0.03</v>
      </c>
      <c r="BP376" s="118">
        <v>0.03</v>
      </c>
      <c r="BQ376" s="118">
        <v>0.03</v>
      </c>
      <c r="BR376" s="118">
        <v>0.03</v>
      </c>
      <c r="BS376" s="239">
        <f>+BS375/BN375-1</f>
        <v>3.0000000000000027E-2</v>
      </c>
      <c r="BT376" s="118">
        <v>0.03</v>
      </c>
      <c r="BU376" s="118">
        <v>0.03</v>
      </c>
      <c r="BV376" s="118">
        <v>0.03</v>
      </c>
      <c r="BW376" s="118">
        <v>0.03</v>
      </c>
      <c r="BX376" s="239">
        <f>+BX375/BS375-1</f>
        <v>3.0000000000000027E-2</v>
      </c>
      <c r="BY376" s="118">
        <v>0.03</v>
      </c>
      <c r="BZ376" s="118">
        <v>0.03</v>
      </c>
      <c r="CA376" s="118">
        <v>0.03</v>
      </c>
      <c r="CB376" s="118">
        <v>0.03</v>
      </c>
      <c r="CC376" s="239">
        <f>+CC375/BX375-1</f>
        <v>3.0000000000000027E-2</v>
      </c>
      <c r="CD376" s="118">
        <v>0.03</v>
      </c>
      <c r="CE376" s="118">
        <v>0.03</v>
      </c>
      <c r="CF376" s="118">
        <v>0.03</v>
      </c>
      <c r="CG376" s="118">
        <v>0.03</v>
      </c>
      <c r="CH376" s="239">
        <f>+CH375/CC375-1</f>
        <v>3.0000000000000027E-2</v>
      </c>
      <c r="CI376" s="118">
        <v>0.03</v>
      </c>
      <c r="CJ376" s="118">
        <v>0.03</v>
      </c>
      <c r="CK376" s="118">
        <v>0.03</v>
      </c>
      <c r="CL376" s="118">
        <v>0.03</v>
      </c>
      <c r="CM376" s="239">
        <f>+CM375/CH375-1</f>
        <v>3.0000000000000027E-2</v>
      </c>
      <c r="CN376" s="118">
        <v>0.03</v>
      </c>
      <c r="CO376" s="118">
        <v>0.03</v>
      </c>
      <c r="CP376" s="118">
        <v>0.03</v>
      </c>
      <c r="CQ376" s="118">
        <v>0.03</v>
      </c>
      <c r="CR376" s="239">
        <f>+CR375/CM375-1</f>
        <v>3.0000000000000027E-2</v>
      </c>
      <c r="CS376" s="118">
        <v>0.03</v>
      </c>
      <c r="CT376" s="118">
        <v>0.03</v>
      </c>
      <c r="CU376" s="118">
        <v>0.03</v>
      </c>
      <c r="CV376" s="118">
        <v>0.03</v>
      </c>
      <c r="CW376" s="239">
        <f>+CW375/CR375-1</f>
        <v>3.0000000000000027E-2</v>
      </c>
      <c r="CX376" s="118">
        <v>0.03</v>
      </c>
      <c r="CY376" s="118">
        <v>0.03</v>
      </c>
      <c r="CZ376" s="118">
        <v>0.03</v>
      </c>
      <c r="DA376" s="118">
        <v>0.03</v>
      </c>
      <c r="DB376" s="239">
        <f>+DB375/CW375-1</f>
        <v>3.0000000000000027E-2</v>
      </c>
    </row>
    <row r="377" spans="1:106" s="51" customFormat="1">
      <c r="A377" s="51" t="s">
        <v>333</v>
      </c>
      <c r="F377" s="233"/>
      <c r="K377" s="233"/>
      <c r="P377" s="233"/>
      <c r="U377" s="233"/>
      <c r="V377" s="213">
        <f>+V375*V378</f>
        <v>50000</v>
      </c>
      <c r="W377" s="213">
        <f t="shared" ref="W377" si="8452">+W375*W378</f>
        <v>50000</v>
      </c>
      <c r="X377" s="213">
        <f t="shared" ref="X377" si="8453">+X375*X378</f>
        <v>50000</v>
      </c>
      <c r="Y377" s="213">
        <f t="shared" ref="Y377" si="8454">+Y375*Y378</f>
        <v>50000</v>
      </c>
      <c r="Z377" s="234">
        <f>+V377+W377+X377+Y377</f>
        <v>200000</v>
      </c>
      <c r="AA377" s="213">
        <f>+AA375*AA378</f>
        <v>51500</v>
      </c>
      <c r="AB377" s="213">
        <f t="shared" ref="AB377" si="8455">+AB375*AB378</f>
        <v>51500</v>
      </c>
      <c r="AC377" s="213">
        <f t="shared" ref="AC377" si="8456">+AC375*AC378</f>
        <v>51500</v>
      </c>
      <c r="AD377" s="213">
        <f t="shared" ref="AD377" si="8457">+AD375*AD378</f>
        <v>51500</v>
      </c>
      <c r="AE377" s="234">
        <f>+AA377+AB377+AC377+AD377</f>
        <v>206000</v>
      </c>
      <c r="AF377" s="213">
        <f>+AF375*AF378</f>
        <v>53045</v>
      </c>
      <c r="AG377" s="213">
        <f t="shared" ref="AG377" si="8458">+AG375*AG378</f>
        <v>53045</v>
      </c>
      <c r="AH377" s="213">
        <f t="shared" ref="AH377" si="8459">+AH375*AH378</f>
        <v>53045</v>
      </c>
      <c r="AI377" s="213">
        <f t="shared" ref="AI377" si="8460">+AI375*AI378</f>
        <v>53045</v>
      </c>
      <c r="AJ377" s="234">
        <f>+AF377+AG377+AH377+AI377</f>
        <v>212180</v>
      </c>
      <c r="AK377" s="213">
        <f>+AK375*AK378</f>
        <v>54636.35</v>
      </c>
      <c r="AL377" s="213">
        <f t="shared" ref="AL377" si="8461">+AL375*AL378</f>
        <v>54636.35</v>
      </c>
      <c r="AM377" s="213">
        <f t="shared" ref="AM377" si="8462">+AM375*AM378</f>
        <v>54636.35</v>
      </c>
      <c r="AN377" s="213">
        <f t="shared" ref="AN377" si="8463">+AN375*AN378</f>
        <v>54636.35</v>
      </c>
      <c r="AO377" s="234">
        <f>+AK377+AL377+AM377+AN377</f>
        <v>218545.4</v>
      </c>
      <c r="AP377" s="213">
        <f>+AP375*AP378</f>
        <v>56275.440499999997</v>
      </c>
      <c r="AQ377" s="213">
        <f t="shared" ref="AQ377" si="8464">+AQ375*AQ378</f>
        <v>56275.440499999997</v>
      </c>
      <c r="AR377" s="213">
        <f t="shared" ref="AR377" si="8465">+AR375*AR378</f>
        <v>56275.440499999997</v>
      </c>
      <c r="AS377" s="213">
        <f t="shared" ref="AS377" si="8466">+AS375*AS378</f>
        <v>56275.440499999997</v>
      </c>
      <c r="AT377" s="234">
        <f>+AP377+AQ377+AR377+AS377</f>
        <v>225101.76199999999</v>
      </c>
      <c r="AU377" s="213">
        <f>+AU375*AU378</f>
        <v>57963.703714999996</v>
      </c>
      <c r="AV377" s="213">
        <f t="shared" ref="AV377" si="8467">+AV375*AV378</f>
        <v>57963.703714999996</v>
      </c>
      <c r="AW377" s="213">
        <f t="shared" ref="AW377" si="8468">+AW375*AW378</f>
        <v>57963.703714999996</v>
      </c>
      <c r="AX377" s="213">
        <f t="shared" ref="AX377" si="8469">+AX375*AX378</f>
        <v>57963.703714999996</v>
      </c>
      <c r="AY377" s="234">
        <f>+AU377+AV377+AW377+AX377</f>
        <v>231854.81485999998</v>
      </c>
      <c r="AZ377" s="213">
        <f>+AZ375*AZ378</f>
        <v>59702.614826450001</v>
      </c>
      <c r="BA377" s="213">
        <f t="shared" ref="BA377" si="8470">+BA375*BA378</f>
        <v>59702.614826450001</v>
      </c>
      <c r="BB377" s="213">
        <f t="shared" ref="BB377" si="8471">+BB375*BB378</f>
        <v>59702.614826450001</v>
      </c>
      <c r="BC377" s="213">
        <f t="shared" ref="BC377" si="8472">+BC375*BC378</f>
        <v>59702.614826450001</v>
      </c>
      <c r="BD377" s="234">
        <f>+AZ377+BA377+BB377+BC377</f>
        <v>238810.4593058</v>
      </c>
      <c r="BE377" s="213">
        <f>+BE375*BE378</f>
        <v>61493.693271243501</v>
      </c>
      <c r="BF377" s="213">
        <f t="shared" ref="BF377" si="8473">+BF375*BF378</f>
        <v>61493.693271243501</v>
      </c>
      <c r="BG377" s="213">
        <f t="shared" ref="BG377" si="8474">+BG375*BG378</f>
        <v>61493.693271243501</v>
      </c>
      <c r="BH377" s="213">
        <f t="shared" ref="BH377" si="8475">+BH375*BH378</f>
        <v>61493.693271243501</v>
      </c>
      <c r="BI377" s="234">
        <f>+BE377+BF377+BG377+BH377</f>
        <v>245974.773084974</v>
      </c>
      <c r="BJ377" s="213">
        <f>+BJ375*BJ378</f>
        <v>63338.504069380804</v>
      </c>
      <c r="BK377" s="213">
        <f t="shared" ref="BK377" si="8476">+BK375*BK378</f>
        <v>63338.504069380804</v>
      </c>
      <c r="BL377" s="213">
        <f t="shared" ref="BL377" si="8477">+BL375*BL378</f>
        <v>63338.504069380804</v>
      </c>
      <c r="BM377" s="213">
        <f t="shared" ref="BM377" si="8478">+BM375*BM378</f>
        <v>63338.504069380804</v>
      </c>
      <c r="BN377" s="234">
        <f>+BJ377+BK377+BL377+BM377</f>
        <v>253354.01627752322</v>
      </c>
      <c r="BO377" s="213">
        <f>+BO375*BO378</f>
        <v>65238.659191462233</v>
      </c>
      <c r="BP377" s="213">
        <f t="shared" ref="BP377" si="8479">+BP375*BP378</f>
        <v>65238.659191462233</v>
      </c>
      <c r="BQ377" s="213">
        <f t="shared" ref="BQ377" si="8480">+BQ375*BQ378</f>
        <v>65238.659191462233</v>
      </c>
      <c r="BR377" s="213">
        <f t="shared" ref="BR377" si="8481">+BR375*BR378</f>
        <v>65238.659191462233</v>
      </c>
      <c r="BS377" s="234">
        <f>+BO377+BP377+BQ377+BR377</f>
        <v>260954.63676584893</v>
      </c>
      <c r="BT377" s="213">
        <f>+BT375*BT378</f>
        <v>67195.818967206098</v>
      </c>
      <c r="BU377" s="213">
        <f t="shared" ref="BU377" si="8482">+BU375*BU378</f>
        <v>67195.818967206098</v>
      </c>
      <c r="BV377" s="213">
        <f t="shared" ref="BV377" si="8483">+BV375*BV378</f>
        <v>67195.818967206098</v>
      </c>
      <c r="BW377" s="213">
        <f t="shared" ref="BW377" si="8484">+BW375*BW378</f>
        <v>67195.818967206098</v>
      </c>
      <c r="BX377" s="234">
        <f>+BT377+BU377+BV377+BW377</f>
        <v>268783.27586882439</v>
      </c>
      <c r="BY377" s="213">
        <f>+BY375*BY378</f>
        <v>69211.693536222287</v>
      </c>
      <c r="BZ377" s="213">
        <f t="shared" ref="BZ377" si="8485">+BZ375*BZ378</f>
        <v>69211.693536222287</v>
      </c>
      <c r="CA377" s="213">
        <f t="shared" ref="CA377" si="8486">+CA375*CA378</f>
        <v>69211.693536222287</v>
      </c>
      <c r="CB377" s="213">
        <f t="shared" ref="CB377" si="8487">+CB375*CB378</f>
        <v>69211.693536222287</v>
      </c>
      <c r="CC377" s="234">
        <f>+BY377+BZ377+CA377+CB377</f>
        <v>276846.77414488915</v>
      </c>
      <c r="CD377" s="213">
        <f>+CD375*CD378</f>
        <v>71288.04434230896</v>
      </c>
      <c r="CE377" s="213">
        <f t="shared" ref="CE377" si="8488">+CE375*CE378</f>
        <v>71288.04434230896</v>
      </c>
      <c r="CF377" s="213">
        <f t="shared" ref="CF377" si="8489">+CF375*CF378</f>
        <v>71288.04434230896</v>
      </c>
      <c r="CG377" s="213">
        <f t="shared" ref="CG377" si="8490">+CG375*CG378</f>
        <v>71288.04434230896</v>
      </c>
      <c r="CH377" s="234">
        <f>+CD377+CE377+CF377+CG377</f>
        <v>285152.17736923584</v>
      </c>
      <c r="CI377" s="213">
        <f>+CI375*CI378</f>
        <v>73426.685672578227</v>
      </c>
      <c r="CJ377" s="213">
        <f t="shared" ref="CJ377" si="8491">+CJ375*CJ378</f>
        <v>73426.685672578227</v>
      </c>
      <c r="CK377" s="213">
        <f t="shared" ref="CK377" si="8492">+CK375*CK378</f>
        <v>73426.685672578227</v>
      </c>
      <c r="CL377" s="213">
        <f t="shared" ref="CL377" si="8493">+CL375*CL378</f>
        <v>73426.685672578227</v>
      </c>
      <c r="CM377" s="234">
        <f>+CI377+CJ377+CK377+CL377</f>
        <v>293706.74269031291</v>
      </c>
      <c r="CN377" s="213">
        <f>+CN375*CN378</f>
        <v>75629.486242755578</v>
      </c>
      <c r="CO377" s="213">
        <f t="shared" ref="CO377" si="8494">+CO375*CO378</f>
        <v>75629.486242755578</v>
      </c>
      <c r="CP377" s="213">
        <f t="shared" ref="CP377" si="8495">+CP375*CP378</f>
        <v>75629.486242755578</v>
      </c>
      <c r="CQ377" s="213">
        <f t="shared" ref="CQ377" si="8496">+CQ375*CQ378</f>
        <v>75629.486242755578</v>
      </c>
      <c r="CR377" s="234">
        <f>+CN377+CO377+CP377+CQ377</f>
        <v>302517.94497102231</v>
      </c>
      <c r="CS377" s="213">
        <f>+CS375*CS378</f>
        <v>77898.370830038242</v>
      </c>
      <c r="CT377" s="213">
        <f t="shared" ref="CT377" si="8497">+CT375*CT378</f>
        <v>77898.370830038242</v>
      </c>
      <c r="CU377" s="213">
        <f t="shared" ref="CU377" si="8498">+CU375*CU378</f>
        <v>77898.370830038242</v>
      </c>
      <c r="CV377" s="213">
        <f t="shared" ref="CV377" si="8499">+CV375*CV378</f>
        <v>77898.370830038242</v>
      </c>
      <c r="CW377" s="234">
        <f>+CS377+CT377+CU377+CV377</f>
        <v>311593.48332015297</v>
      </c>
      <c r="CX377" s="213">
        <f>+CX375*CX378</f>
        <v>80235.321954939398</v>
      </c>
      <c r="CY377" s="213">
        <f t="shared" ref="CY377" si="8500">+CY375*CY378</f>
        <v>80235.321954939398</v>
      </c>
      <c r="CZ377" s="213">
        <f t="shared" ref="CZ377" si="8501">+CZ375*CZ378</f>
        <v>80235.321954939398</v>
      </c>
      <c r="DA377" s="213">
        <f t="shared" ref="DA377" si="8502">+DA375*DA378</f>
        <v>80235.321954939398</v>
      </c>
      <c r="DB377" s="234">
        <f>+CX377+CY377+CZ377+DA377</f>
        <v>320941.28781975759</v>
      </c>
    </row>
    <row r="378" spans="1:106">
      <c r="A378" s="117" t="s">
        <v>311</v>
      </c>
      <c r="F378" s="217"/>
      <c r="K378" s="217"/>
      <c r="P378" s="217"/>
      <c r="U378" s="217"/>
      <c r="V378" s="120">
        <v>2</v>
      </c>
      <c r="W378" s="120">
        <v>2</v>
      </c>
      <c r="X378" s="120">
        <v>2</v>
      </c>
      <c r="Y378" s="120">
        <v>2</v>
      </c>
      <c r="Z378" s="250">
        <f>+Z377/Z375</f>
        <v>2</v>
      </c>
      <c r="AA378" s="120">
        <v>2</v>
      </c>
      <c r="AB378" s="120">
        <v>2</v>
      </c>
      <c r="AC378" s="120">
        <v>2</v>
      </c>
      <c r="AD378" s="120">
        <v>2</v>
      </c>
      <c r="AE378" s="250">
        <f>+AE377/AE375</f>
        <v>2</v>
      </c>
      <c r="AF378" s="120">
        <v>2</v>
      </c>
      <c r="AG378" s="120">
        <v>2</v>
      </c>
      <c r="AH378" s="120">
        <v>2</v>
      </c>
      <c r="AI378" s="120">
        <v>2</v>
      </c>
      <c r="AJ378" s="250">
        <f>+AJ377/AJ375</f>
        <v>2</v>
      </c>
      <c r="AK378" s="120">
        <v>2</v>
      </c>
      <c r="AL378" s="120">
        <v>2</v>
      </c>
      <c r="AM378" s="120">
        <v>2</v>
      </c>
      <c r="AN378" s="120">
        <v>2</v>
      </c>
      <c r="AO378" s="250">
        <f>+AO377/AO375</f>
        <v>2</v>
      </c>
      <c r="AP378" s="120">
        <v>2</v>
      </c>
      <c r="AQ378" s="120">
        <v>2</v>
      </c>
      <c r="AR378" s="120">
        <v>2</v>
      </c>
      <c r="AS378" s="120">
        <v>2</v>
      </c>
      <c r="AT378" s="250">
        <f>+AT377/AT375</f>
        <v>2</v>
      </c>
      <c r="AU378" s="120">
        <v>2</v>
      </c>
      <c r="AV378" s="120">
        <v>2</v>
      </c>
      <c r="AW378" s="120">
        <v>2</v>
      </c>
      <c r="AX378" s="120">
        <v>2</v>
      </c>
      <c r="AY378" s="250">
        <f>+AY377/AY375</f>
        <v>2</v>
      </c>
      <c r="AZ378" s="120">
        <v>2</v>
      </c>
      <c r="BA378" s="120">
        <v>2</v>
      </c>
      <c r="BB378" s="120">
        <v>2</v>
      </c>
      <c r="BC378" s="120">
        <v>2</v>
      </c>
      <c r="BD378" s="250">
        <f>+BD377/BD375</f>
        <v>2</v>
      </c>
      <c r="BE378" s="120">
        <v>2</v>
      </c>
      <c r="BF378" s="120">
        <v>2</v>
      </c>
      <c r="BG378" s="120">
        <v>2</v>
      </c>
      <c r="BH378" s="120">
        <v>2</v>
      </c>
      <c r="BI378" s="250">
        <f>+BI377/BI375</f>
        <v>2</v>
      </c>
      <c r="BJ378" s="120">
        <v>2</v>
      </c>
      <c r="BK378" s="120">
        <v>2</v>
      </c>
      <c r="BL378" s="120">
        <v>2</v>
      </c>
      <c r="BM378" s="120">
        <v>2</v>
      </c>
      <c r="BN378" s="250">
        <f>+BN377/BN375</f>
        <v>2</v>
      </c>
      <c r="BO378" s="120">
        <v>2</v>
      </c>
      <c r="BP378" s="120">
        <v>2</v>
      </c>
      <c r="BQ378" s="120">
        <v>2</v>
      </c>
      <c r="BR378" s="120">
        <v>2</v>
      </c>
      <c r="BS378" s="250">
        <f>+BS377/BS375</f>
        <v>2</v>
      </c>
      <c r="BT378" s="120">
        <v>2</v>
      </c>
      <c r="BU378" s="120">
        <v>2</v>
      </c>
      <c r="BV378" s="120">
        <v>2</v>
      </c>
      <c r="BW378" s="120">
        <v>2</v>
      </c>
      <c r="BX378" s="250">
        <f>+BX377/BX375</f>
        <v>2</v>
      </c>
      <c r="BY378" s="120">
        <v>2</v>
      </c>
      <c r="BZ378" s="120">
        <v>2</v>
      </c>
      <c r="CA378" s="120">
        <v>2</v>
      </c>
      <c r="CB378" s="120">
        <v>2</v>
      </c>
      <c r="CC378" s="250">
        <f>+CC377/CC375</f>
        <v>2</v>
      </c>
      <c r="CD378" s="120">
        <v>2</v>
      </c>
      <c r="CE378" s="120">
        <v>2</v>
      </c>
      <c r="CF378" s="120">
        <v>2</v>
      </c>
      <c r="CG378" s="120">
        <v>2</v>
      </c>
      <c r="CH378" s="250">
        <f>+CH377/CH375</f>
        <v>2</v>
      </c>
      <c r="CI378" s="120">
        <v>2</v>
      </c>
      <c r="CJ378" s="120">
        <v>2</v>
      </c>
      <c r="CK378" s="120">
        <v>2</v>
      </c>
      <c r="CL378" s="120">
        <v>2</v>
      </c>
      <c r="CM378" s="250">
        <f>+CM377/CM375</f>
        <v>2</v>
      </c>
      <c r="CN378" s="120">
        <v>2</v>
      </c>
      <c r="CO378" s="120">
        <v>2</v>
      </c>
      <c r="CP378" s="120">
        <v>2</v>
      </c>
      <c r="CQ378" s="120">
        <v>2</v>
      </c>
      <c r="CR378" s="250">
        <f>+CR377/CR375</f>
        <v>2</v>
      </c>
      <c r="CS378" s="120">
        <v>2</v>
      </c>
      <c r="CT378" s="120">
        <v>2</v>
      </c>
      <c r="CU378" s="120">
        <v>2</v>
      </c>
      <c r="CV378" s="120">
        <v>2</v>
      </c>
      <c r="CW378" s="250">
        <f>+CW377/CW375</f>
        <v>2</v>
      </c>
      <c r="CX378" s="120">
        <v>2</v>
      </c>
      <c r="CY378" s="120">
        <v>2</v>
      </c>
      <c r="CZ378" s="120">
        <v>2</v>
      </c>
      <c r="DA378" s="120">
        <v>2</v>
      </c>
      <c r="DB378" s="250">
        <f>+DB377/DB375</f>
        <v>2</v>
      </c>
    </row>
    <row r="379" spans="1:106">
      <c r="F379" s="217"/>
      <c r="K379" s="217"/>
      <c r="P379" s="217"/>
      <c r="U379" s="217"/>
      <c r="Z379" s="217"/>
      <c r="AE379" s="217"/>
      <c r="AJ379" s="217"/>
      <c r="AO379" s="217"/>
      <c r="AT379" s="217"/>
      <c r="AY379" s="217"/>
      <c r="BD379" s="217"/>
      <c r="BI379" s="217"/>
      <c r="BN379" s="217"/>
      <c r="BS379" s="217"/>
      <c r="BX379" s="217"/>
      <c r="CC379" s="217"/>
      <c r="CH379" s="217"/>
      <c r="CM379" s="217"/>
      <c r="CR379" s="217"/>
      <c r="CW379" s="217"/>
      <c r="DB379" s="217"/>
    </row>
    <row r="380" spans="1:106" s="51" customFormat="1">
      <c r="A380" s="51" t="s">
        <v>334</v>
      </c>
      <c r="F380" s="233"/>
      <c r="K380" s="233"/>
      <c r="P380" s="233"/>
      <c r="U380" s="233"/>
      <c r="V380" s="213">
        <f>+V372+V377</f>
        <v>76250</v>
      </c>
      <c r="W380" s="213">
        <f t="shared" ref="W380:Y380" si="8503">+W372+W377</f>
        <v>76250</v>
      </c>
      <c r="X380" s="213">
        <f t="shared" si="8503"/>
        <v>76250</v>
      </c>
      <c r="Y380" s="213">
        <f t="shared" si="8503"/>
        <v>76250</v>
      </c>
      <c r="Z380" s="234">
        <f>+V380+W380+X380+Y380</f>
        <v>305000</v>
      </c>
      <c r="AA380" s="213">
        <f t="shared" ref="AA380:AD380" si="8504">+AA372+AA377</f>
        <v>78537.5</v>
      </c>
      <c r="AB380" s="213">
        <f t="shared" si="8504"/>
        <v>78537.5</v>
      </c>
      <c r="AC380" s="213">
        <f t="shared" si="8504"/>
        <v>78537.5</v>
      </c>
      <c r="AD380" s="213">
        <f t="shared" si="8504"/>
        <v>78537.5</v>
      </c>
      <c r="AE380" s="234">
        <f>+AA380+AB380+AC380+AD380</f>
        <v>314150</v>
      </c>
      <c r="AF380" s="213">
        <f t="shared" ref="AF380:AG380" si="8505">+AF372+AF377</f>
        <v>80893.625</v>
      </c>
      <c r="AG380" s="213">
        <f t="shared" si="8505"/>
        <v>80893.625</v>
      </c>
      <c r="AH380" s="213">
        <f>+AH372+AH377</f>
        <v>80893.625</v>
      </c>
      <c r="AI380" s="213">
        <f t="shared" ref="AI380" si="8506">+AI372+AI377</f>
        <v>80893.625</v>
      </c>
      <c r="AJ380" s="234">
        <f>+AF380+AG380+AH380+AI380</f>
        <v>323574.5</v>
      </c>
      <c r="AK380" s="213">
        <f t="shared" ref="AK380:AN380" si="8507">+AK372+AK377</f>
        <v>83320.433749999997</v>
      </c>
      <c r="AL380" s="213">
        <f t="shared" si="8507"/>
        <v>83320.433749999997</v>
      </c>
      <c r="AM380" s="213">
        <f t="shared" si="8507"/>
        <v>83320.433749999997</v>
      </c>
      <c r="AN380" s="213">
        <f t="shared" si="8507"/>
        <v>83320.433749999997</v>
      </c>
      <c r="AO380" s="234">
        <f>+AK380+AL380+AM380+AN380</f>
        <v>333281.73499999999</v>
      </c>
      <c r="AP380" s="213">
        <f t="shared" ref="AP380:AS380" si="8508">+AP372+AP377</f>
        <v>85820.046762499987</v>
      </c>
      <c r="AQ380" s="213">
        <f t="shared" si="8508"/>
        <v>85820.046762499987</v>
      </c>
      <c r="AR380" s="213">
        <f t="shared" si="8508"/>
        <v>85820.046762499987</v>
      </c>
      <c r="AS380" s="213">
        <f t="shared" si="8508"/>
        <v>85820.046762499987</v>
      </c>
      <c r="AT380" s="234">
        <f>+AP380+AQ380+AR380+AS380</f>
        <v>343280.18704999995</v>
      </c>
      <c r="AU380" s="213">
        <f t="shared" ref="AU380:AX380" si="8509">+AU372+AU377</f>
        <v>88394.648165374994</v>
      </c>
      <c r="AV380" s="213">
        <f t="shared" si="8509"/>
        <v>88394.648165374994</v>
      </c>
      <c r="AW380" s="213">
        <f t="shared" si="8509"/>
        <v>88394.648165374994</v>
      </c>
      <c r="AX380" s="213">
        <f t="shared" si="8509"/>
        <v>88394.648165374994</v>
      </c>
      <c r="AY380" s="234">
        <f>+AU380+AV380+AW380+AX380</f>
        <v>353578.59266149998</v>
      </c>
      <c r="AZ380" s="213">
        <f t="shared" ref="AZ380:BC380" si="8510">+AZ372+AZ377</f>
        <v>91046.487610336248</v>
      </c>
      <c r="BA380" s="213">
        <f t="shared" si="8510"/>
        <v>91046.487610336248</v>
      </c>
      <c r="BB380" s="213">
        <f t="shared" si="8510"/>
        <v>91046.487610336248</v>
      </c>
      <c r="BC380" s="213">
        <f t="shared" si="8510"/>
        <v>91046.487610336248</v>
      </c>
      <c r="BD380" s="234">
        <f>+AZ380+BA380+BB380+BC380</f>
        <v>364185.95044134499</v>
      </c>
      <c r="BE380" s="213">
        <f t="shared" ref="BE380:BH380" si="8511">+BE372+BE377</f>
        <v>93777.882238646329</v>
      </c>
      <c r="BF380" s="213">
        <f t="shared" si="8511"/>
        <v>93777.882238646329</v>
      </c>
      <c r="BG380" s="213">
        <f t="shared" si="8511"/>
        <v>93777.882238646329</v>
      </c>
      <c r="BH380" s="213">
        <f t="shared" si="8511"/>
        <v>93777.882238646329</v>
      </c>
      <c r="BI380" s="234">
        <f>+BE380+BF380+BG380+BH380</f>
        <v>375111.52895458532</v>
      </c>
      <c r="BJ380" s="213">
        <f t="shared" ref="BJ380:BM380" si="8512">+BJ372+BJ377</f>
        <v>96591.218705805717</v>
      </c>
      <c r="BK380" s="213">
        <f t="shared" si="8512"/>
        <v>96591.218705805717</v>
      </c>
      <c r="BL380" s="213">
        <f t="shared" si="8512"/>
        <v>96591.218705805717</v>
      </c>
      <c r="BM380" s="213">
        <f t="shared" si="8512"/>
        <v>96591.218705805717</v>
      </c>
      <c r="BN380" s="234">
        <f>+BJ380+BK380+BL380+BM380</f>
        <v>386364.87482322287</v>
      </c>
      <c r="BO380" s="213">
        <f t="shared" ref="BO380:BR380" si="8513">+BO372+BO377</f>
        <v>99488.955266979901</v>
      </c>
      <c r="BP380" s="213">
        <f t="shared" si="8513"/>
        <v>99488.955266979901</v>
      </c>
      <c r="BQ380" s="213">
        <f t="shared" si="8513"/>
        <v>99488.955266979901</v>
      </c>
      <c r="BR380" s="213">
        <f t="shared" si="8513"/>
        <v>99488.955266979901</v>
      </c>
      <c r="BS380" s="234">
        <f>+BO380+BP380+BQ380+BR380</f>
        <v>397955.82106791961</v>
      </c>
      <c r="BT380" s="213">
        <f t="shared" ref="BT380:BW380" si="8514">+BT372+BT377</f>
        <v>102473.6239249893</v>
      </c>
      <c r="BU380" s="213">
        <f t="shared" si="8514"/>
        <v>102473.6239249893</v>
      </c>
      <c r="BV380" s="213">
        <f t="shared" si="8514"/>
        <v>102473.6239249893</v>
      </c>
      <c r="BW380" s="213">
        <f t="shared" si="8514"/>
        <v>102473.6239249893</v>
      </c>
      <c r="BX380" s="234">
        <f>+BT380+BU380+BV380+BW380</f>
        <v>409894.49569995719</v>
      </c>
      <c r="BY380" s="213">
        <f t="shared" ref="BY380:CB380" si="8515">+BY372+BY377</f>
        <v>105547.83264273898</v>
      </c>
      <c r="BZ380" s="213">
        <f t="shared" si="8515"/>
        <v>105547.83264273898</v>
      </c>
      <c r="CA380" s="213">
        <f t="shared" si="8515"/>
        <v>105547.83264273898</v>
      </c>
      <c r="CB380" s="213">
        <f t="shared" si="8515"/>
        <v>105547.83264273898</v>
      </c>
      <c r="CC380" s="234">
        <f>+BY380+BZ380+CA380+CB380</f>
        <v>422191.33057095594</v>
      </c>
      <c r="CD380" s="213">
        <f t="shared" ref="CD380:CG380" si="8516">+CD372+CD377</f>
        <v>108714.26762202116</v>
      </c>
      <c r="CE380" s="213">
        <f t="shared" si="8516"/>
        <v>108714.26762202116</v>
      </c>
      <c r="CF380" s="213">
        <f t="shared" si="8516"/>
        <v>108714.26762202116</v>
      </c>
      <c r="CG380" s="213">
        <f t="shared" si="8516"/>
        <v>108714.26762202116</v>
      </c>
      <c r="CH380" s="234">
        <f>+CD380+CE380+CF380+CG380</f>
        <v>434857.07048808463</v>
      </c>
      <c r="CI380" s="213">
        <f t="shared" ref="CI380:CL380" si="8517">+CI372+CI377</f>
        <v>111975.6956506818</v>
      </c>
      <c r="CJ380" s="213">
        <f t="shared" si="8517"/>
        <v>111975.6956506818</v>
      </c>
      <c r="CK380" s="213">
        <f t="shared" si="8517"/>
        <v>111975.6956506818</v>
      </c>
      <c r="CL380" s="213">
        <f t="shared" si="8517"/>
        <v>111975.6956506818</v>
      </c>
      <c r="CM380" s="234">
        <f>+CI380+CJ380+CK380+CL380</f>
        <v>447902.78260272718</v>
      </c>
      <c r="CN380" s="213">
        <f t="shared" ref="CN380:CQ380" si="8518">+CN372+CN377</f>
        <v>115334.96652020226</v>
      </c>
      <c r="CO380" s="213">
        <f t="shared" si="8518"/>
        <v>115334.96652020226</v>
      </c>
      <c r="CP380" s="213">
        <f t="shared" si="8518"/>
        <v>115334.96652020226</v>
      </c>
      <c r="CQ380" s="213">
        <f t="shared" si="8518"/>
        <v>115334.96652020226</v>
      </c>
      <c r="CR380" s="234">
        <f>+CN380+CO380+CP380+CQ380</f>
        <v>461339.86608080904</v>
      </c>
      <c r="CS380" s="213">
        <f t="shared" ref="CS380:CV380" si="8519">+CS372+CS377</f>
        <v>118795.01551580831</v>
      </c>
      <c r="CT380" s="213">
        <f t="shared" si="8519"/>
        <v>118795.01551580831</v>
      </c>
      <c r="CU380" s="213">
        <f t="shared" si="8519"/>
        <v>118795.01551580831</v>
      </c>
      <c r="CV380" s="213">
        <f t="shared" si="8519"/>
        <v>118795.01551580831</v>
      </c>
      <c r="CW380" s="234">
        <f>+CS380+CT380+CU380+CV380</f>
        <v>475180.06206323323</v>
      </c>
      <c r="CX380" s="213">
        <f t="shared" ref="CX380:DA380" si="8520">+CX372+CX377</f>
        <v>122358.86598128258</v>
      </c>
      <c r="CY380" s="213">
        <f t="shared" si="8520"/>
        <v>122358.86598128258</v>
      </c>
      <c r="CZ380" s="213">
        <f t="shared" si="8520"/>
        <v>122358.86598128258</v>
      </c>
      <c r="DA380" s="213">
        <f t="shared" si="8520"/>
        <v>122358.86598128258</v>
      </c>
      <c r="DB380" s="234">
        <f>+CX380+CY380+CZ380+DA380</f>
        <v>489435.46392513032</v>
      </c>
    </row>
    <row r="381" spans="1:106">
      <c r="A381" s="117" t="s">
        <v>281</v>
      </c>
      <c r="F381" s="217"/>
      <c r="K381" s="217"/>
      <c r="P381" s="217"/>
      <c r="U381" s="217"/>
      <c r="V381" s="119" t="s">
        <v>290</v>
      </c>
      <c r="W381" s="119" t="s">
        <v>290</v>
      </c>
      <c r="X381" s="119" t="s">
        <v>290</v>
      </c>
      <c r="Y381" s="119" t="s">
        <v>290</v>
      </c>
      <c r="Z381" s="235" t="s">
        <v>290</v>
      </c>
      <c r="AA381" s="13">
        <f>+AA380/V380-1</f>
        <v>3.0000000000000027E-2</v>
      </c>
      <c r="AB381" s="13">
        <f t="shared" ref="AB381" si="8521">+AB380/W380-1</f>
        <v>3.0000000000000027E-2</v>
      </c>
      <c r="AC381" s="13">
        <f t="shared" ref="AC381" si="8522">+AC380/X380-1</f>
        <v>3.0000000000000027E-2</v>
      </c>
      <c r="AD381" s="13">
        <f t="shared" ref="AD381" si="8523">+AD380/Y380-1</f>
        <v>3.0000000000000027E-2</v>
      </c>
      <c r="AE381" s="239">
        <f t="shared" ref="AE381" si="8524">+AE380/Z380-1</f>
        <v>3.0000000000000027E-2</v>
      </c>
      <c r="AF381" s="13">
        <f>+AF380/AA380-1</f>
        <v>3.0000000000000027E-2</v>
      </c>
      <c r="AG381" s="13">
        <f t="shared" ref="AG381" si="8525">+AG380/AB380-1</f>
        <v>3.0000000000000027E-2</v>
      </c>
      <c r="AH381" s="13">
        <f t="shared" ref="AH381" si="8526">+AH380/AC380-1</f>
        <v>3.0000000000000027E-2</v>
      </c>
      <c r="AI381" s="13">
        <f t="shared" ref="AI381" si="8527">+AI380/AD380-1</f>
        <v>3.0000000000000027E-2</v>
      </c>
      <c r="AJ381" s="239">
        <f t="shared" ref="AJ381" si="8528">+AJ380/AE380-1</f>
        <v>3.0000000000000027E-2</v>
      </c>
      <c r="AK381" s="13">
        <f>+AK380/AF380-1</f>
        <v>3.0000000000000027E-2</v>
      </c>
      <c r="AL381" s="13">
        <f t="shared" ref="AL381" si="8529">+AL380/AG380-1</f>
        <v>3.0000000000000027E-2</v>
      </c>
      <c r="AM381" s="13">
        <f t="shared" ref="AM381" si="8530">+AM380/AH380-1</f>
        <v>3.0000000000000027E-2</v>
      </c>
      <c r="AN381" s="13">
        <f t="shared" ref="AN381" si="8531">+AN380/AI380-1</f>
        <v>3.0000000000000027E-2</v>
      </c>
      <c r="AO381" s="239">
        <f t="shared" ref="AO381" si="8532">+AO380/AJ380-1</f>
        <v>3.0000000000000027E-2</v>
      </c>
      <c r="AP381" s="13">
        <f>+AP380/AK380-1</f>
        <v>2.9999999999999805E-2</v>
      </c>
      <c r="AQ381" s="13">
        <f t="shared" ref="AQ381" si="8533">+AQ380/AL380-1</f>
        <v>2.9999999999999805E-2</v>
      </c>
      <c r="AR381" s="13">
        <f t="shared" ref="AR381" si="8534">+AR380/AM380-1</f>
        <v>2.9999999999999805E-2</v>
      </c>
      <c r="AS381" s="13">
        <f t="shared" ref="AS381" si="8535">+AS380/AN380-1</f>
        <v>2.9999999999999805E-2</v>
      </c>
      <c r="AT381" s="239">
        <f t="shared" ref="AT381" si="8536">+AT380/AO380-1</f>
        <v>2.9999999999999805E-2</v>
      </c>
      <c r="AU381" s="13">
        <f>+AU380/AP380-1</f>
        <v>3.0000000000000027E-2</v>
      </c>
      <c r="AV381" s="13">
        <f t="shared" ref="AV381" si="8537">+AV380/AQ380-1</f>
        <v>3.0000000000000027E-2</v>
      </c>
      <c r="AW381" s="13">
        <f t="shared" ref="AW381" si="8538">+AW380/AR380-1</f>
        <v>3.0000000000000027E-2</v>
      </c>
      <c r="AX381" s="13">
        <f t="shared" ref="AX381" si="8539">+AX380/AS380-1</f>
        <v>3.0000000000000027E-2</v>
      </c>
      <c r="AY381" s="239">
        <f t="shared" ref="AY381" si="8540">+AY380/AT380-1</f>
        <v>3.0000000000000027E-2</v>
      </c>
      <c r="AZ381" s="13">
        <f>+AZ380/AU380-1</f>
        <v>3.0000000000000027E-2</v>
      </c>
      <c r="BA381" s="13">
        <f t="shared" ref="BA381" si="8541">+BA380/AV380-1</f>
        <v>3.0000000000000027E-2</v>
      </c>
      <c r="BB381" s="13">
        <f t="shared" ref="BB381" si="8542">+BB380/AW380-1</f>
        <v>3.0000000000000027E-2</v>
      </c>
      <c r="BC381" s="13">
        <f t="shared" ref="BC381" si="8543">+BC380/AX380-1</f>
        <v>3.0000000000000027E-2</v>
      </c>
      <c r="BD381" s="239">
        <f t="shared" ref="BD381" si="8544">+BD380/AY380-1</f>
        <v>3.0000000000000027E-2</v>
      </c>
      <c r="BE381" s="13">
        <f>+BE380/AZ380-1</f>
        <v>3.0000000000000027E-2</v>
      </c>
      <c r="BF381" s="13">
        <f t="shared" ref="BF381" si="8545">+BF380/BA380-1</f>
        <v>3.0000000000000027E-2</v>
      </c>
      <c r="BG381" s="13">
        <f t="shared" ref="BG381" si="8546">+BG380/BB380-1</f>
        <v>3.0000000000000027E-2</v>
      </c>
      <c r="BH381" s="13">
        <f t="shared" ref="BH381" si="8547">+BH380/BC380-1</f>
        <v>3.0000000000000027E-2</v>
      </c>
      <c r="BI381" s="239">
        <f t="shared" ref="BI381" si="8548">+BI380/BD380-1</f>
        <v>3.0000000000000027E-2</v>
      </c>
      <c r="BJ381" s="13">
        <f>+BJ380/BE380-1</f>
        <v>3.0000000000000027E-2</v>
      </c>
      <c r="BK381" s="13">
        <f t="shared" ref="BK381" si="8549">+BK380/BF380-1</f>
        <v>3.0000000000000027E-2</v>
      </c>
      <c r="BL381" s="13">
        <f t="shared" ref="BL381" si="8550">+BL380/BG380-1</f>
        <v>3.0000000000000027E-2</v>
      </c>
      <c r="BM381" s="13">
        <f t="shared" ref="BM381" si="8551">+BM380/BH380-1</f>
        <v>3.0000000000000027E-2</v>
      </c>
      <c r="BN381" s="239">
        <f t="shared" ref="BN381" si="8552">+BN380/BI380-1</f>
        <v>3.0000000000000027E-2</v>
      </c>
      <c r="BO381" s="13">
        <f>+BO380/BJ380-1</f>
        <v>3.0000000000000027E-2</v>
      </c>
      <c r="BP381" s="13">
        <f t="shared" ref="BP381" si="8553">+BP380/BK380-1</f>
        <v>3.0000000000000027E-2</v>
      </c>
      <c r="BQ381" s="13">
        <f t="shared" ref="BQ381" si="8554">+BQ380/BL380-1</f>
        <v>3.0000000000000027E-2</v>
      </c>
      <c r="BR381" s="13">
        <f t="shared" ref="BR381" si="8555">+BR380/BM380-1</f>
        <v>3.0000000000000027E-2</v>
      </c>
      <c r="BS381" s="239">
        <f t="shared" ref="BS381" si="8556">+BS380/BN380-1</f>
        <v>3.0000000000000027E-2</v>
      </c>
      <c r="BT381" s="13">
        <f>+BT380/BO380-1</f>
        <v>3.0000000000000027E-2</v>
      </c>
      <c r="BU381" s="13">
        <f t="shared" ref="BU381" si="8557">+BU380/BP380-1</f>
        <v>3.0000000000000027E-2</v>
      </c>
      <c r="BV381" s="13">
        <f t="shared" ref="BV381" si="8558">+BV380/BQ380-1</f>
        <v>3.0000000000000027E-2</v>
      </c>
      <c r="BW381" s="13">
        <f t="shared" ref="BW381" si="8559">+BW380/BR380-1</f>
        <v>3.0000000000000027E-2</v>
      </c>
      <c r="BX381" s="239">
        <f t="shared" ref="BX381" si="8560">+BX380/BS380-1</f>
        <v>3.0000000000000027E-2</v>
      </c>
      <c r="BY381" s="13">
        <f>+BY380/BT380-1</f>
        <v>3.0000000000000027E-2</v>
      </c>
      <c r="BZ381" s="13">
        <f t="shared" ref="BZ381" si="8561">+BZ380/BU380-1</f>
        <v>3.0000000000000027E-2</v>
      </c>
      <c r="CA381" s="13">
        <f t="shared" ref="CA381" si="8562">+CA380/BV380-1</f>
        <v>3.0000000000000027E-2</v>
      </c>
      <c r="CB381" s="13">
        <f t="shared" ref="CB381" si="8563">+CB380/BW380-1</f>
        <v>3.0000000000000027E-2</v>
      </c>
      <c r="CC381" s="239">
        <f t="shared" ref="CC381" si="8564">+CC380/BX380-1</f>
        <v>3.0000000000000027E-2</v>
      </c>
      <c r="CD381" s="13">
        <f>+CD380/BY380-1</f>
        <v>3.0000000000000027E-2</v>
      </c>
      <c r="CE381" s="13">
        <f t="shared" ref="CE381" si="8565">+CE380/BZ380-1</f>
        <v>3.0000000000000027E-2</v>
      </c>
      <c r="CF381" s="13">
        <f t="shared" ref="CF381" si="8566">+CF380/CA380-1</f>
        <v>3.0000000000000027E-2</v>
      </c>
      <c r="CG381" s="13">
        <f t="shared" ref="CG381" si="8567">+CG380/CB380-1</f>
        <v>3.0000000000000027E-2</v>
      </c>
      <c r="CH381" s="239">
        <f t="shared" ref="CH381" si="8568">+CH380/CC380-1</f>
        <v>3.0000000000000027E-2</v>
      </c>
      <c r="CI381" s="13">
        <f>+CI380/CD380-1</f>
        <v>3.0000000000000027E-2</v>
      </c>
      <c r="CJ381" s="13">
        <f t="shared" ref="CJ381" si="8569">+CJ380/CE380-1</f>
        <v>3.0000000000000027E-2</v>
      </c>
      <c r="CK381" s="13">
        <f t="shared" ref="CK381" si="8570">+CK380/CF380-1</f>
        <v>3.0000000000000027E-2</v>
      </c>
      <c r="CL381" s="13">
        <f t="shared" ref="CL381" si="8571">+CL380/CG380-1</f>
        <v>3.0000000000000027E-2</v>
      </c>
      <c r="CM381" s="239">
        <f t="shared" ref="CM381" si="8572">+CM380/CH380-1</f>
        <v>3.0000000000000027E-2</v>
      </c>
      <c r="CN381" s="13">
        <f>+CN380/CI380-1</f>
        <v>3.0000000000000027E-2</v>
      </c>
      <c r="CO381" s="13">
        <f t="shared" ref="CO381" si="8573">+CO380/CJ380-1</f>
        <v>3.0000000000000027E-2</v>
      </c>
      <c r="CP381" s="13">
        <f t="shared" ref="CP381" si="8574">+CP380/CK380-1</f>
        <v>3.0000000000000027E-2</v>
      </c>
      <c r="CQ381" s="13">
        <f t="shared" ref="CQ381" si="8575">+CQ380/CL380-1</f>
        <v>3.0000000000000027E-2</v>
      </c>
      <c r="CR381" s="239">
        <f t="shared" ref="CR381" si="8576">+CR380/CM380-1</f>
        <v>3.0000000000000027E-2</v>
      </c>
      <c r="CS381" s="13">
        <f>+CS380/CN380-1</f>
        <v>2.9999999999999805E-2</v>
      </c>
      <c r="CT381" s="13">
        <f t="shared" ref="CT381" si="8577">+CT380/CO380-1</f>
        <v>2.9999999999999805E-2</v>
      </c>
      <c r="CU381" s="13">
        <f t="shared" ref="CU381" si="8578">+CU380/CP380-1</f>
        <v>2.9999999999999805E-2</v>
      </c>
      <c r="CV381" s="13">
        <f t="shared" ref="CV381" si="8579">+CV380/CQ380-1</f>
        <v>2.9999999999999805E-2</v>
      </c>
      <c r="CW381" s="239">
        <f t="shared" ref="CW381" si="8580">+CW380/CR380-1</f>
        <v>2.9999999999999805E-2</v>
      </c>
      <c r="CX381" s="13">
        <f>+CX380/CS380-1</f>
        <v>3.0000000000000249E-2</v>
      </c>
      <c r="CY381" s="13">
        <f t="shared" ref="CY381" si="8581">+CY380/CT380-1</f>
        <v>3.0000000000000249E-2</v>
      </c>
      <c r="CZ381" s="13">
        <f t="shared" ref="CZ381" si="8582">+CZ380/CU380-1</f>
        <v>3.0000000000000249E-2</v>
      </c>
      <c r="DA381" s="13">
        <f t="shared" ref="DA381" si="8583">+DA380/CV380-1</f>
        <v>3.0000000000000249E-2</v>
      </c>
      <c r="DB381" s="239">
        <f t="shared" ref="DB381" si="8584">+DB380/CW380-1</f>
        <v>3.0000000000000249E-2</v>
      </c>
    </row>
    <row r="382" spans="1:106">
      <c r="F382" s="217"/>
      <c r="K382" s="217"/>
      <c r="P382" s="217"/>
      <c r="U382" s="217"/>
      <c r="Z382" s="217"/>
      <c r="AE382" s="217"/>
      <c r="AJ382" s="217"/>
      <c r="AO382" s="217"/>
      <c r="AT382" s="217"/>
      <c r="AY382" s="217"/>
      <c r="BD382" s="217"/>
      <c r="BI382" s="217"/>
      <c r="BN382" s="217"/>
      <c r="BS382" s="217"/>
      <c r="BX382" s="217"/>
      <c r="CC382" s="217"/>
      <c r="CH382" s="217"/>
      <c r="CM382" s="217"/>
      <c r="CR382" s="217"/>
      <c r="CW382" s="217"/>
      <c r="DB382" s="217"/>
    </row>
    <row r="383" spans="1:106" s="51" customFormat="1">
      <c r="A383" s="51" t="s">
        <v>338</v>
      </c>
      <c r="F383" s="233"/>
      <c r="K383" s="233"/>
      <c r="P383" s="233"/>
      <c r="U383" s="233"/>
      <c r="V383" s="213">
        <f>+V380*V386</f>
        <v>0</v>
      </c>
      <c r="W383" s="213">
        <f t="shared" ref="W383:Y383" si="8585">+W380*W386</f>
        <v>0</v>
      </c>
      <c r="X383" s="213">
        <f t="shared" si="8585"/>
        <v>0</v>
      </c>
      <c r="Y383" s="213">
        <f t="shared" si="8585"/>
        <v>0</v>
      </c>
      <c r="Z383" s="234">
        <f>+V383+W383+X383+Y383</f>
        <v>0</v>
      </c>
      <c r="AA383" s="213">
        <f>+AA380*AA386</f>
        <v>0</v>
      </c>
      <c r="AB383" s="213">
        <f t="shared" ref="AB383:AD383" si="8586">+AB380*AB386</f>
        <v>0</v>
      </c>
      <c r="AC383" s="213">
        <f t="shared" si="8586"/>
        <v>0</v>
      </c>
      <c r="AD383" s="213">
        <f t="shared" si="8586"/>
        <v>0</v>
      </c>
      <c r="AE383" s="234">
        <f>+AA383+AB383+AC383+AD383</f>
        <v>0</v>
      </c>
      <c r="AF383" s="213">
        <f>+AF380*AF386</f>
        <v>0</v>
      </c>
      <c r="AG383" s="213">
        <f t="shared" ref="AG383" si="8587">+AG380*AG386</f>
        <v>0</v>
      </c>
      <c r="AH383" s="213">
        <f>+AH380*AH386</f>
        <v>0</v>
      </c>
      <c r="AI383" s="213">
        <f t="shared" ref="AI383" si="8588">+AI380*AI386</f>
        <v>0</v>
      </c>
      <c r="AJ383" s="234">
        <f>+AF383+AG383+AH383+AI383</f>
        <v>0</v>
      </c>
      <c r="AK383" s="213">
        <f>+AK380*AK386</f>
        <v>0</v>
      </c>
      <c r="AL383" s="213">
        <f t="shared" ref="AL383:AN383" si="8589">+AL380*AL386</f>
        <v>0</v>
      </c>
      <c r="AM383" s="213">
        <f t="shared" si="8589"/>
        <v>0</v>
      </c>
      <c r="AN383" s="213">
        <f t="shared" si="8589"/>
        <v>0</v>
      </c>
      <c r="AO383" s="234">
        <f>+AK383+AL383+AM383+AN383</f>
        <v>0</v>
      </c>
      <c r="AP383" s="213">
        <f>+AP380*AP386</f>
        <v>0</v>
      </c>
      <c r="AQ383" s="213">
        <f t="shared" ref="AQ383:AS383" si="8590">+AQ380*AQ386</f>
        <v>0</v>
      </c>
      <c r="AR383" s="213">
        <f t="shared" si="8590"/>
        <v>0</v>
      </c>
      <c r="AS383" s="213">
        <f t="shared" si="8590"/>
        <v>343.28018704999994</v>
      </c>
      <c r="AT383" s="234">
        <f>+AP383+AQ383+AR383+AS383</f>
        <v>343.28018704999994</v>
      </c>
      <c r="AU383" s="213">
        <f>+AU380*AU386</f>
        <v>441.97324082687499</v>
      </c>
      <c r="AV383" s="213">
        <f t="shared" ref="AV383:AX383" si="8591">+AV380*AV386</f>
        <v>883.94648165374997</v>
      </c>
      <c r="AW383" s="213">
        <f t="shared" si="8591"/>
        <v>1149.1304261498749</v>
      </c>
      <c r="AX383" s="213">
        <f t="shared" si="8591"/>
        <v>1767.8929633074999</v>
      </c>
      <c r="AY383" s="234">
        <f>+AU383+AV383+AW383+AX383</f>
        <v>4242.9431119379997</v>
      </c>
      <c r="AZ383" s="213">
        <f>+AZ380*AZ386</f>
        <v>2276.1621902584061</v>
      </c>
      <c r="BA383" s="213">
        <f t="shared" ref="BA383:BC383" si="8592">+BA380*BA386</f>
        <v>2731.3946283100872</v>
      </c>
      <c r="BB383" s="213">
        <f t="shared" si="8592"/>
        <v>3186.6270663617688</v>
      </c>
      <c r="BC383" s="213">
        <f t="shared" si="8592"/>
        <v>3823.9524796341225</v>
      </c>
      <c r="BD383" s="234">
        <f>+AZ383+BA383+BB383+BC383</f>
        <v>12018.136364564385</v>
      </c>
      <c r="BE383" s="213">
        <f>+BE380*BE386</f>
        <v>4407.5604652163775</v>
      </c>
      <c r="BF383" s="213">
        <f t="shared" ref="BF383:BH383" si="8593">+BF380*BF386</f>
        <v>5345.3392876028411</v>
      </c>
      <c r="BG383" s="213">
        <f t="shared" si="8593"/>
        <v>6283.1181099893047</v>
      </c>
      <c r="BH383" s="213">
        <f t="shared" si="8593"/>
        <v>7408.4526968530599</v>
      </c>
      <c r="BI383" s="234">
        <f>+BE383+BF383+BG383+BH383</f>
        <v>23444.470559661582</v>
      </c>
      <c r="BJ383" s="213">
        <f>+BJ380*BJ386</f>
        <v>8403.436027405096</v>
      </c>
      <c r="BK383" s="213">
        <f t="shared" ref="BK383:BM383" si="8594">+BK380*BK386</f>
        <v>9176.165777051543</v>
      </c>
      <c r="BL383" s="213">
        <f t="shared" si="8594"/>
        <v>9948.8955266979901</v>
      </c>
      <c r="BM383" s="213">
        <f t="shared" si="8594"/>
        <v>10721.625276344435</v>
      </c>
      <c r="BN383" s="234">
        <f>+BJ383+BK383+BL383+BM383</f>
        <v>38250.122607499063</v>
      </c>
      <c r="BO383" s="213">
        <f>+BO380*BO386</f>
        <v>11441.22985570269</v>
      </c>
      <c r="BP383" s="213">
        <f t="shared" ref="BP383:BR383" si="8595">+BP380*BP386</f>
        <v>11839.18567677061</v>
      </c>
      <c r="BQ383" s="213">
        <f t="shared" si="8595"/>
        <v>12237.141497838531</v>
      </c>
      <c r="BR383" s="213">
        <f t="shared" si="8595"/>
        <v>12635.09731890645</v>
      </c>
      <c r="BS383" s="234">
        <f>+BO383+BP383+BQ383+BR383</f>
        <v>48152.654349218283</v>
      </c>
      <c r="BT383" s="213">
        <f>+BT380*BT386</f>
        <v>13526.51835809859</v>
      </c>
      <c r="BU383" s="213">
        <f t="shared" ref="BU383:BW383" si="8596">+BU380*BU386</f>
        <v>14038.886477723538</v>
      </c>
      <c r="BV383" s="213">
        <f t="shared" si="8596"/>
        <v>14551.254597348485</v>
      </c>
      <c r="BW383" s="213">
        <f t="shared" si="8596"/>
        <v>15063.622716973432</v>
      </c>
      <c r="BX383" s="234">
        <f>+BT383+BU383+BV383+BW383</f>
        <v>57180.282150144049</v>
      </c>
      <c r="BY383" s="213">
        <f>+BY380*BY386</f>
        <v>16043.27056169633</v>
      </c>
      <c r="BZ383" s="213">
        <f t="shared" ref="BZ383:CB383" si="8597">+BZ380*BZ386</f>
        <v>15251.661816875789</v>
      </c>
      <c r="CA383" s="213">
        <f t="shared" si="8597"/>
        <v>16571.009724910025</v>
      </c>
      <c r="CB383" s="213">
        <f t="shared" si="8597"/>
        <v>15779.400980089484</v>
      </c>
      <c r="CC383" s="234">
        <f>+BY383+BZ383+CA383+CB383</f>
        <v>63645.343083571628</v>
      </c>
      <c r="CD383" s="213">
        <f>+CD380*CD386</f>
        <v>16741.997213791263</v>
      </c>
      <c r="CE383" s="213">
        <f t="shared" ref="CE383:CG383" si="8598">+CE380*CE386</f>
        <v>16877.89004831879</v>
      </c>
      <c r="CF383" s="213">
        <f t="shared" si="8598"/>
        <v>17231.211418090359</v>
      </c>
      <c r="CG383" s="213">
        <f t="shared" si="8598"/>
        <v>17367.104252617886</v>
      </c>
      <c r="CH383" s="234">
        <f>+CD383+CE383+CF383+CG383</f>
        <v>68218.202932818298</v>
      </c>
      <c r="CI383" s="213">
        <f>+CI380*CI386</f>
        <v>18168.056619323128</v>
      </c>
      <c r="CJ383" s="213">
        <f t="shared" ref="CJ383:CL383" si="8599">+CJ380*CJ386</f>
        <v>18447.995858449834</v>
      </c>
      <c r="CK383" s="213">
        <f t="shared" si="8599"/>
        <v>18727.935097576537</v>
      </c>
      <c r="CL383" s="213">
        <f t="shared" si="8599"/>
        <v>19007.874336703244</v>
      </c>
      <c r="CM383" s="234">
        <f>+CI383+CJ383+CK383+CL383</f>
        <v>74351.861912052744</v>
      </c>
      <c r="CN383" s="213">
        <f>+CN380*CN386</f>
        <v>19866.447983104848</v>
      </c>
      <c r="CO383" s="213">
        <f t="shared" ref="CO383:CQ383" si="8600">+CO380*CO386</f>
        <v>20154.785399405355</v>
      </c>
      <c r="CP383" s="213">
        <f t="shared" si="8600"/>
        <v>20443.122815705858</v>
      </c>
      <c r="CQ383" s="213">
        <f t="shared" si="8600"/>
        <v>20731.460232006364</v>
      </c>
      <c r="CR383" s="234">
        <f>+CN383+CO383+CP383+CQ383</f>
        <v>81195.816430222418</v>
      </c>
      <c r="CS383" s="213">
        <f>+CS380*CS386</f>
        <v>21650.391577756072</v>
      </c>
      <c r="CT383" s="213">
        <f t="shared" ref="CT383:CV383" si="8601">+CT380*CT386</f>
        <v>21947.379116545595</v>
      </c>
      <c r="CU383" s="213">
        <f t="shared" si="8601"/>
        <v>22244.366655335114</v>
      </c>
      <c r="CV383" s="213">
        <f t="shared" si="8601"/>
        <v>22541.354194124637</v>
      </c>
      <c r="CW383" s="234">
        <f>+CS383+CT383+CU383+CV383</f>
        <v>88383.491543761425</v>
      </c>
      <c r="CX383" s="213">
        <f>+CX380*CX386</f>
        <v>23523.491984901586</v>
      </c>
      <c r="CY383" s="213">
        <f t="shared" ref="CY383:DA383" si="8602">+CY380*CY386</f>
        <v>23829.389149854793</v>
      </c>
      <c r="CZ383" s="213">
        <f t="shared" si="8602"/>
        <v>24135.286314808</v>
      </c>
      <c r="DA383" s="213">
        <f t="shared" si="8602"/>
        <v>24441.183479761206</v>
      </c>
      <c r="DB383" s="234">
        <f>+CX383+CY383+CZ383+DA383</f>
        <v>95929.350929325592</v>
      </c>
    </row>
    <row r="384" spans="1:106">
      <c r="A384" s="117" t="s">
        <v>281</v>
      </c>
      <c r="F384" s="217"/>
      <c r="K384" s="217"/>
      <c r="P384" s="217"/>
      <c r="U384" s="217"/>
      <c r="V384" s="119" t="s">
        <v>290</v>
      </c>
      <c r="W384" s="119" t="s">
        <v>290</v>
      </c>
      <c r="X384" s="119" t="s">
        <v>290</v>
      </c>
      <c r="Y384" s="119" t="s">
        <v>290</v>
      </c>
      <c r="Z384" s="235" t="s">
        <v>290</v>
      </c>
      <c r="AA384" s="13" t="e">
        <f>+AA383/V383-1</f>
        <v>#DIV/0!</v>
      </c>
      <c r="AB384" s="13" t="e">
        <f t="shared" ref="AB384" si="8603">+AB383/W383-1</f>
        <v>#DIV/0!</v>
      </c>
      <c r="AC384" s="13" t="e">
        <f t="shared" ref="AC384" si="8604">+AC383/X383-1</f>
        <v>#DIV/0!</v>
      </c>
      <c r="AD384" s="13" t="e">
        <f t="shared" ref="AD384" si="8605">+AD383/Y383-1</f>
        <v>#DIV/0!</v>
      </c>
      <c r="AE384" s="239" t="e">
        <f t="shared" ref="AE384" si="8606">+AE383/Z383-1</f>
        <v>#DIV/0!</v>
      </c>
      <c r="AF384" s="13" t="e">
        <f>+AF383/AA383-1</f>
        <v>#DIV/0!</v>
      </c>
      <c r="AG384" s="13" t="e">
        <f t="shared" ref="AG384" si="8607">+AG383/AB383-1</f>
        <v>#DIV/0!</v>
      </c>
      <c r="AH384" s="13" t="e">
        <f t="shared" ref="AH384" si="8608">+AH383/AC383-1</f>
        <v>#DIV/0!</v>
      </c>
      <c r="AI384" s="13" t="e">
        <f t="shared" ref="AI384" si="8609">+AI383/AD383-1</f>
        <v>#DIV/0!</v>
      </c>
      <c r="AJ384" s="239" t="e">
        <f t="shared" ref="AJ384" si="8610">+AJ383/AE383-1</f>
        <v>#DIV/0!</v>
      </c>
      <c r="AK384" s="13" t="e">
        <f>+AK383/AF383-1</f>
        <v>#DIV/0!</v>
      </c>
      <c r="AL384" s="13" t="e">
        <f t="shared" ref="AL384" si="8611">+AL383/AG383-1</f>
        <v>#DIV/0!</v>
      </c>
      <c r="AM384" s="13" t="e">
        <f t="shared" ref="AM384" si="8612">+AM383/AH383-1</f>
        <v>#DIV/0!</v>
      </c>
      <c r="AN384" s="13" t="e">
        <f t="shared" ref="AN384" si="8613">+AN383/AI383-1</f>
        <v>#DIV/0!</v>
      </c>
      <c r="AO384" s="239" t="e">
        <f t="shared" ref="AO384" si="8614">+AO383/AJ383-1</f>
        <v>#DIV/0!</v>
      </c>
      <c r="AP384" s="13" t="e">
        <f>+AP383/AK383-1</f>
        <v>#DIV/0!</v>
      </c>
      <c r="AQ384" s="13" t="e">
        <f t="shared" ref="AQ384" si="8615">+AQ383/AL383-1</f>
        <v>#DIV/0!</v>
      </c>
      <c r="AR384" s="13" t="e">
        <f t="shared" ref="AR384" si="8616">+AR383/AM383-1</f>
        <v>#DIV/0!</v>
      </c>
      <c r="AS384" s="13" t="e">
        <f t="shared" ref="AS384" si="8617">+AS383/AN383-1</f>
        <v>#DIV/0!</v>
      </c>
      <c r="AT384" s="239" t="e">
        <f t="shared" ref="AT384" si="8618">+AT383/AO383-1</f>
        <v>#DIV/0!</v>
      </c>
      <c r="AU384" s="13" t="e">
        <f>+AU383/AP383-1</f>
        <v>#DIV/0!</v>
      </c>
      <c r="AV384" s="13" t="e">
        <f t="shared" ref="AV384" si="8619">+AV383/AQ383-1</f>
        <v>#DIV/0!</v>
      </c>
      <c r="AW384" s="13" t="e">
        <f t="shared" ref="AW384" si="8620">+AW383/AR383-1</f>
        <v>#DIV/0!</v>
      </c>
      <c r="AX384" s="13">
        <f t="shared" ref="AX384" si="8621">+AX383/AS383-1</f>
        <v>4.1500000000000004</v>
      </c>
      <c r="AY384" s="239">
        <f t="shared" ref="AY384" si="8622">+AY383/AT383-1</f>
        <v>11.360000000000001</v>
      </c>
      <c r="AZ384" s="13">
        <f>+AZ383/AU383-1</f>
        <v>4.1499999999999995</v>
      </c>
      <c r="BA384" s="13">
        <f t="shared" ref="BA384" si="8623">+BA383/AV383-1</f>
        <v>2.09</v>
      </c>
      <c r="BB384" s="13">
        <f t="shared" ref="BB384" si="8624">+BB383/AW383-1</f>
        <v>1.7730769230769234</v>
      </c>
      <c r="BC384" s="13">
        <f t="shared" ref="BC384" si="8625">+BC383/AX383-1</f>
        <v>1.1630000000000003</v>
      </c>
      <c r="BD384" s="239">
        <f t="shared" ref="BD384" si="8626">+BD383/AY383-1</f>
        <v>1.8325</v>
      </c>
      <c r="BE384" s="13">
        <f>+BE383/AZ383-1</f>
        <v>0.9363999999999999</v>
      </c>
      <c r="BF384" s="13">
        <f t="shared" ref="BF384" si="8627">+BF383/BA383-1</f>
        <v>0.95700000000000007</v>
      </c>
      <c r="BG384" s="13">
        <f t="shared" ref="BG384" si="8628">+BG383/BB383-1</f>
        <v>0.97171428571428575</v>
      </c>
      <c r="BH384" s="13">
        <f t="shared" ref="BH384" si="8629">+BH383/BC383-1</f>
        <v>0.9373809523809522</v>
      </c>
      <c r="BI384" s="239">
        <f t="shared" ref="BI384" si="8630">+BI383/BD383-1</f>
        <v>0.95075757575757547</v>
      </c>
      <c r="BJ384" s="13">
        <f>+BJ383/BE383-1</f>
        <v>0.9065957446808508</v>
      </c>
      <c r="BK384" s="13">
        <f t="shared" ref="BK384" si="8631">+BK383/BF383-1</f>
        <v>0.71666666666666656</v>
      </c>
      <c r="BL384" s="13">
        <f t="shared" ref="BL384" si="8632">+BL383/BG383-1</f>
        <v>0.58343283582089556</v>
      </c>
      <c r="BM384" s="13">
        <f t="shared" ref="BM384" si="8633">+BM383/BH383-1</f>
        <v>0.4472151898734178</v>
      </c>
      <c r="BN384" s="239">
        <f t="shared" ref="BN384" si="8634">+BN383/BI383-1</f>
        <v>0.63151999999999986</v>
      </c>
      <c r="BO384" s="13">
        <f>+BO383/BJ383-1</f>
        <v>0.36149425287356385</v>
      </c>
      <c r="BP384" s="13">
        <f t="shared" ref="BP384" si="8635">+BP383/BK383-1</f>
        <v>0.29021052631578992</v>
      </c>
      <c r="BQ384" s="13">
        <f t="shared" ref="BQ384" si="8636">+BQ383/BL383-1</f>
        <v>0.2300000000000002</v>
      </c>
      <c r="BR384" s="13">
        <f t="shared" ref="BR384" si="8637">+BR383/BM383-1</f>
        <v>0.17846846846846876</v>
      </c>
      <c r="BS384" s="239">
        <f t="shared" ref="BS384" si="8638">+BS383/BN383-1</f>
        <v>0.25888888888888939</v>
      </c>
      <c r="BT384" s="13">
        <f>+BT383/BO383-1</f>
        <v>0.18226086956521748</v>
      </c>
      <c r="BU384" s="13">
        <f t="shared" ref="BU384" si="8639">+BU383/BP383-1</f>
        <v>0.18579831932773128</v>
      </c>
      <c r="BV384" s="13">
        <f t="shared" ref="BV384" si="8640">+BV383/BQ383-1</f>
        <v>0.18910569105691066</v>
      </c>
      <c r="BW384" s="13">
        <f t="shared" ref="BW384" si="8641">+BW383/BR383-1</f>
        <v>0.19220472440944891</v>
      </c>
      <c r="BX384" s="239">
        <f t="shared" ref="BX384" si="8642">+BX383/BS383-1</f>
        <v>0.18747933884297541</v>
      </c>
      <c r="BY384" s="13">
        <f>+BY383/BT383-1</f>
        <v>0.18606060606060626</v>
      </c>
      <c r="BZ384" s="13">
        <f t="shared" ref="BZ384" si="8643">+BZ383/BU383-1</f>
        <v>8.6386861313868746E-2</v>
      </c>
      <c r="CA384" s="13">
        <f t="shared" ref="CA384" si="8644">+CA383/BV383-1</f>
        <v>0.13880281690140861</v>
      </c>
      <c r="CB384" s="13">
        <f t="shared" ref="CB384" si="8645">+CB383/BW383-1</f>
        <v>4.7517006802721085E-2</v>
      </c>
      <c r="CC384" s="239">
        <f t="shared" ref="CC384" si="8646">+CC383/BX383-1</f>
        <v>0.11306451612903223</v>
      </c>
      <c r="CD384" s="13">
        <f>+CD383/BY383-1</f>
        <v>4.3552631578947398E-2</v>
      </c>
      <c r="CE384" s="13">
        <f t="shared" ref="CE384" si="8647">+CE383/BZ383-1</f>
        <v>0.10662629757785469</v>
      </c>
      <c r="CF384" s="13">
        <f t="shared" ref="CF384" si="8648">+CF383/CA383-1</f>
        <v>3.9840764331210199E-2</v>
      </c>
      <c r="CG384" s="13">
        <f t="shared" ref="CG384" si="8649">+CG383/CB383-1</f>
        <v>0.10061872909698999</v>
      </c>
      <c r="CH384" s="239">
        <f t="shared" ref="CH384" si="8650">+CH383/CC383-1</f>
        <v>7.1849087893864017E-2</v>
      </c>
      <c r="CI384" s="13">
        <f>+CI383/CD383-1</f>
        <v>8.5178571428571548E-2</v>
      </c>
      <c r="CJ384" s="13">
        <f t="shared" ref="CJ384" si="8651">+CJ383/CE383-1</f>
        <v>9.3027375201288454E-2</v>
      </c>
      <c r="CK384" s="13">
        <f t="shared" ref="CK384" si="8652">+CK383/CF383-1</f>
        <v>8.6861198738170442E-2</v>
      </c>
      <c r="CL384" s="13">
        <f t="shared" ref="CL384" si="8653">+CL383/CG383-1</f>
        <v>9.4475743348982899E-2</v>
      </c>
      <c r="CM384" s="239">
        <f t="shared" ref="CM384" si="8654">+CM383/CH383-1</f>
        <v>8.9912350597609603E-2</v>
      </c>
      <c r="CN384" s="13">
        <f>+CN383/CI383-1</f>
        <v>9.3482280431433251E-2</v>
      </c>
      <c r="CO384" s="13">
        <f t="shared" ref="CO384" si="8655">+CO383/CJ383-1</f>
        <v>9.2518968133535884E-2</v>
      </c>
      <c r="CP384" s="13">
        <f t="shared" ref="CP384" si="8656">+CP383/CK383-1</f>
        <v>9.1584454409566529E-2</v>
      </c>
      <c r="CQ384" s="13">
        <f t="shared" ref="CQ384" si="8657">+CQ383/CL383-1</f>
        <v>9.0677466863033906E-2</v>
      </c>
      <c r="CR384" s="239">
        <f t="shared" ref="CR384" si="8658">+CR383/CM383-1</f>
        <v>9.2048192771084336E-2</v>
      </c>
      <c r="CS384" s="13">
        <f>+CS383/CN383-1</f>
        <v>8.9796806966617959E-2</v>
      </c>
      <c r="CT384" s="13">
        <f t="shared" ref="CT384" si="8659">+CT383/CO383-1</f>
        <v>8.8941344778254328E-2</v>
      </c>
      <c r="CU384" s="13">
        <f t="shared" ref="CU384" si="8660">+CU383/CP383-1</f>
        <v>8.8110014104372247E-2</v>
      </c>
      <c r="CV384" s="13">
        <f t="shared" ref="CV384" si="8661">+CV383/CQ383-1</f>
        <v>8.7301808066759357E-2</v>
      </c>
      <c r="CW384" s="239">
        <f t="shared" ref="CW384" si="8662">+CW383/CR383-1</f>
        <v>8.8522727272727364E-2</v>
      </c>
      <c r="CX384" s="13">
        <f>+CX383/CS383-1</f>
        <v>8.6515775034293751E-2</v>
      </c>
      <c r="CY384" s="13">
        <f t="shared" ref="CY384" si="8663">+CY383/CT383-1</f>
        <v>8.5751014884979826E-2</v>
      </c>
      <c r="CZ384" s="13">
        <f t="shared" ref="CZ384" si="8664">+CZ383/CU383-1</f>
        <v>8.5006675567423473E-2</v>
      </c>
      <c r="DA384" s="13">
        <f t="shared" ref="DA384" si="8665">+DA383/CV383-1</f>
        <v>8.4281949934124079E-2</v>
      </c>
      <c r="DB384" s="239">
        <f t="shared" ref="DB384" si="8666">+DB383/CW383-1</f>
        <v>8.5376344086021794E-2</v>
      </c>
    </row>
    <row r="385" spans="1:106">
      <c r="A385" s="117" t="s">
        <v>288</v>
      </c>
      <c r="F385" s="217"/>
      <c r="K385" s="217"/>
      <c r="P385" s="217"/>
      <c r="U385" s="217"/>
      <c r="V385" s="119" t="s">
        <v>290</v>
      </c>
      <c r="W385" s="13" t="e">
        <f>+W383/V383-1</f>
        <v>#DIV/0!</v>
      </c>
      <c r="X385" s="13" t="e">
        <f t="shared" ref="X385:Y385" si="8667">+X383/W383-1</f>
        <v>#DIV/0!</v>
      </c>
      <c r="Y385" s="13" t="e">
        <f t="shared" si="8667"/>
        <v>#DIV/0!</v>
      </c>
      <c r="Z385" s="235" t="s">
        <v>290</v>
      </c>
      <c r="AA385" s="13" t="e">
        <f>+AA383/Y383-1</f>
        <v>#DIV/0!</v>
      </c>
      <c r="AB385" s="13" t="e">
        <f>+AB383/AA383-1</f>
        <v>#DIV/0!</v>
      </c>
      <c r="AC385" s="13" t="e">
        <f t="shared" ref="AC385:AD385" si="8668">+AC383/AB383-1</f>
        <v>#DIV/0!</v>
      </c>
      <c r="AD385" s="13" t="e">
        <f t="shared" si="8668"/>
        <v>#DIV/0!</v>
      </c>
      <c r="AE385" s="235" t="s">
        <v>290</v>
      </c>
      <c r="AF385" s="13" t="e">
        <f>+AF383/AD383-1</f>
        <v>#DIV/0!</v>
      </c>
      <c r="AG385" s="13" t="e">
        <f>+AG383/AF383-1</f>
        <v>#DIV/0!</v>
      </c>
      <c r="AH385" s="13" t="e">
        <f t="shared" ref="AH385:AI385" si="8669">+AH383/AG383-1</f>
        <v>#DIV/0!</v>
      </c>
      <c r="AI385" s="13" t="e">
        <f t="shared" si="8669"/>
        <v>#DIV/0!</v>
      </c>
      <c r="AJ385" s="235" t="s">
        <v>290</v>
      </c>
      <c r="AK385" s="13" t="e">
        <f>+AK383/AI383-1</f>
        <v>#DIV/0!</v>
      </c>
      <c r="AL385" s="13" t="e">
        <f>+AL383/AK383-1</f>
        <v>#DIV/0!</v>
      </c>
      <c r="AM385" s="13" t="e">
        <f t="shared" ref="AM385:AN385" si="8670">+AM383/AL383-1</f>
        <v>#DIV/0!</v>
      </c>
      <c r="AN385" s="13" t="e">
        <f t="shared" si="8670"/>
        <v>#DIV/0!</v>
      </c>
      <c r="AO385" s="235" t="s">
        <v>290</v>
      </c>
      <c r="AP385" s="13" t="e">
        <f>+AP383/AN383-1</f>
        <v>#DIV/0!</v>
      </c>
      <c r="AQ385" s="13" t="e">
        <f>+AQ383/AP383-1</f>
        <v>#DIV/0!</v>
      </c>
      <c r="AR385" s="13" t="e">
        <f t="shared" ref="AR385:AS385" si="8671">+AR383/AQ383-1</f>
        <v>#DIV/0!</v>
      </c>
      <c r="AS385" s="13" t="e">
        <f t="shared" si="8671"/>
        <v>#DIV/0!</v>
      </c>
      <c r="AT385" s="235" t="s">
        <v>290</v>
      </c>
      <c r="AU385" s="13">
        <f>+AU383/AS383-1</f>
        <v>0.28750000000000009</v>
      </c>
      <c r="AV385" s="13">
        <f>+AV383/AU383-1</f>
        <v>1</v>
      </c>
      <c r="AW385" s="13">
        <f t="shared" ref="AW385:AX385" si="8672">+AW383/AV383-1</f>
        <v>0.29999999999999982</v>
      </c>
      <c r="AX385" s="13">
        <f t="shared" si="8672"/>
        <v>0.53846153846153855</v>
      </c>
      <c r="AY385" s="235" t="s">
        <v>290</v>
      </c>
      <c r="AZ385" s="13">
        <f>+AZ383/AX383-1</f>
        <v>0.28749999999999987</v>
      </c>
      <c r="BA385" s="13">
        <f>+BA383/AZ383-1</f>
        <v>0.19999999999999996</v>
      </c>
      <c r="BB385" s="13">
        <f t="shared" ref="BB385:BC385" si="8673">+BB383/BA383-1</f>
        <v>0.16666666666666674</v>
      </c>
      <c r="BC385" s="13">
        <f t="shared" si="8673"/>
        <v>0.19999999999999996</v>
      </c>
      <c r="BD385" s="235" t="s">
        <v>290</v>
      </c>
      <c r="BE385" s="13">
        <f>+BE383/BC383-1</f>
        <v>0.15261904761904743</v>
      </c>
      <c r="BF385" s="13">
        <f>+BF383/BE383-1</f>
        <v>0.2127659574468086</v>
      </c>
      <c r="BG385" s="13">
        <f t="shared" ref="BG385:BH385" si="8674">+BG383/BF383-1</f>
        <v>0.17543859649122817</v>
      </c>
      <c r="BH385" s="13">
        <f t="shared" si="8674"/>
        <v>0.17910447761194015</v>
      </c>
      <c r="BI385" s="235" t="s">
        <v>290</v>
      </c>
      <c r="BJ385" s="13">
        <f>+BJ383/BH383-1</f>
        <v>0.1343037974683543</v>
      </c>
      <c r="BK385" s="13">
        <f>+BK383/BJ383-1</f>
        <v>9.1954022988505857E-2</v>
      </c>
      <c r="BL385" s="13">
        <f t="shared" ref="BL385:BM385" si="8675">+BL383/BK383-1</f>
        <v>8.4210526315789513E-2</v>
      </c>
      <c r="BM385" s="13">
        <f t="shared" si="8675"/>
        <v>7.7669902912621325E-2</v>
      </c>
      <c r="BN385" s="235" t="s">
        <v>290</v>
      </c>
      <c r="BO385" s="13">
        <f>+BO383/BM383-1</f>
        <v>6.7117117117117209E-2</v>
      </c>
      <c r="BP385" s="13">
        <f>+BP383/BO383-1</f>
        <v>3.4782608695652195E-2</v>
      </c>
      <c r="BQ385" s="13">
        <f t="shared" ref="BQ385:BR385" si="8676">+BQ383/BP383-1</f>
        <v>3.3613445378151363E-2</v>
      </c>
      <c r="BR385" s="13">
        <f t="shared" si="8676"/>
        <v>3.2520325203251987E-2</v>
      </c>
      <c r="BS385" s="235" t="s">
        <v>290</v>
      </c>
      <c r="BT385" s="13">
        <f>+BT383/BR383-1</f>
        <v>7.0551181102362248E-2</v>
      </c>
      <c r="BU385" s="13">
        <f>+BU383/BT383-1</f>
        <v>3.7878787878787845E-2</v>
      </c>
      <c r="BV385" s="13">
        <f t="shared" ref="BV385:BW385" si="8677">+BV383/BU383-1</f>
        <v>3.649635036496357E-2</v>
      </c>
      <c r="BW385" s="13">
        <f t="shared" si="8677"/>
        <v>3.5211267605633756E-2</v>
      </c>
      <c r="BX385" s="235" t="s">
        <v>290</v>
      </c>
      <c r="BY385" s="13">
        <f>+BY383/BW383-1</f>
        <v>6.5034013605442142E-2</v>
      </c>
      <c r="BZ385" s="13">
        <f>+BZ383/BY383-1</f>
        <v>-4.9342105263157854E-2</v>
      </c>
      <c r="CA385" s="13">
        <f t="shared" ref="CA385:CB385" si="8678">+CA383/BZ383-1</f>
        <v>8.6505190311418678E-2</v>
      </c>
      <c r="CB385" s="13">
        <f t="shared" si="8678"/>
        <v>-4.7770700636942665E-2</v>
      </c>
      <c r="CC385" s="235" t="s">
        <v>290</v>
      </c>
      <c r="CD385" s="13">
        <f>+CD383/CB383-1</f>
        <v>6.1003344481605382E-2</v>
      </c>
      <c r="CE385" s="13">
        <f>+CE383/CD383-1</f>
        <v>8.116883116883189E-3</v>
      </c>
      <c r="CF385" s="13">
        <f t="shared" ref="CF385:CG385" si="8679">+CF383/CE383-1</f>
        <v>2.0933977455716679E-2</v>
      </c>
      <c r="CG385" s="13">
        <f t="shared" si="8679"/>
        <v>7.8864353312302349E-3</v>
      </c>
      <c r="CH385" s="235" t="s">
        <v>290</v>
      </c>
      <c r="CI385" s="13">
        <f>+CI383/CG383-1</f>
        <v>4.61189358372458E-2</v>
      </c>
      <c r="CJ385" s="13">
        <f>+CJ383/CI383-1</f>
        <v>1.5408320493066396E-2</v>
      </c>
      <c r="CK385" s="13">
        <f t="shared" ref="CK385:CL385" si="8680">+CK383/CJ383-1</f>
        <v>1.5174506828528056E-2</v>
      </c>
      <c r="CL385" s="13">
        <f t="shared" si="8680"/>
        <v>1.4947683109118204E-2</v>
      </c>
      <c r="CM385" s="235" t="s">
        <v>290</v>
      </c>
      <c r="CN385" s="13">
        <f>+CN383/CL383-1</f>
        <v>4.5169366715758441E-2</v>
      </c>
      <c r="CO385" s="13">
        <f>+CO383/CN383-1</f>
        <v>1.4513788098693858E-2</v>
      </c>
      <c r="CP385" s="13">
        <f t="shared" ref="CP385:CQ385" si="8681">+CP383/CO383-1</f>
        <v>1.430615164520721E-2</v>
      </c>
      <c r="CQ385" s="13">
        <f t="shared" si="8681"/>
        <v>1.4104372355430161E-2</v>
      </c>
      <c r="CR385" s="235" t="s">
        <v>290</v>
      </c>
      <c r="CS385" s="13">
        <f>+CS383/CQ383-1</f>
        <v>4.4325452016689582E-2</v>
      </c>
      <c r="CT385" s="13">
        <f>+CT383/CS383-1</f>
        <v>1.3717421124828544E-2</v>
      </c>
      <c r="CU385" s="13">
        <f t="shared" ref="CU385:CV385" si="8682">+CU383/CT383-1</f>
        <v>1.3531799729364025E-2</v>
      </c>
      <c r="CV385" s="13">
        <f t="shared" si="8682"/>
        <v>1.3351134846462109E-2</v>
      </c>
      <c r="CW385" s="235" t="s">
        <v>290</v>
      </c>
      <c r="CX385" s="13">
        <f>+CX383/CV383-1</f>
        <v>4.3570487483531206E-2</v>
      </c>
      <c r="CY385" s="13">
        <f>+CY383/CX383-1</f>
        <v>1.3003901170351106E-2</v>
      </c>
      <c r="CZ385" s="13">
        <f t="shared" ref="CZ385:DA385" si="8683">+CZ383/CY383-1</f>
        <v>1.2836970474968012E-2</v>
      </c>
      <c r="DA385" s="13">
        <f t="shared" si="8683"/>
        <v>1.2674271229404344E-2</v>
      </c>
      <c r="DB385" s="235" t="s">
        <v>290</v>
      </c>
    </row>
    <row r="386" spans="1:106">
      <c r="A386" s="117" t="s">
        <v>505</v>
      </c>
      <c r="F386" s="217"/>
      <c r="K386" s="217"/>
      <c r="P386" s="217"/>
      <c r="U386" s="217"/>
      <c r="V386" s="118">
        <v>0</v>
      </c>
      <c r="W386" s="118">
        <v>0</v>
      </c>
      <c r="X386" s="118">
        <v>0</v>
      </c>
      <c r="Y386" s="118">
        <v>0</v>
      </c>
      <c r="Z386" s="239">
        <f>+Z383/Z380</f>
        <v>0</v>
      </c>
      <c r="AA386" s="118">
        <v>0</v>
      </c>
      <c r="AB386" s="118">
        <v>0</v>
      </c>
      <c r="AC386" s="118">
        <v>0</v>
      </c>
      <c r="AD386" s="118">
        <v>0</v>
      </c>
      <c r="AE386" s="239">
        <f>+AE383/AE380</f>
        <v>0</v>
      </c>
      <c r="AF386" s="118">
        <v>0</v>
      </c>
      <c r="AG386" s="118">
        <v>0</v>
      </c>
      <c r="AH386" s="118">
        <v>0</v>
      </c>
      <c r="AI386" s="118">
        <v>0</v>
      </c>
      <c r="AJ386" s="239">
        <f>+AJ383/AJ380</f>
        <v>0</v>
      </c>
      <c r="AK386" s="118">
        <v>0</v>
      </c>
      <c r="AL386" s="118">
        <v>0</v>
      </c>
      <c r="AM386" s="118">
        <v>0</v>
      </c>
      <c r="AN386" s="118">
        <v>0</v>
      </c>
      <c r="AO386" s="239">
        <f>+AO383/AO380</f>
        <v>0</v>
      </c>
      <c r="AP386" s="118">
        <v>0</v>
      </c>
      <c r="AQ386" s="118">
        <v>0</v>
      </c>
      <c r="AR386" s="118">
        <v>0</v>
      </c>
      <c r="AS386" s="118">
        <v>4.0000000000000001E-3</v>
      </c>
      <c r="AT386" s="239">
        <f>+AT383/AT380</f>
        <v>1E-3</v>
      </c>
      <c r="AU386" s="118">
        <v>5.0000000000000001E-3</v>
      </c>
      <c r="AV386" s="118">
        <v>0.01</v>
      </c>
      <c r="AW386" s="118">
        <v>1.2999999999999999E-2</v>
      </c>
      <c r="AX386" s="118">
        <v>0.02</v>
      </c>
      <c r="AY386" s="239">
        <f>+AY383/AY380</f>
        <v>1.2E-2</v>
      </c>
      <c r="AZ386" s="118">
        <v>2.5000000000000001E-2</v>
      </c>
      <c r="BA386" s="118">
        <v>0.03</v>
      </c>
      <c r="BB386" s="118">
        <v>3.5000000000000003E-2</v>
      </c>
      <c r="BC386" s="118">
        <v>4.2000000000000003E-2</v>
      </c>
      <c r="BD386" s="239">
        <f>+BD383/BD380</f>
        <v>3.3000000000000002E-2</v>
      </c>
      <c r="BE386" s="118">
        <v>4.7E-2</v>
      </c>
      <c r="BF386" s="118">
        <f>+BE386+0.01</f>
        <v>5.7000000000000002E-2</v>
      </c>
      <c r="BG386" s="118">
        <f>+BF386+0.01</f>
        <v>6.7000000000000004E-2</v>
      </c>
      <c r="BH386" s="118">
        <f>+BG386+0.012</f>
        <v>7.9000000000000001E-2</v>
      </c>
      <c r="BI386" s="239">
        <f>+BI383/BI380</f>
        <v>6.25E-2</v>
      </c>
      <c r="BJ386" s="118">
        <f>+BH386+0.008</f>
        <v>8.6999999999999994E-2</v>
      </c>
      <c r="BK386" s="118">
        <f>+BJ386+0.008</f>
        <v>9.5000000000000001E-2</v>
      </c>
      <c r="BL386" s="118">
        <f>+BK386+0.008</f>
        <v>0.10300000000000001</v>
      </c>
      <c r="BM386" s="118">
        <f>+BL386+0.008</f>
        <v>0.11100000000000002</v>
      </c>
      <c r="BN386" s="239">
        <f>+BN383/BN380</f>
        <v>9.8999999999999991E-2</v>
      </c>
      <c r="BO386" s="118">
        <f>+BM386+0.004</f>
        <v>0.11500000000000002</v>
      </c>
      <c r="BP386" s="118">
        <f>+BO386+0.004</f>
        <v>0.11900000000000002</v>
      </c>
      <c r="BQ386" s="118">
        <f>+BP386+0.004</f>
        <v>0.12300000000000003</v>
      </c>
      <c r="BR386" s="118">
        <f>+BQ386+0.004</f>
        <v>0.12700000000000003</v>
      </c>
      <c r="BS386" s="239">
        <f>+BS383/BS380</f>
        <v>0.12100000000000002</v>
      </c>
      <c r="BT386" s="118">
        <f>+BR386+0.005</f>
        <v>0.13200000000000003</v>
      </c>
      <c r="BU386" s="118">
        <f>+BT386+0.005</f>
        <v>0.13700000000000004</v>
      </c>
      <c r="BV386" s="118">
        <f>+BU386+0.005</f>
        <v>0.14200000000000004</v>
      </c>
      <c r="BW386" s="118">
        <f>+BV386+0.005</f>
        <v>0.14700000000000005</v>
      </c>
      <c r="BX386" s="239">
        <f>+BX383/BX380</f>
        <v>0.13950000000000004</v>
      </c>
      <c r="BY386" s="118">
        <f t="shared" ref="BY386:CA386" si="8684">+BW386+0.005</f>
        <v>0.15200000000000005</v>
      </c>
      <c r="BZ386" s="118">
        <f t="shared" si="8684"/>
        <v>0.14450000000000005</v>
      </c>
      <c r="CA386" s="118">
        <f t="shared" si="8684"/>
        <v>0.15700000000000006</v>
      </c>
      <c r="CB386" s="118">
        <f>+BZ386+0.005</f>
        <v>0.14950000000000005</v>
      </c>
      <c r="CC386" s="239">
        <f>+CC383/CC380</f>
        <v>0.15075000000000005</v>
      </c>
      <c r="CD386" s="118">
        <f>+CB386+0.0045</f>
        <v>0.15400000000000005</v>
      </c>
      <c r="CE386" s="118">
        <f t="shared" ref="CE386:CG386" si="8685">+CC386+0.0045</f>
        <v>0.15525000000000005</v>
      </c>
      <c r="CF386" s="118">
        <f t="shared" si="8685"/>
        <v>0.15850000000000006</v>
      </c>
      <c r="CG386" s="118">
        <f t="shared" si="8685"/>
        <v>0.15975000000000006</v>
      </c>
      <c r="CH386" s="239">
        <f>+CH383/CH380</f>
        <v>0.15687500000000004</v>
      </c>
      <c r="CI386" s="118">
        <f>+CG386+0.0025</f>
        <v>0.16225000000000006</v>
      </c>
      <c r="CJ386" s="118">
        <f>+CI386+0.0025</f>
        <v>0.16475000000000006</v>
      </c>
      <c r="CK386" s="118">
        <f>+CJ386+0.0025</f>
        <v>0.16725000000000007</v>
      </c>
      <c r="CL386" s="118">
        <f t="shared" ref="CL386" si="8686">+CK386+0.0025</f>
        <v>0.16975000000000007</v>
      </c>
      <c r="CM386" s="239">
        <f>+CM383/CM380</f>
        <v>0.16600000000000006</v>
      </c>
      <c r="CN386" s="118">
        <f>+CL386+0.0025</f>
        <v>0.17225000000000007</v>
      </c>
      <c r="CO386" s="118">
        <f>+CN386+0.0025</f>
        <v>0.17475000000000007</v>
      </c>
      <c r="CP386" s="118">
        <f>+CO386+0.0025</f>
        <v>0.17725000000000007</v>
      </c>
      <c r="CQ386" s="118">
        <f t="shared" ref="CQ386" si="8687">+CP386+0.0025</f>
        <v>0.17975000000000008</v>
      </c>
      <c r="CR386" s="239">
        <f>+CR383/CR380</f>
        <v>0.17600000000000007</v>
      </c>
      <c r="CS386" s="118">
        <f>+CQ386+0.0025</f>
        <v>0.18225000000000008</v>
      </c>
      <c r="CT386" s="118">
        <f>+CS386+0.0025</f>
        <v>0.18475000000000008</v>
      </c>
      <c r="CU386" s="118">
        <f>+CT386+0.0025</f>
        <v>0.18725000000000008</v>
      </c>
      <c r="CV386" s="118">
        <f t="shared" ref="CV386" si="8688">+CU386+0.0025</f>
        <v>0.18975000000000009</v>
      </c>
      <c r="CW386" s="239">
        <f>+CW383/CW380</f>
        <v>0.18600000000000008</v>
      </c>
      <c r="CX386" s="118">
        <f>+CV386+0.0025</f>
        <v>0.19225000000000009</v>
      </c>
      <c r="CY386" s="118">
        <f>+CX386+0.0025</f>
        <v>0.19475000000000009</v>
      </c>
      <c r="CZ386" s="118">
        <f>+CY386+0.0025</f>
        <v>0.19725000000000009</v>
      </c>
      <c r="DA386" s="118">
        <f t="shared" ref="DA386" si="8689">+CZ386+0.0025</f>
        <v>0.19975000000000009</v>
      </c>
      <c r="DB386" s="239">
        <f>+DB383/DB380</f>
        <v>0.19600000000000009</v>
      </c>
    </row>
    <row r="387" spans="1:106">
      <c r="F387" s="217"/>
      <c r="K387" s="217"/>
      <c r="P387" s="217"/>
      <c r="U387" s="217"/>
      <c r="Z387" s="217"/>
      <c r="AE387" s="217"/>
      <c r="AJ387" s="217"/>
      <c r="AO387" s="217"/>
      <c r="AT387" s="217"/>
      <c r="AY387" s="217"/>
      <c r="BD387" s="217"/>
      <c r="BI387" s="217"/>
      <c r="BN387" s="217"/>
      <c r="BS387" s="217"/>
      <c r="BX387" s="217"/>
      <c r="CC387" s="217"/>
      <c r="CH387" s="217"/>
      <c r="CM387" s="217"/>
      <c r="CR387" s="217"/>
      <c r="CW387" s="217"/>
      <c r="DB387" s="217"/>
    </row>
    <row r="388" spans="1:106" s="128" customFormat="1">
      <c r="A388" s="128" t="s">
        <v>339</v>
      </c>
      <c r="F388" s="244"/>
      <c r="K388" s="244"/>
      <c r="P388" s="244"/>
      <c r="U388" s="244"/>
      <c r="Z388" s="244"/>
      <c r="AE388" s="244"/>
      <c r="AJ388" s="244"/>
      <c r="AO388" s="244"/>
      <c r="AT388" s="244"/>
      <c r="AY388" s="244"/>
      <c r="BD388" s="244"/>
      <c r="BI388" s="244"/>
      <c r="BN388" s="244"/>
      <c r="BS388" s="244"/>
      <c r="BX388" s="244"/>
      <c r="CC388" s="244"/>
      <c r="CH388" s="244"/>
      <c r="CM388" s="244"/>
      <c r="CR388" s="244"/>
      <c r="CW388" s="244"/>
      <c r="DB388" s="244"/>
    </row>
    <row r="389" spans="1:106" s="51" customFormat="1">
      <c r="A389" s="51" t="s">
        <v>340</v>
      </c>
      <c r="F389" s="233"/>
      <c r="K389" s="233"/>
      <c r="P389" s="233"/>
      <c r="U389" s="233"/>
      <c r="V389" s="213">
        <f>+$Z389/4</f>
        <v>75000</v>
      </c>
      <c r="W389" s="213">
        <f>+$Z389/4</f>
        <v>75000</v>
      </c>
      <c r="X389" s="213">
        <f>+$Z389/4</f>
        <v>75000</v>
      </c>
      <c r="Y389" s="213">
        <f>+$Z389/4</f>
        <v>75000</v>
      </c>
      <c r="Z389" s="234">
        <v>300000</v>
      </c>
      <c r="AA389" s="213">
        <f>+V389*(1+AA390)</f>
        <v>77250</v>
      </c>
      <c r="AB389" s="213">
        <f t="shared" ref="AB389" si="8690">+W389*(1+AB390)</f>
        <v>77250</v>
      </c>
      <c r="AC389" s="213">
        <f t="shared" ref="AC389" si="8691">+X389*(1+AC390)</f>
        <v>77250</v>
      </c>
      <c r="AD389" s="213">
        <f t="shared" ref="AD389" si="8692">+Y389*(1+AD390)</f>
        <v>77250</v>
      </c>
      <c r="AE389" s="234">
        <f>+AA389+AB389+AC389+AD389</f>
        <v>309000</v>
      </c>
      <c r="AF389" s="213">
        <f>+AA389*(1+AF390)</f>
        <v>79567.5</v>
      </c>
      <c r="AG389" s="213">
        <f t="shared" ref="AG389" si="8693">+AB389*(1+AG390)</f>
        <v>79567.5</v>
      </c>
      <c r="AH389" s="213">
        <f t="shared" ref="AH389" si="8694">+AC389*(1+AH390)</f>
        <v>79567.5</v>
      </c>
      <c r="AI389" s="213">
        <f t="shared" ref="AI389" si="8695">+AD389*(1+AI390)</f>
        <v>79567.5</v>
      </c>
      <c r="AJ389" s="234">
        <f>+AF389+AG389+AH389+AI389</f>
        <v>318270</v>
      </c>
      <c r="AK389" s="213">
        <f>+AF389*(1+AK390)</f>
        <v>81954.525000000009</v>
      </c>
      <c r="AL389" s="213">
        <f t="shared" ref="AL389" si="8696">+AG389*(1+AL390)</f>
        <v>81954.525000000009</v>
      </c>
      <c r="AM389" s="213">
        <f t="shared" ref="AM389" si="8697">+AH389*(1+AM390)</f>
        <v>81954.525000000009</v>
      </c>
      <c r="AN389" s="213">
        <f t="shared" ref="AN389" si="8698">+AI389*(1+AN390)</f>
        <v>81954.525000000009</v>
      </c>
      <c r="AO389" s="234">
        <f>+AK389+AL389+AM389+AN389</f>
        <v>327818.10000000003</v>
      </c>
      <c r="AP389" s="213">
        <f>+AK389*(1+AP390)</f>
        <v>84413.16075000001</v>
      </c>
      <c r="AQ389" s="213">
        <f t="shared" ref="AQ389" si="8699">+AL389*(1+AQ390)</f>
        <v>84413.16075000001</v>
      </c>
      <c r="AR389" s="213">
        <f t="shared" ref="AR389" si="8700">+AM389*(1+AR390)</f>
        <v>84413.16075000001</v>
      </c>
      <c r="AS389" s="213">
        <f t="shared" ref="AS389" si="8701">+AN389*(1+AS390)</f>
        <v>84413.16075000001</v>
      </c>
      <c r="AT389" s="234">
        <f>+AP389+AQ389+AR389+AS389</f>
        <v>337652.64300000004</v>
      </c>
      <c r="AU389" s="213">
        <f>+AP389*(1+AU390)</f>
        <v>86945.555572500016</v>
      </c>
      <c r="AV389" s="213">
        <f t="shared" ref="AV389" si="8702">+AQ389*(1+AV390)</f>
        <v>86945.555572500016</v>
      </c>
      <c r="AW389" s="213">
        <f t="shared" ref="AW389" si="8703">+AR389*(1+AW390)</f>
        <v>86945.555572500016</v>
      </c>
      <c r="AX389" s="213">
        <f t="shared" ref="AX389" si="8704">+AS389*(1+AX390)</f>
        <v>86945.555572500016</v>
      </c>
      <c r="AY389" s="234">
        <f>+AU389+AV389+AW389+AX389</f>
        <v>347782.22229000006</v>
      </c>
      <c r="AZ389" s="213">
        <f>+AU389*(1+AZ390)</f>
        <v>89553.922239675012</v>
      </c>
      <c r="BA389" s="213">
        <f t="shared" ref="BA389" si="8705">+AV389*(1+BA390)</f>
        <v>89553.922239675012</v>
      </c>
      <c r="BB389" s="213">
        <f t="shared" ref="BB389" si="8706">+AW389*(1+BB390)</f>
        <v>89553.922239675012</v>
      </c>
      <c r="BC389" s="213">
        <f t="shared" ref="BC389" si="8707">+AX389*(1+BC390)</f>
        <v>89553.922239675012</v>
      </c>
      <c r="BD389" s="234">
        <f>+AZ389+BA389+BB389+BC389</f>
        <v>358215.68895870005</v>
      </c>
      <c r="BE389" s="213">
        <f>+AZ389*(1+BE390)</f>
        <v>92240.539906865262</v>
      </c>
      <c r="BF389" s="213">
        <f t="shared" ref="BF389" si="8708">+BA389*(1+BF390)</f>
        <v>92240.539906865262</v>
      </c>
      <c r="BG389" s="213">
        <f t="shared" ref="BG389" si="8709">+BB389*(1+BG390)</f>
        <v>92240.539906865262</v>
      </c>
      <c r="BH389" s="213">
        <f t="shared" ref="BH389" si="8710">+BC389*(1+BH390)</f>
        <v>92240.539906865262</v>
      </c>
      <c r="BI389" s="234">
        <f>+BE389+BF389+BG389+BH389</f>
        <v>368962.15962746105</v>
      </c>
      <c r="BJ389" s="213">
        <f>+BE389*(1+BJ390)</f>
        <v>95007.756104071217</v>
      </c>
      <c r="BK389" s="213">
        <f t="shared" ref="BK389" si="8711">+BF389*(1+BK390)</f>
        <v>95007.756104071217</v>
      </c>
      <c r="BL389" s="213">
        <f t="shared" ref="BL389" si="8712">+BG389*(1+BL390)</f>
        <v>95007.756104071217</v>
      </c>
      <c r="BM389" s="213">
        <f t="shared" ref="BM389" si="8713">+BH389*(1+BM390)</f>
        <v>95007.756104071217</v>
      </c>
      <c r="BN389" s="234">
        <f>+BJ389+BK389+BL389+BM389</f>
        <v>380031.02441628487</v>
      </c>
      <c r="BO389" s="213">
        <f>+BJ389*(1+BO390)</f>
        <v>97857.988787193361</v>
      </c>
      <c r="BP389" s="213">
        <f t="shared" ref="BP389" si="8714">+BK389*(1+BP390)</f>
        <v>97857.988787193361</v>
      </c>
      <c r="BQ389" s="213">
        <f t="shared" ref="BQ389" si="8715">+BL389*(1+BQ390)</f>
        <v>97857.988787193361</v>
      </c>
      <c r="BR389" s="213">
        <f t="shared" ref="BR389" si="8716">+BM389*(1+BR390)</f>
        <v>97857.988787193361</v>
      </c>
      <c r="BS389" s="234">
        <f>+BO389+BP389+BQ389+BR389</f>
        <v>391431.95514877344</v>
      </c>
      <c r="BT389" s="213">
        <f>+BO389*(1+BT390)</f>
        <v>100793.72845080917</v>
      </c>
      <c r="BU389" s="213">
        <f t="shared" ref="BU389" si="8717">+BP389*(1+BU390)</f>
        <v>100793.72845080917</v>
      </c>
      <c r="BV389" s="213">
        <f t="shared" ref="BV389" si="8718">+BQ389*(1+BV390)</f>
        <v>100793.72845080917</v>
      </c>
      <c r="BW389" s="213">
        <f t="shared" ref="BW389" si="8719">+BR389*(1+BW390)</f>
        <v>100793.72845080917</v>
      </c>
      <c r="BX389" s="234">
        <f>+BT389+BU389+BV389+BW389</f>
        <v>403174.91380323668</v>
      </c>
      <c r="BY389" s="213">
        <f>+BT389*(1+BY390)</f>
        <v>103817.54030433345</v>
      </c>
      <c r="BZ389" s="213">
        <f t="shared" ref="BZ389" si="8720">+BU389*(1+BZ390)</f>
        <v>103817.54030433345</v>
      </c>
      <c r="CA389" s="213">
        <f t="shared" ref="CA389" si="8721">+BV389*(1+CA390)</f>
        <v>103817.54030433345</v>
      </c>
      <c r="CB389" s="213">
        <f t="shared" ref="CB389" si="8722">+BW389*(1+CB390)</f>
        <v>103817.54030433345</v>
      </c>
      <c r="CC389" s="234">
        <f>+BY389+BZ389+CA389+CB389</f>
        <v>415270.16121733381</v>
      </c>
      <c r="CD389" s="213">
        <f>+BY389*(1+CD390)</f>
        <v>106932.06651346346</v>
      </c>
      <c r="CE389" s="213">
        <f t="shared" ref="CE389" si="8723">+BZ389*(1+CE390)</f>
        <v>106932.06651346346</v>
      </c>
      <c r="CF389" s="213">
        <f t="shared" ref="CF389" si="8724">+CA389*(1+CF390)</f>
        <v>106932.06651346346</v>
      </c>
      <c r="CG389" s="213">
        <f t="shared" ref="CG389" si="8725">+CB389*(1+CG390)</f>
        <v>106932.06651346346</v>
      </c>
      <c r="CH389" s="234">
        <f>+CD389+CE389+CF389+CG389</f>
        <v>427728.26605385385</v>
      </c>
      <c r="CI389" s="213">
        <f>+CD389*(1+CI390)</f>
        <v>110140.02850886737</v>
      </c>
      <c r="CJ389" s="213">
        <f t="shared" ref="CJ389" si="8726">+CE389*(1+CJ390)</f>
        <v>110140.02850886737</v>
      </c>
      <c r="CK389" s="213">
        <f t="shared" ref="CK389" si="8727">+CF389*(1+CK390)</f>
        <v>110140.02850886737</v>
      </c>
      <c r="CL389" s="213">
        <f t="shared" ref="CL389" si="8728">+CG389*(1+CL390)</f>
        <v>110140.02850886737</v>
      </c>
      <c r="CM389" s="234">
        <f>+CI389+CJ389+CK389+CL389</f>
        <v>440560.11403546948</v>
      </c>
      <c r="CN389" s="213">
        <f>+CI389*(1+CN390)</f>
        <v>113444.2293641334</v>
      </c>
      <c r="CO389" s="213">
        <f t="shared" ref="CO389" si="8729">+CJ389*(1+CO390)</f>
        <v>113444.2293641334</v>
      </c>
      <c r="CP389" s="213">
        <f t="shared" ref="CP389" si="8730">+CK389*(1+CP390)</f>
        <v>113444.2293641334</v>
      </c>
      <c r="CQ389" s="213">
        <f t="shared" ref="CQ389" si="8731">+CL389*(1+CQ390)</f>
        <v>113444.2293641334</v>
      </c>
      <c r="CR389" s="234">
        <f>+CN389+CO389+CP389+CQ389</f>
        <v>453776.91745653359</v>
      </c>
      <c r="CS389" s="213">
        <f>+CN389*(1+CS390)</f>
        <v>116847.55624505741</v>
      </c>
      <c r="CT389" s="213">
        <f t="shared" ref="CT389" si="8732">+CO389*(1+CT390)</f>
        <v>116847.55624505741</v>
      </c>
      <c r="CU389" s="213">
        <f t="shared" ref="CU389" si="8733">+CP389*(1+CU390)</f>
        <v>116847.55624505741</v>
      </c>
      <c r="CV389" s="213">
        <f t="shared" ref="CV389" si="8734">+CQ389*(1+CV390)</f>
        <v>116847.55624505741</v>
      </c>
      <c r="CW389" s="234">
        <f>+CS389+CT389+CU389+CV389</f>
        <v>467390.22498022963</v>
      </c>
      <c r="CX389" s="213">
        <f>+CS389*(1+CX390)</f>
        <v>120352.98293240913</v>
      </c>
      <c r="CY389" s="213">
        <f t="shared" ref="CY389" si="8735">+CT389*(1+CY390)</f>
        <v>120352.98293240913</v>
      </c>
      <c r="CZ389" s="213">
        <f t="shared" ref="CZ389" si="8736">+CU389*(1+CZ390)</f>
        <v>120352.98293240913</v>
      </c>
      <c r="DA389" s="213">
        <f t="shared" ref="DA389" si="8737">+CV389*(1+DA390)</f>
        <v>120352.98293240913</v>
      </c>
      <c r="DB389" s="234">
        <f>+CX389+CY389+CZ389+DA389</f>
        <v>481411.9317296365</v>
      </c>
    </row>
    <row r="390" spans="1:106">
      <c r="A390" s="117" t="s">
        <v>281</v>
      </c>
      <c r="F390" s="217"/>
      <c r="K390" s="217"/>
      <c r="P390" s="217"/>
      <c r="U390" s="217"/>
      <c r="V390" s="119" t="s">
        <v>290</v>
      </c>
      <c r="W390" s="119" t="s">
        <v>290</v>
      </c>
      <c r="X390" s="119" t="s">
        <v>290</v>
      </c>
      <c r="Y390" s="119" t="s">
        <v>290</v>
      </c>
      <c r="Z390" s="235" t="s">
        <v>290</v>
      </c>
      <c r="AA390" s="118">
        <v>0.03</v>
      </c>
      <c r="AB390" s="118">
        <v>0.03</v>
      </c>
      <c r="AC390" s="118">
        <v>0.03</v>
      </c>
      <c r="AD390" s="118">
        <v>0.03</v>
      </c>
      <c r="AE390" s="239">
        <f>+AE389/Z389-1</f>
        <v>3.0000000000000027E-2</v>
      </c>
      <c r="AF390" s="118">
        <v>0.03</v>
      </c>
      <c r="AG390" s="118">
        <v>0.03</v>
      </c>
      <c r="AH390" s="118">
        <v>0.03</v>
      </c>
      <c r="AI390" s="118">
        <v>0.03</v>
      </c>
      <c r="AJ390" s="239">
        <f>+AJ389/AE389-1</f>
        <v>3.0000000000000027E-2</v>
      </c>
      <c r="AK390" s="118">
        <v>0.03</v>
      </c>
      <c r="AL390" s="118">
        <v>0.03</v>
      </c>
      <c r="AM390" s="118">
        <v>0.03</v>
      </c>
      <c r="AN390" s="118">
        <v>0.03</v>
      </c>
      <c r="AO390" s="239">
        <f>+AO389/AJ389-1</f>
        <v>3.0000000000000027E-2</v>
      </c>
      <c r="AP390" s="118">
        <v>0.03</v>
      </c>
      <c r="AQ390" s="118">
        <v>0.03</v>
      </c>
      <c r="AR390" s="118">
        <v>0.03</v>
      </c>
      <c r="AS390" s="118">
        <v>0.03</v>
      </c>
      <c r="AT390" s="239">
        <f>+AT389/AO389-1</f>
        <v>3.0000000000000027E-2</v>
      </c>
      <c r="AU390" s="118">
        <v>0.03</v>
      </c>
      <c r="AV390" s="118">
        <v>0.03</v>
      </c>
      <c r="AW390" s="118">
        <v>0.03</v>
      </c>
      <c r="AX390" s="118">
        <v>0.03</v>
      </c>
      <c r="AY390" s="239">
        <f>+AY389/AT389-1</f>
        <v>3.0000000000000027E-2</v>
      </c>
      <c r="AZ390" s="118">
        <v>0.03</v>
      </c>
      <c r="BA390" s="118">
        <v>0.03</v>
      </c>
      <c r="BB390" s="118">
        <v>0.03</v>
      </c>
      <c r="BC390" s="118">
        <v>0.03</v>
      </c>
      <c r="BD390" s="239">
        <f>+BD389/AY389-1</f>
        <v>3.0000000000000027E-2</v>
      </c>
      <c r="BE390" s="118">
        <v>0.03</v>
      </c>
      <c r="BF390" s="118">
        <v>0.03</v>
      </c>
      <c r="BG390" s="118">
        <v>0.03</v>
      </c>
      <c r="BH390" s="118">
        <v>0.03</v>
      </c>
      <c r="BI390" s="239">
        <f>+BI389/BD389-1</f>
        <v>3.0000000000000027E-2</v>
      </c>
      <c r="BJ390" s="118">
        <v>0.03</v>
      </c>
      <c r="BK390" s="118">
        <v>0.03</v>
      </c>
      <c r="BL390" s="118">
        <v>0.03</v>
      </c>
      <c r="BM390" s="118">
        <v>0.03</v>
      </c>
      <c r="BN390" s="239">
        <f>+BN389/BI389-1</f>
        <v>3.0000000000000027E-2</v>
      </c>
      <c r="BO390" s="118">
        <v>0.03</v>
      </c>
      <c r="BP390" s="118">
        <v>0.03</v>
      </c>
      <c r="BQ390" s="118">
        <v>0.03</v>
      </c>
      <c r="BR390" s="118">
        <v>0.03</v>
      </c>
      <c r="BS390" s="239">
        <f>+BS389/BN389-1</f>
        <v>3.0000000000000027E-2</v>
      </c>
      <c r="BT390" s="118">
        <v>0.03</v>
      </c>
      <c r="BU390" s="118">
        <v>0.03</v>
      </c>
      <c r="BV390" s="118">
        <v>0.03</v>
      </c>
      <c r="BW390" s="118">
        <v>0.03</v>
      </c>
      <c r="BX390" s="239">
        <f>+BX389/BS389-1</f>
        <v>3.0000000000000027E-2</v>
      </c>
      <c r="BY390" s="118">
        <v>0.03</v>
      </c>
      <c r="BZ390" s="118">
        <v>0.03</v>
      </c>
      <c r="CA390" s="118">
        <v>0.03</v>
      </c>
      <c r="CB390" s="118">
        <v>0.03</v>
      </c>
      <c r="CC390" s="239">
        <f>+CC389/BX389-1</f>
        <v>3.0000000000000027E-2</v>
      </c>
      <c r="CD390" s="118">
        <v>0.03</v>
      </c>
      <c r="CE390" s="118">
        <v>0.03</v>
      </c>
      <c r="CF390" s="118">
        <v>0.03</v>
      </c>
      <c r="CG390" s="118">
        <v>0.03</v>
      </c>
      <c r="CH390" s="239">
        <f>+CH389/CC389-1</f>
        <v>3.0000000000000027E-2</v>
      </c>
      <c r="CI390" s="118">
        <v>0.03</v>
      </c>
      <c r="CJ390" s="118">
        <v>0.03</v>
      </c>
      <c r="CK390" s="118">
        <v>0.03</v>
      </c>
      <c r="CL390" s="118">
        <v>0.03</v>
      </c>
      <c r="CM390" s="239">
        <f>+CM389/CH389-1</f>
        <v>3.0000000000000027E-2</v>
      </c>
      <c r="CN390" s="118">
        <v>0.03</v>
      </c>
      <c r="CO390" s="118">
        <v>0.03</v>
      </c>
      <c r="CP390" s="118">
        <v>0.03</v>
      </c>
      <c r="CQ390" s="118">
        <v>0.03</v>
      </c>
      <c r="CR390" s="239">
        <f>+CR389/CM389-1</f>
        <v>3.0000000000000027E-2</v>
      </c>
      <c r="CS390" s="118">
        <v>0.03</v>
      </c>
      <c r="CT390" s="118">
        <v>0.03</v>
      </c>
      <c r="CU390" s="118">
        <v>0.03</v>
      </c>
      <c r="CV390" s="118">
        <v>0.03</v>
      </c>
      <c r="CW390" s="239">
        <f>+CW389/CR389-1</f>
        <v>3.0000000000000027E-2</v>
      </c>
      <c r="CX390" s="118">
        <v>0.03</v>
      </c>
      <c r="CY390" s="118">
        <v>0.03</v>
      </c>
      <c r="CZ390" s="118">
        <v>0.03</v>
      </c>
      <c r="DA390" s="118">
        <v>0.03</v>
      </c>
      <c r="DB390" s="239">
        <f>+DB389/CW389-1</f>
        <v>3.0000000000000027E-2</v>
      </c>
    </row>
    <row r="391" spans="1:106" s="51" customFormat="1">
      <c r="A391" s="51" t="s">
        <v>331</v>
      </c>
      <c r="F391" s="233"/>
      <c r="K391" s="233"/>
      <c r="P391" s="233"/>
      <c r="U391" s="233"/>
      <c r="V391" s="213">
        <f>+V389*V392</f>
        <v>225000</v>
      </c>
      <c r="W391" s="213">
        <f t="shared" ref="W391" si="8738">+W389*W392</f>
        <v>225000</v>
      </c>
      <c r="X391" s="213">
        <f t="shared" ref="X391" si="8739">+X389*X392</f>
        <v>225000</v>
      </c>
      <c r="Y391" s="213">
        <f t="shared" ref="Y391" si="8740">+Y389*Y392</f>
        <v>225000</v>
      </c>
      <c r="Z391" s="234">
        <f>+V391+W391+X391+Y391</f>
        <v>900000</v>
      </c>
      <c r="AA391" s="213">
        <f>+AA389*AA392</f>
        <v>231750</v>
      </c>
      <c r="AB391" s="213">
        <f t="shared" ref="AB391" si="8741">+AB389*AB392</f>
        <v>231750</v>
      </c>
      <c r="AC391" s="213">
        <f t="shared" ref="AC391" si="8742">+AC389*AC392</f>
        <v>231750</v>
      </c>
      <c r="AD391" s="213">
        <f t="shared" ref="AD391" si="8743">+AD389*AD392</f>
        <v>231750</v>
      </c>
      <c r="AE391" s="234">
        <f>+AA391+AB391+AC391+AD391</f>
        <v>927000</v>
      </c>
      <c r="AF391" s="213">
        <f>+AF389*AF392</f>
        <v>238702.5</v>
      </c>
      <c r="AG391" s="213">
        <f t="shared" ref="AG391" si="8744">+AG389*AG392</f>
        <v>238702.5</v>
      </c>
      <c r="AH391" s="213">
        <f t="shared" ref="AH391" si="8745">+AH389*AH392</f>
        <v>238702.5</v>
      </c>
      <c r="AI391" s="213">
        <f t="shared" ref="AI391" si="8746">+AI389*AI392</f>
        <v>238702.5</v>
      </c>
      <c r="AJ391" s="234">
        <f>+AF391+AG391+AH391+AI391</f>
        <v>954810</v>
      </c>
      <c r="AK391" s="213">
        <f>+AK389*AK392</f>
        <v>245863.57500000001</v>
      </c>
      <c r="AL391" s="213">
        <f t="shared" ref="AL391" si="8747">+AL389*AL392</f>
        <v>245863.57500000001</v>
      </c>
      <c r="AM391" s="213">
        <f t="shared" ref="AM391" si="8748">+AM389*AM392</f>
        <v>245863.57500000001</v>
      </c>
      <c r="AN391" s="213">
        <f t="shared" ref="AN391" si="8749">+AN389*AN392</f>
        <v>245863.57500000001</v>
      </c>
      <c r="AO391" s="234">
        <f>+AK391+AL391+AM391+AN391</f>
        <v>983454.3</v>
      </c>
      <c r="AP391" s="213">
        <f>+AP389*AP392</f>
        <v>253239.48225000003</v>
      </c>
      <c r="AQ391" s="213">
        <f t="shared" ref="AQ391" si="8750">+AQ389*AQ392</f>
        <v>253239.48225000003</v>
      </c>
      <c r="AR391" s="213">
        <f t="shared" ref="AR391" si="8751">+AR389*AR392</f>
        <v>253239.48225000003</v>
      </c>
      <c r="AS391" s="213">
        <f t="shared" ref="AS391" si="8752">+AS389*AS392</f>
        <v>253239.48225000003</v>
      </c>
      <c r="AT391" s="234">
        <f>+AP391+AQ391+AR391+AS391</f>
        <v>1012957.9290000001</v>
      </c>
      <c r="AU391" s="213">
        <f>+AU389*AU392</f>
        <v>260836.66671750005</v>
      </c>
      <c r="AV391" s="213">
        <f t="shared" ref="AV391" si="8753">+AV389*AV392</f>
        <v>260836.66671750005</v>
      </c>
      <c r="AW391" s="213">
        <f t="shared" ref="AW391" si="8754">+AW389*AW392</f>
        <v>260836.66671750005</v>
      </c>
      <c r="AX391" s="213">
        <f t="shared" ref="AX391" si="8755">+AX389*AX392</f>
        <v>260836.66671750005</v>
      </c>
      <c r="AY391" s="234">
        <f>+AU391+AV391+AW391+AX391</f>
        <v>1043346.6668700002</v>
      </c>
      <c r="AZ391" s="213">
        <f>+AZ389*AZ392</f>
        <v>268661.76671902504</v>
      </c>
      <c r="BA391" s="213">
        <f t="shared" ref="BA391" si="8756">+BA389*BA392</f>
        <v>268661.76671902504</v>
      </c>
      <c r="BB391" s="213">
        <f t="shared" ref="BB391" si="8757">+BB389*BB392</f>
        <v>268661.76671902504</v>
      </c>
      <c r="BC391" s="213">
        <f t="shared" ref="BC391" si="8758">+BC389*BC392</f>
        <v>268661.76671902504</v>
      </c>
      <c r="BD391" s="234">
        <f>+AZ391+BA391+BB391+BC391</f>
        <v>1074647.0668761001</v>
      </c>
      <c r="BE391" s="213">
        <f>+BE389*BE392</f>
        <v>276721.61972059577</v>
      </c>
      <c r="BF391" s="213">
        <f t="shared" ref="BF391" si="8759">+BF389*BF392</f>
        <v>276721.61972059577</v>
      </c>
      <c r="BG391" s="213">
        <f t="shared" ref="BG391" si="8760">+BG389*BG392</f>
        <v>276721.61972059577</v>
      </c>
      <c r="BH391" s="213">
        <f t="shared" ref="BH391" si="8761">+BH389*BH392</f>
        <v>276721.61972059577</v>
      </c>
      <c r="BI391" s="234">
        <f>+BE391+BF391+BG391+BH391</f>
        <v>1106886.4788823831</v>
      </c>
      <c r="BJ391" s="213">
        <f>+BJ389*BJ392</f>
        <v>285023.26831221365</v>
      </c>
      <c r="BK391" s="213">
        <f t="shared" ref="BK391" si="8762">+BK389*BK392</f>
        <v>285023.26831221365</v>
      </c>
      <c r="BL391" s="213">
        <f t="shared" ref="BL391" si="8763">+BL389*BL392</f>
        <v>285023.26831221365</v>
      </c>
      <c r="BM391" s="213">
        <f t="shared" ref="BM391" si="8764">+BM389*BM392</f>
        <v>285023.26831221365</v>
      </c>
      <c r="BN391" s="234">
        <f>+BJ391+BK391+BL391+BM391</f>
        <v>1140093.0732488546</v>
      </c>
      <c r="BO391" s="213">
        <f>+BO389*BO392</f>
        <v>293573.96636158007</v>
      </c>
      <c r="BP391" s="213">
        <f t="shared" ref="BP391" si="8765">+BP389*BP392</f>
        <v>293573.96636158007</v>
      </c>
      <c r="BQ391" s="213">
        <f t="shared" ref="BQ391" si="8766">+BQ389*BQ392</f>
        <v>293573.96636158007</v>
      </c>
      <c r="BR391" s="213">
        <f t="shared" ref="BR391" si="8767">+BR389*BR392</f>
        <v>293573.96636158007</v>
      </c>
      <c r="BS391" s="234">
        <f>+BO391+BP391+BQ391+BR391</f>
        <v>1174295.8654463203</v>
      </c>
      <c r="BT391" s="213">
        <f>+BT389*BT392</f>
        <v>302381.18535242754</v>
      </c>
      <c r="BU391" s="213">
        <f t="shared" ref="BU391" si="8768">+BU389*BU392</f>
        <v>302381.18535242754</v>
      </c>
      <c r="BV391" s="213">
        <f t="shared" ref="BV391" si="8769">+BV389*BV392</f>
        <v>302381.18535242754</v>
      </c>
      <c r="BW391" s="213">
        <f t="shared" ref="BW391" si="8770">+BW389*BW392</f>
        <v>302381.18535242754</v>
      </c>
      <c r="BX391" s="234">
        <f>+BT391+BU391+BV391+BW391</f>
        <v>1209524.7414097101</v>
      </c>
      <c r="BY391" s="213">
        <f>+BY389*BY392</f>
        <v>311452.62091300037</v>
      </c>
      <c r="BZ391" s="213">
        <f t="shared" ref="BZ391" si="8771">+BZ389*BZ392</f>
        <v>311452.62091300037</v>
      </c>
      <c r="CA391" s="213">
        <f t="shared" ref="CA391" si="8772">+CA389*CA392</f>
        <v>311452.62091300037</v>
      </c>
      <c r="CB391" s="213">
        <f t="shared" ref="CB391" si="8773">+CB389*CB392</f>
        <v>311452.62091300037</v>
      </c>
      <c r="CC391" s="234">
        <f>+BY391+BZ391+CA391+CB391</f>
        <v>1245810.4836520015</v>
      </c>
      <c r="CD391" s="213">
        <f>+CD389*CD392</f>
        <v>320796.1995403904</v>
      </c>
      <c r="CE391" s="213">
        <f t="shared" ref="CE391" si="8774">+CE389*CE392</f>
        <v>320796.1995403904</v>
      </c>
      <c r="CF391" s="213">
        <f t="shared" ref="CF391" si="8775">+CF389*CF392</f>
        <v>320796.1995403904</v>
      </c>
      <c r="CG391" s="213">
        <f t="shared" ref="CG391" si="8776">+CG389*CG392</f>
        <v>320796.1995403904</v>
      </c>
      <c r="CH391" s="234">
        <f>+CD391+CE391+CF391+CG391</f>
        <v>1283184.7981615616</v>
      </c>
      <c r="CI391" s="213">
        <f>+CI389*CI392</f>
        <v>330420.08552660211</v>
      </c>
      <c r="CJ391" s="213">
        <f t="shared" ref="CJ391" si="8777">+CJ389*CJ392</f>
        <v>330420.08552660211</v>
      </c>
      <c r="CK391" s="213">
        <f t="shared" ref="CK391" si="8778">+CK389*CK392</f>
        <v>330420.08552660211</v>
      </c>
      <c r="CL391" s="213">
        <f t="shared" ref="CL391" si="8779">+CL389*CL392</f>
        <v>330420.08552660211</v>
      </c>
      <c r="CM391" s="234">
        <f>+CI391+CJ391+CK391+CL391</f>
        <v>1321680.3421064084</v>
      </c>
      <c r="CN391" s="213">
        <f>+CN389*CN392</f>
        <v>340332.6880924002</v>
      </c>
      <c r="CO391" s="213">
        <f t="shared" ref="CO391" si="8780">+CO389*CO392</f>
        <v>340332.6880924002</v>
      </c>
      <c r="CP391" s="213">
        <f t="shared" ref="CP391" si="8781">+CP389*CP392</f>
        <v>340332.6880924002</v>
      </c>
      <c r="CQ391" s="213">
        <f t="shared" ref="CQ391" si="8782">+CQ389*CQ392</f>
        <v>340332.6880924002</v>
      </c>
      <c r="CR391" s="234">
        <f>+CN391+CO391+CP391+CQ391</f>
        <v>1361330.7523696008</v>
      </c>
      <c r="CS391" s="213">
        <f>+CS389*CS392</f>
        <v>350542.66873517225</v>
      </c>
      <c r="CT391" s="213">
        <f t="shared" ref="CT391" si="8783">+CT389*CT392</f>
        <v>350542.66873517225</v>
      </c>
      <c r="CU391" s="213">
        <f t="shared" ref="CU391" si="8784">+CU389*CU392</f>
        <v>350542.66873517225</v>
      </c>
      <c r="CV391" s="213">
        <f t="shared" ref="CV391" si="8785">+CV389*CV392</f>
        <v>350542.66873517225</v>
      </c>
      <c r="CW391" s="234">
        <f>+CS391+CT391+CU391+CV391</f>
        <v>1402170.674940689</v>
      </c>
      <c r="CX391" s="213">
        <f>+CX389*CX392</f>
        <v>361058.94879722735</v>
      </c>
      <c r="CY391" s="213">
        <f t="shared" ref="CY391" si="8786">+CY389*CY392</f>
        <v>361058.94879722735</v>
      </c>
      <c r="CZ391" s="213">
        <f t="shared" ref="CZ391" si="8787">+CZ389*CZ392</f>
        <v>361058.94879722735</v>
      </c>
      <c r="DA391" s="213">
        <f t="shared" ref="DA391" si="8788">+DA389*DA392</f>
        <v>361058.94879722735</v>
      </c>
      <c r="DB391" s="234">
        <f>+CX391+CY391+CZ391+DA391</f>
        <v>1444235.7951889094</v>
      </c>
    </row>
    <row r="392" spans="1:106">
      <c r="A392" s="117" t="s">
        <v>311</v>
      </c>
      <c r="F392" s="217"/>
      <c r="K392" s="217"/>
      <c r="P392" s="217"/>
      <c r="U392" s="217"/>
      <c r="V392" s="120">
        <v>3</v>
      </c>
      <c r="W392" s="120">
        <v>3</v>
      </c>
      <c r="X392" s="120">
        <v>3</v>
      </c>
      <c r="Y392" s="120">
        <v>3</v>
      </c>
      <c r="Z392" s="250">
        <f>+Z391/Z389</f>
        <v>3</v>
      </c>
      <c r="AA392" s="120">
        <v>3</v>
      </c>
      <c r="AB392" s="120">
        <v>3</v>
      </c>
      <c r="AC392" s="120">
        <v>3</v>
      </c>
      <c r="AD392" s="120">
        <v>3</v>
      </c>
      <c r="AE392" s="250">
        <f>+AE391/AE389</f>
        <v>3</v>
      </c>
      <c r="AF392" s="120">
        <v>3</v>
      </c>
      <c r="AG392" s="120">
        <v>3</v>
      </c>
      <c r="AH392" s="120">
        <v>3</v>
      </c>
      <c r="AI392" s="120">
        <v>3</v>
      </c>
      <c r="AJ392" s="250">
        <f>+AJ391/AJ389</f>
        <v>3</v>
      </c>
      <c r="AK392" s="120">
        <v>3</v>
      </c>
      <c r="AL392" s="120">
        <v>3</v>
      </c>
      <c r="AM392" s="120">
        <v>3</v>
      </c>
      <c r="AN392" s="120">
        <v>3</v>
      </c>
      <c r="AO392" s="250">
        <f>+AO391/AO389</f>
        <v>3</v>
      </c>
      <c r="AP392" s="120">
        <v>3</v>
      </c>
      <c r="AQ392" s="120">
        <v>3</v>
      </c>
      <c r="AR392" s="120">
        <v>3</v>
      </c>
      <c r="AS392" s="120">
        <v>3</v>
      </c>
      <c r="AT392" s="250">
        <f>+AT391/AT389</f>
        <v>3</v>
      </c>
      <c r="AU392" s="120">
        <v>3</v>
      </c>
      <c r="AV392" s="120">
        <v>3</v>
      </c>
      <c r="AW392" s="120">
        <v>3</v>
      </c>
      <c r="AX392" s="120">
        <v>3</v>
      </c>
      <c r="AY392" s="250">
        <f>+AY391/AY389</f>
        <v>3</v>
      </c>
      <c r="AZ392" s="120">
        <v>3</v>
      </c>
      <c r="BA392" s="120">
        <v>3</v>
      </c>
      <c r="BB392" s="120">
        <v>3</v>
      </c>
      <c r="BC392" s="120">
        <v>3</v>
      </c>
      <c r="BD392" s="250">
        <f>+BD391/BD389</f>
        <v>3</v>
      </c>
      <c r="BE392" s="120">
        <v>3</v>
      </c>
      <c r="BF392" s="120">
        <v>3</v>
      </c>
      <c r="BG392" s="120">
        <v>3</v>
      </c>
      <c r="BH392" s="120">
        <v>3</v>
      </c>
      <c r="BI392" s="250">
        <f>+BI391/BI389</f>
        <v>3</v>
      </c>
      <c r="BJ392" s="120">
        <v>3</v>
      </c>
      <c r="BK392" s="120">
        <v>3</v>
      </c>
      <c r="BL392" s="120">
        <v>3</v>
      </c>
      <c r="BM392" s="120">
        <v>3</v>
      </c>
      <c r="BN392" s="250">
        <f>+BN391/BN389</f>
        <v>3</v>
      </c>
      <c r="BO392" s="120">
        <v>3</v>
      </c>
      <c r="BP392" s="120">
        <v>3</v>
      </c>
      <c r="BQ392" s="120">
        <v>3</v>
      </c>
      <c r="BR392" s="120">
        <v>3</v>
      </c>
      <c r="BS392" s="250">
        <f>+BS391/BS389</f>
        <v>3</v>
      </c>
      <c r="BT392" s="120">
        <v>3</v>
      </c>
      <c r="BU392" s="120">
        <v>3</v>
      </c>
      <c r="BV392" s="120">
        <v>3</v>
      </c>
      <c r="BW392" s="120">
        <v>3</v>
      </c>
      <c r="BX392" s="250">
        <f>+BX391/BX389</f>
        <v>3.0000000000000004</v>
      </c>
      <c r="BY392" s="120">
        <v>3</v>
      </c>
      <c r="BZ392" s="120">
        <v>3</v>
      </c>
      <c r="CA392" s="120">
        <v>3</v>
      </c>
      <c r="CB392" s="120">
        <v>3</v>
      </c>
      <c r="CC392" s="250">
        <f>+CC391/CC389</f>
        <v>3</v>
      </c>
      <c r="CD392" s="120">
        <v>3</v>
      </c>
      <c r="CE392" s="120">
        <v>3</v>
      </c>
      <c r="CF392" s="120">
        <v>3</v>
      </c>
      <c r="CG392" s="120">
        <v>3</v>
      </c>
      <c r="CH392" s="250">
        <f>+CH391/CH389</f>
        <v>3</v>
      </c>
      <c r="CI392" s="120">
        <v>3</v>
      </c>
      <c r="CJ392" s="120">
        <v>3</v>
      </c>
      <c r="CK392" s="120">
        <v>3</v>
      </c>
      <c r="CL392" s="120">
        <v>3</v>
      </c>
      <c r="CM392" s="250">
        <f>+CM391/CM389</f>
        <v>3</v>
      </c>
      <c r="CN392" s="120">
        <v>3</v>
      </c>
      <c r="CO392" s="120">
        <v>3</v>
      </c>
      <c r="CP392" s="120">
        <v>3</v>
      </c>
      <c r="CQ392" s="120">
        <v>3</v>
      </c>
      <c r="CR392" s="250">
        <f>+CR391/CR389</f>
        <v>3</v>
      </c>
      <c r="CS392" s="120">
        <v>3</v>
      </c>
      <c r="CT392" s="120">
        <v>3</v>
      </c>
      <c r="CU392" s="120">
        <v>3</v>
      </c>
      <c r="CV392" s="120">
        <v>3</v>
      </c>
      <c r="CW392" s="250">
        <f>+CW391/CW389</f>
        <v>3.0000000000000004</v>
      </c>
      <c r="CX392" s="120">
        <v>3</v>
      </c>
      <c r="CY392" s="120">
        <v>3</v>
      </c>
      <c r="CZ392" s="120">
        <v>3</v>
      </c>
      <c r="DA392" s="120">
        <v>3</v>
      </c>
      <c r="DB392" s="250">
        <f>+DB391/DB389</f>
        <v>2.9999999999999996</v>
      </c>
    </row>
    <row r="393" spans="1:106" s="51" customFormat="1">
      <c r="A393" s="51" t="s">
        <v>343</v>
      </c>
      <c r="F393" s="233"/>
      <c r="K393" s="233"/>
      <c r="P393" s="233"/>
      <c r="U393" s="233"/>
      <c r="V393" s="213">
        <f>+V391*V396</f>
        <v>0</v>
      </c>
      <c r="W393" s="213">
        <f t="shared" ref="W393:Y393" si="8789">+W391*W396</f>
        <v>0</v>
      </c>
      <c r="X393" s="213">
        <f t="shared" si="8789"/>
        <v>0</v>
      </c>
      <c r="Y393" s="213">
        <f t="shared" si="8789"/>
        <v>0</v>
      </c>
      <c r="Z393" s="234">
        <f>+V393+W393+X393+Y393</f>
        <v>0</v>
      </c>
      <c r="AA393" s="213">
        <f>+AA391*AA396</f>
        <v>0</v>
      </c>
      <c r="AB393" s="213">
        <f t="shared" ref="AB393:AD393" si="8790">+AB391*AB396</f>
        <v>0</v>
      </c>
      <c r="AC393" s="213">
        <f t="shared" si="8790"/>
        <v>0</v>
      </c>
      <c r="AD393" s="213">
        <f t="shared" si="8790"/>
        <v>0</v>
      </c>
      <c r="AE393" s="234">
        <f>+AA393+AB393+AC393+AD393</f>
        <v>0</v>
      </c>
      <c r="AF393" s="213">
        <f>+AF391*AF396</f>
        <v>0</v>
      </c>
      <c r="AG393" s="213">
        <f t="shared" ref="AG393:AI393" si="8791">+AG391*AG396</f>
        <v>0</v>
      </c>
      <c r="AH393" s="213">
        <f t="shared" si="8791"/>
        <v>0</v>
      </c>
      <c r="AI393" s="213">
        <f t="shared" si="8791"/>
        <v>0</v>
      </c>
      <c r="AJ393" s="234">
        <f>+AF393+AG393+AH393+AI393</f>
        <v>0</v>
      </c>
      <c r="AK393" s="213">
        <f>+AK391*AK396</f>
        <v>0</v>
      </c>
      <c r="AL393" s="213">
        <f t="shared" ref="AL393:AN393" si="8792">+AL391*AL396</f>
        <v>0</v>
      </c>
      <c r="AM393" s="213">
        <f t="shared" si="8792"/>
        <v>0</v>
      </c>
      <c r="AN393" s="213">
        <f t="shared" si="8792"/>
        <v>0</v>
      </c>
      <c r="AO393" s="234">
        <f>+AK393+AL393+AM393+AN393</f>
        <v>0</v>
      </c>
      <c r="AP393" s="213">
        <f>+AP391*AP396</f>
        <v>0</v>
      </c>
      <c r="AQ393" s="213">
        <f t="shared" ref="AQ393:AS393" si="8793">+AQ391*AQ396</f>
        <v>0</v>
      </c>
      <c r="AR393" s="213">
        <f t="shared" si="8793"/>
        <v>0</v>
      </c>
      <c r="AS393" s="213">
        <f t="shared" si="8793"/>
        <v>0</v>
      </c>
      <c r="AT393" s="234">
        <f>+AP393+AQ393+AR393+AS393</f>
        <v>0</v>
      </c>
      <c r="AU393" s="213">
        <f>+AU391*AU396</f>
        <v>521.67333343500013</v>
      </c>
      <c r="AV393" s="213">
        <f t="shared" ref="AV393:AX393" si="8794">+AV391*AV396</f>
        <v>2347.5300004575001</v>
      </c>
      <c r="AW393" s="213">
        <f t="shared" si="8794"/>
        <v>3130.0400006100008</v>
      </c>
      <c r="AX393" s="213">
        <f t="shared" si="8794"/>
        <v>5216.7333343500013</v>
      </c>
      <c r="AY393" s="234">
        <f>+AU393+AV393+AW393+AX393</f>
        <v>11215.976668852501</v>
      </c>
      <c r="AZ393" s="213">
        <f>+AZ391*AZ396</f>
        <v>6716.5441679756259</v>
      </c>
      <c r="BA393" s="213">
        <f t="shared" ref="BA393:BC393" si="8795">+BA391*BA396</f>
        <v>8059.8530015707511</v>
      </c>
      <c r="BB393" s="213">
        <f t="shared" si="8795"/>
        <v>9403.1618351658763</v>
      </c>
      <c r="BC393" s="213">
        <f t="shared" si="8795"/>
        <v>11283.794202199053</v>
      </c>
      <c r="BD393" s="234">
        <f>+AZ393+BA393+BB393+BC393</f>
        <v>35463.353206911306</v>
      </c>
      <c r="BE393" s="213">
        <f>+BE391*BE396</f>
        <v>13005.916126868002</v>
      </c>
      <c r="BF393" s="213">
        <f t="shared" ref="BF393:BH393" si="8796">+BF391*BF396</f>
        <v>15219.689084632768</v>
      </c>
      <c r="BG393" s="213">
        <f t="shared" si="8796"/>
        <v>16603.297183235747</v>
      </c>
      <c r="BH393" s="213">
        <f t="shared" si="8796"/>
        <v>18014.577443810784</v>
      </c>
      <c r="BI393" s="234">
        <f>+BE393+BF393+BG393+BH393</f>
        <v>62843.479838547304</v>
      </c>
      <c r="BJ393" s="213">
        <f>+BJ391*BJ396</f>
        <v>20550.177645310603</v>
      </c>
      <c r="BK393" s="213">
        <f t="shared" ref="BK393:BM393" si="8797">+BK391*BK396</f>
        <v>22545.340523496099</v>
      </c>
      <c r="BL393" s="213">
        <f t="shared" si="8797"/>
        <v>24540.503401681599</v>
      </c>
      <c r="BM393" s="213">
        <f t="shared" si="8797"/>
        <v>26535.666279867095</v>
      </c>
      <c r="BN393" s="234">
        <f>+BJ393+BK393+BL393+BM393</f>
        <v>94171.687850355403</v>
      </c>
      <c r="BO393" s="213">
        <f>+BO391*BO396</f>
        <v>28506.032133709432</v>
      </c>
      <c r="BP393" s="213">
        <f t="shared" ref="BP393:BR393" si="8798">+BP391*BP396</f>
        <v>29680.32799915575</v>
      </c>
      <c r="BQ393" s="213">
        <f t="shared" si="8798"/>
        <v>30854.623864602072</v>
      </c>
      <c r="BR393" s="213">
        <f t="shared" si="8798"/>
        <v>32028.919730048394</v>
      </c>
      <c r="BS393" s="234">
        <f>+BO393+BP393+BQ393+BR393</f>
        <v>121069.90372751566</v>
      </c>
      <c r="BT393" s="213">
        <f>+BT391*BT396</f>
        <v>34199.312063359568</v>
      </c>
      <c r="BU393" s="213">
        <f t="shared" ref="BU393:BW393" si="8799">+BU391*BU396</f>
        <v>35408.836804769278</v>
      </c>
      <c r="BV393" s="213">
        <f t="shared" si="8799"/>
        <v>36618.361546178989</v>
      </c>
      <c r="BW393" s="213">
        <f t="shared" si="8799"/>
        <v>37827.886287588699</v>
      </c>
      <c r="BX393" s="234">
        <f>+BT393+BU393+BV393+BW393</f>
        <v>144054.39670189653</v>
      </c>
      <c r="BY393" s="213">
        <f>+BY391*BY396</f>
        <v>40519.985980781363</v>
      </c>
      <c r="BZ393" s="213">
        <f t="shared" ref="BZ393:CB393" si="8800">+BZ391*BZ396</f>
        <v>42077.249085346368</v>
      </c>
      <c r="CA393" s="213">
        <f t="shared" si="8800"/>
        <v>43634.512189911373</v>
      </c>
      <c r="CB393" s="213">
        <f t="shared" si="8800"/>
        <v>45191.775294476371</v>
      </c>
      <c r="CC393" s="234">
        <f>+BY393+BZ393+CA393+CB393</f>
        <v>171423.52255051548</v>
      </c>
      <c r="CD393" s="213">
        <f>+CD391*CD396</f>
        <v>48151.509551012619</v>
      </c>
      <c r="CE393" s="213">
        <f t="shared" ref="CE393:CF393" si="8801">+CE391*CE396</f>
        <v>49755.490548714573</v>
      </c>
      <c r="CF393" s="213">
        <f t="shared" si="8801"/>
        <v>51359.471546416527</v>
      </c>
      <c r="CG393" s="213">
        <f>+CG391*CG396</f>
        <v>52963.452544118481</v>
      </c>
      <c r="CH393" s="234">
        <f>+CD393+CE393+CF393+CG393</f>
        <v>202229.92419026219</v>
      </c>
      <c r="CI393" s="213">
        <f>+CI391*CI396</f>
        <v>55874.036462548444</v>
      </c>
      <c r="CJ393" s="213">
        <f t="shared" ref="CJ393:CL393" si="8802">+CJ391*CJ396</f>
        <v>57195.716804654854</v>
      </c>
      <c r="CK393" s="213">
        <f t="shared" si="8802"/>
        <v>58517.397146761265</v>
      </c>
      <c r="CL393" s="213">
        <f t="shared" si="8802"/>
        <v>59839.077488867675</v>
      </c>
      <c r="CM393" s="234">
        <f>+CI393+CJ393+CK393+CL393</f>
        <v>231426.22790283224</v>
      </c>
      <c r="CN393" s="213">
        <f>+CN391*CN396</f>
        <v>62485.081533764707</v>
      </c>
      <c r="CO393" s="213">
        <f t="shared" ref="CO393:CQ393" si="8803">+CO391*CO396</f>
        <v>63335.913253995714</v>
      </c>
      <c r="CP393" s="213">
        <f t="shared" si="8803"/>
        <v>64186.744974226713</v>
      </c>
      <c r="CQ393" s="213">
        <f t="shared" si="8803"/>
        <v>65037.576694457712</v>
      </c>
      <c r="CR393" s="234">
        <f>+CN393+CO393+CP393+CQ393</f>
        <v>255045.31645644485</v>
      </c>
      <c r="CS393" s="213">
        <f>+CS391*CS396</f>
        <v>67865.060667129379</v>
      </c>
      <c r="CT393" s="213">
        <f t="shared" ref="CT393:CV393" si="8804">+CT391*CT396</f>
        <v>68741.417338967309</v>
      </c>
      <c r="CU393" s="213">
        <f t="shared" si="8804"/>
        <v>69617.774010805253</v>
      </c>
      <c r="CV393" s="213">
        <f t="shared" si="8804"/>
        <v>70494.130682643183</v>
      </c>
      <c r="CW393" s="234">
        <f>+CS393+CT393+CU393+CV393</f>
        <v>276718.38269954512</v>
      </c>
      <c r="CX393" s="213">
        <f>+CX391*CX396</f>
        <v>73511.601975115525</v>
      </c>
      <c r="CY393" s="213">
        <f t="shared" ref="CY393:DA393" si="8805">+CY391*CY396</f>
        <v>74414.249347108605</v>
      </c>
      <c r="CZ393" s="213">
        <f t="shared" si="8805"/>
        <v>75316.896719101671</v>
      </c>
      <c r="DA393" s="213">
        <f t="shared" si="8805"/>
        <v>76219.544091094736</v>
      </c>
      <c r="DB393" s="234">
        <f>+CX393+CY393+CZ393+DA393</f>
        <v>299462.29213242052</v>
      </c>
    </row>
    <row r="394" spans="1:106">
      <c r="A394" s="117" t="s">
        <v>281</v>
      </c>
      <c r="F394" s="217"/>
      <c r="K394" s="217"/>
      <c r="P394" s="217"/>
      <c r="U394" s="217"/>
      <c r="V394" s="119" t="s">
        <v>290</v>
      </c>
      <c r="W394" s="119" t="s">
        <v>290</v>
      </c>
      <c r="X394" s="119" t="s">
        <v>290</v>
      </c>
      <c r="Y394" s="119" t="s">
        <v>290</v>
      </c>
      <c r="Z394" s="235" t="s">
        <v>290</v>
      </c>
      <c r="AA394" s="13" t="e">
        <f>+AA393/V393-1</f>
        <v>#DIV/0!</v>
      </c>
      <c r="AB394" s="13" t="e">
        <f t="shared" ref="AB394" si="8806">+AB393/W393-1</f>
        <v>#DIV/0!</v>
      </c>
      <c r="AC394" s="13" t="e">
        <f t="shared" ref="AC394" si="8807">+AC393/X393-1</f>
        <v>#DIV/0!</v>
      </c>
      <c r="AD394" s="13" t="e">
        <f t="shared" ref="AD394" si="8808">+AD393/Y393-1</f>
        <v>#DIV/0!</v>
      </c>
      <c r="AE394" s="239" t="e">
        <f t="shared" ref="AE394" si="8809">+AE393/Z393-1</f>
        <v>#DIV/0!</v>
      </c>
      <c r="AF394" s="13" t="e">
        <f>+AF393/AA393-1</f>
        <v>#DIV/0!</v>
      </c>
      <c r="AG394" s="13" t="e">
        <f t="shared" ref="AG394" si="8810">+AG393/AB393-1</f>
        <v>#DIV/0!</v>
      </c>
      <c r="AH394" s="13" t="e">
        <f t="shared" ref="AH394" si="8811">+AH393/AC393-1</f>
        <v>#DIV/0!</v>
      </c>
      <c r="AI394" s="13" t="e">
        <f t="shared" ref="AI394" si="8812">+AI393/AD393-1</f>
        <v>#DIV/0!</v>
      </c>
      <c r="AJ394" s="239" t="e">
        <f t="shared" ref="AJ394" si="8813">+AJ393/AE393-1</f>
        <v>#DIV/0!</v>
      </c>
      <c r="AK394" s="13" t="e">
        <f>+AK393/AF393-1</f>
        <v>#DIV/0!</v>
      </c>
      <c r="AL394" s="13" t="e">
        <f t="shared" ref="AL394" si="8814">+AL393/AG393-1</f>
        <v>#DIV/0!</v>
      </c>
      <c r="AM394" s="13" t="e">
        <f t="shared" ref="AM394" si="8815">+AM393/AH393-1</f>
        <v>#DIV/0!</v>
      </c>
      <c r="AN394" s="13" t="e">
        <f t="shared" ref="AN394" si="8816">+AN393/AI393-1</f>
        <v>#DIV/0!</v>
      </c>
      <c r="AO394" s="239" t="e">
        <f t="shared" ref="AO394" si="8817">+AO393/AJ393-1</f>
        <v>#DIV/0!</v>
      </c>
      <c r="AP394" s="13" t="e">
        <f>+AP393/AK393-1</f>
        <v>#DIV/0!</v>
      </c>
      <c r="AQ394" s="13" t="e">
        <f t="shared" ref="AQ394" si="8818">+AQ393/AL393-1</f>
        <v>#DIV/0!</v>
      </c>
      <c r="AR394" s="13" t="e">
        <f t="shared" ref="AR394" si="8819">+AR393/AM393-1</f>
        <v>#DIV/0!</v>
      </c>
      <c r="AS394" s="13" t="e">
        <f t="shared" ref="AS394" si="8820">+AS393/AN393-1</f>
        <v>#DIV/0!</v>
      </c>
      <c r="AT394" s="239" t="e">
        <f t="shared" ref="AT394" si="8821">+AT393/AO393-1</f>
        <v>#DIV/0!</v>
      </c>
      <c r="AU394" s="13" t="e">
        <f>+AU393/AP393-1</f>
        <v>#DIV/0!</v>
      </c>
      <c r="AV394" s="13" t="e">
        <f t="shared" ref="AV394" si="8822">+AV393/AQ393-1</f>
        <v>#DIV/0!</v>
      </c>
      <c r="AW394" s="13" t="e">
        <f t="shared" ref="AW394" si="8823">+AW393/AR393-1</f>
        <v>#DIV/0!</v>
      </c>
      <c r="AX394" s="13" t="e">
        <f t="shared" ref="AX394" si="8824">+AX393/AS393-1</f>
        <v>#DIV/0!</v>
      </c>
      <c r="AY394" s="239" t="e">
        <f t="shared" ref="AY394" si="8825">+AY393/AT393-1</f>
        <v>#DIV/0!</v>
      </c>
      <c r="AZ394" s="13">
        <f>+AZ393/AU393-1</f>
        <v>11.874999999999998</v>
      </c>
      <c r="BA394" s="13">
        <f t="shared" ref="BA394" si="8826">+BA393/AV393-1</f>
        <v>2.4333333333333336</v>
      </c>
      <c r="BB394" s="13">
        <f t="shared" ref="BB394" si="8827">+BB393/AW393-1</f>
        <v>2.0041666666666664</v>
      </c>
      <c r="BC394" s="13">
        <f t="shared" ref="BC394" si="8828">+BC393/AX393-1</f>
        <v>1.1629999999999998</v>
      </c>
      <c r="BD394" s="239">
        <f t="shared" ref="BD394" si="8829">+BD393/AY393-1</f>
        <v>2.1618604651162792</v>
      </c>
      <c r="BE394" s="13">
        <f>+BE393/AZ393-1</f>
        <v>0.9363999999999999</v>
      </c>
      <c r="BF394" s="13">
        <f t="shared" ref="BF394" si="8830">+BF393/BA393-1</f>
        <v>0.8883333333333332</v>
      </c>
      <c r="BG394" s="13">
        <f t="shared" ref="BG394" si="8831">+BG393/BB393-1</f>
        <v>0.76571428571428579</v>
      </c>
      <c r="BH394" s="13">
        <f t="shared" ref="BH394" si="8832">+BH393/BC393-1</f>
        <v>0.59649999999999959</v>
      </c>
      <c r="BI394" s="239">
        <f t="shared" ref="BI394" si="8833">+BI393/BD393-1</f>
        <v>0.77206818181818182</v>
      </c>
      <c r="BJ394" s="13">
        <f>+BJ393/BE393-1</f>
        <v>0.58006382978723403</v>
      </c>
      <c r="BK394" s="13">
        <f t="shared" ref="BK394" si="8834">+BK393/BF393-1</f>
        <v>0.4813272727272726</v>
      </c>
      <c r="BL394" s="13">
        <f t="shared" ref="BL394" si="8835">+BL393/BG393-1</f>
        <v>0.47805000000000009</v>
      </c>
      <c r="BM394" s="13">
        <f t="shared" ref="BM394" si="8836">+BM393/BH393-1</f>
        <v>0.47301075268817239</v>
      </c>
      <c r="BN394" s="239">
        <f t="shared" ref="BN394" si="8837">+BN393/BI393-1</f>
        <v>0.49851166886833997</v>
      </c>
      <c r="BO394" s="13">
        <f>+BO393/BJ393-1</f>
        <v>0.38714285714285768</v>
      </c>
      <c r="BP394" s="13">
        <f t="shared" ref="BP394" si="8838">+BP393/BK393-1</f>
        <v>0.31647281921618231</v>
      </c>
      <c r="BQ394" s="13">
        <f t="shared" ref="BQ394" si="8839">+BQ393/BL393-1</f>
        <v>0.25729384436701519</v>
      </c>
      <c r="BR394" s="13">
        <f t="shared" ref="BR394" si="8840">+BR393/BM393-1</f>
        <v>0.20701396348012913</v>
      </c>
      <c r="BS394" s="239">
        <f t="shared" ref="BS394" si="8841">+BS393/BN393-1</f>
        <v>0.28562953995157403</v>
      </c>
      <c r="BT394" s="13">
        <f>+BT393/BO393-1</f>
        <v>0.19972193614830114</v>
      </c>
      <c r="BU394" s="13">
        <f t="shared" ref="BU394" si="8842">+BU393/BP393-1</f>
        <v>0.19300692383778495</v>
      </c>
      <c r="BV394" s="13">
        <f t="shared" ref="BV394" si="8843">+BV393/BQ393-1</f>
        <v>0.18680304471931541</v>
      </c>
      <c r="BW394" s="13">
        <f t="shared" ref="BW394" si="8844">+BW393/BR393-1</f>
        <v>0.18105407882676472</v>
      </c>
      <c r="BX394" s="239">
        <f t="shared" ref="BX394" si="8845">+BX393/BS393-1</f>
        <v>0.18984481086324001</v>
      </c>
      <c r="BY394" s="13">
        <f>+BY393/BT393-1</f>
        <v>0.18481874447391688</v>
      </c>
      <c r="BZ394" s="13">
        <f t="shared" ref="BZ394" si="8846">+BZ393/BU393-1</f>
        <v>0.18832621690862528</v>
      </c>
      <c r="CA394" s="13">
        <f t="shared" ref="CA394" si="8847">+CA393/BV393-1</f>
        <v>0.19160198183319577</v>
      </c>
      <c r="CB394" s="13">
        <f t="shared" ref="CB394" si="8848">+CB393/BW393-1</f>
        <v>0.19466826538768989</v>
      </c>
      <c r="CC394" s="239">
        <f t="shared" ref="CC394" si="8849">+CC393/BX393-1</f>
        <v>0.18999160369437451</v>
      </c>
      <c r="CD394" s="13">
        <f>+CD393/BY393-1</f>
        <v>0.18833973866256737</v>
      </c>
      <c r="CE394" s="13">
        <f t="shared" ref="CE394" si="8850">+CE393/BZ393-1</f>
        <v>0.18247964470762401</v>
      </c>
      <c r="CF394" s="13">
        <f t="shared" ref="CF394" si="8851">+CF393/CA393-1</f>
        <v>0.177037830121342</v>
      </c>
      <c r="CG394" s="13">
        <f t="shared" ref="CG394" si="8852">+CG393/CB393-1</f>
        <v>0.17197105444521044</v>
      </c>
      <c r="CH394" s="239">
        <f t="shared" ref="CH394" si="8853">+CH393/CC393-1</f>
        <v>0.17970930232558135</v>
      </c>
      <c r="CI394" s="13">
        <f>+CI393/CD393-1</f>
        <v>0.16037974683544309</v>
      </c>
      <c r="CJ394" s="13">
        <f t="shared" ref="CJ394" si="8854">+CJ393/CE393-1</f>
        <v>0.14953578336557061</v>
      </c>
      <c r="CK394" s="13">
        <f t="shared" ref="CK394" si="8855">+CK393/CF393-1</f>
        <v>0.13936914428482194</v>
      </c>
      <c r="CL394" s="13">
        <f t="shared" ref="CL394" si="8856">+CL393/CG393-1</f>
        <v>0.1298182919442763</v>
      </c>
      <c r="CM394" s="239">
        <f t="shared" ref="CM394" si="8857">+CM393/CH393-1</f>
        <v>0.14437182741116761</v>
      </c>
      <c r="CN394" s="13">
        <f>+CN393/CI393-1</f>
        <v>0.11832052040212893</v>
      </c>
      <c r="CO394" s="13">
        <f t="shared" ref="CO394" si="8858">+CO393/CJ393-1</f>
        <v>0.1073541305603698</v>
      </c>
      <c r="CP394" s="13">
        <f t="shared" ref="CP394" si="8859">+CP393/CK393-1</f>
        <v>9.6883116883117015E-2</v>
      </c>
      <c r="CQ394" s="13">
        <f t="shared" ref="CQ394" si="8860">+CQ393/CL393-1</f>
        <v>8.6874654886802904E-2</v>
      </c>
      <c r="CR394" s="239">
        <f t="shared" ref="CR394" si="8861">+CR393/CM393-1</f>
        <v>0.10205882352941198</v>
      </c>
      <c r="CS394" s="13">
        <f>+CS393/CN393-1</f>
        <v>8.6100217864923945E-2</v>
      </c>
      <c r="CT394" s="13">
        <f t="shared" ref="CT394" si="8862">+CT393/CO393-1</f>
        <v>8.5346587855991363E-2</v>
      </c>
      <c r="CU394" s="13">
        <f t="shared" ref="CU394" si="8863">+CU393/CP393-1</f>
        <v>8.4612937433722335E-2</v>
      </c>
      <c r="CV394" s="13">
        <f t="shared" ref="CV394" si="8864">+CV393/CQ393-1</f>
        <v>8.3898482469911384E-2</v>
      </c>
      <c r="CW394" s="239">
        <f t="shared" ref="CW394" si="8865">+CW393/CR393-1</f>
        <v>8.4977315185481794E-2</v>
      </c>
      <c r="CX394" s="13">
        <f>+CX393/CS393-1</f>
        <v>8.3202479338842839E-2</v>
      </c>
      <c r="CY394" s="13">
        <f t="shared" ref="CY394" si="8866">+CY393/CT393-1</f>
        <v>8.2524222335543129E-2</v>
      </c>
      <c r="CZ394" s="13">
        <f t="shared" ref="CZ394" si="8867">+CZ393/CU393-1</f>
        <v>8.1863041289022886E-2</v>
      </c>
      <c r="DA394" s="13">
        <f t="shared" ref="DA394" si="8868">+DA393/CV393-1</f>
        <v>8.121829935355529E-2</v>
      </c>
      <c r="DB394" s="239">
        <f t="shared" ref="DB394" si="8869">+DB393/CW393-1</f>
        <v>8.2191537876868281E-2</v>
      </c>
    </row>
    <row r="395" spans="1:106">
      <c r="A395" s="117" t="s">
        <v>288</v>
      </c>
      <c r="F395" s="217"/>
      <c r="K395" s="217"/>
      <c r="P395" s="217"/>
      <c r="U395" s="217"/>
      <c r="V395" s="119" t="s">
        <v>290</v>
      </c>
      <c r="W395" s="13" t="e">
        <f>+W393/V393-1</f>
        <v>#DIV/0!</v>
      </c>
      <c r="X395" s="13" t="e">
        <f t="shared" ref="X395:Y395" si="8870">+X393/W393-1</f>
        <v>#DIV/0!</v>
      </c>
      <c r="Y395" s="13" t="e">
        <f t="shared" si="8870"/>
        <v>#DIV/0!</v>
      </c>
      <c r="Z395" s="235" t="s">
        <v>290</v>
      </c>
      <c r="AA395" s="13" t="e">
        <f>+AA393/Y393-1</f>
        <v>#DIV/0!</v>
      </c>
      <c r="AB395" s="13" t="e">
        <f>+AB393/AA393-1</f>
        <v>#DIV/0!</v>
      </c>
      <c r="AC395" s="13" t="e">
        <f t="shared" ref="AC395:AD395" si="8871">+AC393/AB393-1</f>
        <v>#DIV/0!</v>
      </c>
      <c r="AD395" s="13" t="e">
        <f t="shared" si="8871"/>
        <v>#DIV/0!</v>
      </c>
      <c r="AE395" s="235" t="s">
        <v>290</v>
      </c>
      <c r="AF395" s="13" t="e">
        <f>+AF393/AD393-1</f>
        <v>#DIV/0!</v>
      </c>
      <c r="AG395" s="13" t="e">
        <f>+AG393/AF393-1</f>
        <v>#DIV/0!</v>
      </c>
      <c r="AH395" s="13" t="e">
        <f t="shared" ref="AH395:AI395" si="8872">+AH393/AG393-1</f>
        <v>#DIV/0!</v>
      </c>
      <c r="AI395" s="13" t="e">
        <f t="shared" si="8872"/>
        <v>#DIV/0!</v>
      </c>
      <c r="AJ395" s="235" t="s">
        <v>290</v>
      </c>
      <c r="AK395" s="13" t="e">
        <f>+AK393/AI393-1</f>
        <v>#DIV/0!</v>
      </c>
      <c r="AL395" s="13" t="e">
        <f>+AL393/AK393-1</f>
        <v>#DIV/0!</v>
      </c>
      <c r="AM395" s="13" t="e">
        <f t="shared" ref="AM395:AN395" si="8873">+AM393/AL393-1</f>
        <v>#DIV/0!</v>
      </c>
      <c r="AN395" s="13" t="e">
        <f t="shared" si="8873"/>
        <v>#DIV/0!</v>
      </c>
      <c r="AO395" s="235" t="s">
        <v>290</v>
      </c>
      <c r="AP395" s="13" t="e">
        <f>+AP393/AN393-1</f>
        <v>#DIV/0!</v>
      </c>
      <c r="AQ395" s="13" t="e">
        <f>+AQ393/AP393-1</f>
        <v>#DIV/0!</v>
      </c>
      <c r="AR395" s="13" t="e">
        <f t="shared" ref="AR395:AS395" si="8874">+AR393/AQ393-1</f>
        <v>#DIV/0!</v>
      </c>
      <c r="AS395" s="13" t="e">
        <f t="shared" si="8874"/>
        <v>#DIV/0!</v>
      </c>
      <c r="AT395" s="235" t="s">
        <v>290</v>
      </c>
      <c r="AU395" s="13" t="e">
        <f>+AU393/AS393-1</f>
        <v>#DIV/0!</v>
      </c>
      <c r="AV395" s="13">
        <f>+AV393/AU393-1</f>
        <v>3.4999999999999991</v>
      </c>
      <c r="AW395" s="13">
        <f t="shared" ref="AW395:AX395" si="8875">+AW393/AV393-1</f>
        <v>0.33333333333333348</v>
      </c>
      <c r="AX395" s="13">
        <f t="shared" si="8875"/>
        <v>0.66666666666666674</v>
      </c>
      <c r="AY395" s="235" t="s">
        <v>290</v>
      </c>
      <c r="AZ395" s="13">
        <f>+AZ393/AX393-1</f>
        <v>0.28749999999999987</v>
      </c>
      <c r="BA395" s="13">
        <f>+BA393/AZ393-1</f>
        <v>0.19999999999999996</v>
      </c>
      <c r="BB395" s="13">
        <f t="shared" ref="BB395:BC395" si="8876">+BB393/BA393-1</f>
        <v>0.16666666666666674</v>
      </c>
      <c r="BC395" s="13">
        <f t="shared" si="8876"/>
        <v>0.20000000000000018</v>
      </c>
      <c r="BD395" s="235" t="s">
        <v>290</v>
      </c>
      <c r="BE395" s="13">
        <f>+BE393/BC393-1</f>
        <v>0.15261904761904743</v>
      </c>
      <c r="BF395" s="13">
        <f>+BF393/BE393-1</f>
        <v>0.17021276595744683</v>
      </c>
      <c r="BG395" s="13">
        <f t="shared" ref="BG395:BH395" si="8877">+BG393/BF393-1</f>
        <v>9.0909090909090828E-2</v>
      </c>
      <c r="BH395" s="13">
        <f t="shared" si="8877"/>
        <v>8.4999999999999964E-2</v>
      </c>
      <c r="BI395" s="235" t="s">
        <v>290</v>
      </c>
      <c r="BJ395" s="13">
        <f>+BJ393/BH393-1</f>
        <v>0.14075268817204312</v>
      </c>
      <c r="BK395" s="13">
        <f>+BK393/BJ393-1</f>
        <v>9.7087378640776656E-2</v>
      </c>
      <c r="BL395" s="13">
        <f t="shared" ref="BL395:BM395" si="8878">+BL393/BK393-1</f>
        <v>8.8495575221239076E-2</v>
      </c>
      <c r="BM395" s="13">
        <f t="shared" si="8878"/>
        <v>8.1300813008130079E-2</v>
      </c>
      <c r="BN395" s="235" t="s">
        <v>290</v>
      </c>
      <c r="BO395" s="13">
        <f>+BO393/BM393-1</f>
        <v>7.4253490870032302E-2</v>
      </c>
      <c r="BP395" s="13">
        <f>+BP393/BO393-1</f>
        <v>4.1194644696189497E-2</v>
      </c>
      <c r="BQ395" s="13">
        <f t="shared" ref="BQ395:BR395" si="8879">+BQ393/BP393-1</f>
        <v>3.9564787339268159E-2</v>
      </c>
      <c r="BR395" s="13">
        <f t="shared" si="8879"/>
        <v>3.8058991436726863E-2</v>
      </c>
      <c r="BS395" s="235" t="s">
        <v>290</v>
      </c>
      <c r="BT395" s="13">
        <f>+BT393/BR393-1</f>
        <v>6.7763519706691477E-2</v>
      </c>
      <c r="BU395" s="13">
        <f>+BU393/BT393-1</f>
        <v>3.536693191865603E-2</v>
      </c>
      <c r="BV395" s="13">
        <f t="shared" ref="BV395:BW395" si="8880">+BV393/BU393-1</f>
        <v>3.415883859948754E-2</v>
      </c>
      <c r="BW395" s="13">
        <f t="shared" si="8880"/>
        <v>3.3030553261767182E-2</v>
      </c>
      <c r="BX395" s="235" t="s">
        <v>290</v>
      </c>
      <c r="BY395" s="13">
        <f>+BY393/BW393-1</f>
        <v>7.1167066346922381E-2</v>
      </c>
      <c r="BZ395" s="13">
        <f>+BZ393/BY393-1</f>
        <v>3.8431975403535823E-2</v>
      </c>
      <c r="CA395" s="13">
        <f t="shared" ref="CA395:CB395" si="8881">+CA393/BZ393-1</f>
        <v>3.7009622501850581E-2</v>
      </c>
      <c r="CB395" s="13">
        <f t="shared" si="8881"/>
        <v>3.5688793718772205E-2</v>
      </c>
      <c r="CC395" s="235" t="s">
        <v>290</v>
      </c>
      <c r="CD395" s="13">
        <f>+CD393/CB393-1</f>
        <v>6.549276361130274E-2</v>
      </c>
      <c r="CE395" s="13">
        <f>+CE393/CD393-1</f>
        <v>3.3311125916055895E-2</v>
      </c>
      <c r="CF395" s="13">
        <f t="shared" ref="CF395:CG395" si="8882">+CF393/CE393-1</f>
        <v>3.2237266279819599E-2</v>
      </c>
      <c r="CG395" s="13">
        <f t="shared" si="8882"/>
        <v>3.1230480949406614E-2</v>
      </c>
      <c r="CH395" s="235" t="s">
        <v>290</v>
      </c>
      <c r="CI395" s="13">
        <f>+CI393/CG393-1</f>
        <v>5.4954572986068984E-2</v>
      </c>
      <c r="CJ395" s="13">
        <f>+CJ393/CI393-1</f>
        <v>2.3654642223536415E-2</v>
      </c>
      <c r="CK395" s="13">
        <f t="shared" ref="CK395:CL395" si="8883">+CK393/CJ393-1</f>
        <v>2.3108030040439154E-2</v>
      </c>
      <c r="CL395" s="13">
        <f t="shared" si="8883"/>
        <v>2.2586109542631405E-2</v>
      </c>
      <c r="CM395" s="235" t="s">
        <v>290</v>
      </c>
      <c r="CN395" s="13">
        <f>+CN393/CL393-1</f>
        <v>4.4218663721700802E-2</v>
      </c>
      <c r="CO395" s="13">
        <f>+CO393/CN393-1</f>
        <v>1.3616557734204893E-2</v>
      </c>
      <c r="CP395" s="13">
        <f t="shared" ref="CP395:CQ395" si="8884">+CP393/CO393-1</f>
        <v>1.343363782912399E-2</v>
      </c>
      <c r="CQ395" s="13">
        <f t="shared" si="8884"/>
        <v>1.3255567338282148E-2</v>
      </c>
      <c r="CR395" s="235" t="s">
        <v>290</v>
      </c>
      <c r="CS395" s="13">
        <f>+CS393/CQ393-1</f>
        <v>4.3474620617477866E-2</v>
      </c>
      <c r="CT395" s="13">
        <f>+CT393/CS393-1</f>
        <v>1.2913223140495811E-2</v>
      </c>
      <c r="CU395" s="13">
        <f t="shared" ref="CU395:CV395" si="8885">+CU393/CT393-1</f>
        <v>1.2748597654258287E-2</v>
      </c>
      <c r="CV395" s="13">
        <f t="shared" si="8885"/>
        <v>1.2588116817723982E-2</v>
      </c>
      <c r="CW395" s="235" t="s">
        <v>290</v>
      </c>
      <c r="CX395" s="13">
        <f>+CX393/CV393-1</f>
        <v>4.2804574838388509E-2</v>
      </c>
      <c r="CY395" s="13">
        <f>+CY393/CX393-1</f>
        <v>1.2278978388998274E-2</v>
      </c>
      <c r="CZ395" s="13">
        <f t="shared" ref="CZ395:DA395" si="8886">+CZ393/CY393-1</f>
        <v>1.2130033964095066E-2</v>
      </c>
      <c r="DA395" s="13">
        <f t="shared" si="8886"/>
        <v>1.1984659635666306E-2</v>
      </c>
      <c r="DB395" s="235" t="s">
        <v>290</v>
      </c>
    </row>
    <row r="396" spans="1:106">
      <c r="A396" s="117" t="s">
        <v>316</v>
      </c>
      <c r="F396" s="217"/>
      <c r="K396" s="217"/>
      <c r="P396" s="217"/>
      <c r="U396" s="217"/>
      <c r="V396" s="118">
        <v>0</v>
      </c>
      <c r="W396" s="118">
        <v>0</v>
      </c>
      <c r="X396" s="118">
        <v>0</v>
      </c>
      <c r="Y396" s="118">
        <v>0</v>
      </c>
      <c r="Z396" s="239">
        <f>+Z393/Z391</f>
        <v>0</v>
      </c>
      <c r="AA396" s="118">
        <v>0</v>
      </c>
      <c r="AB396" s="118">
        <v>0</v>
      </c>
      <c r="AC396" s="118">
        <v>0</v>
      </c>
      <c r="AD396" s="118">
        <v>0</v>
      </c>
      <c r="AE396" s="239">
        <f>+AE393/AE391</f>
        <v>0</v>
      </c>
      <c r="AF396" s="118">
        <v>0</v>
      </c>
      <c r="AG396" s="118">
        <v>0</v>
      </c>
      <c r="AH396" s="118">
        <v>0</v>
      </c>
      <c r="AI396" s="118">
        <v>0</v>
      </c>
      <c r="AJ396" s="239">
        <f>+AJ393/AJ391</f>
        <v>0</v>
      </c>
      <c r="AK396" s="118">
        <v>0</v>
      </c>
      <c r="AL396" s="118">
        <v>0</v>
      </c>
      <c r="AM396" s="118">
        <v>0</v>
      </c>
      <c r="AN396" s="118">
        <v>0</v>
      </c>
      <c r="AO396" s="239">
        <f>+AO393/AO391</f>
        <v>0</v>
      </c>
      <c r="AP396" s="118">
        <v>0</v>
      </c>
      <c r="AQ396" s="118">
        <v>0</v>
      </c>
      <c r="AR396" s="118">
        <v>0</v>
      </c>
      <c r="AS396" s="118">
        <v>0</v>
      </c>
      <c r="AT396" s="239">
        <f>+AT393/AT391</f>
        <v>0</v>
      </c>
      <c r="AU396" s="118">
        <v>2E-3</v>
      </c>
      <c r="AV396" s="118">
        <v>8.9999999999999993E-3</v>
      </c>
      <c r="AW396" s="118">
        <v>1.2E-2</v>
      </c>
      <c r="AX396" s="118">
        <v>0.02</v>
      </c>
      <c r="AY396" s="239">
        <f>+AY393/AY391</f>
        <v>1.0749999999999999E-2</v>
      </c>
      <c r="AZ396" s="118">
        <v>2.5000000000000001E-2</v>
      </c>
      <c r="BA396" s="118">
        <v>0.03</v>
      </c>
      <c r="BB396" s="118">
        <v>3.5000000000000003E-2</v>
      </c>
      <c r="BC396" s="118">
        <v>4.2000000000000003E-2</v>
      </c>
      <c r="BD396" s="239">
        <f>+BD393/BD391</f>
        <v>3.3000000000000002E-2</v>
      </c>
      <c r="BE396" s="118">
        <f>+BC396+0.005</f>
        <v>4.7E-2</v>
      </c>
      <c r="BF396" s="118">
        <f>+BE396+0.008</f>
        <v>5.5E-2</v>
      </c>
      <c r="BG396" s="118">
        <f t="shared" ref="BG396" si="8887">+BF396+0.005</f>
        <v>0.06</v>
      </c>
      <c r="BH396" s="118">
        <f>+BG396+0.0051</f>
        <v>6.5099999999999991E-2</v>
      </c>
      <c r="BI396" s="239">
        <f>+BI393/BI391</f>
        <v>5.6775000000000006E-2</v>
      </c>
      <c r="BJ396" s="118">
        <f>+BH396+0.007</f>
        <v>7.2099999999999997E-2</v>
      </c>
      <c r="BK396" s="118">
        <f>+BJ396+0.007</f>
        <v>7.9100000000000004E-2</v>
      </c>
      <c r="BL396" s="118">
        <f>+BK396+0.007</f>
        <v>8.610000000000001E-2</v>
      </c>
      <c r="BM396" s="118">
        <f>+BL396+0.007</f>
        <v>9.3100000000000016E-2</v>
      </c>
      <c r="BN396" s="239">
        <f>+BN393/BN391</f>
        <v>8.2600000000000007E-2</v>
      </c>
      <c r="BO396" s="118">
        <f>+BM396+0.004</f>
        <v>9.710000000000002E-2</v>
      </c>
      <c r="BP396" s="118">
        <f>+BO396+0.004</f>
        <v>0.10110000000000002</v>
      </c>
      <c r="BQ396" s="118">
        <f>+BP396+0.004</f>
        <v>0.10510000000000003</v>
      </c>
      <c r="BR396" s="118">
        <f>+BQ396+0.004</f>
        <v>0.10910000000000003</v>
      </c>
      <c r="BS396" s="239">
        <f>+BS393/BS391</f>
        <v>0.10310000000000004</v>
      </c>
      <c r="BT396" s="118">
        <f>+BR396+0.004</f>
        <v>0.11310000000000003</v>
      </c>
      <c r="BU396" s="118">
        <f>+BT396+0.004</f>
        <v>0.11710000000000004</v>
      </c>
      <c r="BV396" s="118">
        <f>+BU396+0.004</f>
        <v>0.12110000000000004</v>
      </c>
      <c r="BW396" s="118">
        <f>+BV396+0.004</f>
        <v>0.12510000000000004</v>
      </c>
      <c r="BX396" s="239">
        <f>+BX393/BX391</f>
        <v>0.11910000000000005</v>
      </c>
      <c r="BY396" s="118">
        <f>+BW396+0.005</f>
        <v>0.13010000000000005</v>
      </c>
      <c r="BZ396" s="118">
        <f>+BY396+0.005</f>
        <v>0.13510000000000005</v>
      </c>
      <c r="CA396" s="118">
        <f>+BZ396+0.005</f>
        <v>0.14010000000000006</v>
      </c>
      <c r="CB396" s="118">
        <f>+CA396+0.005</f>
        <v>0.14510000000000006</v>
      </c>
      <c r="CC396" s="239">
        <f>+CC393/CC391</f>
        <v>0.13760000000000006</v>
      </c>
      <c r="CD396" s="118">
        <f>+CB396+0.005</f>
        <v>0.15010000000000007</v>
      </c>
      <c r="CE396" s="118">
        <f>+CD396+0.005</f>
        <v>0.15510000000000007</v>
      </c>
      <c r="CF396" s="118">
        <f>+CE396+0.005</f>
        <v>0.16010000000000008</v>
      </c>
      <c r="CG396" s="118">
        <f>+CF396+0.005</f>
        <v>0.16510000000000008</v>
      </c>
      <c r="CH396" s="239">
        <f>+CH393/CH391</f>
        <v>0.15760000000000007</v>
      </c>
      <c r="CI396" s="118">
        <f>+CG396+0.004</f>
        <v>0.16910000000000008</v>
      </c>
      <c r="CJ396" s="118">
        <f>+CI396+0.004</f>
        <v>0.17310000000000009</v>
      </c>
      <c r="CK396" s="118">
        <f>+CJ396+0.004</f>
        <v>0.17710000000000009</v>
      </c>
      <c r="CL396" s="118">
        <f>+CK396+0.004</f>
        <v>0.18110000000000009</v>
      </c>
      <c r="CM396" s="239">
        <f>+CM393/CM391</f>
        <v>0.17510000000000009</v>
      </c>
      <c r="CN396" s="118">
        <f>+CL396+0.0025</f>
        <v>0.1836000000000001</v>
      </c>
      <c r="CO396" s="118">
        <f>+CN396+0.0025</f>
        <v>0.1861000000000001</v>
      </c>
      <c r="CP396" s="118">
        <f t="shared" ref="CP396:CQ396" si="8888">+CO396+0.0025</f>
        <v>0.1886000000000001</v>
      </c>
      <c r="CQ396" s="118">
        <f t="shared" si="8888"/>
        <v>0.1911000000000001</v>
      </c>
      <c r="CR396" s="239">
        <f>+CR393/CR391</f>
        <v>0.1873500000000001</v>
      </c>
      <c r="CS396" s="118">
        <f>+CQ396+0.0025</f>
        <v>0.19360000000000011</v>
      </c>
      <c r="CT396" s="118">
        <f>+CS396+0.0025</f>
        <v>0.19610000000000011</v>
      </c>
      <c r="CU396" s="118">
        <f>+CT396+0.0025</f>
        <v>0.19860000000000011</v>
      </c>
      <c r="CV396" s="118">
        <f t="shared" ref="CV396" si="8889">+CU396+0.0025</f>
        <v>0.20110000000000011</v>
      </c>
      <c r="CW396" s="239">
        <f>+CW393/CW391</f>
        <v>0.19735000000000011</v>
      </c>
      <c r="CX396" s="118">
        <f>+CV396+0.0025</f>
        <v>0.20360000000000011</v>
      </c>
      <c r="CY396" s="118">
        <f>+CX396+0.0025</f>
        <v>0.20610000000000012</v>
      </c>
      <c r="CZ396" s="118">
        <f>+CY396+0.0025</f>
        <v>0.20860000000000012</v>
      </c>
      <c r="DA396" s="118">
        <f t="shared" ref="DA396" si="8890">+CZ396+0.0025</f>
        <v>0.21110000000000012</v>
      </c>
      <c r="DB396" s="239">
        <f>+DB393/DB391</f>
        <v>0.20735000000000012</v>
      </c>
    </row>
    <row r="397" spans="1:106">
      <c r="F397" s="217"/>
      <c r="K397" s="217"/>
      <c r="P397" s="217"/>
      <c r="U397" s="217"/>
      <c r="Z397" s="217"/>
      <c r="AE397" s="217"/>
      <c r="AJ397" s="217"/>
      <c r="AO397" s="217"/>
      <c r="AT397" s="217"/>
      <c r="AY397" s="217"/>
      <c r="BD397" s="217"/>
      <c r="BI397" s="217"/>
      <c r="BN397" s="217"/>
      <c r="BS397" s="217"/>
      <c r="BX397" s="217"/>
      <c r="CC397" s="217"/>
      <c r="CH397" s="217"/>
      <c r="CM397" s="217"/>
      <c r="CR397" s="217"/>
      <c r="CW397" s="217"/>
      <c r="DB397" s="217"/>
    </row>
    <row r="398" spans="1:106" s="51" customFormat="1">
      <c r="A398" s="51" t="s">
        <v>341</v>
      </c>
      <c r="F398" s="233"/>
      <c r="K398" s="233"/>
      <c r="P398" s="233"/>
      <c r="U398" s="233"/>
      <c r="V398" s="213">
        <f>+$Z398/4</f>
        <v>950000</v>
      </c>
      <c r="W398" s="213">
        <f>+$Z398/4</f>
        <v>950000</v>
      </c>
      <c r="X398" s="213">
        <f>+$Z398/4</f>
        <v>950000</v>
      </c>
      <c r="Y398" s="213">
        <f>+$Z398/4</f>
        <v>950000</v>
      </c>
      <c r="Z398" s="234">
        <v>3800000</v>
      </c>
      <c r="AA398" s="213">
        <f>+V398*(1+AA399)</f>
        <v>978500</v>
      </c>
      <c r="AB398" s="213">
        <f t="shared" ref="AB398" si="8891">+W398*(1+AB399)</f>
        <v>978500</v>
      </c>
      <c r="AC398" s="213">
        <f t="shared" ref="AC398" si="8892">+X398*(1+AC399)</f>
        <v>978500</v>
      </c>
      <c r="AD398" s="213">
        <f t="shared" ref="AD398" si="8893">+Y398*(1+AD399)</f>
        <v>978500</v>
      </c>
      <c r="AE398" s="234">
        <f>+AA398+AB398+AC398+AD398</f>
        <v>3914000</v>
      </c>
      <c r="AF398" s="213">
        <f>+AA398*(1+AF399)</f>
        <v>1007855</v>
      </c>
      <c r="AG398" s="213">
        <f t="shared" ref="AG398" si="8894">+AB398*(1+AG399)</f>
        <v>1007855</v>
      </c>
      <c r="AH398" s="213">
        <f t="shared" ref="AH398" si="8895">+AC398*(1+AH399)</f>
        <v>1007855</v>
      </c>
      <c r="AI398" s="213">
        <f t="shared" ref="AI398" si="8896">+AD398*(1+AI399)</f>
        <v>1007855</v>
      </c>
      <c r="AJ398" s="234">
        <f>+AF398+AG398+AH398+AI398</f>
        <v>4031420</v>
      </c>
      <c r="AK398" s="213">
        <f>+AF398*(1+AK399)</f>
        <v>1038090.65</v>
      </c>
      <c r="AL398" s="213">
        <f t="shared" ref="AL398" si="8897">+AG398*(1+AL399)</f>
        <v>1038090.65</v>
      </c>
      <c r="AM398" s="213">
        <f t="shared" ref="AM398" si="8898">+AH398*(1+AM399)</f>
        <v>1038090.65</v>
      </c>
      <c r="AN398" s="213">
        <f t="shared" ref="AN398" si="8899">+AI398*(1+AN399)</f>
        <v>1038090.65</v>
      </c>
      <c r="AO398" s="234">
        <f>+AK398+AL398+AM398+AN398</f>
        <v>4152362.6</v>
      </c>
      <c r="AP398" s="213">
        <f>+AK398*(1+AP399)</f>
        <v>1069233.3695</v>
      </c>
      <c r="AQ398" s="213">
        <f t="shared" ref="AQ398" si="8900">+AL398*(1+AQ399)</f>
        <v>1069233.3695</v>
      </c>
      <c r="AR398" s="213">
        <f t="shared" ref="AR398" si="8901">+AM398*(1+AR399)</f>
        <v>1069233.3695</v>
      </c>
      <c r="AS398" s="213">
        <f t="shared" ref="AS398" si="8902">+AN398*(1+AS399)</f>
        <v>1069233.3695</v>
      </c>
      <c r="AT398" s="234">
        <f>+AP398+AQ398+AR398+AS398</f>
        <v>4276933.4780000001</v>
      </c>
      <c r="AU398" s="213">
        <f>+AP398*(1+AU399)</f>
        <v>1101310.3705850001</v>
      </c>
      <c r="AV398" s="213">
        <f t="shared" ref="AV398" si="8903">+AQ398*(1+AV399)</f>
        <v>1101310.3705850001</v>
      </c>
      <c r="AW398" s="213">
        <f t="shared" ref="AW398" si="8904">+AR398*(1+AW399)</f>
        <v>1101310.3705850001</v>
      </c>
      <c r="AX398" s="213">
        <f t="shared" ref="AX398" si="8905">+AS398*(1+AX399)</f>
        <v>1101310.3705850001</v>
      </c>
      <c r="AY398" s="234">
        <f>+AU398+AV398+AW398+AX398</f>
        <v>4405241.4823400006</v>
      </c>
      <c r="AZ398" s="213">
        <f>+AU398*(1+AZ399)</f>
        <v>1134349.6817025503</v>
      </c>
      <c r="BA398" s="213">
        <f t="shared" ref="BA398" si="8906">+AV398*(1+BA399)</f>
        <v>1134349.6817025503</v>
      </c>
      <c r="BB398" s="213">
        <f t="shared" ref="BB398" si="8907">+AW398*(1+BB399)</f>
        <v>1134349.6817025503</v>
      </c>
      <c r="BC398" s="213">
        <f t="shared" ref="BC398" si="8908">+AX398*(1+BC399)</f>
        <v>1134349.6817025503</v>
      </c>
      <c r="BD398" s="234">
        <f>+AZ398+BA398+BB398+BC398</f>
        <v>4537398.7268102011</v>
      </c>
      <c r="BE398" s="213">
        <f>+AZ398*(1+BE399)</f>
        <v>1168380.1721536268</v>
      </c>
      <c r="BF398" s="213">
        <f t="shared" ref="BF398" si="8909">+BA398*(1+BF399)</f>
        <v>1168380.1721536268</v>
      </c>
      <c r="BG398" s="213">
        <f t="shared" ref="BG398" si="8910">+BB398*(1+BG399)</f>
        <v>1168380.1721536268</v>
      </c>
      <c r="BH398" s="213">
        <f t="shared" ref="BH398" si="8911">+BC398*(1+BH399)</f>
        <v>1168380.1721536268</v>
      </c>
      <c r="BI398" s="234">
        <f>+BE398+BF398+BG398+BH398</f>
        <v>4673520.6886145072</v>
      </c>
      <c r="BJ398" s="213">
        <f>+BE398*(1+BJ399)</f>
        <v>1203431.5773182355</v>
      </c>
      <c r="BK398" s="213">
        <f t="shared" ref="BK398" si="8912">+BF398*(1+BK399)</f>
        <v>1203431.5773182355</v>
      </c>
      <c r="BL398" s="213">
        <f t="shared" ref="BL398" si="8913">+BG398*(1+BL399)</f>
        <v>1203431.5773182355</v>
      </c>
      <c r="BM398" s="213">
        <f t="shared" ref="BM398" si="8914">+BH398*(1+BM399)</f>
        <v>1203431.5773182355</v>
      </c>
      <c r="BN398" s="234">
        <f>+BJ398+BK398+BL398+BM398</f>
        <v>4813726.3092729421</v>
      </c>
      <c r="BO398" s="213">
        <f>+BJ398*(1+BO399)</f>
        <v>1239534.5246377827</v>
      </c>
      <c r="BP398" s="213">
        <f t="shared" ref="BP398" si="8915">+BK398*(1+BP399)</f>
        <v>1239534.5246377827</v>
      </c>
      <c r="BQ398" s="213">
        <f t="shared" ref="BQ398" si="8916">+BL398*(1+BQ399)</f>
        <v>1239534.5246377827</v>
      </c>
      <c r="BR398" s="213">
        <f t="shared" ref="BR398" si="8917">+BM398*(1+BR399)</f>
        <v>1239534.5246377827</v>
      </c>
      <c r="BS398" s="234">
        <f>+BO398+BP398+BQ398+BR398</f>
        <v>4958138.0985511309</v>
      </c>
      <c r="BT398" s="213">
        <f>+BO398*(1+BT399)</f>
        <v>1276720.5603769163</v>
      </c>
      <c r="BU398" s="213">
        <f t="shared" ref="BU398" si="8918">+BP398*(1+BU399)</f>
        <v>1276720.5603769163</v>
      </c>
      <c r="BV398" s="213">
        <f t="shared" ref="BV398" si="8919">+BQ398*(1+BV399)</f>
        <v>1276720.5603769163</v>
      </c>
      <c r="BW398" s="213">
        <f t="shared" ref="BW398" si="8920">+BR398*(1+BW399)</f>
        <v>1276720.5603769163</v>
      </c>
      <c r="BX398" s="234">
        <f>+BT398+BU398+BV398+BW398</f>
        <v>5106882.2415076653</v>
      </c>
      <c r="BY398" s="213">
        <f>+BT398*(1+BY399)</f>
        <v>1315022.1771882239</v>
      </c>
      <c r="BZ398" s="213">
        <f t="shared" ref="BZ398" si="8921">+BU398*(1+BZ399)</f>
        <v>1315022.1771882239</v>
      </c>
      <c r="CA398" s="213">
        <f t="shared" ref="CA398" si="8922">+BV398*(1+CA399)</f>
        <v>1315022.1771882239</v>
      </c>
      <c r="CB398" s="213">
        <f t="shared" ref="CB398" si="8923">+BW398*(1+CB399)</f>
        <v>1315022.1771882239</v>
      </c>
      <c r="CC398" s="234">
        <f>+BY398+BZ398+CA398+CB398</f>
        <v>5260088.7087528957</v>
      </c>
      <c r="CD398" s="213">
        <f>+BY398*(1+CD399)</f>
        <v>1354472.8425038706</v>
      </c>
      <c r="CE398" s="213">
        <f t="shared" ref="CE398" si="8924">+BZ398*(1+CE399)</f>
        <v>1354472.8425038706</v>
      </c>
      <c r="CF398" s="213">
        <f t="shared" ref="CF398" si="8925">+CA398*(1+CF399)</f>
        <v>1354472.8425038706</v>
      </c>
      <c r="CG398" s="213">
        <f t="shared" ref="CG398" si="8926">+CB398*(1+CG399)</f>
        <v>1354472.8425038706</v>
      </c>
      <c r="CH398" s="234">
        <f>+CD398+CE398+CF398+CG398</f>
        <v>5417891.3700154824</v>
      </c>
      <c r="CI398" s="213">
        <f>+CD398*(1+CI399)</f>
        <v>1395107.0277789868</v>
      </c>
      <c r="CJ398" s="213">
        <f t="shared" ref="CJ398" si="8927">+CE398*(1+CJ399)</f>
        <v>1395107.0277789868</v>
      </c>
      <c r="CK398" s="213">
        <f t="shared" ref="CK398" si="8928">+CF398*(1+CK399)</f>
        <v>1395107.0277789868</v>
      </c>
      <c r="CL398" s="213">
        <f t="shared" ref="CL398" si="8929">+CG398*(1+CL399)</f>
        <v>1395107.0277789868</v>
      </c>
      <c r="CM398" s="234">
        <f>+CI398+CJ398+CK398+CL398</f>
        <v>5580428.1111159474</v>
      </c>
      <c r="CN398" s="213">
        <f>+CI398*(1+CN399)</f>
        <v>1436960.2386123566</v>
      </c>
      <c r="CO398" s="213">
        <f t="shared" ref="CO398" si="8930">+CJ398*(1+CO399)</f>
        <v>1436960.2386123566</v>
      </c>
      <c r="CP398" s="213">
        <f t="shared" ref="CP398" si="8931">+CK398*(1+CP399)</f>
        <v>1436960.2386123566</v>
      </c>
      <c r="CQ398" s="213">
        <f t="shared" ref="CQ398" si="8932">+CL398*(1+CQ399)</f>
        <v>1436960.2386123566</v>
      </c>
      <c r="CR398" s="234">
        <f>+CN398+CO398+CP398+CQ398</f>
        <v>5747840.9544494264</v>
      </c>
      <c r="CS398" s="213">
        <f>+CN398*(1+CS399)</f>
        <v>1480069.0457707273</v>
      </c>
      <c r="CT398" s="213">
        <f t="shared" ref="CT398" si="8933">+CO398*(1+CT399)</f>
        <v>1480069.0457707273</v>
      </c>
      <c r="CU398" s="213">
        <f t="shared" ref="CU398" si="8934">+CP398*(1+CU399)</f>
        <v>1480069.0457707273</v>
      </c>
      <c r="CV398" s="213">
        <f t="shared" ref="CV398" si="8935">+CQ398*(1+CV399)</f>
        <v>1480069.0457707273</v>
      </c>
      <c r="CW398" s="234">
        <f>+CS398+CT398+CU398+CV398</f>
        <v>5920276.1830829093</v>
      </c>
      <c r="CX398" s="213">
        <f>+CS398*(1+CX399)</f>
        <v>1524471.1171438491</v>
      </c>
      <c r="CY398" s="213">
        <f t="shared" ref="CY398" si="8936">+CT398*(1+CY399)</f>
        <v>1524471.1171438491</v>
      </c>
      <c r="CZ398" s="213">
        <f t="shared" ref="CZ398" si="8937">+CU398*(1+CZ399)</f>
        <v>1524471.1171438491</v>
      </c>
      <c r="DA398" s="213">
        <f t="shared" ref="DA398" si="8938">+CV398*(1+DA399)</f>
        <v>1524471.1171438491</v>
      </c>
      <c r="DB398" s="234">
        <f>+CX398+CY398+CZ398+DA398</f>
        <v>6097884.4685753966</v>
      </c>
    </row>
    <row r="399" spans="1:106">
      <c r="A399" s="117" t="s">
        <v>281</v>
      </c>
      <c r="F399" s="217"/>
      <c r="K399" s="217"/>
      <c r="P399" s="217"/>
      <c r="U399" s="217"/>
      <c r="V399" s="119" t="s">
        <v>290</v>
      </c>
      <c r="W399" s="119" t="s">
        <v>290</v>
      </c>
      <c r="X399" s="119" t="s">
        <v>290</v>
      </c>
      <c r="Y399" s="119" t="s">
        <v>290</v>
      </c>
      <c r="Z399" s="235" t="s">
        <v>290</v>
      </c>
      <c r="AA399" s="118">
        <v>0.03</v>
      </c>
      <c r="AB399" s="118">
        <v>0.03</v>
      </c>
      <c r="AC399" s="118">
        <v>0.03</v>
      </c>
      <c r="AD399" s="118">
        <v>0.03</v>
      </c>
      <c r="AE399" s="239">
        <f>+AE398/Z398-1</f>
        <v>3.0000000000000027E-2</v>
      </c>
      <c r="AF399" s="118">
        <v>0.03</v>
      </c>
      <c r="AG399" s="118">
        <v>0.03</v>
      </c>
      <c r="AH399" s="118">
        <v>0.03</v>
      </c>
      <c r="AI399" s="118">
        <v>0.03</v>
      </c>
      <c r="AJ399" s="239">
        <f>+AJ398/AE398-1</f>
        <v>3.0000000000000027E-2</v>
      </c>
      <c r="AK399" s="118">
        <v>0.03</v>
      </c>
      <c r="AL399" s="118">
        <v>0.03</v>
      </c>
      <c r="AM399" s="118">
        <v>0.03</v>
      </c>
      <c r="AN399" s="118">
        <v>0.03</v>
      </c>
      <c r="AO399" s="239">
        <f>+AO398/AJ398-1</f>
        <v>3.0000000000000027E-2</v>
      </c>
      <c r="AP399" s="118">
        <v>0.03</v>
      </c>
      <c r="AQ399" s="118">
        <v>0.03</v>
      </c>
      <c r="AR399" s="118">
        <v>0.03</v>
      </c>
      <c r="AS399" s="118">
        <v>0.03</v>
      </c>
      <c r="AT399" s="239">
        <f>+AT398/AO398-1</f>
        <v>3.0000000000000027E-2</v>
      </c>
      <c r="AU399" s="118">
        <v>0.03</v>
      </c>
      <c r="AV399" s="118">
        <v>0.03</v>
      </c>
      <c r="AW399" s="118">
        <v>0.03</v>
      </c>
      <c r="AX399" s="118">
        <v>0.03</v>
      </c>
      <c r="AY399" s="239">
        <f>+AY398/AT398-1</f>
        <v>3.0000000000000027E-2</v>
      </c>
      <c r="AZ399" s="118">
        <v>0.03</v>
      </c>
      <c r="BA399" s="118">
        <v>0.03</v>
      </c>
      <c r="BB399" s="118">
        <v>0.03</v>
      </c>
      <c r="BC399" s="118">
        <v>0.03</v>
      </c>
      <c r="BD399" s="239">
        <f>+BD398/AY398-1</f>
        <v>3.0000000000000027E-2</v>
      </c>
      <c r="BE399" s="118">
        <v>0.03</v>
      </c>
      <c r="BF399" s="118">
        <v>0.03</v>
      </c>
      <c r="BG399" s="118">
        <v>0.03</v>
      </c>
      <c r="BH399" s="118">
        <v>0.03</v>
      </c>
      <c r="BI399" s="239">
        <f>+BI398/BD398-1</f>
        <v>3.0000000000000027E-2</v>
      </c>
      <c r="BJ399" s="118">
        <v>0.03</v>
      </c>
      <c r="BK399" s="118">
        <v>0.03</v>
      </c>
      <c r="BL399" s="118">
        <v>0.03</v>
      </c>
      <c r="BM399" s="118">
        <v>0.03</v>
      </c>
      <c r="BN399" s="239">
        <f>+BN398/BI398-1</f>
        <v>3.0000000000000027E-2</v>
      </c>
      <c r="BO399" s="118">
        <v>0.03</v>
      </c>
      <c r="BP399" s="118">
        <v>0.03</v>
      </c>
      <c r="BQ399" s="118">
        <v>0.03</v>
      </c>
      <c r="BR399" s="118">
        <v>0.03</v>
      </c>
      <c r="BS399" s="239">
        <f>+BS398/BN398-1</f>
        <v>3.0000000000000027E-2</v>
      </c>
      <c r="BT399" s="118">
        <v>0.03</v>
      </c>
      <c r="BU399" s="118">
        <v>0.03</v>
      </c>
      <c r="BV399" s="118">
        <v>0.03</v>
      </c>
      <c r="BW399" s="118">
        <v>0.03</v>
      </c>
      <c r="BX399" s="239">
        <f>+BX398/BS398-1</f>
        <v>3.0000000000000027E-2</v>
      </c>
      <c r="BY399" s="118">
        <v>0.03</v>
      </c>
      <c r="BZ399" s="118">
        <v>0.03</v>
      </c>
      <c r="CA399" s="118">
        <v>0.03</v>
      </c>
      <c r="CB399" s="118">
        <v>0.03</v>
      </c>
      <c r="CC399" s="239">
        <f>+CC398/BX398-1</f>
        <v>3.0000000000000027E-2</v>
      </c>
      <c r="CD399" s="118">
        <v>0.03</v>
      </c>
      <c r="CE399" s="118">
        <v>0.03</v>
      </c>
      <c r="CF399" s="118">
        <v>0.03</v>
      </c>
      <c r="CG399" s="118">
        <v>0.03</v>
      </c>
      <c r="CH399" s="239">
        <f>+CH398/CC398-1</f>
        <v>3.0000000000000027E-2</v>
      </c>
      <c r="CI399" s="118">
        <v>0.03</v>
      </c>
      <c r="CJ399" s="118">
        <v>0.03</v>
      </c>
      <c r="CK399" s="118">
        <v>0.03</v>
      </c>
      <c r="CL399" s="118">
        <v>0.03</v>
      </c>
      <c r="CM399" s="239">
        <f>+CM398/CH398-1</f>
        <v>3.0000000000000027E-2</v>
      </c>
      <c r="CN399" s="118">
        <v>0.03</v>
      </c>
      <c r="CO399" s="118">
        <v>0.03</v>
      </c>
      <c r="CP399" s="118">
        <v>0.03</v>
      </c>
      <c r="CQ399" s="118">
        <v>0.03</v>
      </c>
      <c r="CR399" s="239">
        <f>+CR398/CM398-1</f>
        <v>3.0000000000000027E-2</v>
      </c>
      <c r="CS399" s="118">
        <v>0.03</v>
      </c>
      <c r="CT399" s="118">
        <v>0.03</v>
      </c>
      <c r="CU399" s="118">
        <v>0.03</v>
      </c>
      <c r="CV399" s="118">
        <v>0.03</v>
      </c>
      <c r="CW399" s="239">
        <f>+CW398/CR398-1</f>
        <v>3.0000000000000027E-2</v>
      </c>
      <c r="CX399" s="118">
        <v>0.03</v>
      </c>
      <c r="CY399" s="118">
        <v>0.03</v>
      </c>
      <c r="CZ399" s="118">
        <v>0.03</v>
      </c>
      <c r="DA399" s="118">
        <v>0.03</v>
      </c>
      <c r="DB399" s="239">
        <f>+DB398/CW398-1</f>
        <v>3.0000000000000027E-2</v>
      </c>
    </row>
    <row r="400" spans="1:106" s="51" customFormat="1">
      <c r="A400" s="51" t="s">
        <v>333</v>
      </c>
      <c r="F400" s="233"/>
      <c r="K400" s="233"/>
      <c r="P400" s="233"/>
      <c r="U400" s="233"/>
      <c r="V400" s="213">
        <f>+V398*V401</f>
        <v>1900000</v>
      </c>
      <c r="W400" s="213">
        <f t="shared" ref="W400" si="8939">+W398*W401</f>
        <v>1900000</v>
      </c>
      <c r="X400" s="213">
        <f t="shared" ref="X400" si="8940">+X398*X401</f>
        <v>1900000</v>
      </c>
      <c r="Y400" s="213">
        <f t="shared" ref="Y400" si="8941">+Y398*Y401</f>
        <v>1900000</v>
      </c>
      <c r="Z400" s="234">
        <f>+V400+W400+X400+Y400</f>
        <v>7600000</v>
      </c>
      <c r="AA400" s="213">
        <f>+AA398*AA401</f>
        <v>1957000</v>
      </c>
      <c r="AB400" s="213">
        <f t="shared" ref="AB400" si="8942">+AB398*AB401</f>
        <v>1957000</v>
      </c>
      <c r="AC400" s="213">
        <f t="shared" ref="AC400" si="8943">+AC398*AC401</f>
        <v>1957000</v>
      </c>
      <c r="AD400" s="213">
        <f t="shared" ref="AD400" si="8944">+AD398*AD401</f>
        <v>1957000</v>
      </c>
      <c r="AE400" s="234">
        <f>+AA400+AB400+AC400+AD400</f>
        <v>7828000</v>
      </c>
      <c r="AF400" s="213">
        <f>+AF398*AF401</f>
        <v>2015710</v>
      </c>
      <c r="AG400" s="213">
        <f t="shared" ref="AG400" si="8945">+AG398*AG401</f>
        <v>2015710</v>
      </c>
      <c r="AH400" s="213">
        <f t="shared" ref="AH400" si="8946">+AH398*AH401</f>
        <v>2015710</v>
      </c>
      <c r="AI400" s="213">
        <f t="shared" ref="AI400" si="8947">+AI398*AI401</f>
        <v>2015710</v>
      </c>
      <c r="AJ400" s="234">
        <f>+AF400+AG400+AH400+AI400</f>
        <v>8062840</v>
      </c>
      <c r="AK400" s="213">
        <f>+AK398*AK401</f>
        <v>2076181.3</v>
      </c>
      <c r="AL400" s="213">
        <f t="shared" ref="AL400" si="8948">+AL398*AL401</f>
        <v>2076181.3</v>
      </c>
      <c r="AM400" s="213">
        <f t="shared" ref="AM400" si="8949">+AM398*AM401</f>
        <v>2076181.3</v>
      </c>
      <c r="AN400" s="213">
        <f t="shared" ref="AN400" si="8950">+AN398*AN401</f>
        <v>2076181.3</v>
      </c>
      <c r="AO400" s="234">
        <f>+AK400+AL400+AM400+AN400</f>
        <v>8304725.2000000002</v>
      </c>
      <c r="AP400" s="213">
        <f>+AP398*AP401</f>
        <v>2138466.7390000001</v>
      </c>
      <c r="AQ400" s="213">
        <f t="shared" ref="AQ400" si="8951">+AQ398*AQ401</f>
        <v>2138466.7390000001</v>
      </c>
      <c r="AR400" s="213">
        <f t="shared" ref="AR400" si="8952">+AR398*AR401</f>
        <v>2138466.7390000001</v>
      </c>
      <c r="AS400" s="213">
        <f t="shared" ref="AS400" si="8953">+AS398*AS401</f>
        <v>2138466.7390000001</v>
      </c>
      <c r="AT400" s="234">
        <f>+AP400+AQ400+AR400+AS400</f>
        <v>8553866.9560000002</v>
      </c>
      <c r="AU400" s="213">
        <f>+AU398*AU401</f>
        <v>2202620.7411700003</v>
      </c>
      <c r="AV400" s="213">
        <f t="shared" ref="AV400" si="8954">+AV398*AV401</f>
        <v>2202620.7411700003</v>
      </c>
      <c r="AW400" s="213">
        <f t="shared" ref="AW400" si="8955">+AW398*AW401</f>
        <v>2202620.7411700003</v>
      </c>
      <c r="AX400" s="213">
        <f t="shared" ref="AX400" si="8956">+AX398*AX401</f>
        <v>2202620.7411700003</v>
      </c>
      <c r="AY400" s="234">
        <f>+AU400+AV400+AW400+AX400</f>
        <v>8810482.9646800011</v>
      </c>
      <c r="AZ400" s="213">
        <f>+AZ398*AZ401</f>
        <v>2268699.3634051005</v>
      </c>
      <c r="BA400" s="213">
        <f t="shared" ref="BA400" si="8957">+BA398*BA401</f>
        <v>2268699.3634051005</v>
      </c>
      <c r="BB400" s="213">
        <f t="shared" ref="BB400" si="8958">+BB398*BB401</f>
        <v>2268699.3634051005</v>
      </c>
      <c r="BC400" s="213">
        <f t="shared" ref="BC400" si="8959">+BC398*BC401</f>
        <v>2268699.3634051005</v>
      </c>
      <c r="BD400" s="234">
        <f>+AZ400+BA400+BB400+BC400</f>
        <v>9074797.4536204021</v>
      </c>
      <c r="BE400" s="213">
        <f>+BE398*BE401</f>
        <v>2336760.3443072536</v>
      </c>
      <c r="BF400" s="213">
        <f t="shared" ref="BF400" si="8960">+BF398*BF401</f>
        <v>2336760.3443072536</v>
      </c>
      <c r="BG400" s="213">
        <f t="shared" ref="BG400" si="8961">+BG398*BG401</f>
        <v>2336760.3443072536</v>
      </c>
      <c r="BH400" s="213">
        <f t="shared" ref="BH400" si="8962">+BH398*BH401</f>
        <v>2336760.3443072536</v>
      </c>
      <c r="BI400" s="234">
        <f>+BE400+BF400+BG400+BH400</f>
        <v>9347041.3772290144</v>
      </c>
      <c r="BJ400" s="213">
        <f>+BJ398*BJ401</f>
        <v>2406863.1546364711</v>
      </c>
      <c r="BK400" s="213">
        <f t="shared" ref="BK400" si="8963">+BK398*BK401</f>
        <v>2406863.1546364711</v>
      </c>
      <c r="BL400" s="213">
        <f t="shared" ref="BL400" si="8964">+BL398*BL401</f>
        <v>2406863.1546364711</v>
      </c>
      <c r="BM400" s="213">
        <f t="shared" ref="BM400" si="8965">+BM398*BM401</f>
        <v>2406863.1546364711</v>
      </c>
      <c r="BN400" s="234">
        <f>+BJ400+BK400+BL400+BM400</f>
        <v>9627452.6185458843</v>
      </c>
      <c r="BO400" s="213">
        <f>+BO398*BO401</f>
        <v>2479069.0492755654</v>
      </c>
      <c r="BP400" s="213">
        <f t="shared" ref="BP400" si="8966">+BP398*BP401</f>
        <v>2479069.0492755654</v>
      </c>
      <c r="BQ400" s="213">
        <f t="shared" ref="BQ400" si="8967">+BQ398*BQ401</f>
        <v>2479069.0492755654</v>
      </c>
      <c r="BR400" s="213">
        <f t="shared" ref="BR400" si="8968">+BR398*BR401</f>
        <v>2479069.0492755654</v>
      </c>
      <c r="BS400" s="234">
        <f>+BO400+BP400+BQ400+BR400</f>
        <v>9916276.1971022617</v>
      </c>
      <c r="BT400" s="213">
        <f>+BT398*BT401</f>
        <v>2553441.1207538326</v>
      </c>
      <c r="BU400" s="213">
        <f t="shared" ref="BU400" si="8969">+BU398*BU401</f>
        <v>2553441.1207538326</v>
      </c>
      <c r="BV400" s="213">
        <f t="shared" ref="BV400" si="8970">+BV398*BV401</f>
        <v>2553441.1207538326</v>
      </c>
      <c r="BW400" s="213">
        <f t="shared" ref="BW400" si="8971">+BW398*BW401</f>
        <v>2553441.1207538326</v>
      </c>
      <c r="BX400" s="234">
        <f>+BT400+BU400+BV400+BW400</f>
        <v>10213764.483015331</v>
      </c>
      <c r="BY400" s="213">
        <f>+BY398*BY401</f>
        <v>2630044.3543764479</v>
      </c>
      <c r="BZ400" s="213">
        <f t="shared" ref="BZ400" si="8972">+BZ398*BZ401</f>
        <v>2630044.3543764479</v>
      </c>
      <c r="CA400" s="213">
        <f t="shared" ref="CA400" si="8973">+CA398*CA401</f>
        <v>2630044.3543764479</v>
      </c>
      <c r="CB400" s="213">
        <f t="shared" ref="CB400" si="8974">+CB398*CB401</f>
        <v>2630044.3543764479</v>
      </c>
      <c r="CC400" s="234">
        <f>+BY400+BZ400+CA400+CB400</f>
        <v>10520177.417505791</v>
      </c>
      <c r="CD400" s="213">
        <f>+CD398*CD401</f>
        <v>2708945.6850077412</v>
      </c>
      <c r="CE400" s="213">
        <f t="shared" ref="CE400" si="8975">+CE398*CE401</f>
        <v>2708945.6850077412</v>
      </c>
      <c r="CF400" s="213">
        <f t="shared" ref="CF400" si="8976">+CF398*CF401</f>
        <v>2708945.6850077412</v>
      </c>
      <c r="CG400" s="213">
        <f t="shared" ref="CG400" si="8977">+CG398*CG401</f>
        <v>2708945.6850077412</v>
      </c>
      <c r="CH400" s="234">
        <f>+CD400+CE400+CF400+CG400</f>
        <v>10835782.740030965</v>
      </c>
      <c r="CI400" s="213">
        <f>+CI398*CI401</f>
        <v>2790214.0555579737</v>
      </c>
      <c r="CJ400" s="213">
        <f t="shared" ref="CJ400" si="8978">+CJ398*CJ401</f>
        <v>2790214.0555579737</v>
      </c>
      <c r="CK400" s="213">
        <f t="shared" ref="CK400" si="8979">+CK398*CK401</f>
        <v>2790214.0555579737</v>
      </c>
      <c r="CL400" s="213">
        <f t="shared" ref="CL400" si="8980">+CL398*CL401</f>
        <v>2790214.0555579737</v>
      </c>
      <c r="CM400" s="234">
        <f>+CI400+CJ400+CK400+CL400</f>
        <v>11160856.222231895</v>
      </c>
      <c r="CN400" s="213">
        <f>+CN398*CN401</f>
        <v>2873920.4772247132</v>
      </c>
      <c r="CO400" s="213">
        <f t="shared" ref="CO400" si="8981">+CO398*CO401</f>
        <v>2873920.4772247132</v>
      </c>
      <c r="CP400" s="213">
        <f t="shared" ref="CP400" si="8982">+CP398*CP401</f>
        <v>2873920.4772247132</v>
      </c>
      <c r="CQ400" s="213">
        <f t="shared" ref="CQ400" si="8983">+CQ398*CQ401</f>
        <v>2873920.4772247132</v>
      </c>
      <c r="CR400" s="234">
        <f>+CN400+CO400+CP400+CQ400</f>
        <v>11495681.908898853</v>
      </c>
      <c r="CS400" s="213">
        <f>+CS398*CS401</f>
        <v>2960138.0915414547</v>
      </c>
      <c r="CT400" s="213">
        <f t="shared" ref="CT400" si="8984">+CT398*CT401</f>
        <v>2960138.0915414547</v>
      </c>
      <c r="CU400" s="213">
        <f t="shared" ref="CU400" si="8985">+CU398*CU401</f>
        <v>2960138.0915414547</v>
      </c>
      <c r="CV400" s="213">
        <f t="shared" ref="CV400" si="8986">+CV398*CV401</f>
        <v>2960138.0915414547</v>
      </c>
      <c r="CW400" s="234">
        <f>+CS400+CT400+CU400+CV400</f>
        <v>11840552.366165819</v>
      </c>
      <c r="CX400" s="213">
        <f>+CX398*CX401</f>
        <v>3048942.2342876983</v>
      </c>
      <c r="CY400" s="213">
        <f t="shared" ref="CY400" si="8987">+CY398*CY401</f>
        <v>3048942.2342876983</v>
      </c>
      <c r="CZ400" s="213">
        <f t="shared" ref="CZ400" si="8988">+CZ398*CZ401</f>
        <v>3048942.2342876983</v>
      </c>
      <c r="DA400" s="213">
        <f t="shared" ref="DA400" si="8989">+DA398*DA401</f>
        <v>3048942.2342876983</v>
      </c>
      <c r="DB400" s="234">
        <f>+CX400+CY400+CZ400+DA400</f>
        <v>12195768.937150793</v>
      </c>
    </row>
    <row r="401" spans="1:106">
      <c r="A401" s="117" t="s">
        <v>311</v>
      </c>
      <c r="F401" s="217"/>
      <c r="K401" s="217"/>
      <c r="P401" s="217"/>
      <c r="U401" s="217"/>
      <c r="V401" s="120">
        <v>2</v>
      </c>
      <c r="W401" s="120">
        <v>2</v>
      </c>
      <c r="X401" s="120">
        <v>2</v>
      </c>
      <c r="Y401" s="120">
        <v>2</v>
      </c>
      <c r="Z401" s="250">
        <f>+Z400/Z398</f>
        <v>2</v>
      </c>
      <c r="AA401" s="120">
        <v>2</v>
      </c>
      <c r="AB401" s="120">
        <v>2</v>
      </c>
      <c r="AC401" s="120">
        <v>2</v>
      </c>
      <c r="AD401" s="120">
        <v>2</v>
      </c>
      <c r="AE401" s="250">
        <f>+AE400/AE398</f>
        <v>2</v>
      </c>
      <c r="AF401" s="120">
        <v>2</v>
      </c>
      <c r="AG401" s="120">
        <v>2</v>
      </c>
      <c r="AH401" s="120">
        <v>2</v>
      </c>
      <c r="AI401" s="120">
        <v>2</v>
      </c>
      <c r="AJ401" s="250">
        <f>+AJ400/AJ398</f>
        <v>2</v>
      </c>
      <c r="AK401" s="120">
        <v>2</v>
      </c>
      <c r="AL401" s="120">
        <v>2</v>
      </c>
      <c r="AM401" s="120">
        <v>2</v>
      </c>
      <c r="AN401" s="120">
        <v>2</v>
      </c>
      <c r="AO401" s="250">
        <f>+AO400/AO398</f>
        <v>2</v>
      </c>
      <c r="AP401" s="120">
        <v>2</v>
      </c>
      <c r="AQ401" s="120">
        <v>2</v>
      </c>
      <c r="AR401" s="120">
        <v>2</v>
      </c>
      <c r="AS401" s="120">
        <v>2</v>
      </c>
      <c r="AT401" s="250">
        <f>+AT400/AT398</f>
        <v>2</v>
      </c>
      <c r="AU401" s="120">
        <v>2</v>
      </c>
      <c r="AV401" s="120">
        <v>2</v>
      </c>
      <c r="AW401" s="120">
        <v>2</v>
      </c>
      <c r="AX401" s="120">
        <v>2</v>
      </c>
      <c r="AY401" s="250">
        <f>+AY400/AY398</f>
        <v>2</v>
      </c>
      <c r="AZ401" s="120">
        <v>2</v>
      </c>
      <c r="BA401" s="120">
        <v>2</v>
      </c>
      <c r="BB401" s="120">
        <v>2</v>
      </c>
      <c r="BC401" s="120">
        <v>2</v>
      </c>
      <c r="BD401" s="250">
        <f>+BD400/BD398</f>
        <v>2</v>
      </c>
      <c r="BE401" s="120">
        <v>2</v>
      </c>
      <c r="BF401" s="120">
        <v>2</v>
      </c>
      <c r="BG401" s="120">
        <v>2</v>
      </c>
      <c r="BH401" s="120">
        <v>2</v>
      </c>
      <c r="BI401" s="250">
        <f>+BI400/BI398</f>
        <v>2</v>
      </c>
      <c r="BJ401" s="120">
        <v>2</v>
      </c>
      <c r="BK401" s="120">
        <v>2</v>
      </c>
      <c r="BL401" s="120">
        <v>2</v>
      </c>
      <c r="BM401" s="120">
        <v>2</v>
      </c>
      <c r="BN401" s="250">
        <f>+BN400/BN398</f>
        <v>2</v>
      </c>
      <c r="BO401" s="120">
        <v>2</v>
      </c>
      <c r="BP401" s="120">
        <v>2</v>
      </c>
      <c r="BQ401" s="120">
        <v>2</v>
      </c>
      <c r="BR401" s="120">
        <v>2</v>
      </c>
      <c r="BS401" s="250">
        <f>+BS400/BS398</f>
        <v>2</v>
      </c>
      <c r="BT401" s="120">
        <v>2</v>
      </c>
      <c r="BU401" s="120">
        <v>2</v>
      </c>
      <c r="BV401" s="120">
        <v>2</v>
      </c>
      <c r="BW401" s="120">
        <v>2</v>
      </c>
      <c r="BX401" s="250">
        <f>+BX400/BX398</f>
        <v>2</v>
      </c>
      <c r="BY401" s="120">
        <v>2</v>
      </c>
      <c r="BZ401" s="120">
        <v>2</v>
      </c>
      <c r="CA401" s="120">
        <v>2</v>
      </c>
      <c r="CB401" s="120">
        <v>2</v>
      </c>
      <c r="CC401" s="250">
        <f>+CC400/CC398</f>
        <v>2</v>
      </c>
      <c r="CD401" s="120">
        <v>2</v>
      </c>
      <c r="CE401" s="120">
        <v>2</v>
      </c>
      <c r="CF401" s="120">
        <v>2</v>
      </c>
      <c r="CG401" s="120">
        <v>2</v>
      </c>
      <c r="CH401" s="250">
        <f>+CH400/CH398</f>
        <v>2</v>
      </c>
      <c r="CI401" s="120">
        <v>2</v>
      </c>
      <c r="CJ401" s="120">
        <v>2</v>
      </c>
      <c r="CK401" s="120">
        <v>2</v>
      </c>
      <c r="CL401" s="120">
        <v>2</v>
      </c>
      <c r="CM401" s="250">
        <f>+CM400/CM398</f>
        <v>2</v>
      </c>
      <c r="CN401" s="120">
        <v>2</v>
      </c>
      <c r="CO401" s="120">
        <v>2</v>
      </c>
      <c r="CP401" s="120">
        <v>2</v>
      </c>
      <c r="CQ401" s="120">
        <v>2</v>
      </c>
      <c r="CR401" s="250">
        <f>+CR400/CR398</f>
        <v>2</v>
      </c>
      <c r="CS401" s="120">
        <v>2</v>
      </c>
      <c r="CT401" s="120">
        <v>2</v>
      </c>
      <c r="CU401" s="120">
        <v>2</v>
      </c>
      <c r="CV401" s="120">
        <v>2</v>
      </c>
      <c r="CW401" s="250">
        <f>+CW400/CW398</f>
        <v>2</v>
      </c>
      <c r="CX401" s="120">
        <v>2</v>
      </c>
      <c r="CY401" s="120">
        <v>2</v>
      </c>
      <c r="CZ401" s="120">
        <v>2</v>
      </c>
      <c r="DA401" s="120">
        <v>2</v>
      </c>
      <c r="DB401" s="250">
        <f>+DB400/DB398</f>
        <v>2</v>
      </c>
    </row>
    <row r="402" spans="1:106" s="51" customFormat="1">
      <c r="A402" s="51" t="s">
        <v>344</v>
      </c>
      <c r="F402" s="233"/>
      <c r="K402" s="233"/>
      <c r="P402" s="233"/>
      <c r="U402" s="233"/>
      <c r="V402" s="213">
        <f>+V400*V405</f>
        <v>0</v>
      </c>
      <c r="W402" s="213">
        <f t="shared" ref="W402:Y402" si="8990">+W400*W405</f>
        <v>0</v>
      </c>
      <c r="X402" s="213">
        <f t="shared" si="8990"/>
        <v>0</v>
      </c>
      <c r="Y402" s="213">
        <f t="shared" si="8990"/>
        <v>0</v>
      </c>
      <c r="Z402" s="234">
        <f>+V402+W402+X402+Y402</f>
        <v>0</v>
      </c>
      <c r="AA402" s="213">
        <f>+AA400*AA405</f>
        <v>0</v>
      </c>
      <c r="AB402" s="213">
        <f t="shared" ref="AB402:AD402" si="8991">+AB400*AB405</f>
        <v>0</v>
      </c>
      <c r="AC402" s="213">
        <f t="shared" si="8991"/>
        <v>0</v>
      </c>
      <c r="AD402" s="213">
        <f t="shared" si="8991"/>
        <v>0</v>
      </c>
      <c r="AE402" s="234">
        <f>+AA402+AB402+AC402+AD402</f>
        <v>0</v>
      </c>
      <c r="AF402" s="213">
        <f>+AF400*AF405</f>
        <v>0</v>
      </c>
      <c r="AG402" s="213">
        <f t="shared" ref="AG402:AI402" si="8992">+AG400*AG405</f>
        <v>0</v>
      </c>
      <c r="AH402" s="213">
        <f t="shared" si="8992"/>
        <v>0</v>
      </c>
      <c r="AI402" s="213">
        <f t="shared" si="8992"/>
        <v>0</v>
      </c>
      <c r="AJ402" s="234">
        <f>+AF402+AG402+AH402+AI402</f>
        <v>0</v>
      </c>
      <c r="AK402" s="213">
        <f>+AK400*AK405</f>
        <v>0</v>
      </c>
      <c r="AL402" s="213">
        <f t="shared" ref="AL402:AN402" si="8993">+AL400*AL405</f>
        <v>0</v>
      </c>
      <c r="AM402" s="213">
        <f t="shared" si="8993"/>
        <v>0</v>
      </c>
      <c r="AN402" s="213">
        <f t="shared" si="8993"/>
        <v>0</v>
      </c>
      <c r="AO402" s="234">
        <f>+AK402+AL402+AM402+AN402</f>
        <v>0</v>
      </c>
      <c r="AP402" s="213">
        <f>+AP400*AP405</f>
        <v>0</v>
      </c>
      <c r="AQ402" s="213">
        <f t="shared" ref="AQ402:AS402" si="8994">+AQ400*AQ405</f>
        <v>0</v>
      </c>
      <c r="AR402" s="213">
        <f t="shared" si="8994"/>
        <v>0</v>
      </c>
      <c r="AS402" s="213">
        <f t="shared" si="8994"/>
        <v>0</v>
      </c>
      <c r="AT402" s="234">
        <f>+AP402+AQ402+AR402+AS402</f>
        <v>0</v>
      </c>
      <c r="AU402" s="213">
        <f>+AU400*AU405</f>
        <v>0</v>
      </c>
      <c r="AV402" s="213">
        <f t="shared" ref="AV402:AX402" si="8995">+AV400*AV405</f>
        <v>0</v>
      </c>
      <c r="AW402" s="213">
        <f t="shared" si="8995"/>
        <v>0</v>
      </c>
      <c r="AX402" s="213">
        <f t="shared" si="8995"/>
        <v>0</v>
      </c>
      <c r="AY402" s="234">
        <f>+AU402+AV402+AW402+AX402</f>
        <v>0</v>
      </c>
      <c r="AZ402" s="213">
        <f>+AZ400*AZ405</f>
        <v>453.73987268102013</v>
      </c>
      <c r="BA402" s="213">
        <f t="shared" ref="BA402:BC402" si="8996">+BA400*BA405</f>
        <v>1134.3496817025502</v>
      </c>
      <c r="BB402" s="213">
        <f t="shared" si="8996"/>
        <v>1814.9594907240805</v>
      </c>
      <c r="BC402" s="213">
        <f t="shared" si="8996"/>
        <v>2268.6993634051005</v>
      </c>
      <c r="BD402" s="234">
        <f>+AZ402+BA402+BB402+BC402</f>
        <v>5671.7484085127517</v>
      </c>
      <c r="BE402" s="213">
        <f>+BE400*BE405</f>
        <v>2804.1124131687043</v>
      </c>
      <c r="BF402" s="213">
        <f>+BF400*BF405</f>
        <v>3505.1405164608805</v>
      </c>
      <c r="BG402" s="213">
        <f t="shared" ref="BG402:BH402" si="8997">+BG400*BG405</f>
        <v>3972.4925853223308</v>
      </c>
      <c r="BH402" s="213">
        <f t="shared" si="8997"/>
        <v>5841.9008607681344</v>
      </c>
      <c r="BI402" s="234">
        <f>+BE402+BF402+BG402+BH402</f>
        <v>16123.646375720051</v>
      </c>
      <c r="BJ402" s="213">
        <f>+BJ400*BJ405</f>
        <v>5776.4715711275303</v>
      </c>
      <c r="BK402" s="213">
        <f t="shared" ref="BK402:BM402" si="8998">+BK400*BK405</f>
        <v>8424.0210412276483</v>
      </c>
      <c r="BL402" s="213">
        <f t="shared" si="8998"/>
        <v>11312.256826791414</v>
      </c>
      <c r="BM402" s="213">
        <f t="shared" si="8998"/>
        <v>12756.374719573296</v>
      </c>
      <c r="BN402" s="234">
        <f>+BJ402+BK402+BL402+BM402</f>
        <v>38269.124158719889</v>
      </c>
      <c r="BO402" s="213">
        <f>+BO400*BO405</f>
        <v>13882.786675943165</v>
      </c>
      <c r="BP402" s="213">
        <f t="shared" ref="BP402:BR402" si="8999">+BP400*BP405</f>
        <v>14626.507390725836</v>
      </c>
      <c r="BQ402" s="213">
        <f t="shared" si="8999"/>
        <v>15370.228105508506</v>
      </c>
      <c r="BR402" s="213">
        <f t="shared" si="8999"/>
        <v>16113.948820291174</v>
      </c>
      <c r="BS402" s="234">
        <f>+BO402+BP402+BQ402+BR402</f>
        <v>59993.470992468683</v>
      </c>
      <c r="BT402" s="213">
        <f>+BT400*BT405</f>
        <v>16469.69522886222</v>
      </c>
      <c r="BU402" s="213">
        <f t="shared" ref="BU402:BW402" si="9000">+BU400*BU405</f>
        <v>17491.071677163753</v>
      </c>
      <c r="BV402" s="213">
        <f t="shared" si="9000"/>
        <v>18512.448125465289</v>
      </c>
      <c r="BW402" s="213">
        <f t="shared" si="9000"/>
        <v>19533.824573766822</v>
      </c>
      <c r="BX402" s="234">
        <f>+BT402+BU402+BV402+BW402</f>
        <v>72007.039605258076</v>
      </c>
      <c r="BY402" s="213">
        <f>+BY400*BY405</f>
        <v>20908.852617292763</v>
      </c>
      <c r="BZ402" s="213">
        <f t="shared" ref="BZ402:CB402" si="9001">+BZ400*BZ405</f>
        <v>21697.865923605696</v>
      </c>
      <c r="CA402" s="213">
        <f t="shared" si="9001"/>
        <v>22486.879229918632</v>
      </c>
      <c r="CB402" s="213">
        <f t="shared" si="9001"/>
        <v>23275.892536231564</v>
      </c>
      <c r="CC402" s="234">
        <f>+BY402+BZ402+CA402+CB402</f>
        <v>88369.490307048662</v>
      </c>
      <c r="CD402" s="213">
        <f>+CD400*CD405</f>
        <v>24786.853017820831</v>
      </c>
      <c r="CE402" s="213">
        <f t="shared" ref="CE402:CG402" si="9002">+CE400*CE405</f>
        <v>25599.536723323155</v>
      </c>
      <c r="CF402" s="213">
        <f t="shared" si="9002"/>
        <v>26412.220428825476</v>
      </c>
      <c r="CG402" s="213">
        <f t="shared" si="9002"/>
        <v>27224.9041343278</v>
      </c>
      <c r="CH402" s="234">
        <f>+CD402+CE402+CF402+CG402</f>
        <v>104023.51430429725</v>
      </c>
      <c r="CI402" s="213">
        <f>+CI400*CI405</f>
        <v>28878.715475025027</v>
      </c>
      <c r="CJ402" s="213">
        <f t="shared" ref="CJ402:CL402" si="9003">+CJ400*CJ405</f>
        <v>29715.77969169242</v>
      </c>
      <c r="CK402" s="213">
        <f t="shared" si="9003"/>
        <v>30552.84390835981</v>
      </c>
      <c r="CL402" s="213">
        <f t="shared" si="9003"/>
        <v>31389.908125027203</v>
      </c>
      <c r="CM402" s="234">
        <f>+CI402+CJ402+CK402+CL402</f>
        <v>120537.24720010445</v>
      </c>
      <c r="CN402" s="213">
        <f>+CN400*CN405</f>
        <v>33193.781511945439</v>
      </c>
      <c r="CO402" s="213">
        <f t="shared" ref="CO402:CQ402" si="9004">+CO400*CO405</f>
        <v>34055.957655112848</v>
      </c>
      <c r="CP402" s="213">
        <f t="shared" si="9004"/>
        <v>34918.133798280265</v>
      </c>
      <c r="CQ402" s="213">
        <f t="shared" si="9004"/>
        <v>35780.309941447675</v>
      </c>
      <c r="CR402" s="234">
        <f>+CN402+CO402+CP402+CQ402</f>
        <v>137948.18290678621</v>
      </c>
      <c r="CS402" s="213">
        <f>+CS400*CS405</f>
        <v>37741.760667153547</v>
      </c>
      <c r="CT402" s="213">
        <f t="shared" ref="CT402:CV402" si="9005">+CT400*CT405</f>
        <v>38629.802094615981</v>
      </c>
      <c r="CU402" s="213">
        <f t="shared" si="9005"/>
        <v>39517.843522078416</v>
      </c>
      <c r="CV402" s="213">
        <f t="shared" si="9005"/>
        <v>40405.88494954085</v>
      </c>
      <c r="CW402" s="234">
        <f>+CS402+CT402+CU402+CV402</f>
        <v>156295.29123338879</v>
      </c>
      <c r="CX402" s="213">
        <f>+CX400*CX405</f>
        <v>42532.744168313387</v>
      </c>
      <c r="CY402" s="213">
        <f t="shared" ref="CY402:DA402" si="9006">+CY400*CY405</f>
        <v>43447.426838599698</v>
      </c>
      <c r="CZ402" s="213">
        <f t="shared" si="9006"/>
        <v>44362.109508886009</v>
      </c>
      <c r="DA402" s="213">
        <f t="shared" si="9006"/>
        <v>45276.792179172313</v>
      </c>
      <c r="DB402" s="234">
        <f>+CX402+CY402+CZ402+DA402</f>
        <v>175619.0726949714</v>
      </c>
    </row>
    <row r="403" spans="1:106">
      <c r="A403" s="117" t="s">
        <v>281</v>
      </c>
      <c r="F403" s="217"/>
      <c r="K403" s="217"/>
      <c r="P403" s="217"/>
      <c r="U403" s="217"/>
      <c r="V403" s="119" t="s">
        <v>290</v>
      </c>
      <c r="W403" s="119" t="s">
        <v>290</v>
      </c>
      <c r="X403" s="119" t="s">
        <v>290</v>
      </c>
      <c r="Y403" s="119" t="s">
        <v>290</v>
      </c>
      <c r="Z403" s="235" t="s">
        <v>290</v>
      </c>
      <c r="AA403" s="13" t="e">
        <f>+AA402/V402-1</f>
        <v>#DIV/0!</v>
      </c>
      <c r="AB403" s="13" t="e">
        <f t="shared" ref="AB403" si="9007">+AB402/W402-1</f>
        <v>#DIV/0!</v>
      </c>
      <c r="AC403" s="13" t="e">
        <f t="shared" ref="AC403" si="9008">+AC402/X402-1</f>
        <v>#DIV/0!</v>
      </c>
      <c r="AD403" s="13" t="e">
        <f t="shared" ref="AD403" si="9009">+AD402/Y402-1</f>
        <v>#DIV/0!</v>
      </c>
      <c r="AE403" s="239" t="e">
        <f t="shared" ref="AE403" si="9010">+AE402/Z402-1</f>
        <v>#DIV/0!</v>
      </c>
      <c r="AF403" s="13" t="e">
        <f>+AF402/AA402-1</f>
        <v>#DIV/0!</v>
      </c>
      <c r="AG403" s="13" t="e">
        <f t="shared" ref="AG403" si="9011">+AG402/AB402-1</f>
        <v>#DIV/0!</v>
      </c>
      <c r="AH403" s="13" t="e">
        <f t="shared" ref="AH403" si="9012">+AH402/AC402-1</f>
        <v>#DIV/0!</v>
      </c>
      <c r="AI403" s="13" t="e">
        <f t="shared" ref="AI403" si="9013">+AI402/AD402-1</f>
        <v>#DIV/0!</v>
      </c>
      <c r="AJ403" s="239" t="e">
        <f t="shared" ref="AJ403" si="9014">+AJ402/AE402-1</f>
        <v>#DIV/0!</v>
      </c>
      <c r="AK403" s="13" t="e">
        <f>+AK402/AF402-1</f>
        <v>#DIV/0!</v>
      </c>
      <c r="AL403" s="13" t="e">
        <f t="shared" ref="AL403" si="9015">+AL402/AG402-1</f>
        <v>#DIV/0!</v>
      </c>
      <c r="AM403" s="13" t="e">
        <f t="shared" ref="AM403" si="9016">+AM402/AH402-1</f>
        <v>#DIV/0!</v>
      </c>
      <c r="AN403" s="13" t="e">
        <f t="shared" ref="AN403" si="9017">+AN402/AI402-1</f>
        <v>#DIV/0!</v>
      </c>
      <c r="AO403" s="239" t="e">
        <f t="shared" ref="AO403" si="9018">+AO402/AJ402-1</f>
        <v>#DIV/0!</v>
      </c>
      <c r="AP403" s="13" t="e">
        <f>+AP402/AK402-1</f>
        <v>#DIV/0!</v>
      </c>
      <c r="AQ403" s="13" t="e">
        <f t="shared" ref="AQ403" si="9019">+AQ402/AL402-1</f>
        <v>#DIV/0!</v>
      </c>
      <c r="AR403" s="13" t="e">
        <f t="shared" ref="AR403" si="9020">+AR402/AM402-1</f>
        <v>#DIV/0!</v>
      </c>
      <c r="AS403" s="13" t="e">
        <f t="shared" ref="AS403" si="9021">+AS402/AN402-1</f>
        <v>#DIV/0!</v>
      </c>
      <c r="AT403" s="239" t="e">
        <f t="shared" ref="AT403" si="9022">+AT402/AO402-1</f>
        <v>#DIV/0!</v>
      </c>
      <c r="AU403" s="13" t="e">
        <f>+AU402/AP402-1</f>
        <v>#DIV/0!</v>
      </c>
      <c r="AV403" s="13" t="e">
        <f t="shared" ref="AV403" si="9023">+AV402/AQ402-1</f>
        <v>#DIV/0!</v>
      </c>
      <c r="AW403" s="13" t="e">
        <f t="shared" ref="AW403" si="9024">+AW402/AR402-1</f>
        <v>#DIV/0!</v>
      </c>
      <c r="AX403" s="13" t="e">
        <f t="shared" ref="AX403" si="9025">+AX402/AS402-1</f>
        <v>#DIV/0!</v>
      </c>
      <c r="AY403" s="239" t="e">
        <f t="shared" ref="AY403" si="9026">+AY402/AT402-1</f>
        <v>#DIV/0!</v>
      </c>
      <c r="AZ403" s="13" t="e">
        <f>+AZ402/AU402-1</f>
        <v>#DIV/0!</v>
      </c>
      <c r="BA403" s="13" t="e">
        <f t="shared" ref="BA403" si="9027">+BA402/AV402-1</f>
        <v>#DIV/0!</v>
      </c>
      <c r="BB403" s="13" t="e">
        <f t="shared" ref="BB403" si="9028">+BB402/AW402-1</f>
        <v>#DIV/0!</v>
      </c>
      <c r="BC403" s="13" t="e">
        <f t="shared" ref="BC403" si="9029">+BC402/AX402-1</f>
        <v>#DIV/0!</v>
      </c>
      <c r="BD403" s="239" t="e">
        <f t="shared" ref="BD403" si="9030">+BD402/AY402-1</f>
        <v>#DIV/0!</v>
      </c>
      <c r="BE403" s="13">
        <f>+BE402/AZ402-1</f>
        <v>5.18</v>
      </c>
      <c r="BF403" s="13">
        <f t="shared" ref="BF403" si="9031">+BF402/BA402-1</f>
        <v>2.0900000000000003</v>
      </c>
      <c r="BG403" s="13">
        <f t="shared" ref="BG403" si="9032">+BG402/BB402-1</f>
        <v>1.1887499999999998</v>
      </c>
      <c r="BH403" s="13">
        <f t="shared" ref="BH403" si="9033">+BH402/BC402-1</f>
        <v>1.5750000000000002</v>
      </c>
      <c r="BI403" s="239">
        <f t="shared" ref="BI403" si="9034">+BI402/BD402-1</f>
        <v>1.8428</v>
      </c>
      <c r="BJ403" s="13">
        <f>+BJ402/BE402-1</f>
        <v>1.0599999999999996</v>
      </c>
      <c r="BK403" s="13">
        <f t="shared" ref="BK403" si="9035">+BK402/BF402-1</f>
        <v>1.4033333333333329</v>
      </c>
      <c r="BL403" s="13">
        <f t="shared" ref="BL403" si="9036">+BL402/BG402-1</f>
        <v>1.8476470588235294</v>
      </c>
      <c r="BM403" s="13">
        <f t="shared" ref="BM403" si="9037">+BM402/BH402-1</f>
        <v>1.1835999999999998</v>
      </c>
      <c r="BN403" s="239">
        <f t="shared" ref="BN403" si="9038">+BN402/BI402-1</f>
        <v>1.373478260869565</v>
      </c>
      <c r="BO403" s="13">
        <f>+BO402/BJ402-1</f>
        <v>1.4033333333333333</v>
      </c>
      <c r="BP403" s="13">
        <f t="shared" ref="BP403" si="9039">+BP402/BK402-1</f>
        <v>0.73628571428571443</v>
      </c>
      <c r="BQ403" s="13">
        <f t="shared" ref="BQ403" si="9040">+BQ402/BL402-1</f>
        <v>0.35872340425531934</v>
      </c>
      <c r="BR403" s="13">
        <f t="shared" ref="BR403" si="9041">+BR402/BM402-1</f>
        <v>0.26320754716981143</v>
      </c>
      <c r="BS403" s="239">
        <f t="shared" ref="BS403" si="9042">+BS402/BN402-1</f>
        <v>0.56767295597484302</v>
      </c>
      <c r="BT403" s="13">
        <f>+BT402/BO402-1</f>
        <v>0.18633928571428582</v>
      </c>
      <c r="BU403" s="13">
        <f t="shared" ref="BU403" si="9043">+BU402/BP402-1</f>
        <v>0.19584745762711875</v>
      </c>
      <c r="BV403" s="13">
        <f t="shared" ref="BV403" si="9044">+BV402/BQ402-1</f>
        <v>0.2044354838709681</v>
      </c>
      <c r="BW403" s="13">
        <f t="shared" ref="BW403" si="9045">+BW402/BR402-1</f>
        <v>0.21223076923076967</v>
      </c>
      <c r="BX403" s="239">
        <f t="shared" ref="BX403" si="9046">+BX402/BS402-1</f>
        <v>0.20024793388429751</v>
      </c>
      <c r="BY403" s="13">
        <f>+BY402/BT402-1</f>
        <v>0.2695348837209306</v>
      </c>
      <c r="BZ403" s="13">
        <f t="shared" ref="BZ403" si="9047">+BZ402/BU402-1</f>
        <v>0.24051094890510982</v>
      </c>
      <c r="CA403" s="13">
        <f t="shared" ref="CA403" si="9048">+CA402/BV402-1</f>
        <v>0.21468965517241378</v>
      </c>
      <c r="CB403" s="13">
        <f t="shared" ref="CB403" si="9049">+CB402/BW402-1</f>
        <v>0.19156862745098047</v>
      </c>
      <c r="CC403" s="239">
        <f t="shared" ref="CC403" si="9050">+CC402/BX402-1</f>
        <v>0.2272340425531918</v>
      </c>
      <c r="CD403" s="13">
        <f>+CD402/BY402-1</f>
        <v>0.18547169811320741</v>
      </c>
      <c r="CE403" s="13">
        <f t="shared" ref="CE403" si="9051">+CE402/BZ402-1</f>
        <v>0.17981818181818188</v>
      </c>
      <c r="CF403" s="13">
        <f t="shared" ref="CF403" si="9052">+CF402/CA402-1</f>
        <v>0.1745614035087717</v>
      </c>
      <c r="CG403" s="13">
        <f t="shared" ref="CG403" si="9053">+CG402/CB402-1</f>
        <v>0.16966101694915259</v>
      </c>
      <c r="CH403" s="239">
        <f t="shared" ref="CH403" si="9054">+CH402/CC402-1</f>
        <v>0.17714285714285682</v>
      </c>
      <c r="CI403" s="13">
        <f>+CI402/CD402-1</f>
        <v>0.16508196721311474</v>
      </c>
      <c r="CJ403" s="13">
        <f t="shared" ref="CJ403" si="9055">+CJ402/CE402-1</f>
        <v>0.16079365079365093</v>
      </c>
      <c r="CK403" s="13">
        <f t="shared" ref="CK403" si="9056">+CK402/CF402-1</f>
        <v>0.15676923076923077</v>
      </c>
      <c r="CL403" s="13">
        <f t="shared" ref="CL403" si="9057">+CL402/CG402-1</f>
        <v>0.15298507462686572</v>
      </c>
      <c r="CM403" s="239">
        <f t="shared" ref="CM403" si="9058">+CM402/CH402-1</f>
        <v>0.15875000000000017</v>
      </c>
      <c r="CN403" s="13">
        <f>+CN402/CI402-1</f>
        <v>0.14942028985507272</v>
      </c>
      <c r="CO403" s="13">
        <f t="shared" ref="CO403" si="9059">+CO402/CJ402-1</f>
        <v>0.14605633802816897</v>
      </c>
      <c r="CP403" s="13">
        <f t="shared" ref="CP403" si="9060">+CP402/CK402-1</f>
        <v>0.14287671232876731</v>
      </c>
      <c r="CQ403" s="13">
        <f t="shared" ref="CQ403" si="9061">+CQ402/CL402-1</f>
        <v>0.13986666666666658</v>
      </c>
      <c r="CR403" s="239">
        <f t="shared" ref="CR403" si="9062">+CR402/CM402-1</f>
        <v>0.1444444444444446</v>
      </c>
      <c r="CS403" s="13">
        <f>+CS402/CN402-1</f>
        <v>0.13701298701298703</v>
      </c>
      <c r="CT403" s="13">
        <f t="shared" ref="CT403" si="9063">+CT402/CO402-1</f>
        <v>0.13430379746835452</v>
      </c>
      <c r="CU403" s="13">
        <f t="shared" ref="CU403" si="9064">+CU402/CP402-1</f>
        <v>0.13172839506172829</v>
      </c>
      <c r="CV403" s="13">
        <f t="shared" ref="CV403" si="9065">+CV402/CQ402-1</f>
        <v>0.12927710843373497</v>
      </c>
      <c r="CW403" s="239">
        <f t="shared" ref="CW403" si="9066">+CW402/CR402-1</f>
        <v>0.13300000000000001</v>
      </c>
      <c r="CX403" s="13">
        <f>+CX402/CS402-1</f>
        <v>0.12694117647058811</v>
      </c>
      <c r="CY403" s="13">
        <f t="shared" ref="CY403" si="9067">+CY402/CT402-1</f>
        <v>0.12471264367816093</v>
      </c>
      <c r="CZ403" s="13">
        <f t="shared" ref="CZ403" si="9068">+CZ402/CU402-1</f>
        <v>0.12258426966292135</v>
      </c>
      <c r="DA403" s="13">
        <f t="shared" ref="DA403" si="9069">+DA402/CV402-1</f>
        <v>0.12054945054945043</v>
      </c>
      <c r="DB403" s="239">
        <f t="shared" ref="DB403" si="9070">+DB402/CW402-1</f>
        <v>0.12363636363636354</v>
      </c>
    </row>
    <row r="404" spans="1:106">
      <c r="A404" s="117" t="s">
        <v>288</v>
      </c>
      <c r="F404" s="217"/>
      <c r="K404" s="217"/>
      <c r="P404" s="217"/>
      <c r="U404" s="217"/>
      <c r="V404" s="119" t="s">
        <v>290</v>
      </c>
      <c r="W404" s="13" t="e">
        <f>+W402/V402-1</f>
        <v>#DIV/0!</v>
      </c>
      <c r="X404" s="13" t="e">
        <f t="shared" ref="X404:Y404" si="9071">+X402/W402-1</f>
        <v>#DIV/0!</v>
      </c>
      <c r="Y404" s="13" t="e">
        <f t="shared" si="9071"/>
        <v>#DIV/0!</v>
      </c>
      <c r="Z404" s="235" t="s">
        <v>290</v>
      </c>
      <c r="AA404" s="13" t="e">
        <f>+AA402/Y402-1</f>
        <v>#DIV/0!</v>
      </c>
      <c r="AB404" s="13" t="e">
        <f>+AB402/AA402-1</f>
        <v>#DIV/0!</v>
      </c>
      <c r="AC404" s="13" t="e">
        <f t="shared" ref="AC404:AD404" si="9072">+AC402/AB402-1</f>
        <v>#DIV/0!</v>
      </c>
      <c r="AD404" s="13" t="e">
        <f t="shared" si="9072"/>
        <v>#DIV/0!</v>
      </c>
      <c r="AE404" s="235" t="s">
        <v>290</v>
      </c>
      <c r="AF404" s="13" t="e">
        <f>+AF402/AD402-1</f>
        <v>#DIV/0!</v>
      </c>
      <c r="AG404" s="13" t="e">
        <f>+AG402/AF402-1</f>
        <v>#DIV/0!</v>
      </c>
      <c r="AH404" s="13" t="e">
        <f t="shared" ref="AH404:AI404" si="9073">+AH402/AG402-1</f>
        <v>#DIV/0!</v>
      </c>
      <c r="AI404" s="13" t="e">
        <f t="shared" si="9073"/>
        <v>#DIV/0!</v>
      </c>
      <c r="AJ404" s="235" t="s">
        <v>290</v>
      </c>
      <c r="AK404" s="13" t="e">
        <f>+AK402/AI402-1</f>
        <v>#DIV/0!</v>
      </c>
      <c r="AL404" s="13" t="e">
        <f>+AL402/AK402-1</f>
        <v>#DIV/0!</v>
      </c>
      <c r="AM404" s="13" t="e">
        <f t="shared" ref="AM404:AN404" si="9074">+AM402/AL402-1</f>
        <v>#DIV/0!</v>
      </c>
      <c r="AN404" s="13" t="e">
        <f t="shared" si="9074"/>
        <v>#DIV/0!</v>
      </c>
      <c r="AO404" s="235" t="s">
        <v>290</v>
      </c>
      <c r="AP404" s="13" t="e">
        <f>+AP402/AN402-1</f>
        <v>#DIV/0!</v>
      </c>
      <c r="AQ404" s="13" t="e">
        <f>+AQ402/AP402-1</f>
        <v>#DIV/0!</v>
      </c>
      <c r="AR404" s="13" t="e">
        <f t="shared" ref="AR404:AS404" si="9075">+AR402/AQ402-1</f>
        <v>#DIV/0!</v>
      </c>
      <c r="AS404" s="13" t="e">
        <f t="shared" si="9075"/>
        <v>#DIV/0!</v>
      </c>
      <c r="AT404" s="235" t="s">
        <v>290</v>
      </c>
      <c r="AU404" s="13" t="e">
        <f>+AU402/AS402-1</f>
        <v>#DIV/0!</v>
      </c>
      <c r="AV404" s="13" t="e">
        <f>+AV402/AU402-1</f>
        <v>#DIV/0!</v>
      </c>
      <c r="AW404" s="13" t="e">
        <f t="shared" ref="AW404:AX404" si="9076">+AW402/AV402-1</f>
        <v>#DIV/0!</v>
      </c>
      <c r="AX404" s="13" t="e">
        <f t="shared" si="9076"/>
        <v>#DIV/0!</v>
      </c>
      <c r="AY404" s="235" t="s">
        <v>290</v>
      </c>
      <c r="AZ404" s="13" t="e">
        <f>+AZ402/AX402-1</f>
        <v>#DIV/0!</v>
      </c>
      <c r="BA404" s="13">
        <f>+BA402/AZ402-1</f>
        <v>1.5</v>
      </c>
      <c r="BB404" s="13">
        <f t="shared" ref="BB404:BC404" si="9077">+BB402/BA402-1</f>
        <v>0.60000000000000009</v>
      </c>
      <c r="BC404" s="13">
        <f t="shared" si="9077"/>
        <v>0.25</v>
      </c>
      <c r="BD404" s="235" t="s">
        <v>290</v>
      </c>
      <c r="BE404" s="13">
        <f>+BE402/BC402-1</f>
        <v>0.23599999999999999</v>
      </c>
      <c r="BF404" s="13">
        <f>+BF402/BE402-1</f>
        <v>0.25</v>
      </c>
      <c r="BG404" s="13">
        <f t="shared" ref="BG404:BH404" si="9078">+BG402/BF402-1</f>
        <v>0.1333333333333333</v>
      </c>
      <c r="BH404" s="13">
        <f t="shared" si="9078"/>
        <v>0.47058823529411797</v>
      </c>
      <c r="BI404" s="235" t="s">
        <v>290</v>
      </c>
      <c r="BJ404" s="13">
        <f>+BJ402/BH402-1</f>
        <v>-1.120000000000021E-2</v>
      </c>
      <c r="BK404" s="13">
        <f>+BK402/BJ402-1</f>
        <v>0.45833333333333326</v>
      </c>
      <c r="BL404" s="13">
        <f t="shared" ref="BL404:BM404" si="9079">+BL402/BK402-1</f>
        <v>0.34285714285714297</v>
      </c>
      <c r="BM404" s="13">
        <f t="shared" si="9079"/>
        <v>0.12765957446808507</v>
      </c>
      <c r="BN404" s="235" t="s">
        <v>290</v>
      </c>
      <c r="BO404" s="13">
        <f>+BO402/BM402-1</f>
        <v>8.8301886792452988E-2</v>
      </c>
      <c r="BP404" s="13">
        <f>+BP402/BO402-1</f>
        <v>5.3571428571428603E-2</v>
      </c>
      <c r="BQ404" s="13">
        <f t="shared" ref="BQ404:BR404" si="9080">+BQ402/BP402-1</f>
        <v>5.0847457627118731E-2</v>
      </c>
      <c r="BR404" s="13">
        <f t="shared" si="9080"/>
        <v>4.8387096774193505E-2</v>
      </c>
      <c r="BS404" s="235" t="s">
        <v>290</v>
      </c>
      <c r="BT404" s="13">
        <f>+BT402/BR402-1</f>
        <v>2.2076923076923105E-2</v>
      </c>
      <c r="BU404" s="13">
        <f>+BU402/BT402-1</f>
        <v>6.201550387596888E-2</v>
      </c>
      <c r="BV404" s="13">
        <f t="shared" ref="BV404:BW404" si="9081">+BV402/BU402-1</f>
        <v>5.8394160583941757E-2</v>
      </c>
      <c r="BW404" s="13">
        <f t="shared" si="9081"/>
        <v>5.5172413793103336E-2</v>
      </c>
      <c r="BX404" s="235" t="s">
        <v>290</v>
      </c>
      <c r="BY404" s="13">
        <f>+BY402/BW402-1</f>
        <v>7.0392156862745248E-2</v>
      </c>
      <c r="BZ404" s="13">
        <f>+BZ402/BY402-1</f>
        <v>3.7735849056603765E-2</v>
      </c>
      <c r="CA404" s="13">
        <f t="shared" ref="CA404:CB404" si="9082">+CA402/BZ402-1</f>
        <v>3.6363636363636376E-2</v>
      </c>
      <c r="CB404" s="13">
        <f t="shared" si="9082"/>
        <v>3.5087719298245501E-2</v>
      </c>
      <c r="CC404" s="235" t="s">
        <v>290</v>
      </c>
      <c r="CD404" s="13">
        <f>+CD402/CB402-1</f>
        <v>6.4915254237287945E-2</v>
      </c>
      <c r="CE404" s="13">
        <f>+CE402/CD402-1</f>
        <v>3.2786885245901676E-2</v>
      </c>
      <c r="CF404" s="13">
        <f t="shared" ref="CF404:CG404" si="9083">+CF402/CE402-1</f>
        <v>3.1746031746031633E-2</v>
      </c>
      <c r="CG404" s="13">
        <f t="shared" si="9083"/>
        <v>3.0769230769230882E-2</v>
      </c>
      <c r="CH404" s="235" t="s">
        <v>290</v>
      </c>
      <c r="CI404" s="13">
        <f>+CI402/CG402-1</f>
        <v>6.0746268656716396E-2</v>
      </c>
      <c r="CJ404" s="13">
        <f>+CJ402/CI402-1</f>
        <v>2.898550724637694E-2</v>
      </c>
      <c r="CK404" s="13">
        <f t="shared" ref="CK404:CL404" si="9084">+CK402/CJ402-1</f>
        <v>2.8169014084507005E-2</v>
      </c>
      <c r="CL404" s="13">
        <f t="shared" si="9084"/>
        <v>2.7397260273972712E-2</v>
      </c>
      <c r="CM404" s="235" t="s">
        <v>290</v>
      </c>
      <c r="CN404" s="13">
        <f>+CN402/CL402-1</f>
        <v>5.7466666666666777E-2</v>
      </c>
      <c r="CO404" s="13">
        <f>+CO402/CN402-1</f>
        <v>2.5974025974025761E-2</v>
      </c>
      <c r="CP404" s="13">
        <f t="shared" ref="CP404:CQ404" si="9085">+CP402/CO402-1</f>
        <v>2.5316455696202667E-2</v>
      </c>
      <c r="CQ404" s="13">
        <f t="shared" si="9085"/>
        <v>2.4691358024691246E-2</v>
      </c>
      <c r="CR404" s="235" t="s">
        <v>290</v>
      </c>
      <c r="CS404" s="13">
        <f>+CS402/CQ402-1</f>
        <v>5.4819277108433928E-2</v>
      </c>
      <c r="CT404" s="13">
        <f>+CT402/CS402-1</f>
        <v>2.3529411764705799E-2</v>
      </c>
      <c r="CU404" s="13">
        <f t="shared" ref="CU404:CV404" si="9086">+CU402/CT402-1</f>
        <v>2.2988505747126409E-2</v>
      </c>
      <c r="CV404" s="13">
        <f t="shared" si="9086"/>
        <v>2.2471910112359605E-2</v>
      </c>
      <c r="CW404" s="235" t="s">
        <v>290</v>
      </c>
      <c r="CX404" s="13">
        <f>+CX402/CV402-1</f>
        <v>5.2637362637362628E-2</v>
      </c>
      <c r="CY404" s="13">
        <f>+CY402/CX402-1</f>
        <v>2.1505376344086002E-2</v>
      </c>
      <c r="CZ404" s="13">
        <f t="shared" ref="CZ404:DA404" si="9087">+CZ402/CY402-1</f>
        <v>2.1052631578947434E-2</v>
      </c>
      <c r="DA404" s="13">
        <f t="shared" si="9087"/>
        <v>2.0618556701030855E-2</v>
      </c>
      <c r="DB404" s="235" t="s">
        <v>290</v>
      </c>
    </row>
    <row r="405" spans="1:106">
      <c r="A405" s="117" t="s">
        <v>505</v>
      </c>
      <c r="F405" s="217"/>
      <c r="K405" s="217"/>
      <c r="P405" s="217"/>
      <c r="U405" s="217"/>
      <c r="V405" s="118">
        <v>0</v>
      </c>
      <c r="W405" s="118">
        <v>0</v>
      </c>
      <c r="X405" s="118">
        <v>0</v>
      </c>
      <c r="Y405" s="118">
        <v>0</v>
      </c>
      <c r="Z405" s="239">
        <f>+Z402/Z400</f>
        <v>0</v>
      </c>
      <c r="AA405" s="118">
        <v>0</v>
      </c>
      <c r="AB405" s="118">
        <v>0</v>
      </c>
      <c r="AC405" s="118">
        <v>0</v>
      </c>
      <c r="AD405" s="118">
        <v>0</v>
      </c>
      <c r="AE405" s="239">
        <f>+AE402/AE400</f>
        <v>0</v>
      </c>
      <c r="AF405" s="118">
        <v>0</v>
      </c>
      <c r="AG405" s="118">
        <v>0</v>
      </c>
      <c r="AH405" s="118">
        <v>0</v>
      </c>
      <c r="AI405" s="118">
        <v>0</v>
      </c>
      <c r="AJ405" s="239">
        <f>+AJ402/AJ400</f>
        <v>0</v>
      </c>
      <c r="AK405" s="118">
        <v>0</v>
      </c>
      <c r="AL405" s="118">
        <v>0</v>
      </c>
      <c r="AM405" s="118">
        <v>0</v>
      </c>
      <c r="AN405" s="118">
        <v>0</v>
      </c>
      <c r="AO405" s="239">
        <f>+AO402/AO400</f>
        <v>0</v>
      </c>
      <c r="AP405" s="118">
        <v>0</v>
      </c>
      <c r="AQ405" s="118">
        <v>0</v>
      </c>
      <c r="AR405" s="118">
        <v>0</v>
      </c>
      <c r="AS405" s="118">
        <v>0</v>
      </c>
      <c r="AT405" s="239">
        <f>+AT402/AT400</f>
        <v>0</v>
      </c>
      <c r="AU405" s="118">
        <v>0</v>
      </c>
      <c r="AV405" s="118">
        <v>0</v>
      </c>
      <c r="AW405" s="118">
        <v>0</v>
      </c>
      <c r="AX405" s="118">
        <v>0</v>
      </c>
      <c r="AY405" s="239">
        <f>+AY402/AY400</f>
        <v>0</v>
      </c>
      <c r="AZ405" s="118">
        <v>2.0000000000000001E-4</v>
      </c>
      <c r="BA405" s="118">
        <v>5.0000000000000001E-4</v>
      </c>
      <c r="BB405" s="118">
        <v>8.0000000000000004E-4</v>
      </c>
      <c r="BC405" s="118">
        <v>1E-3</v>
      </c>
      <c r="BD405" s="239">
        <f>+BD402/BD400</f>
        <v>6.2500000000000001E-4</v>
      </c>
      <c r="BE405" s="118">
        <v>1.1999999999999999E-3</v>
      </c>
      <c r="BF405" s="118">
        <v>1.5E-3</v>
      </c>
      <c r="BG405" s="118">
        <v>1.6999999999999999E-3</v>
      </c>
      <c r="BH405" s="118">
        <v>2.5000000000000001E-3</v>
      </c>
      <c r="BI405" s="239">
        <f>+BI402/BI400</f>
        <v>1.7250000000000002E-3</v>
      </c>
      <c r="BJ405" s="118">
        <v>2.3999999999999998E-3</v>
      </c>
      <c r="BK405" s="118">
        <v>3.5000000000000001E-3</v>
      </c>
      <c r="BL405" s="118">
        <v>4.7000000000000002E-3</v>
      </c>
      <c r="BM405" s="118">
        <v>5.3E-3</v>
      </c>
      <c r="BN405" s="239">
        <f>+BN402/BN400</f>
        <v>3.9750000000000002E-3</v>
      </c>
      <c r="BO405" s="118">
        <f>+BM405+0.0003</f>
        <v>5.5999999999999999E-3</v>
      </c>
      <c r="BP405" s="118">
        <f>+BO405+0.0003</f>
        <v>5.8999999999999999E-3</v>
      </c>
      <c r="BQ405" s="118">
        <f t="shared" ref="BQ405:BR405" si="9088">+BP405+0.0003</f>
        <v>6.1999999999999998E-3</v>
      </c>
      <c r="BR405" s="118">
        <f t="shared" si="9088"/>
        <v>6.4999999999999997E-3</v>
      </c>
      <c r="BS405" s="239">
        <f>+BS402/BS400</f>
        <v>6.0499999999999998E-3</v>
      </c>
      <c r="BT405" s="118">
        <f>+BS405+0.0004</f>
        <v>6.45E-3</v>
      </c>
      <c r="BU405" s="118">
        <f>+BT405+0.0004</f>
        <v>6.8500000000000002E-3</v>
      </c>
      <c r="BV405" s="118">
        <f>+BU405+0.0004</f>
        <v>7.2500000000000004E-3</v>
      </c>
      <c r="BW405" s="118">
        <f>+BV405+0.0004</f>
        <v>7.6500000000000005E-3</v>
      </c>
      <c r="BX405" s="239">
        <f>+BX402/BX400</f>
        <v>7.0499999999999998E-3</v>
      </c>
      <c r="BY405" s="118">
        <f>+BW405+0.0003</f>
        <v>7.9500000000000005E-3</v>
      </c>
      <c r="BZ405" s="118">
        <f>+BY405+0.0003</f>
        <v>8.2500000000000004E-3</v>
      </c>
      <c r="CA405" s="118">
        <f t="shared" ref="CA405:CB405" si="9089">+BZ405+0.0003</f>
        <v>8.5500000000000003E-3</v>
      </c>
      <c r="CB405" s="118">
        <f t="shared" si="9089"/>
        <v>8.8500000000000002E-3</v>
      </c>
      <c r="CC405" s="239">
        <f>+CC402/CC400</f>
        <v>8.4000000000000012E-3</v>
      </c>
      <c r="CD405" s="118">
        <f>+CB405+0.0003</f>
        <v>9.1500000000000001E-3</v>
      </c>
      <c r="CE405" s="118">
        <f>+CD405+0.0003</f>
        <v>9.4500000000000001E-3</v>
      </c>
      <c r="CF405" s="118">
        <f t="shared" ref="CF405:CG405" si="9090">+CE405+0.0003</f>
        <v>9.75E-3</v>
      </c>
      <c r="CG405" s="118">
        <f t="shared" si="9090"/>
        <v>1.005E-2</v>
      </c>
      <c r="CH405" s="239">
        <f>+CH402/CH400</f>
        <v>9.5999999999999992E-3</v>
      </c>
      <c r="CI405" s="118">
        <f>+CG405+0.0003</f>
        <v>1.035E-2</v>
      </c>
      <c r="CJ405" s="118">
        <f>+CI405+0.0003</f>
        <v>1.065E-2</v>
      </c>
      <c r="CK405" s="118">
        <f t="shared" ref="CK405:CL405" si="9091">+CJ405+0.0003</f>
        <v>1.095E-2</v>
      </c>
      <c r="CL405" s="118">
        <f t="shared" si="9091"/>
        <v>1.125E-2</v>
      </c>
      <c r="CM405" s="239">
        <f>+CM402/CM400</f>
        <v>1.0799999999999999E-2</v>
      </c>
      <c r="CN405" s="118">
        <f>+CL405+0.0003</f>
        <v>1.155E-2</v>
      </c>
      <c r="CO405" s="118">
        <f>+CN405+0.0003</f>
        <v>1.1849999999999999E-2</v>
      </c>
      <c r="CP405" s="118">
        <f t="shared" ref="CP405:CQ405" si="9092">+CO405+0.0003</f>
        <v>1.2149999999999999E-2</v>
      </c>
      <c r="CQ405" s="118">
        <f t="shared" si="9092"/>
        <v>1.2449999999999999E-2</v>
      </c>
      <c r="CR405" s="239">
        <f>+CR402/CR400</f>
        <v>1.1999999999999999E-2</v>
      </c>
      <c r="CS405" s="118">
        <f>+CQ405+0.0003</f>
        <v>1.2749999999999999E-2</v>
      </c>
      <c r="CT405" s="118">
        <f>+CS405+0.0003</f>
        <v>1.3049999999999999E-2</v>
      </c>
      <c r="CU405" s="118">
        <f t="shared" ref="CU405:CV405" si="9093">+CT405+0.0003</f>
        <v>1.3349999999999999E-2</v>
      </c>
      <c r="CV405" s="118">
        <f t="shared" si="9093"/>
        <v>1.3649999999999999E-2</v>
      </c>
      <c r="CW405" s="239">
        <f>+CW402/CW400</f>
        <v>1.3199999999999998E-2</v>
      </c>
      <c r="CX405" s="118">
        <f>+CV405+0.0003</f>
        <v>1.3949999999999999E-2</v>
      </c>
      <c r="CY405" s="118">
        <f>+CX405+0.0003</f>
        <v>1.4249999999999999E-2</v>
      </c>
      <c r="CZ405" s="118">
        <f t="shared" ref="CZ405:DA405" si="9094">+CY405+0.0003</f>
        <v>1.4549999999999999E-2</v>
      </c>
      <c r="DA405" s="118">
        <f t="shared" si="9094"/>
        <v>1.4849999999999999E-2</v>
      </c>
      <c r="DB405" s="239">
        <f>+DB402/DB400</f>
        <v>1.4399999999999998E-2</v>
      </c>
    </row>
    <row r="406" spans="1:106">
      <c r="F406" s="217"/>
      <c r="K406" s="217"/>
      <c r="P406" s="217"/>
      <c r="U406" s="217"/>
      <c r="Z406" s="217"/>
      <c r="AE406" s="217"/>
      <c r="AJ406" s="217"/>
      <c r="AO406" s="217"/>
      <c r="AT406" s="217"/>
      <c r="AY406" s="217"/>
      <c r="BD406" s="217"/>
      <c r="BI406" s="217"/>
      <c r="BN406" s="217"/>
      <c r="BS406" s="217"/>
      <c r="BX406" s="217"/>
      <c r="CC406" s="217"/>
      <c r="CH406" s="217"/>
      <c r="CM406" s="217"/>
      <c r="CR406" s="217"/>
      <c r="CW406" s="217"/>
      <c r="DB406" s="217"/>
    </row>
    <row r="407" spans="1:106" s="51" customFormat="1">
      <c r="A407" s="51" t="s">
        <v>334</v>
      </c>
      <c r="F407" s="233"/>
      <c r="K407" s="233"/>
      <c r="P407" s="233"/>
      <c r="U407" s="233"/>
      <c r="V407" s="213">
        <f>+V391+V400</f>
        <v>2125000</v>
      </c>
      <c r="W407" s="213">
        <f>+W391+W400</f>
        <v>2125000</v>
      </c>
      <c r="X407" s="213">
        <f>+X391+X400</f>
        <v>2125000</v>
      </c>
      <c r="Y407" s="213">
        <f>+Y391+Y400</f>
        <v>2125000</v>
      </c>
      <c r="Z407" s="234">
        <f>+V407+W407+X407+Y407</f>
        <v>8500000</v>
      </c>
      <c r="AA407" s="213">
        <f>+AA391+AA400</f>
        <v>2188750</v>
      </c>
      <c r="AB407" s="213">
        <f>+AB391+AB400</f>
        <v>2188750</v>
      </c>
      <c r="AC407" s="213">
        <f>+AC391+AC400</f>
        <v>2188750</v>
      </c>
      <c r="AD407" s="213">
        <f>+AD391+AD400</f>
        <v>2188750</v>
      </c>
      <c r="AE407" s="234">
        <f>+AA407+AB407+AC407+AD407</f>
        <v>8755000</v>
      </c>
      <c r="AF407" s="213">
        <f>+AF391+AF400</f>
        <v>2254412.5</v>
      </c>
      <c r="AG407" s="213">
        <f>+AG391+AG400</f>
        <v>2254412.5</v>
      </c>
      <c r="AH407" s="213">
        <f>+AH391+AH400</f>
        <v>2254412.5</v>
      </c>
      <c r="AI407" s="213">
        <f>+AI391+AI400</f>
        <v>2254412.5</v>
      </c>
      <c r="AJ407" s="234">
        <f>+AF407+AG407+AH407+AI407</f>
        <v>9017650</v>
      </c>
      <c r="AK407" s="213">
        <f>+AK391+AK400</f>
        <v>2322044.875</v>
      </c>
      <c r="AL407" s="213">
        <f>+AL391+AL400</f>
        <v>2322044.875</v>
      </c>
      <c r="AM407" s="213">
        <f>+AM391+AM400</f>
        <v>2322044.875</v>
      </c>
      <c r="AN407" s="213">
        <f>+AN391+AN400</f>
        <v>2322044.875</v>
      </c>
      <c r="AO407" s="234">
        <f>+AK407+AL407+AM407+AN407</f>
        <v>9288179.5</v>
      </c>
      <c r="AP407" s="213">
        <f>+AP391+AP400</f>
        <v>2391706.2212499999</v>
      </c>
      <c r="AQ407" s="213">
        <f>+AQ391+AQ400</f>
        <v>2391706.2212499999</v>
      </c>
      <c r="AR407" s="213">
        <f>+AR391+AR400</f>
        <v>2391706.2212499999</v>
      </c>
      <c r="AS407" s="213">
        <f>+AS391+AS400</f>
        <v>2391706.2212499999</v>
      </c>
      <c r="AT407" s="234">
        <f>+AP407+AQ407+AR407+AS407</f>
        <v>9566824.8849999998</v>
      </c>
      <c r="AU407" s="213">
        <f>+AU391+AU400</f>
        <v>2463457.4078875002</v>
      </c>
      <c r="AV407" s="213">
        <f>+AV391+AV400</f>
        <v>2463457.4078875002</v>
      </c>
      <c r="AW407" s="213">
        <f>+AW391+AW400</f>
        <v>2463457.4078875002</v>
      </c>
      <c r="AX407" s="213">
        <f>+AX391+AX400</f>
        <v>2463457.4078875002</v>
      </c>
      <c r="AY407" s="234">
        <f>+AU407+AV407+AW407+AX407</f>
        <v>9853829.631550001</v>
      </c>
      <c r="AZ407" s="213">
        <f>+AZ391+AZ400</f>
        <v>2537361.1301241256</v>
      </c>
      <c r="BA407" s="213">
        <f>+BA391+BA400</f>
        <v>2537361.1301241256</v>
      </c>
      <c r="BB407" s="213">
        <f>+BB391+BB400</f>
        <v>2537361.1301241256</v>
      </c>
      <c r="BC407" s="213">
        <f>+BC391+BC400</f>
        <v>2537361.1301241256</v>
      </c>
      <c r="BD407" s="234">
        <f>+AZ407+BA407+BB407+BC407</f>
        <v>10149444.520496503</v>
      </c>
      <c r="BE407" s="213">
        <f>+BE391+BE400</f>
        <v>2613481.9640278495</v>
      </c>
      <c r="BF407" s="213">
        <f>+BF391+BF400</f>
        <v>2613481.9640278495</v>
      </c>
      <c r="BG407" s="213">
        <f>+BG391+BG400</f>
        <v>2613481.9640278495</v>
      </c>
      <c r="BH407" s="213">
        <f>+BH391+BH400</f>
        <v>2613481.9640278495</v>
      </c>
      <c r="BI407" s="234">
        <f>+BE407+BF407+BG407+BH407</f>
        <v>10453927.856111398</v>
      </c>
      <c r="BJ407" s="213">
        <f>+BJ391+BJ400</f>
        <v>2691886.4229486845</v>
      </c>
      <c r="BK407" s="213">
        <f>+BK391+BK400</f>
        <v>2691886.4229486845</v>
      </c>
      <c r="BL407" s="213">
        <f>+BL391+BL400</f>
        <v>2691886.4229486845</v>
      </c>
      <c r="BM407" s="213">
        <f>+BM391+BM400</f>
        <v>2691886.4229486845</v>
      </c>
      <c r="BN407" s="234">
        <f>+BJ407+BK407+BL407+BM407</f>
        <v>10767545.691794738</v>
      </c>
      <c r="BO407" s="213">
        <f>+BO391+BO400</f>
        <v>2772643.0156371454</v>
      </c>
      <c r="BP407" s="213">
        <f>+BP391+BP400</f>
        <v>2772643.0156371454</v>
      </c>
      <c r="BQ407" s="213">
        <f>+BQ391+BQ400</f>
        <v>2772643.0156371454</v>
      </c>
      <c r="BR407" s="213">
        <f>+BR391+BR400</f>
        <v>2772643.0156371454</v>
      </c>
      <c r="BS407" s="234">
        <f>+BO407+BP407+BQ407+BR407</f>
        <v>11090572.062548582</v>
      </c>
      <c r="BT407" s="213">
        <f>+BT391+BT400</f>
        <v>2855822.30610626</v>
      </c>
      <c r="BU407" s="213">
        <f>+BU391+BU400</f>
        <v>2855822.30610626</v>
      </c>
      <c r="BV407" s="213">
        <f>+BV391+BV400</f>
        <v>2855822.30610626</v>
      </c>
      <c r="BW407" s="213">
        <f>+BW391+BW400</f>
        <v>2855822.30610626</v>
      </c>
      <c r="BX407" s="234">
        <f>+BT407+BU407+BV407+BW407</f>
        <v>11423289.22442504</v>
      </c>
      <c r="BY407" s="213">
        <f>+BY391+BY400</f>
        <v>2941496.9752894482</v>
      </c>
      <c r="BZ407" s="213">
        <f>+BZ391+BZ400</f>
        <v>2941496.9752894482</v>
      </c>
      <c r="CA407" s="213">
        <f>+CA391+CA400</f>
        <v>2941496.9752894482</v>
      </c>
      <c r="CB407" s="213">
        <f>+CB391+CB400</f>
        <v>2941496.9752894482</v>
      </c>
      <c r="CC407" s="234">
        <f>+BY407+BZ407+CA407+CB407</f>
        <v>11765987.901157793</v>
      </c>
      <c r="CD407" s="213">
        <f>+CD391+CD400</f>
        <v>3029741.8845481314</v>
      </c>
      <c r="CE407" s="213">
        <f>+CE391+CE400</f>
        <v>3029741.8845481314</v>
      </c>
      <c r="CF407" s="213">
        <f>+CF391+CF400</f>
        <v>3029741.8845481314</v>
      </c>
      <c r="CG407" s="213">
        <f>+CG391+CG400</f>
        <v>3029741.8845481314</v>
      </c>
      <c r="CH407" s="234">
        <f>+CD407+CE407+CF407+CG407</f>
        <v>12118967.538192526</v>
      </c>
      <c r="CI407" s="213">
        <f>+CI391+CI400</f>
        <v>3120634.141084576</v>
      </c>
      <c r="CJ407" s="213">
        <f>+CJ391+CJ400</f>
        <v>3120634.141084576</v>
      </c>
      <c r="CK407" s="213">
        <f>+CK391+CK400</f>
        <v>3120634.141084576</v>
      </c>
      <c r="CL407" s="213">
        <f>+CL391+CL400</f>
        <v>3120634.141084576</v>
      </c>
      <c r="CM407" s="234">
        <f>+CI407+CJ407+CK407+CL407</f>
        <v>12482536.564338304</v>
      </c>
      <c r="CN407" s="213">
        <f>+CN391+CN400</f>
        <v>3214253.1653171135</v>
      </c>
      <c r="CO407" s="213">
        <f>+CO391+CO400</f>
        <v>3214253.1653171135</v>
      </c>
      <c r="CP407" s="213">
        <f>+CP391+CP400</f>
        <v>3214253.1653171135</v>
      </c>
      <c r="CQ407" s="213">
        <f>+CQ391+CQ400</f>
        <v>3214253.1653171135</v>
      </c>
      <c r="CR407" s="234">
        <f>+CN407+CO407+CP407+CQ407</f>
        <v>12857012.661268454</v>
      </c>
      <c r="CS407" s="213">
        <f>+CS391+CS400</f>
        <v>3310680.7602766268</v>
      </c>
      <c r="CT407" s="213">
        <f>+CT391+CT400</f>
        <v>3310680.7602766268</v>
      </c>
      <c r="CU407" s="213">
        <f>+CU391+CU400</f>
        <v>3310680.7602766268</v>
      </c>
      <c r="CV407" s="213">
        <f>+CV391+CV400</f>
        <v>3310680.7602766268</v>
      </c>
      <c r="CW407" s="234">
        <f>+CS407+CT407+CU407+CV407</f>
        <v>13242723.041106507</v>
      </c>
      <c r="CX407" s="213">
        <f>+CX391+CX400</f>
        <v>3410001.1830849256</v>
      </c>
      <c r="CY407" s="213">
        <f>+CY391+CY400</f>
        <v>3410001.1830849256</v>
      </c>
      <c r="CZ407" s="213">
        <f>+CZ391+CZ400</f>
        <v>3410001.1830849256</v>
      </c>
      <c r="DA407" s="213">
        <f>+DA391+DA400</f>
        <v>3410001.1830849256</v>
      </c>
      <c r="DB407" s="234">
        <f>+CX407+CY407+CZ407+DA407</f>
        <v>13640004.732339703</v>
      </c>
    </row>
    <row r="408" spans="1:106">
      <c r="A408" s="117" t="s">
        <v>281</v>
      </c>
      <c r="F408" s="217"/>
      <c r="K408" s="217"/>
      <c r="P408" s="217"/>
      <c r="U408" s="217"/>
      <c r="V408" s="119" t="s">
        <v>290</v>
      </c>
      <c r="W408" s="119" t="s">
        <v>290</v>
      </c>
      <c r="X408" s="119" t="s">
        <v>290</v>
      </c>
      <c r="Y408" s="119" t="s">
        <v>290</v>
      </c>
      <c r="Z408" s="235" t="s">
        <v>290</v>
      </c>
      <c r="AA408" s="13">
        <f>+AA407/V407-1</f>
        <v>3.0000000000000027E-2</v>
      </c>
      <c r="AB408" s="13">
        <f t="shared" ref="AB408" si="9095">+AB407/W407-1</f>
        <v>3.0000000000000027E-2</v>
      </c>
      <c r="AC408" s="13">
        <f t="shared" ref="AC408" si="9096">+AC407/X407-1</f>
        <v>3.0000000000000027E-2</v>
      </c>
      <c r="AD408" s="13">
        <f t="shared" ref="AD408" si="9097">+AD407/Y407-1</f>
        <v>3.0000000000000027E-2</v>
      </c>
      <c r="AE408" s="239">
        <f t="shared" ref="AE408" si="9098">+AE407/Z407-1</f>
        <v>3.0000000000000027E-2</v>
      </c>
      <c r="AF408" s="13">
        <f>+AF407/AA407-1</f>
        <v>3.0000000000000027E-2</v>
      </c>
      <c r="AG408" s="13">
        <f t="shared" ref="AG408" si="9099">+AG407/AB407-1</f>
        <v>3.0000000000000027E-2</v>
      </c>
      <c r="AH408" s="13">
        <f t="shared" ref="AH408" si="9100">+AH407/AC407-1</f>
        <v>3.0000000000000027E-2</v>
      </c>
      <c r="AI408" s="13">
        <f t="shared" ref="AI408" si="9101">+AI407/AD407-1</f>
        <v>3.0000000000000027E-2</v>
      </c>
      <c r="AJ408" s="239">
        <f t="shared" ref="AJ408" si="9102">+AJ407/AE407-1</f>
        <v>3.0000000000000027E-2</v>
      </c>
      <c r="AK408" s="13">
        <f>+AK407/AF407-1</f>
        <v>3.0000000000000027E-2</v>
      </c>
      <c r="AL408" s="13">
        <f t="shared" ref="AL408" si="9103">+AL407/AG407-1</f>
        <v>3.0000000000000027E-2</v>
      </c>
      <c r="AM408" s="13">
        <f t="shared" ref="AM408" si="9104">+AM407/AH407-1</f>
        <v>3.0000000000000027E-2</v>
      </c>
      <c r="AN408" s="13">
        <f t="shared" ref="AN408" si="9105">+AN407/AI407-1</f>
        <v>3.0000000000000027E-2</v>
      </c>
      <c r="AO408" s="239">
        <f t="shared" ref="AO408" si="9106">+AO407/AJ407-1</f>
        <v>3.0000000000000027E-2</v>
      </c>
      <c r="AP408" s="13">
        <f>+AP407/AK407-1</f>
        <v>3.0000000000000027E-2</v>
      </c>
      <c r="AQ408" s="13">
        <f t="shared" ref="AQ408" si="9107">+AQ407/AL407-1</f>
        <v>3.0000000000000027E-2</v>
      </c>
      <c r="AR408" s="13">
        <f t="shared" ref="AR408" si="9108">+AR407/AM407-1</f>
        <v>3.0000000000000027E-2</v>
      </c>
      <c r="AS408" s="13">
        <f t="shared" ref="AS408" si="9109">+AS407/AN407-1</f>
        <v>3.0000000000000027E-2</v>
      </c>
      <c r="AT408" s="239">
        <f t="shared" ref="AT408" si="9110">+AT407/AO407-1</f>
        <v>3.0000000000000027E-2</v>
      </c>
      <c r="AU408" s="13">
        <f>+AU407/AP407-1</f>
        <v>3.0000000000000027E-2</v>
      </c>
      <c r="AV408" s="13">
        <f t="shared" ref="AV408" si="9111">+AV407/AQ407-1</f>
        <v>3.0000000000000027E-2</v>
      </c>
      <c r="AW408" s="13">
        <f t="shared" ref="AW408" si="9112">+AW407/AR407-1</f>
        <v>3.0000000000000027E-2</v>
      </c>
      <c r="AX408" s="13">
        <f t="shared" ref="AX408" si="9113">+AX407/AS407-1</f>
        <v>3.0000000000000027E-2</v>
      </c>
      <c r="AY408" s="239">
        <f t="shared" ref="AY408" si="9114">+AY407/AT407-1</f>
        <v>3.0000000000000027E-2</v>
      </c>
      <c r="AZ408" s="13">
        <f>+AZ407/AU407-1</f>
        <v>3.0000000000000249E-2</v>
      </c>
      <c r="BA408" s="13">
        <f t="shared" ref="BA408" si="9115">+BA407/AV407-1</f>
        <v>3.0000000000000249E-2</v>
      </c>
      <c r="BB408" s="13">
        <f t="shared" ref="BB408" si="9116">+BB407/AW407-1</f>
        <v>3.0000000000000249E-2</v>
      </c>
      <c r="BC408" s="13">
        <f t="shared" ref="BC408" si="9117">+BC407/AX407-1</f>
        <v>3.0000000000000249E-2</v>
      </c>
      <c r="BD408" s="239">
        <f t="shared" ref="BD408" si="9118">+BD407/AY407-1</f>
        <v>3.0000000000000249E-2</v>
      </c>
      <c r="BE408" s="13">
        <f>+BE407/AZ407-1</f>
        <v>3.0000000000000027E-2</v>
      </c>
      <c r="BF408" s="13">
        <f t="shared" ref="BF408" si="9119">+BF407/BA407-1</f>
        <v>3.0000000000000027E-2</v>
      </c>
      <c r="BG408" s="13">
        <f t="shared" ref="BG408" si="9120">+BG407/BB407-1</f>
        <v>3.0000000000000027E-2</v>
      </c>
      <c r="BH408" s="13">
        <f t="shared" ref="BH408" si="9121">+BH407/BC407-1</f>
        <v>3.0000000000000027E-2</v>
      </c>
      <c r="BI408" s="239">
        <f t="shared" ref="BI408" si="9122">+BI407/BD407-1</f>
        <v>3.0000000000000027E-2</v>
      </c>
      <c r="BJ408" s="13">
        <f>+BJ407/BE407-1</f>
        <v>2.9999999999999805E-2</v>
      </c>
      <c r="BK408" s="13">
        <f t="shared" ref="BK408" si="9123">+BK407/BF407-1</f>
        <v>2.9999999999999805E-2</v>
      </c>
      <c r="BL408" s="13">
        <f t="shared" ref="BL408" si="9124">+BL407/BG407-1</f>
        <v>2.9999999999999805E-2</v>
      </c>
      <c r="BM408" s="13">
        <f t="shared" ref="BM408" si="9125">+BM407/BH407-1</f>
        <v>2.9999999999999805E-2</v>
      </c>
      <c r="BN408" s="239">
        <f t="shared" ref="BN408" si="9126">+BN407/BI407-1</f>
        <v>2.9999999999999805E-2</v>
      </c>
      <c r="BO408" s="13">
        <f>+BO407/BJ407-1</f>
        <v>3.0000000000000027E-2</v>
      </c>
      <c r="BP408" s="13">
        <f t="shared" ref="BP408" si="9127">+BP407/BK407-1</f>
        <v>3.0000000000000027E-2</v>
      </c>
      <c r="BQ408" s="13">
        <f t="shared" ref="BQ408" si="9128">+BQ407/BL407-1</f>
        <v>3.0000000000000027E-2</v>
      </c>
      <c r="BR408" s="13">
        <f t="shared" ref="BR408" si="9129">+BR407/BM407-1</f>
        <v>3.0000000000000027E-2</v>
      </c>
      <c r="BS408" s="239">
        <f t="shared" ref="BS408" si="9130">+BS407/BN407-1</f>
        <v>3.0000000000000027E-2</v>
      </c>
      <c r="BT408" s="13">
        <f>+BT407/BO407-1</f>
        <v>3.0000000000000027E-2</v>
      </c>
      <c r="BU408" s="13">
        <f t="shared" ref="BU408" si="9131">+BU407/BP407-1</f>
        <v>3.0000000000000027E-2</v>
      </c>
      <c r="BV408" s="13">
        <f t="shared" ref="BV408" si="9132">+BV407/BQ407-1</f>
        <v>3.0000000000000027E-2</v>
      </c>
      <c r="BW408" s="13">
        <f t="shared" ref="BW408" si="9133">+BW407/BR407-1</f>
        <v>3.0000000000000027E-2</v>
      </c>
      <c r="BX408" s="239">
        <f t="shared" ref="BX408" si="9134">+BX407/BS407-1</f>
        <v>3.0000000000000027E-2</v>
      </c>
      <c r="BY408" s="13">
        <f>+BY407/BT407-1</f>
        <v>3.0000000000000027E-2</v>
      </c>
      <c r="BZ408" s="13">
        <f t="shared" ref="BZ408" si="9135">+BZ407/BU407-1</f>
        <v>3.0000000000000027E-2</v>
      </c>
      <c r="CA408" s="13">
        <f t="shared" ref="CA408" si="9136">+CA407/BV407-1</f>
        <v>3.0000000000000027E-2</v>
      </c>
      <c r="CB408" s="13">
        <f t="shared" ref="CB408" si="9137">+CB407/BW407-1</f>
        <v>3.0000000000000027E-2</v>
      </c>
      <c r="CC408" s="239">
        <f t="shared" ref="CC408" si="9138">+CC407/BX407-1</f>
        <v>3.0000000000000027E-2</v>
      </c>
      <c r="CD408" s="13">
        <f>+CD407/BY407-1</f>
        <v>3.0000000000000027E-2</v>
      </c>
      <c r="CE408" s="13">
        <f t="shared" ref="CE408" si="9139">+CE407/BZ407-1</f>
        <v>3.0000000000000027E-2</v>
      </c>
      <c r="CF408" s="13">
        <f t="shared" ref="CF408" si="9140">+CF407/CA407-1</f>
        <v>3.0000000000000027E-2</v>
      </c>
      <c r="CG408" s="13">
        <f t="shared" ref="CG408" si="9141">+CG407/CB407-1</f>
        <v>3.0000000000000027E-2</v>
      </c>
      <c r="CH408" s="239">
        <f t="shared" ref="CH408" si="9142">+CH407/CC407-1</f>
        <v>3.0000000000000027E-2</v>
      </c>
      <c r="CI408" s="13">
        <f>+CI407/CD407-1</f>
        <v>3.0000000000000249E-2</v>
      </c>
      <c r="CJ408" s="13">
        <f t="shared" ref="CJ408" si="9143">+CJ407/CE407-1</f>
        <v>3.0000000000000249E-2</v>
      </c>
      <c r="CK408" s="13">
        <f t="shared" ref="CK408" si="9144">+CK407/CF407-1</f>
        <v>3.0000000000000249E-2</v>
      </c>
      <c r="CL408" s="13">
        <f t="shared" ref="CL408" si="9145">+CL407/CG407-1</f>
        <v>3.0000000000000249E-2</v>
      </c>
      <c r="CM408" s="239">
        <f t="shared" ref="CM408" si="9146">+CM407/CH407-1</f>
        <v>3.0000000000000249E-2</v>
      </c>
      <c r="CN408" s="13">
        <f>+CN407/CI407-1</f>
        <v>3.0000000000000027E-2</v>
      </c>
      <c r="CO408" s="13">
        <f t="shared" ref="CO408" si="9147">+CO407/CJ407-1</f>
        <v>3.0000000000000027E-2</v>
      </c>
      <c r="CP408" s="13">
        <f t="shared" ref="CP408" si="9148">+CP407/CK407-1</f>
        <v>3.0000000000000027E-2</v>
      </c>
      <c r="CQ408" s="13">
        <f t="shared" ref="CQ408" si="9149">+CQ407/CL407-1</f>
        <v>3.0000000000000027E-2</v>
      </c>
      <c r="CR408" s="239">
        <f t="shared" ref="CR408" si="9150">+CR407/CM407-1</f>
        <v>3.0000000000000027E-2</v>
      </c>
      <c r="CS408" s="13">
        <f>+CS407/CN407-1</f>
        <v>3.0000000000000027E-2</v>
      </c>
      <c r="CT408" s="13">
        <f t="shared" ref="CT408" si="9151">+CT407/CO407-1</f>
        <v>3.0000000000000027E-2</v>
      </c>
      <c r="CU408" s="13">
        <f t="shared" ref="CU408" si="9152">+CU407/CP407-1</f>
        <v>3.0000000000000027E-2</v>
      </c>
      <c r="CV408" s="13">
        <f t="shared" ref="CV408" si="9153">+CV407/CQ407-1</f>
        <v>3.0000000000000027E-2</v>
      </c>
      <c r="CW408" s="239">
        <f t="shared" ref="CW408" si="9154">+CW407/CR407-1</f>
        <v>3.0000000000000027E-2</v>
      </c>
      <c r="CX408" s="13">
        <f>+CX407/CS407-1</f>
        <v>3.0000000000000027E-2</v>
      </c>
      <c r="CY408" s="13">
        <f t="shared" ref="CY408" si="9155">+CY407/CT407-1</f>
        <v>3.0000000000000027E-2</v>
      </c>
      <c r="CZ408" s="13">
        <f t="shared" ref="CZ408" si="9156">+CZ407/CU407-1</f>
        <v>3.0000000000000027E-2</v>
      </c>
      <c r="DA408" s="13">
        <f t="shared" ref="DA408" si="9157">+DA407/CV407-1</f>
        <v>3.0000000000000027E-2</v>
      </c>
      <c r="DB408" s="239">
        <f t="shared" ref="DB408" si="9158">+DB407/CW407-1</f>
        <v>3.0000000000000027E-2</v>
      </c>
    </row>
    <row r="409" spans="1:106">
      <c r="F409" s="217"/>
      <c r="K409" s="217"/>
      <c r="P409" s="217"/>
      <c r="U409" s="217"/>
      <c r="Z409" s="217"/>
      <c r="AE409" s="217"/>
      <c r="AJ409" s="217"/>
      <c r="AO409" s="217"/>
      <c r="AT409" s="217"/>
      <c r="AY409" s="217"/>
      <c r="BD409" s="217"/>
      <c r="BI409" s="217"/>
      <c r="BN409" s="217"/>
      <c r="BS409" s="217"/>
      <c r="BX409" s="217"/>
      <c r="CC409" s="217"/>
      <c r="CH409" s="217"/>
      <c r="CM409" s="217"/>
      <c r="CR409" s="217"/>
      <c r="CW409" s="217"/>
      <c r="DB409" s="217"/>
    </row>
    <row r="410" spans="1:106" s="51" customFormat="1">
      <c r="A410" s="51" t="s">
        <v>342</v>
      </c>
      <c r="F410" s="233"/>
      <c r="K410" s="233"/>
      <c r="P410" s="233"/>
      <c r="U410" s="233"/>
      <c r="V410" s="213">
        <f t="shared" ref="V410:BA410" si="9159">+V393+V402</f>
        <v>0</v>
      </c>
      <c r="W410" s="213">
        <f t="shared" si="9159"/>
        <v>0</v>
      </c>
      <c r="X410" s="213">
        <f t="shared" si="9159"/>
        <v>0</v>
      </c>
      <c r="Y410" s="213">
        <f t="shared" si="9159"/>
        <v>0</v>
      </c>
      <c r="Z410" s="234">
        <f t="shared" si="9159"/>
        <v>0</v>
      </c>
      <c r="AA410" s="213">
        <f t="shared" si="9159"/>
        <v>0</v>
      </c>
      <c r="AB410" s="213">
        <f t="shared" si="9159"/>
        <v>0</v>
      </c>
      <c r="AC410" s="213">
        <f t="shared" si="9159"/>
        <v>0</v>
      </c>
      <c r="AD410" s="213">
        <f t="shared" si="9159"/>
        <v>0</v>
      </c>
      <c r="AE410" s="234">
        <f t="shared" si="9159"/>
        <v>0</v>
      </c>
      <c r="AF410" s="213">
        <f t="shared" si="9159"/>
        <v>0</v>
      </c>
      <c r="AG410" s="213">
        <f t="shared" si="9159"/>
        <v>0</v>
      </c>
      <c r="AH410" s="213">
        <f t="shared" si="9159"/>
        <v>0</v>
      </c>
      <c r="AI410" s="213">
        <f t="shared" si="9159"/>
        <v>0</v>
      </c>
      <c r="AJ410" s="234">
        <f t="shared" si="9159"/>
        <v>0</v>
      </c>
      <c r="AK410" s="213">
        <f t="shared" si="9159"/>
        <v>0</v>
      </c>
      <c r="AL410" s="213">
        <f t="shared" si="9159"/>
        <v>0</v>
      </c>
      <c r="AM410" s="213">
        <f t="shared" si="9159"/>
        <v>0</v>
      </c>
      <c r="AN410" s="213">
        <f t="shared" si="9159"/>
        <v>0</v>
      </c>
      <c r="AO410" s="234">
        <f t="shared" si="9159"/>
        <v>0</v>
      </c>
      <c r="AP410" s="213">
        <f t="shared" si="9159"/>
        <v>0</v>
      </c>
      <c r="AQ410" s="213">
        <f t="shared" si="9159"/>
        <v>0</v>
      </c>
      <c r="AR410" s="213">
        <f t="shared" si="9159"/>
        <v>0</v>
      </c>
      <c r="AS410" s="213">
        <f t="shared" si="9159"/>
        <v>0</v>
      </c>
      <c r="AT410" s="234">
        <f t="shared" si="9159"/>
        <v>0</v>
      </c>
      <c r="AU410" s="213">
        <f t="shared" si="9159"/>
        <v>521.67333343500013</v>
      </c>
      <c r="AV410" s="213">
        <f t="shared" si="9159"/>
        <v>2347.5300004575001</v>
      </c>
      <c r="AW410" s="213">
        <f t="shared" si="9159"/>
        <v>3130.0400006100008</v>
      </c>
      <c r="AX410" s="213">
        <f t="shared" si="9159"/>
        <v>5216.7333343500013</v>
      </c>
      <c r="AY410" s="234">
        <f t="shared" si="9159"/>
        <v>11215.976668852501</v>
      </c>
      <c r="AZ410" s="213">
        <f t="shared" si="9159"/>
        <v>7170.2840406566456</v>
      </c>
      <c r="BA410" s="213">
        <f t="shared" si="9159"/>
        <v>9194.2026832733009</v>
      </c>
      <c r="BB410" s="213">
        <f t="shared" ref="BB410:CG410" si="9160">+BB393+BB402</f>
        <v>11218.121325889957</v>
      </c>
      <c r="BC410" s="213">
        <f t="shared" si="9160"/>
        <v>13552.493565604153</v>
      </c>
      <c r="BD410" s="234">
        <f t="shared" si="9160"/>
        <v>41135.101615424057</v>
      </c>
      <c r="BE410" s="213">
        <f t="shared" si="9160"/>
        <v>15810.028540036707</v>
      </c>
      <c r="BF410" s="213">
        <f t="shared" si="9160"/>
        <v>18724.829601093646</v>
      </c>
      <c r="BG410" s="213">
        <f t="shared" si="9160"/>
        <v>20575.789768558079</v>
      </c>
      <c r="BH410" s="213">
        <f t="shared" si="9160"/>
        <v>23856.478304578919</v>
      </c>
      <c r="BI410" s="234">
        <f t="shared" si="9160"/>
        <v>78967.126214267351</v>
      </c>
      <c r="BJ410" s="213">
        <f>+BJ393+BJ402</f>
        <v>26326.649216438134</v>
      </c>
      <c r="BK410" s="213">
        <f t="shared" si="9160"/>
        <v>30969.361564723746</v>
      </c>
      <c r="BL410" s="213">
        <f t="shared" si="9160"/>
        <v>35852.760228473009</v>
      </c>
      <c r="BM410" s="213">
        <f t="shared" si="9160"/>
        <v>39292.040999440389</v>
      </c>
      <c r="BN410" s="234">
        <f t="shared" si="9160"/>
        <v>132440.81200907531</v>
      </c>
      <c r="BO410" s="213">
        <f t="shared" si="9160"/>
        <v>42388.818809652599</v>
      </c>
      <c r="BP410" s="213">
        <f t="shared" si="9160"/>
        <v>44306.835389881584</v>
      </c>
      <c r="BQ410" s="213">
        <f t="shared" si="9160"/>
        <v>46224.851970110576</v>
      </c>
      <c r="BR410" s="213">
        <f t="shared" si="9160"/>
        <v>48142.868550339568</v>
      </c>
      <c r="BS410" s="234">
        <f t="shared" si="9160"/>
        <v>181063.37471998433</v>
      </c>
      <c r="BT410" s="213">
        <f t="shared" si="9160"/>
        <v>50669.007292221788</v>
      </c>
      <c r="BU410" s="213">
        <f t="shared" si="9160"/>
        <v>52899.908481933031</v>
      </c>
      <c r="BV410" s="213">
        <f t="shared" si="9160"/>
        <v>55130.809671644281</v>
      </c>
      <c r="BW410" s="213">
        <f t="shared" si="9160"/>
        <v>57361.710861355517</v>
      </c>
      <c r="BX410" s="234">
        <f t="shared" si="9160"/>
        <v>216061.4363071546</v>
      </c>
      <c r="BY410" s="213">
        <f t="shared" si="9160"/>
        <v>61428.83859807413</v>
      </c>
      <c r="BZ410" s="213">
        <f t="shared" si="9160"/>
        <v>63775.115008952067</v>
      </c>
      <c r="CA410" s="213">
        <f t="shared" si="9160"/>
        <v>66121.391419830004</v>
      </c>
      <c r="CB410" s="213">
        <f t="shared" si="9160"/>
        <v>68467.667830707942</v>
      </c>
      <c r="CC410" s="234">
        <f t="shared" si="9160"/>
        <v>259793.01285756414</v>
      </c>
      <c r="CD410" s="213">
        <f t="shared" si="9160"/>
        <v>72938.362568833458</v>
      </c>
      <c r="CE410" s="213">
        <f t="shared" si="9160"/>
        <v>75355.027272037725</v>
      </c>
      <c r="CF410" s="213">
        <f t="shared" si="9160"/>
        <v>77771.691975242007</v>
      </c>
      <c r="CG410" s="213">
        <f t="shared" si="9160"/>
        <v>80188.356678446289</v>
      </c>
      <c r="CH410" s="234">
        <f t="shared" ref="CH410:DB410" si="9161">+CH393+CH402</f>
        <v>306253.43849455944</v>
      </c>
      <c r="CI410" s="213">
        <f t="shared" si="9161"/>
        <v>84752.75193757347</v>
      </c>
      <c r="CJ410" s="213">
        <f t="shared" si="9161"/>
        <v>86911.496496347274</v>
      </c>
      <c r="CK410" s="213">
        <f t="shared" si="9161"/>
        <v>89070.241055121078</v>
      </c>
      <c r="CL410" s="213">
        <f t="shared" si="9161"/>
        <v>91228.985613894882</v>
      </c>
      <c r="CM410" s="234">
        <f t="shared" si="9161"/>
        <v>351963.47510293667</v>
      </c>
      <c r="CN410" s="213">
        <f t="shared" si="9161"/>
        <v>95678.863045710139</v>
      </c>
      <c r="CO410" s="213">
        <f t="shared" si="9161"/>
        <v>97391.870909108562</v>
      </c>
      <c r="CP410" s="213">
        <f t="shared" si="9161"/>
        <v>99104.878772506985</v>
      </c>
      <c r="CQ410" s="213">
        <f t="shared" si="9161"/>
        <v>100817.88663590539</v>
      </c>
      <c r="CR410" s="234">
        <f t="shared" si="9161"/>
        <v>392993.49936323107</v>
      </c>
      <c r="CS410" s="213">
        <f t="shared" si="9161"/>
        <v>105606.82133428293</v>
      </c>
      <c r="CT410" s="213">
        <f t="shared" si="9161"/>
        <v>107371.21943358329</v>
      </c>
      <c r="CU410" s="213">
        <f t="shared" si="9161"/>
        <v>109135.61753288367</v>
      </c>
      <c r="CV410" s="213">
        <f t="shared" si="9161"/>
        <v>110900.01563218403</v>
      </c>
      <c r="CW410" s="234">
        <f t="shared" si="9161"/>
        <v>433013.67393293395</v>
      </c>
      <c r="CX410" s="213">
        <f t="shared" si="9161"/>
        <v>116044.34614342891</v>
      </c>
      <c r="CY410" s="213">
        <f t="shared" si="9161"/>
        <v>117861.6761857083</v>
      </c>
      <c r="CZ410" s="213">
        <f t="shared" si="9161"/>
        <v>119679.00622798767</v>
      </c>
      <c r="DA410" s="213">
        <f t="shared" si="9161"/>
        <v>121496.33627026706</v>
      </c>
      <c r="DB410" s="234">
        <f t="shared" si="9161"/>
        <v>475081.36482739192</v>
      </c>
    </row>
    <row r="411" spans="1:106">
      <c r="A411" s="117" t="s">
        <v>281</v>
      </c>
      <c r="F411" s="217"/>
      <c r="K411" s="217"/>
      <c r="P411" s="217"/>
      <c r="U411" s="217"/>
      <c r="V411" s="119" t="s">
        <v>290</v>
      </c>
      <c r="W411" s="119" t="s">
        <v>290</v>
      </c>
      <c r="X411" s="119" t="s">
        <v>290</v>
      </c>
      <c r="Y411" s="119" t="s">
        <v>290</v>
      </c>
      <c r="Z411" s="235" t="s">
        <v>290</v>
      </c>
      <c r="AA411" s="13" t="e">
        <f>+AA410/V410-1</f>
        <v>#DIV/0!</v>
      </c>
      <c r="AB411" s="13" t="e">
        <f t="shared" ref="AB411" si="9162">+AB410/W410-1</f>
        <v>#DIV/0!</v>
      </c>
      <c r="AC411" s="13" t="e">
        <f t="shared" ref="AC411" si="9163">+AC410/X410-1</f>
        <v>#DIV/0!</v>
      </c>
      <c r="AD411" s="13" t="e">
        <f t="shared" ref="AD411" si="9164">+AD410/Y410-1</f>
        <v>#DIV/0!</v>
      </c>
      <c r="AE411" s="239" t="e">
        <f t="shared" ref="AE411" si="9165">+AE410/Z410-1</f>
        <v>#DIV/0!</v>
      </c>
      <c r="AF411" s="13" t="e">
        <f>+AF410/AA410-1</f>
        <v>#DIV/0!</v>
      </c>
      <c r="AG411" s="13" t="e">
        <f t="shared" ref="AG411" si="9166">+AG410/AB410-1</f>
        <v>#DIV/0!</v>
      </c>
      <c r="AH411" s="13" t="e">
        <f t="shared" ref="AH411" si="9167">+AH410/AC410-1</f>
        <v>#DIV/0!</v>
      </c>
      <c r="AI411" s="13" t="e">
        <f t="shared" ref="AI411" si="9168">+AI410/AD410-1</f>
        <v>#DIV/0!</v>
      </c>
      <c r="AJ411" s="239" t="e">
        <f t="shared" ref="AJ411" si="9169">+AJ410/AE410-1</f>
        <v>#DIV/0!</v>
      </c>
      <c r="AK411" s="13" t="e">
        <f>+AK410/AF410-1</f>
        <v>#DIV/0!</v>
      </c>
      <c r="AL411" s="13" t="e">
        <f t="shared" ref="AL411" si="9170">+AL410/AG410-1</f>
        <v>#DIV/0!</v>
      </c>
      <c r="AM411" s="13" t="e">
        <f t="shared" ref="AM411" si="9171">+AM410/AH410-1</f>
        <v>#DIV/0!</v>
      </c>
      <c r="AN411" s="13" t="e">
        <f t="shared" ref="AN411" si="9172">+AN410/AI410-1</f>
        <v>#DIV/0!</v>
      </c>
      <c r="AO411" s="239" t="e">
        <f t="shared" ref="AO411" si="9173">+AO410/AJ410-1</f>
        <v>#DIV/0!</v>
      </c>
      <c r="AP411" s="13" t="e">
        <f>+AP410/AK410-1</f>
        <v>#DIV/0!</v>
      </c>
      <c r="AQ411" s="13" t="e">
        <f t="shared" ref="AQ411" si="9174">+AQ410/AL410-1</f>
        <v>#DIV/0!</v>
      </c>
      <c r="AR411" s="13" t="e">
        <f t="shared" ref="AR411" si="9175">+AR410/AM410-1</f>
        <v>#DIV/0!</v>
      </c>
      <c r="AS411" s="13" t="e">
        <f t="shared" ref="AS411" si="9176">+AS410/AN410-1</f>
        <v>#DIV/0!</v>
      </c>
      <c r="AT411" s="239" t="e">
        <f t="shared" ref="AT411" si="9177">+AT410/AO410-1</f>
        <v>#DIV/0!</v>
      </c>
      <c r="AU411" s="13" t="e">
        <f>+AU410/AP410-1</f>
        <v>#DIV/0!</v>
      </c>
      <c r="AV411" s="13" t="e">
        <f t="shared" ref="AV411" si="9178">+AV410/AQ410-1</f>
        <v>#DIV/0!</v>
      </c>
      <c r="AW411" s="13" t="e">
        <f t="shared" ref="AW411" si="9179">+AW410/AR410-1</f>
        <v>#DIV/0!</v>
      </c>
      <c r="AX411" s="13" t="e">
        <f t="shared" ref="AX411" si="9180">+AX410/AS410-1</f>
        <v>#DIV/0!</v>
      </c>
      <c r="AY411" s="239" t="e">
        <f t="shared" ref="AY411" si="9181">+AY410/AT410-1</f>
        <v>#DIV/0!</v>
      </c>
      <c r="AZ411" s="13">
        <f>+AZ410/AU410-1</f>
        <v>12.744777777777776</v>
      </c>
      <c r="BA411" s="13">
        <f t="shared" ref="BA411" si="9182">+BA410/AV410-1</f>
        <v>2.9165432098765431</v>
      </c>
      <c r="BB411" s="13">
        <f t="shared" ref="BB411" si="9183">+BB410/AW410-1</f>
        <v>2.5840185185185183</v>
      </c>
      <c r="BC411" s="13">
        <f t="shared" ref="BC411" si="9184">+BC410/AX410-1</f>
        <v>1.5978888888888889</v>
      </c>
      <c r="BD411" s="239">
        <f t="shared" ref="BD411" si="9185">+BD410/AY410-1</f>
        <v>2.6675452196382432</v>
      </c>
      <c r="BE411" s="13">
        <f>+BE410/AZ410-1</f>
        <v>1.2049375520399668</v>
      </c>
      <c r="BF411" s="13">
        <f t="shared" ref="BF411" si="9186">+BF410/BA410-1</f>
        <v>1.0365909090909091</v>
      </c>
      <c r="BG411" s="13">
        <f t="shared" ref="BG411" si="9187">+BG410/BB410-1</f>
        <v>0.83415646620542838</v>
      </c>
      <c r="BH411" s="13">
        <f t="shared" ref="BH411" si="9188">+BH410/BC410-1</f>
        <v>0.76030176211453737</v>
      </c>
      <c r="BI411" s="239">
        <f t="shared" ref="BI411" si="9189">+BI410/BD410-1</f>
        <v>0.91970174165457186</v>
      </c>
      <c r="BJ411" s="13">
        <f>+BJ410/BE410-1</f>
        <v>0.66518669778296369</v>
      </c>
      <c r="BK411" s="13">
        <f t="shared" ref="BK411" si="9190">+BK410/BF410-1</f>
        <v>0.65391954022988497</v>
      </c>
      <c r="BL411" s="13">
        <f t="shared" ref="BL411" si="9191">+BL410/BG410-1</f>
        <v>0.74247310221159579</v>
      </c>
      <c r="BM411" s="13">
        <f t="shared" ref="BM411" si="9192">+BM410/BH410-1</f>
        <v>0.64701765691455093</v>
      </c>
      <c r="BN411" s="239">
        <f t="shared" ref="BN411" si="9193">+BN410/BI410-1</f>
        <v>0.6771638827239812</v>
      </c>
      <c r="BO411" s="13">
        <f>+BO410/BJ410-1</f>
        <v>0.6101106700348855</v>
      </c>
      <c r="BP411" s="13">
        <f t="shared" ref="BP411" si="9194">+BP410/BK410-1</f>
        <v>0.43066673483996354</v>
      </c>
      <c r="BQ411" s="13">
        <f t="shared" ref="BQ411" si="9195">+BQ410/BL410-1</f>
        <v>0.28929688190089231</v>
      </c>
      <c r="BR411" s="13">
        <f t="shared" ref="BR411" si="9196">+BR410/BM410-1</f>
        <v>0.22525751591843335</v>
      </c>
      <c r="BS411" s="239">
        <f t="shared" ref="BS411" si="9197">+BS410/BN410-1</f>
        <v>0.36712673362027748</v>
      </c>
      <c r="BT411" s="13">
        <f>+BT410/BO410-1</f>
        <v>0.19533897652943466</v>
      </c>
      <c r="BU411" s="13">
        <f t="shared" ref="BU411" si="9198">+BU410/BP410-1</f>
        <v>0.19394463667820117</v>
      </c>
      <c r="BV411" s="13">
        <f t="shared" ref="BV411" si="9199">+BV410/BQ410-1</f>
        <v>0.19266600804459855</v>
      </c>
      <c r="BW411" s="13">
        <f t="shared" ref="BW411" si="9200">+BW410/BR410-1</f>
        <v>0.19148926079002671</v>
      </c>
      <c r="BX411" s="239">
        <f t="shared" ref="BX411" si="9201">+BX410/BS410-1</f>
        <v>0.19329177776176421</v>
      </c>
      <c r="BY411" s="13">
        <f>+BY410/BT410-1</f>
        <v>0.21235528148000804</v>
      </c>
      <c r="BZ411" s="13">
        <f t="shared" ref="BZ411" si="9202">+BZ410/BU410-1</f>
        <v>0.20558081930771688</v>
      </c>
      <c r="CA411" s="13">
        <f t="shared" ref="CA411" si="9203">+CA410/BV410-1</f>
        <v>0.19935462246328228</v>
      </c>
      <c r="CB411" s="13">
        <f t="shared" ref="CB411" si="9204">+CB410/BW410-1</f>
        <v>0.19361272184150424</v>
      </c>
      <c r="CC411" s="239">
        <f t="shared" ref="CC411" si="9205">+CC410/BX410-1</f>
        <v>0.20240343347639511</v>
      </c>
      <c r="CD411" s="13">
        <f>+CD410/BY410-1</f>
        <v>0.18736352881527818</v>
      </c>
      <c r="CE411" s="13">
        <f t="shared" ref="CE411" si="9206">+CE410/BZ410-1</f>
        <v>0.18157414943838512</v>
      </c>
      <c r="CF411" s="13">
        <f t="shared" ref="CF411" si="9207">+CF410/CA410-1</f>
        <v>0.17619563510755221</v>
      </c>
      <c r="CG411" s="13">
        <f t="shared" ref="CG411" si="9208">+CG410/CB410-1</f>
        <v>0.17118574677786214</v>
      </c>
      <c r="CH411" s="239">
        <f t="shared" ref="CH411" si="9209">+CH410/CC410-1</f>
        <v>0.17883631713554982</v>
      </c>
      <c r="CI411" s="13">
        <f>+CI410/CD410-1</f>
        <v>0.16197771587743737</v>
      </c>
      <c r="CJ411" s="13">
        <f t="shared" ref="CJ411" si="9210">+CJ410/CE410-1</f>
        <v>0.15336029516106153</v>
      </c>
      <c r="CK411" s="13">
        <f t="shared" ref="CK411" si="9211">+CK410/CF410-1</f>
        <v>0.1452784270589853</v>
      </c>
      <c r="CL411" s="13">
        <f t="shared" ref="CL411" si="9212">+CL410/CG410-1</f>
        <v>0.13768369115882106</v>
      </c>
      <c r="CM411" s="239">
        <f t="shared" ref="CM411" si="9213">+CM410/CH410-1</f>
        <v>0.14925558659217897</v>
      </c>
      <c r="CN411" s="13">
        <f>+CN410/CI410-1</f>
        <v>0.12891747888239125</v>
      </c>
      <c r="CO411" s="13">
        <f t="shared" ref="CO411" si="9214">+CO410/CJ410-1</f>
        <v>0.12058674439234585</v>
      </c>
      <c r="CP411" s="13">
        <f t="shared" ref="CP411" si="9215">+CP410/CK410-1</f>
        <v>0.11265982440954625</v>
      </c>
      <c r="CQ411" s="13">
        <f t="shared" ref="CQ411" si="9216">+CQ410/CL410-1</f>
        <v>0.1051080526379331</v>
      </c>
      <c r="CR411" s="239">
        <f t="shared" ref="CR411" si="9217">+CR410/CM410-1</f>
        <v>0.11657466516460158</v>
      </c>
      <c r="CS411" s="13">
        <f>+CS410/CN410-1</f>
        <v>0.10376333886649292</v>
      </c>
      <c r="CT411" s="13">
        <f t="shared" ref="CT411" si="9218">+CT410/CO410-1</f>
        <v>0.10246592894583584</v>
      </c>
      <c r="CU411" s="13">
        <f t="shared" ref="CU411" si="9219">+CU410/CP410-1</f>
        <v>0.10121336996336994</v>
      </c>
      <c r="CV411" s="13">
        <f t="shared" ref="CV411" si="9220">+CV410/CQ410-1</f>
        <v>0.10000337571733997</v>
      </c>
      <c r="CW411" s="239">
        <f t="shared" ref="CW411" si="9221">+CW410/CR410-1</f>
        <v>0.10183418971191061</v>
      </c>
      <c r="CX411" s="13">
        <f>+CX410/CS410-1</f>
        <v>9.8833812790440234E-2</v>
      </c>
      <c r="CY411" s="13">
        <f t="shared" ref="CY411" si="9222">+CY410/CT410-1</f>
        <v>9.770268799651749E-2</v>
      </c>
      <c r="CZ411" s="13">
        <f t="shared" ref="CZ411" si="9223">+CZ410/CU410-1</f>
        <v>9.6608137044967624E-2</v>
      </c>
      <c r="DA411" s="13">
        <f t="shared" ref="DA411" si="9224">+DA410/CV410-1</f>
        <v>9.5548414287219385E-2</v>
      </c>
      <c r="DB411" s="239">
        <f t="shared" ref="DB411" si="9225">+DB410/CW410-1</f>
        <v>9.7150952560850268E-2</v>
      </c>
    </row>
    <row r="412" spans="1:106">
      <c r="A412" s="117" t="s">
        <v>288</v>
      </c>
      <c r="F412" s="217"/>
      <c r="K412" s="217"/>
      <c r="P412" s="217"/>
      <c r="U412" s="217"/>
      <c r="V412" s="119" t="s">
        <v>290</v>
      </c>
      <c r="W412" s="13" t="e">
        <f>+W410/V410-1</f>
        <v>#DIV/0!</v>
      </c>
      <c r="X412" s="13" t="e">
        <f t="shared" ref="X412:Y412" si="9226">+X410/W410-1</f>
        <v>#DIV/0!</v>
      </c>
      <c r="Y412" s="13" t="e">
        <f t="shared" si="9226"/>
        <v>#DIV/0!</v>
      </c>
      <c r="Z412" s="235" t="s">
        <v>290</v>
      </c>
      <c r="AA412" s="13" t="e">
        <f>+AA410/Y410-1</f>
        <v>#DIV/0!</v>
      </c>
      <c r="AB412" s="13" t="e">
        <f>+AB410/AA410-1</f>
        <v>#DIV/0!</v>
      </c>
      <c r="AC412" s="13" t="e">
        <f t="shared" ref="AC412:AD412" si="9227">+AC410/AB410-1</f>
        <v>#DIV/0!</v>
      </c>
      <c r="AD412" s="13" t="e">
        <f t="shared" si="9227"/>
        <v>#DIV/0!</v>
      </c>
      <c r="AE412" s="235" t="s">
        <v>290</v>
      </c>
      <c r="AF412" s="13" t="e">
        <f>+AF410/AD410-1</f>
        <v>#DIV/0!</v>
      </c>
      <c r="AG412" s="13" t="e">
        <f>+AG410/AF410-1</f>
        <v>#DIV/0!</v>
      </c>
      <c r="AH412" s="13" t="e">
        <f t="shared" ref="AH412:AI412" si="9228">+AH410/AG410-1</f>
        <v>#DIV/0!</v>
      </c>
      <c r="AI412" s="13" t="e">
        <f t="shared" si="9228"/>
        <v>#DIV/0!</v>
      </c>
      <c r="AJ412" s="235" t="s">
        <v>290</v>
      </c>
      <c r="AK412" s="13" t="e">
        <f>+AK410/AI410-1</f>
        <v>#DIV/0!</v>
      </c>
      <c r="AL412" s="13" t="e">
        <f>+AL410/AK410-1</f>
        <v>#DIV/0!</v>
      </c>
      <c r="AM412" s="13" t="e">
        <f t="shared" ref="AM412:AN412" si="9229">+AM410/AL410-1</f>
        <v>#DIV/0!</v>
      </c>
      <c r="AN412" s="13" t="e">
        <f t="shared" si="9229"/>
        <v>#DIV/0!</v>
      </c>
      <c r="AO412" s="235" t="s">
        <v>290</v>
      </c>
      <c r="AP412" s="13" t="e">
        <f>+AP410/AN410-1</f>
        <v>#DIV/0!</v>
      </c>
      <c r="AQ412" s="13" t="e">
        <f>+AQ410/AP410-1</f>
        <v>#DIV/0!</v>
      </c>
      <c r="AR412" s="13" t="e">
        <f t="shared" ref="AR412:AS412" si="9230">+AR410/AQ410-1</f>
        <v>#DIV/0!</v>
      </c>
      <c r="AS412" s="13" t="e">
        <f t="shared" si="9230"/>
        <v>#DIV/0!</v>
      </c>
      <c r="AT412" s="235" t="s">
        <v>290</v>
      </c>
      <c r="AU412" s="13" t="e">
        <f>+AU410/AS410-1</f>
        <v>#DIV/0!</v>
      </c>
      <c r="AV412" s="13">
        <f>+AV410/AU410-1</f>
        <v>3.4999999999999991</v>
      </c>
      <c r="AW412" s="13">
        <f t="shared" ref="AW412:AX412" si="9231">+AW410/AV410-1</f>
        <v>0.33333333333333348</v>
      </c>
      <c r="AX412" s="13">
        <f t="shared" si="9231"/>
        <v>0.66666666666666674</v>
      </c>
      <c r="AY412" s="235" t="s">
        <v>290</v>
      </c>
      <c r="AZ412" s="13">
        <f>+AZ410/AX410-1</f>
        <v>0.37447777777777747</v>
      </c>
      <c r="BA412" s="13">
        <f>+BA410/AZ410-1</f>
        <v>0.28226477935054128</v>
      </c>
      <c r="BB412" s="13">
        <f t="shared" ref="BB412:BC412" si="9232">+BB410/BA410-1</f>
        <v>0.22012987012987018</v>
      </c>
      <c r="BC412" s="13">
        <f t="shared" si="9232"/>
        <v>0.20808940926024477</v>
      </c>
      <c r="BD412" s="235" t="s">
        <v>290</v>
      </c>
      <c r="BE412" s="13">
        <f>+BE410/BC410-1</f>
        <v>0.16657709251101327</v>
      </c>
      <c r="BF412" s="13">
        <f>+BF410/BE410-1</f>
        <v>0.18436406067677935</v>
      </c>
      <c r="BG412" s="13">
        <f t="shared" ref="BG412:BH412" si="9233">+BG410/BF410-1</f>
        <v>9.8850574712643802E-2</v>
      </c>
      <c r="BH412" s="13">
        <f t="shared" si="9233"/>
        <v>0.15944411237298262</v>
      </c>
      <c r="BI412" s="235" t="s">
        <v>290</v>
      </c>
      <c r="BJ412" s="13">
        <f>+BJ410/BH410-1</f>
        <v>0.10354298234308534</v>
      </c>
      <c r="BK412" s="13">
        <f>+BK410/BJ410-1</f>
        <v>0.17635029471911445</v>
      </c>
      <c r="BL412" s="13">
        <f t="shared" ref="BL412:BM412" si="9234">+BL410/BK410-1</f>
        <v>0.15768483485018936</v>
      </c>
      <c r="BM412" s="13">
        <f t="shared" si="9234"/>
        <v>9.5927921561699492E-2</v>
      </c>
      <c r="BN412" s="235" t="s">
        <v>290</v>
      </c>
      <c r="BO412" s="13">
        <f>+BO410/BM410-1</f>
        <v>7.8814378979608524E-2</v>
      </c>
      <c r="BP412" s="13">
        <f>+BP410/BO410-1</f>
        <v>4.5248172373989926E-2</v>
      </c>
      <c r="BQ412" s="13">
        <f t="shared" ref="BQ412:BR412" si="9235">+BQ410/BP410-1</f>
        <v>4.3289405874990861E-2</v>
      </c>
      <c r="BR412" s="13">
        <f t="shared" si="9235"/>
        <v>4.1493190318255602E-2</v>
      </c>
      <c r="BS412" s="235" t="s">
        <v>290</v>
      </c>
      <c r="BT412" s="13">
        <f>+BT410/BR410-1</f>
        <v>5.2471712175621965E-2</v>
      </c>
      <c r="BU412" s="13">
        <f>+BU410/BT410-1</f>
        <v>4.4028910549698264E-2</v>
      </c>
      <c r="BV412" s="13">
        <f t="shared" ref="BV412:BW412" si="9236">+BV410/BU410-1</f>
        <v>4.2172118132740577E-2</v>
      </c>
      <c r="BW412" s="13">
        <f t="shared" si="9236"/>
        <v>4.0465598147358062E-2</v>
      </c>
      <c r="BX412" s="235" t="s">
        <v>290</v>
      </c>
      <c r="BY412" s="13">
        <f>+BY410/BW410-1</f>
        <v>7.0903180460376136E-2</v>
      </c>
      <c r="BZ412" s="13">
        <f>+BZ410/BY410-1</f>
        <v>3.8195031265844115E-2</v>
      </c>
      <c r="CA412" s="13">
        <f t="shared" ref="CA412:CB412" si="9237">+CA410/BZ410-1</f>
        <v>3.6789842096695446E-2</v>
      </c>
      <c r="CB412" s="13">
        <f t="shared" si="9237"/>
        <v>3.5484377453289362E-2</v>
      </c>
      <c r="CC412" s="235" t="s">
        <v>290</v>
      </c>
      <c r="CD412" s="13">
        <f>+CD410/CB410-1</f>
        <v>6.5296436694465498E-2</v>
      </c>
      <c r="CE412" s="13">
        <f>+CE410/CD410-1</f>
        <v>3.313297170502838E-2</v>
      </c>
      <c r="CF412" s="13">
        <f t="shared" ref="CF412:CG412" si="9238">+CF410/CE410-1</f>
        <v>3.2070384560806131E-2</v>
      </c>
      <c r="CG412" s="13">
        <f t="shared" si="9238"/>
        <v>3.1073834731197625E-2</v>
      </c>
      <c r="CH412" s="235" t="s">
        <v>290</v>
      </c>
      <c r="CI412" s="13">
        <f>+CI410/CG410-1</f>
        <v>5.6920922789705175E-2</v>
      </c>
      <c r="CJ412" s="13">
        <f>+CJ410/CI410-1</f>
        <v>2.5471085120208015E-2</v>
      </c>
      <c r="CK412" s="13">
        <f t="shared" ref="CK412:CL412" si="9239">+CK410/CJ410-1</f>
        <v>2.4838423520466391E-2</v>
      </c>
      <c r="CL412" s="13">
        <f t="shared" si="9239"/>
        <v>2.4236428836404089E-2</v>
      </c>
      <c r="CM412" s="235" t="s">
        <v>290</v>
      </c>
      <c r="CN412" s="13">
        <f>+CN410/CL410-1</f>
        <v>4.8777013159483129E-2</v>
      </c>
      <c r="CO412" s="13">
        <f>+CO410/CN410-1</f>
        <v>1.7903723025847862E-2</v>
      </c>
      <c r="CP412" s="13">
        <f t="shared" ref="CP412:CQ412" si="9240">+CP410/CO410-1</f>
        <v>1.7588817705300075E-2</v>
      </c>
      <c r="CQ412" s="13">
        <f t="shared" si="9240"/>
        <v>1.7284798534798362E-2</v>
      </c>
      <c r="CR412" s="235" t="s">
        <v>290</v>
      </c>
      <c r="CS412" s="13">
        <f>+CS410/CQ410-1</f>
        <v>4.7500843929334957E-2</v>
      </c>
      <c r="CT412" s="13">
        <f>+CT410/CS410-1</f>
        <v>1.6707236114184454E-2</v>
      </c>
      <c r="CU412" s="13">
        <f t="shared" ref="CU412:CV412" si="9241">+CU410/CT410-1</f>
        <v>1.6432691261290877E-2</v>
      </c>
      <c r="CV412" s="13">
        <f t="shared" si="9241"/>
        <v>1.6167023554603865E-2</v>
      </c>
      <c r="CW412" s="235" t="s">
        <v>290</v>
      </c>
      <c r="CX412" s="13">
        <f>+CX410/CV410-1</f>
        <v>4.6387103571804644E-2</v>
      </c>
      <c r="CY412" s="13">
        <f>+CY410/CX410-1</f>
        <v>1.5660651317154217E-2</v>
      </c>
      <c r="CZ412" s="13">
        <f t="shared" ref="CZ412:DA412" si="9242">+CZ410/CY410-1</f>
        <v>1.5419176963136882E-2</v>
      </c>
      <c r="DA412" s="13">
        <f t="shared" si="9242"/>
        <v>1.5185036202735258E-2</v>
      </c>
      <c r="DB412" s="235" t="s">
        <v>290</v>
      </c>
    </row>
    <row r="413" spans="1:106">
      <c r="A413" s="117" t="s">
        <v>505</v>
      </c>
      <c r="F413" s="217"/>
      <c r="K413" s="217"/>
      <c r="P413" s="217"/>
      <c r="U413" s="217"/>
      <c r="V413" s="13">
        <f t="shared" ref="V413:Y413" si="9243">+V410/V407</f>
        <v>0</v>
      </c>
      <c r="W413" s="13">
        <f t="shared" si="9243"/>
        <v>0</v>
      </c>
      <c r="X413" s="13">
        <f t="shared" si="9243"/>
        <v>0</v>
      </c>
      <c r="Y413" s="13">
        <f t="shared" si="9243"/>
        <v>0</v>
      </c>
      <c r="Z413" s="239">
        <f>+Z410/Z407</f>
        <v>0</v>
      </c>
      <c r="AA413" s="13">
        <f t="shared" ref="AA413:CL413" si="9244">+AA410/AA407</f>
        <v>0</v>
      </c>
      <c r="AB413" s="13">
        <f t="shared" si="9244"/>
        <v>0</v>
      </c>
      <c r="AC413" s="13">
        <f t="shared" si="9244"/>
        <v>0</v>
      </c>
      <c r="AD413" s="13">
        <f t="shared" si="9244"/>
        <v>0</v>
      </c>
      <c r="AE413" s="239">
        <f t="shared" si="9244"/>
        <v>0</v>
      </c>
      <c r="AF413" s="13">
        <f t="shared" si="9244"/>
        <v>0</v>
      </c>
      <c r="AG413" s="13">
        <f t="shared" si="9244"/>
        <v>0</v>
      </c>
      <c r="AH413" s="13">
        <f t="shared" si="9244"/>
        <v>0</v>
      </c>
      <c r="AI413" s="13">
        <f t="shared" si="9244"/>
        <v>0</v>
      </c>
      <c r="AJ413" s="239">
        <f t="shared" si="9244"/>
        <v>0</v>
      </c>
      <c r="AK413" s="13">
        <f t="shared" si="9244"/>
        <v>0</v>
      </c>
      <c r="AL413" s="13">
        <f t="shared" si="9244"/>
        <v>0</v>
      </c>
      <c r="AM413" s="13">
        <f t="shared" si="9244"/>
        <v>0</v>
      </c>
      <c r="AN413" s="13">
        <f t="shared" si="9244"/>
        <v>0</v>
      </c>
      <c r="AO413" s="239">
        <f t="shared" si="9244"/>
        <v>0</v>
      </c>
      <c r="AP413" s="13">
        <f t="shared" si="9244"/>
        <v>0</v>
      </c>
      <c r="AQ413" s="13">
        <f t="shared" si="9244"/>
        <v>0</v>
      </c>
      <c r="AR413" s="13">
        <f t="shared" si="9244"/>
        <v>0</v>
      </c>
      <c r="AS413" s="13">
        <f t="shared" si="9244"/>
        <v>0</v>
      </c>
      <c r="AT413" s="239">
        <f t="shared" si="9244"/>
        <v>0</v>
      </c>
      <c r="AU413" s="13">
        <f t="shared" si="9244"/>
        <v>2.1176470588235298E-4</v>
      </c>
      <c r="AV413" s="13">
        <f t="shared" si="9244"/>
        <v>9.5294117647058815E-4</v>
      </c>
      <c r="AW413" s="13">
        <f t="shared" si="9244"/>
        <v>1.2705882352941178E-3</v>
      </c>
      <c r="AX413" s="13">
        <f t="shared" si="9244"/>
        <v>2.1176470588235297E-3</v>
      </c>
      <c r="AY413" s="239">
        <f t="shared" si="9244"/>
        <v>1.1382352941176471E-3</v>
      </c>
      <c r="AZ413" s="13">
        <f t="shared" si="9244"/>
        <v>2.8258823529411759E-3</v>
      </c>
      <c r="BA413" s="13">
        <f t="shared" si="9244"/>
        <v>3.6235294117647051E-3</v>
      </c>
      <c r="BB413" s="13">
        <f t="shared" si="9244"/>
        <v>4.4211764705882348E-3</v>
      </c>
      <c r="BC413" s="13">
        <f t="shared" si="9244"/>
        <v>5.3411764705882346E-3</v>
      </c>
      <c r="BD413" s="239">
        <f t="shared" si="9244"/>
        <v>4.0529411764705882E-3</v>
      </c>
      <c r="BE413" s="13">
        <f t="shared" si="9244"/>
        <v>6.0494117647058813E-3</v>
      </c>
      <c r="BF413" s="13">
        <f t="shared" si="9244"/>
        <v>7.1647058823529394E-3</v>
      </c>
      <c r="BG413" s="13">
        <f t="shared" si="9244"/>
        <v>7.8729411764705878E-3</v>
      </c>
      <c r="BH413" s="13">
        <f t="shared" si="9244"/>
        <v>9.1282352941176453E-3</v>
      </c>
      <c r="BI413" s="239">
        <f t="shared" si="9244"/>
        <v>7.5538235294117639E-3</v>
      </c>
      <c r="BJ413" s="13">
        <f t="shared" si="9244"/>
        <v>9.7800000000000005E-3</v>
      </c>
      <c r="BK413" s="13">
        <f t="shared" si="9244"/>
        <v>1.1504705882352939E-2</v>
      </c>
      <c r="BL413" s="13">
        <f t="shared" si="9244"/>
        <v>1.3318823529411765E-2</v>
      </c>
      <c r="BM413" s="13">
        <f t="shared" si="9244"/>
        <v>1.4596470588235294E-2</v>
      </c>
      <c r="BN413" s="239">
        <f t="shared" si="9244"/>
        <v>1.2300000000000002E-2</v>
      </c>
      <c r="BO413" s="13">
        <f t="shared" si="9244"/>
        <v>1.5288235294117649E-2</v>
      </c>
      <c r="BP413" s="13">
        <f t="shared" si="9244"/>
        <v>1.5980000000000001E-2</v>
      </c>
      <c r="BQ413" s="13">
        <f t="shared" si="9244"/>
        <v>1.6671764705882355E-2</v>
      </c>
      <c r="BR413" s="13">
        <f t="shared" si="9244"/>
        <v>1.7363529411764708E-2</v>
      </c>
      <c r="BS413" s="239">
        <f t="shared" si="9244"/>
        <v>1.632588235294118E-2</v>
      </c>
      <c r="BT413" s="13">
        <f t="shared" si="9244"/>
        <v>1.7742352941176476E-2</v>
      </c>
      <c r="BU413" s="13">
        <f t="shared" si="9244"/>
        <v>1.852352941176471E-2</v>
      </c>
      <c r="BV413" s="13">
        <f t="shared" si="9244"/>
        <v>1.930470588235295E-2</v>
      </c>
      <c r="BW413" s="13">
        <f t="shared" si="9244"/>
        <v>2.0085882352941183E-2</v>
      </c>
      <c r="BX413" s="239">
        <f t="shared" si="9244"/>
        <v>1.8914117647058828E-2</v>
      </c>
      <c r="BY413" s="13">
        <f t="shared" si="9244"/>
        <v>2.0883529411764711E-2</v>
      </c>
      <c r="BZ413" s="13">
        <f t="shared" si="9244"/>
        <v>2.1681176470588242E-2</v>
      </c>
      <c r="CA413" s="13">
        <f t="shared" si="9244"/>
        <v>2.2478823529411773E-2</v>
      </c>
      <c r="CB413" s="13">
        <f t="shared" si="9244"/>
        <v>2.3276470588235301E-2</v>
      </c>
      <c r="CC413" s="239">
        <f t="shared" si="9244"/>
        <v>2.2080000000000006E-2</v>
      </c>
      <c r="CD413" s="13">
        <f t="shared" si="9244"/>
        <v>2.4074117647058833E-2</v>
      </c>
      <c r="CE413" s="13">
        <f t="shared" si="9244"/>
        <v>2.4871764705882361E-2</v>
      </c>
      <c r="CF413" s="13">
        <f t="shared" si="9244"/>
        <v>2.5669411764705892E-2</v>
      </c>
      <c r="CG413" s="13">
        <f t="shared" si="9244"/>
        <v>2.6467058823529423E-2</v>
      </c>
      <c r="CH413" s="239">
        <f t="shared" si="9244"/>
        <v>2.5270588235294125E-2</v>
      </c>
      <c r="CI413" s="13">
        <f t="shared" si="9244"/>
        <v>2.715882352941177E-2</v>
      </c>
      <c r="CJ413" s="13">
        <f t="shared" si="9244"/>
        <v>2.7850588235294124E-2</v>
      </c>
      <c r="CK413" s="13">
        <f t="shared" si="9244"/>
        <v>2.8542352941176477E-2</v>
      </c>
      <c r="CL413" s="13">
        <f t="shared" si="9244"/>
        <v>2.9234117647058831E-2</v>
      </c>
      <c r="CM413" s="239">
        <f t="shared" ref="CM413:DB413" si="9245">+CM410/CM407</f>
        <v>2.8196470588235299E-2</v>
      </c>
      <c r="CN413" s="13">
        <f t="shared" si="9245"/>
        <v>2.9767058823529417E-2</v>
      </c>
      <c r="CO413" s="13">
        <f t="shared" si="9245"/>
        <v>3.0300000000000007E-2</v>
      </c>
      <c r="CP413" s="13">
        <f t="shared" si="9245"/>
        <v>3.0832941176470598E-2</v>
      </c>
      <c r="CQ413" s="13">
        <f t="shared" si="9245"/>
        <v>3.1365882352941181E-2</v>
      </c>
      <c r="CR413" s="239">
        <f t="shared" si="9245"/>
        <v>3.0566470588235299E-2</v>
      </c>
      <c r="CS413" s="13">
        <f t="shared" si="9245"/>
        <v>3.1898823529411778E-2</v>
      </c>
      <c r="CT413" s="13">
        <f t="shared" si="9245"/>
        <v>3.2431764705882361E-2</v>
      </c>
      <c r="CU413" s="13">
        <f t="shared" si="9245"/>
        <v>3.2964705882352952E-2</v>
      </c>
      <c r="CV413" s="13">
        <f t="shared" si="9245"/>
        <v>3.3497647058823542E-2</v>
      </c>
      <c r="CW413" s="239">
        <f t="shared" si="9245"/>
        <v>3.269823529411766E-2</v>
      </c>
      <c r="CX413" s="13">
        <f>+CX410/CX407</f>
        <v>3.4030588235294118E-2</v>
      </c>
      <c r="CY413" s="13">
        <f>+CY410/CY407</f>
        <v>3.4563529411764715E-2</v>
      </c>
      <c r="CZ413" s="13">
        <f t="shared" si="9245"/>
        <v>3.5096470588235298E-2</v>
      </c>
      <c r="DA413" s="13">
        <f t="shared" si="9245"/>
        <v>3.5629411764705889E-2</v>
      </c>
      <c r="DB413" s="239">
        <f t="shared" si="9245"/>
        <v>3.4830000000000007E-2</v>
      </c>
    </row>
    <row r="414" spans="1:106">
      <c r="F414" s="217"/>
      <c r="K414" s="217"/>
      <c r="P414" s="217"/>
      <c r="U414" s="217"/>
      <c r="Z414" s="217"/>
      <c r="AE414" s="217"/>
      <c r="AJ414" s="217"/>
      <c r="AO414" s="217"/>
      <c r="AT414" s="217"/>
      <c r="AY414" s="217"/>
      <c r="BD414" s="217"/>
      <c r="BI414" s="217"/>
      <c r="BN414" s="217"/>
      <c r="BS414" s="217"/>
      <c r="BX414" s="217"/>
      <c r="CC414" s="217"/>
      <c r="CH414" s="217"/>
      <c r="CM414" s="217"/>
      <c r="CR414" s="217"/>
      <c r="CW414" s="217"/>
      <c r="DB414" s="217"/>
    </row>
    <row r="415" spans="1:106" s="128" customFormat="1">
      <c r="A415" s="128" t="s">
        <v>350</v>
      </c>
      <c r="F415" s="244"/>
      <c r="K415" s="244"/>
      <c r="P415" s="244"/>
      <c r="U415" s="244"/>
      <c r="Z415" s="244"/>
      <c r="AE415" s="244"/>
      <c r="AJ415" s="244"/>
      <c r="AO415" s="244"/>
      <c r="AT415" s="244"/>
      <c r="AY415" s="244"/>
      <c r="BD415" s="244"/>
      <c r="BI415" s="244"/>
      <c r="BN415" s="244"/>
      <c r="BS415" s="244"/>
      <c r="BX415" s="244"/>
      <c r="CC415" s="244"/>
      <c r="CH415" s="244"/>
      <c r="CM415" s="244"/>
      <c r="CR415" s="244"/>
      <c r="CW415" s="244"/>
      <c r="DB415" s="244"/>
    </row>
    <row r="416" spans="1:106" s="51" customFormat="1">
      <c r="A416" s="51" t="s">
        <v>345</v>
      </c>
      <c r="F416" s="233"/>
      <c r="K416" s="233"/>
      <c r="P416" s="233"/>
      <c r="U416" s="233"/>
      <c r="Z416" s="233"/>
      <c r="AE416" s="233"/>
      <c r="AJ416" s="233"/>
      <c r="AO416" s="233"/>
      <c r="AT416" s="233"/>
      <c r="AY416" s="233"/>
      <c r="AZ416" s="213">
        <f>+$BD$416/4</f>
        <v>50000</v>
      </c>
      <c r="BA416" s="213">
        <f>+$BD$416/4</f>
        <v>50000</v>
      </c>
      <c r="BB416" s="213">
        <f>+$BD$416/4</f>
        <v>50000</v>
      </c>
      <c r="BC416" s="213">
        <f>+$BD$416/4</f>
        <v>50000</v>
      </c>
      <c r="BD416" s="234">
        <v>200000</v>
      </c>
      <c r="BE416" s="213">
        <f>+$BD$416/4</f>
        <v>50000</v>
      </c>
      <c r="BF416" s="213">
        <f>+$BD$416/4</f>
        <v>50000</v>
      </c>
      <c r="BG416" s="213">
        <f>+$BD$416/4</f>
        <v>50000</v>
      </c>
      <c r="BH416" s="213">
        <f>+$BD$416/4</f>
        <v>50000</v>
      </c>
      <c r="BI416" s="234">
        <v>200000</v>
      </c>
      <c r="BJ416" s="213">
        <f>+$BD$416/4</f>
        <v>50000</v>
      </c>
      <c r="BK416" s="213">
        <f>+$BD$416/4</f>
        <v>50000</v>
      </c>
      <c r="BL416" s="213">
        <f>+$BD$416/4</f>
        <v>50000</v>
      </c>
      <c r="BM416" s="213">
        <f>+$BD$416/4</f>
        <v>50000</v>
      </c>
      <c r="BN416" s="234">
        <v>200000</v>
      </c>
      <c r="BO416" s="213">
        <f>+$BD$416/4</f>
        <v>50000</v>
      </c>
      <c r="BP416" s="213">
        <f>+$BD$416/4</f>
        <v>50000</v>
      </c>
      <c r="BQ416" s="213">
        <f>+$BD$416/4</f>
        <v>50000</v>
      </c>
      <c r="BR416" s="213">
        <f>+$BD$416/4</f>
        <v>50000</v>
      </c>
      <c r="BS416" s="234">
        <v>200000</v>
      </c>
      <c r="BT416" s="213">
        <f>+$BD$416/4</f>
        <v>50000</v>
      </c>
      <c r="BU416" s="213">
        <f>+$BD$416/4</f>
        <v>50000</v>
      </c>
      <c r="BV416" s="213">
        <f>+$BD$416/4</f>
        <v>50000</v>
      </c>
      <c r="BW416" s="213">
        <f>+$BD$416/4</f>
        <v>50000</v>
      </c>
      <c r="BX416" s="234">
        <v>200000</v>
      </c>
      <c r="BY416" s="213">
        <f>+$BD$416/4</f>
        <v>50000</v>
      </c>
      <c r="BZ416" s="213">
        <f>+$BD$416/4</f>
        <v>50000</v>
      </c>
      <c r="CA416" s="213">
        <f>+$BD$416/4</f>
        <v>50000</v>
      </c>
      <c r="CB416" s="213">
        <f>+$BD$416/4</f>
        <v>50000</v>
      </c>
      <c r="CC416" s="234">
        <v>200000</v>
      </c>
      <c r="CD416" s="213">
        <f>+$BD$416/4</f>
        <v>50000</v>
      </c>
      <c r="CE416" s="213">
        <f>+$BD$416/4</f>
        <v>50000</v>
      </c>
      <c r="CF416" s="213">
        <f>+$BD$416/4</f>
        <v>50000</v>
      </c>
      <c r="CG416" s="213">
        <f>+$BD$416/4</f>
        <v>50000</v>
      </c>
      <c r="CH416" s="234">
        <v>200000</v>
      </c>
      <c r="CI416" s="213">
        <f>+$BD$416/4</f>
        <v>50000</v>
      </c>
      <c r="CJ416" s="213">
        <f>+$BD$416/4</f>
        <v>50000</v>
      </c>
      <c r="CK416" s="213">
        <f>+$BD$416/4</f>
        <v>50000</v>
      </c>
      <c r="CL416" s="213">
        <f>+$BD$416/4</f>
        <v>50000</v>
      </c>
      <c r="CM416" s="234">
        <v>200000</v>
      </c>
      <c r="CN416" s="213">
        <f>+$BD$416/4</f>
        <v>50000</v>
      </c>
      <c r="CO416" s="213">
        <f>+$BD$416/4</f>
        <v>50000</v>
      </c>
      <c r="CP416" s="213">
        <f>+$BD$416/4</f>
        <v>50000</v>
      </c>
      <c r="CQ416" s="213">
        <f>+$BD$416/4</f>
        <v>50000</v>
      </c>
      <c r="CR416" s="234">
        <v>200000</v>
      </c>
      <c r="CS416" s="213">
        <f>+$BD$416/4</f>
        <v>50000</v>
      </c>
      <c r="CT416" s="213">
        <f>+$BD$416/4</f>
        <v>50000</v>
      </c>
      <c r="CU416" s="213">
        <f>+$BD$416/4</f>
        <v>50000</v>
      </c>
      <c r="CV416" s="213">
        <f>+$BD$416/4</f>
        <v>50000</v>
      </c>
      <c r="CW416" s="234">
        <v>200000</v>
      </c>
      <c r="CX416" s="213">
        <f>+$BD$416/4</f>
        <v>50000</v>
      </c>
      <c r="CY416" s="213">
        <f>+$BD$416/4</f>
        <v>50000</v>
      </c>
      <c r="CZ416" s="213">
        <f>+$BD$416/4</f>
        <v>50000</v>
      </c>
      <c r="DA416" s="213">
        <f>+$BD$416/4</f>
        <v>50000</v>
      </c>
      <c r="DB416" s="234">
        <v>200000</v>
      </c>
    </row>
    <row r="417" spans="1:106" s="51" customFormat="1">
      <c r="A417" s="51" t="s">
        <v>346</v>
      </c>
      <c r="F417" s="233"/>
      <c r="K417" s="233"/>
      <c r="P417" s="233"/>
      <c r="U417" s="233"/>
      <c r="Z417" s="233"/>
      <c r="AE417" s="233"/>
      <c r="AJ417" s="233"/>
      <c r="AO417" s="233"/>
      <c r="AT417" s="233"/>
      <c r="AY417" s="233"/>
      <c r="AZ417" s="213">
        <f>+AZ416*AZ420</f>
        <v>250</v>
      </c>
      <c r="BA417" s="213">
        <f t="shared" ref="BA417:BC417" si="9246">+BA416*BA420</f>
        <v>500</v>
      </c>
      <c r="BB417" s="213">
        <f t="shared" si="9246"/>
        <v>1000</v>
      </c>
      <c r="BC417" s="213">
        <f t="shared" si="9246"/>
        <v>1375</v>
      </c>
      <c r="BD417" s="234">
        <f>+AZ417+BA417+BB417+BC417</f>
        <v>3125</v>
      </c>
      <c r="BE417" s="213">
        <f>+BE416*BE420</f>
        <v>1500</v>
      </c>
      <c r="BF417" s="213">
        <f t="shared" ref="BF417" si="9247">+BF416*BF420</f>
        <v>1750.0000000000002</v>
      </c>
      <c r="BG417" s="213">
        <f t="shared" ref="BG417" si="9248">+BG416*BG420</f>
        <v>2000</v>
      </c>
      <c r="BH417" s="213">
        <f t="shared" ref="BH417" si="9249">+BH416*BH420</f>
        <v>2250</v>
      </c>
      <c r="BI417" s="234">
        <f>+BE417+BF417+BG417+BH417</f>
        <v>7500</v>
      </c>
      <c r="BJ417" s="213">
        <f>+BJ416*BJ420</f>
        <v>2500</v>
      </c>
      <c r="BK417" s="213">
        <f t="shared" ref="BK417" si="9250">+BK416*BK420</f>
        <v>2749.9999999999995</v>
      </c>
      <c r="BL417" s="213">
        <f t="shared" ref="BL417" si="9251">+BL416*BL420</f>
        <v>2999.9999999999995</v>
      </c>
      <c r="BM417" s="213">
        <f t="shared" ref="BM417" si="9252">+BM416*BM420</f>
        <v>3249.9999999999995</v>
      </c>
      <c r="BN417" s="234">
        <f>+BJ417+BK417+BL417+BM417</f>
        <v>11500</v>
      </c>
      <c r="BO417" s="213">
        <f>+BO416*BO420</f>
        <v>3499.9999999999995</v>
      </c>
      <c r="BP417" s="213">
        <f t="shared" ref="BP417" si="9253">+BP416*BP420</f>
        <v>3750</v>
      </c>
      <c r="BQ417" s="213">
        <f t="shared" ref="BQ417" si="9254">+BQ416*BQ420</f>
        <v>4000</v>
      </c>
      <c r="BR417" s="213">
        <f t="shared" ref="BR417" si="9255">+BR416*BR420</f>
        <v>4250</v>
      </c>
      <c r="BS417" s="234">
        <f>+BO417+BP417+BQ417+BR417</f>
        <v>15500</v>
      </c>
      <c r="BT417" s="213">
        <f>+BT416*BT420</f>
        <v>4375</v>
      </c>
      <c r="BU417" s="213">
        <f t="shared" ref="BU417" si="9256">+BU416*BU420</f>
        <v>4500.0000000000009</v>
      </c>
      <c r="BV417" s="213">
        <f t="shared" ref="BV417" si="9257">+BV416*BV420</f>
        <v>4625.0000000000009</v>
      </c>
      <c r="BW417" s="213">
        <f t="shared" ref="BW417" si="9258">+BW416*BW420</f>
        <v>4750.0000000000009</v>
      </c>
      <c r="BX417" s="234">
        <f>+BT417+BU417+BV417+BW417</f>
        <v>18250</v>
      </c>
      <c r="BY417" s="213">
        <f>+BY416*BY420</f>
        <v>4875.0000000000009</v>
      </c>
      <c r="BZ417" s="213">
        <f t="shared" ref="BZ417" si="9259">+BZ416*BZ420</f>
        <v>5000.0000000000009</v>
      </c>
      <c r="CA417" s="213">
        <f t="shared" ref="CA417" si="9260">+CA416*CA420</f>
        <v>5125.0000000000009</v>
      </c>
      <c r="CB417" s="213">
        <f t="shared" ref="CB417" si="9261">+CB416*CB420</f>
        <v>5250.0000000000009</v>
      </c>
      <c r="CC417" s="234">
        <f>+BY417+BZ417+CA417+CB417</f>
        <v>20250.000000000004</v>
      </c>
      <c r="CD417" s="213">
        <f>+CD416*CD420</f>
        <v>5375.0000000000009</v>
      </c>
      <c r="CE417" s="213">
        <f t="shared" ref="CE417" si="9262">+CE416*CE420</f>
        <v>5500.0000000000018</v>
      </c>
      <c r="CF417" s="213">
        <f t="shared" ref="CF417" si="9263">+CF416*CF420</f>
        <v>5625.0000000000018</v>
      </c>
      <c r="CG417" s="213">
        <f t="shared" ref="CG417" si="9264">+CG416*CG420</f>
        <v>5750.0000000000018</v>
      </c>
      <c r="CH417" s="234">
        <f>+CD417+CE417+CF417+CG417</f>
        <v>22250.000000000007</v>
      </c>
      <c r="CI417" s="213">
        <f>+CI416*CI420</f>
        <v>5875.0000000000018</v>
      </c>
      <c r="CJ417" s="213">
        <f t="shared" ref="CJ417" si="9265">+CJ416*CJ420</f>
        <v>6000.0000000000018</v>
      </c>
      <c r="CK417" s="213">
        <f t="shared" ref="CK417" si="9266">+CK416*CK420</f>
        <v>6125.0000000000018</v>
      </c>
      <c r="CL417" s="213">
        <f t="shared" ref="CL417" si="9267">+CL416*CL420</f>
        <v>6250.0000000000018</v>
      </c>
      <c r="CM417" s="234">
        <f>+CI417+CJ417+CK417+CL417</f>
        <v>24250.000000000007</v>
      </c>
      <c r="CN417" s="213">
        <f>+CN416*CN420</f>
        <v>6375.0000000000018</v>
      </c>
      <c r="CO417" s="213">
        <f t="shared" ref="CO417" si="9268">+CO416*CO420</f>
        <v>6500.0000000000018</v>
      </c>
      <c r="CP417" s="213">
        <f t="shared" ref="CP417" si="9269">+CP416*CP420</f>
        <v>6625.0000000000018</v>
      </c>
      <c r="CQ417" s="213">
        <f t="shared" ref="CQ417" si="9270">+CQ416*CQ420</f>
        <v>6750.0000000000018</v>
      </c>
      <c r="CR417" s="234">
        <f>+CN417+CO417+CP417+CQ417</f>
        <v>26250.000000000007</v>
      </c>
      <c r="CS417" s="213">
        <f>+CS416*CS420</f>
        <v>6875.0000000000018</v>
      </c>
      <c r="CT417" s="213">
        <f t="shared" ref="CT417" si="9271">+CT416*CT420</f>
        <v>7000.0000000000018</v>
      </c>
      <c r="CU417" s="213">
        <f t="shared" ref="CU417" si="9272">+CU416*CU420</f>
        <v>7125.0000000000018</v>
      </c>
      <c r="CV417" s="213">
        <f t="shared" ref="CV417" si="9273">+CV416*CV420</f>
        <v>7250.0000000000027</v>
      </c>
      <c r="CW417" s="234">
        <f>+CS417+CT417+CU417+CV417</f>
        <v>28250.000000000011</v>
      </c>
      <c r="CX417" s="213">
        <f>+CX416*CX420</f>
        <v>7375.0000000000027</v>
      </c>
      <c r="CY417" s="213">
        <f t="shared" ref="CY417" si="9274">+CY416*CY420</f>
        <v>7500.0000000000027</v>
      </c>
      <c r="CZ417" s="213">
        <f t="shared" ref="CZ417" si="9275">+CZ416*CZ420</f>
        <v>7625.0000000000027</v>
      </c>
      <c r="DA417" s="213">
        <f t="shared" ref="DA417" si="9276">+DA416*DA420</f>
        <v>7750.0000000000027</v>
      </c>
      <c r="DB417" s="234">
        <f>+CX417+CY417+CZ417+DA417</f>
        <v>30250.000000000011</v>
      </c>
    </row>
    <row r="418" spans="1:106">
      <c r="A418" s="117" t="s">
        <v>281</v>
      </c>
      <c r="F418" s="217"/>
      <c r="K418" s="217"/>
      <c r="P418" s="217"/>
      <c r="U418" s="217"/>
      <c r="Z418" s="217"/>
      <c r="AE418" s="217"/>
      <c r="AJ418" s="217"/>
      <c r="AO418" s="217"/>
      <c r="AT418" s="217"/>
      <c r="AY418" s="217"/>
      <c r="AZ418" s="119" t="s">
        <v>290</v>
      </c>
      <c r="BA418" s="119" t="s">
        <v>290</v>
      </c>
      <c r="BB418" s="119" t="s">
        <v>290</v>
      </c>
      <c r="BC418" s="119" t="s">
        <v>290</v>
      </c>
      <c r="BD418" s="235" t="s">
        <v>290</v>
      </c>
      <c r="BE418" s="119">
        <f t="shared" ref="BE418:CJ418" si="9277">+BE416/AZ416-1</f>
        <v>0</v>
      </c>
      <c r="BF418" s="13">
        <f t="shared" si="9277"/>
        <v>0</v>
      </c>
      <c r="BG418" s="13">
        <f t="shared" si="9277"/>
        <v>0</v>
      </c>
      <c r="BH418" s="13">
        <f t="shared" si="9277"/>
        <v>0</v>
      </c>
      <c r="BI418" s="239">
        <f t="shared" si="9277"/>
        <v>0</v>
      </c>
      <c r="BJ418" s="13">
        <f t="shared" si="9277"/>
        <v>0</v>
      </c>
      <c r="BK418" s="13">
        <f t="shared" si="9277"/>
        <v>0</v>
      </c>
      <c r="BL418" s="13">
        <f t="shared" si="9277"/>
        <v>0</v>
      </c>
      <c r="BM418" s="13">
        <f t="shared" si="9277"/>
        <v>0</v>
      </c>
      <c r="BN418" s="239">
        <f t="shared" si="9277"/>
        <v>0</v>
      </c>
      <c r="BO418" s="13">
        <f t="shared" si="9277"/>
        <v>0</v>
      </c>
      <c r="BP418" s="13">
        <f t="shared" si="9277"/>
        <v>0</v>
      </c>
      <c r="BQ418" s="13">
        <f t="shared" si="9277"/>
        <v>0</v>
      </c>
      <c r="BR418" s="13">
        <f t="shared" si="9277"/>
        <v>0</v>
      </c>
      <c r="BS418" s="239">
        <f t="shared" si="9277"/>
        <v>0</v>
      </c>
      <c r="BT418" s="13">
        <f t="shared" si="9277"/>
        <v>0</v>
      </c>
      <c r="BU418" s="13">
        <f t="shared" si="9277"/>
        <v>0</v>
      </c>
      <c r="BV418" s="13">
        <f t="shared" si="9277"/>
        <v>0</v>
      </c>
      <c r="BW418" s="13">
        <f t="shared" si="9277"/>
        <v>0</v>
      </c>
      <c r="BX418" s="239">
        <f t="shared" si="9277"/>
        <v>0</v>
      </c>
      <c r="BY418" s="13">
        <f t="shared" si="9277"/>
        <v>0</v>
      </c>
      <c r="BZ418" s="13">
        <f t="shared" si="9277"/>
        <v>0</v>
      </c>
      <c r="CA418" s="13">
        <f t="shared" si="9277"/>
        <v>0</v>
      </c>
      <c r="CB418" s="13">
        <f t="shared" si="9277"/>
        <v>0</v>
      </c>
      <c r="CC418" s="239">
        <f t="shared" si="9277"/>
        <v>0</v>
      </c>
      <c r="CD418" s="13">
        <f t="shared" si="9277"/>
        <v>0</v>
      </c>
      <c r="CE418" s="13">
        <f t="shared" si="9277"/>
        <v>0</v>
      </c>
      <c r="CF418" s="13">
        <f t="shared" si="9277"/>
        <v>0</v>
      </c>
      <c r="CG418" s="13">
        <f t="shared" si="9277"/>
        <v>0</v>
      </c>
      <c r="CH418" s="239">
        <f t="shared" si="9277"/>
        <v>0</v>
      </c>
      <c r="CI418" s="13">
        <f t="shared" si="9277"/>
        <v>0</v>
      </c>
      <c r="CJ418" s="13">
        <f t="shared" si="9277"/>
        <v>0</v>
      </c>
      <c r="CK418" s="13">
        <f t="shared" ref="CK418:DB418" si="9278">+CK416/CF416-1</f>
        <v>0</v>
      </c>
      <c r="CL418" s="13">
        <f t="shared" si="9278"/>
        <v>0</v>
      </c>
      <c r="CM418" s="239">
        <f t="shared" si="9278"/>
        <v>0</v>
      </c>
      <c r="CN418" s="13">
        <f t="shared" si="9278"/>
        <v>0</v>
      </c>
      <c r="CO418" s="13">
        <f t="shared" si="9278"/>
        <v>0</v>
      </c>
      <c r="CP418" s="13">
        <f t="shared" si="9278"/>
        <v>0</v>
      </c>
      <c r="CQ418" s="13">
        <f t="shared" si="9278"/>
        <v>0</v>
      </c>
      <c r="CR418" s="239">
        <f t="shared" si="9278"/>
        <v>0</v>
      </c>
      <c r="CS418" s="13">
        <f t="shared" si="9278"/>
        <v>0</v>
      </c>
      <c r="CT418" s="13">
        <f t="shared" si="9278"/>
        <v>0</v>
      </c>
      <c r="CU418" s="13">
        <f t="shared" si="9278"/>
        <v>0</v>
      </c>
      <c r="CV418" s="13">
        <f t="shared" si="9278"/>
        <v>0</v>
      </c>
      <c r="CW418" s="239">
        <f t="shared" si="9278"/>
        <v>0</v>
      </c>
      <c r="CX418" s="13">
        <f t="shared" si="9278"/>
        <v>0</v>
      </c>
      <c r="CY418" s="13">
        <f t="shared" si="9278"/>
        <v>0</v>
      </c>
      <c r="CZ418" s="13">
        <f t="shared" si="9278"/>
        <v>0</v>
      </c>
      <c r="DA418" s="13">
        <f t="shared" si="9278"/>
        <v>0</v>
      </c>
      <c r="DB418" s="239">
        <f t="shared" si="9278"/>
        <v>0</v>
      </c>
    </row>
    <row r="419" spans="1:106">
      <c r="A419" s="117" t="s">
        <v>288</v>
      </c>
      <c r="F419" s="217"/>
      <c r="K419" s="217"/>
      <c r="P419" s="217"/>
      <c r="U419" s="217"/>
      <c r="Z419" s="217"/>
      <c r="AE419" s="217"/>
      <c r="AJ419" s="217"/>
      <c r="AO419" s="217"/>
      <c r="AT419" s="217"/>
      <c r="AY419" s="217"/>
      <c r="AZ419" s="119" t="s">
        <v>290</v>
      </c>
      <c r="BA419" s="13">
        <f>+BA416/AZ416-1</f>
        <v>0</v>
      </c>
      <c r="BB419" s="13">
        <f>+BB416/BA416-1</f>
        <v>0</v>
      </c>
      <c r="BC419" s="13">
        <f>+BC416/BB416-1</f>
        <v>0</v>
      </c>
      <c r="BD419" s="235" t="s">
        <v>290</v>
      </c>
      <c r="BE419" s="13">
        <f>+BE416/BC416-1</f>
        <v>0</v>
      </c>
      <c r="BF419" s="13">
        <f>+BF416/BE416-1</f>
        <v>0</v>
      </c>
      <c r="BG419" s="13">
        <f>+BG416/BF416-1</f>
        <v>0</v>
      </c>
      <c r="BH419" s="13">
        <f>+BH416/BG416-1</f>
        <v>0</v>
      </c>
      <c r="BI419" s="235" t="s">
        <v>290</v>
      </c>
      <c r="BJ419" s="13">
        <f>+BJ416/BH416-1</f>
        <v>0</v>
      </c>
      <c r="BK419" s="13">
        <f>+BK416/BJ416-1</f>
        <v>0</v>
      </c>
      <c r="BL419" s="13">
        <f>+BL416/BK416-1</f>
        <v>0</v>
      </c>
      <c r="BM419" s="13">
        <f>+BM416/BL416-1</f>
        <v>0</v>
      </c>
      <c r="BN419" s="235" t="s">
        <v>290</v>
      </c>
      <c r="BO419" s="13">
        <f>+BO416/BM416-1</f>
        <v>0</v>
      </c>
      <c r="BP419" s="13">
        <f>+BP416/BO416-1</f>
        <v>0</v>
      </c>
      <c r="BQ419" s="13">
        <f>+BQ416/BP416-1</f>
        <v>0</v>
      </c>
      <c r="BR419" s="13">
        <f>+BR416/BQ416-1</f>
        <v>0</v>
      </c>
      <c r="BS419" s="235" t="s">
        <v>290</v>
      </c>
      <c r="BT419" s="13">
        <f>+BT416/BR416-1</f>
        <v>0</v>
      </c>
      <c r="BU419" s="13">
        <f>+BU416/BT416-1</f>
        <v>0</v>
      </c>
      <c r="BV419" s="13">
        <f>+BV416/BU416-1</f>
        <v>0</v>
      </c>
      <c r="BW419" s="13">
        <f>+BW416/BV416-1</f>
        <v>0</v>
      </c>
      <c r="BX419" s="235" t="s">
        <v>290</v>
      </c>
      <c r="BY419" s="13">
        <f>+BY416/BW416-1</f>
        <v>0</v>
      </c>
      <c r="BZ419" s="13">
        <f>+BZ416/BY416-1</f>
        <v>0</v>
      </c>
      <c r="CA419" s="13">
        <f>+CA416/BZ416-1</f>
        <v>0</v>
      </c>
      <c r="CB419" s="13">
        <f>+CB416/CA416-1</f>
        <v>0</v>
      </c>
      <c r="CC419" s="235" t="s">
        <v>290</v>
      </c>
      <c r="CD419" s="13">
        <f>+CD416/CB416-1</f>
        <v>0</v>
      </c>
      <c r="CE419" s="13">
        <f>+CE416/CD416-1</f>
        <v>0</v>
      </c>
      <c r="CF419" s="13">
        <f>+CF416/CE416-1</f>
        <v>0</v>
      </c>
      <c r="CG419" s="13">
        <f>+CG416/CF416-1</f>
        <v>0</v>
      </c>
      <c r="CH419" s="235" t="s">
        <v>290</v>
      </c>
      <c r="CI419" s="13">
        <f>+CI416/CG416-1</f>
        <v>0</v>
      </c>
      <c r="CJ419" s="13">
        <f>+CJ416/CI416-1</f>
        <v>0</v>
      </c>
      <c r="CK419" s="13">
        <f>+CK416/CJ416-1</f>
        <v>0</v>
      </c>
      <c r="CL419" s="13">
        <f>+CL416/CK416-1</f>
        <v>0</v>
      </c>
      <c r="CM419" s="235" t="s">
        <v>290</v>
      </c>
      <c r="CN419" s="13">
        <f>+CN416/CL416-1</f>
        <v>0</v>
      </c>
      <c r="CO419" s="13">
        <f>+CO416/CN416-1</f>
        <v>0</v>
      </c>
      <c r="CP419" s="13">
        <f>+CP416/CO416-1</f>
        <v>0</v>
      </c>
      <c r="CQ419" s="13">
        <f>+CQ416/CP416-1</f>
        <v>0</v>
      </c>
      <c r="CR419" s="235" t="s">
        <v>290</v>
      </c>
      <c r="CS419" s="13">
        <f>+CS416/CQ416-1</f>
        <v>0</v>
      </c>
      <c r="CT419" s="13">
        <f>+CT416/CS416-1</f>
        <v>0</v>
      </c>
      <c r="CU419" s="13">
        <f>+CU416/CT416-1</f>
        <v>0</v>
      </c>
      <c r="CV419" s="13">
        <f>+CV416/CU416-1</f>
        <v>0</v>
      </c>
      <c r="CW419" s="235" t="s">
        <v>290</v>
      </c>
      <c r="CX419" s="13">
        <f>+CX416/CV416-1</f>
        <v>0</v>
      </c>
      <c r="CY419" s="13">
        <f>+CY416/CX416-1</f>
        <v>0</v>
      </c>
      <c r="CZ419" s="13">
        <f>+CZ416/CY416-1</f>
        <v>0</v>
      </c>
      <c r="DA419" s="13">
        <f>+DA416/CZ416-1</f>
        <v>0</v>
      </c>
      <c r="DB419" s="235" t="s">
        <v>290</v>
      </c>
    </row>
    <row r="420" spans="1:106">
      <c r="A420" s="117" t="s">
        <v>505</v>
      </c>
      <c r="F420" s="217"/>
      <c r="K420" s="217"/>
      <c r="P420" s="217"/>
      <c r="U420" s="217"/>
      <c r="Z420" s="217"/>
      <c r="AE420" s="217"/>
      <c r="AJ420" s="217"/>
      <c r="AO420" s="217"/>
      <c r="AT420" s="217"/>
      <c r="AY420" s="217"/>
      <c r="AZ420" s="118">
        <v>5.0000000000000001E-3</v>
      </c>
      <c r="BA420" s="118">
        <v>0.01</v>
      </c>
      <c r="BB420" s="118">
        <v>0.02</v>
      </c>
      <c r="BC420" s="118">
        <v>2.75E-2</v>
      </c>
      <c r="BD420" s="239">
        <f>+BD417/BD416</f>
        <v>1.5625E-2</v>
      </c>
      <c r="BE420" s="118">
        <v>0.03</v>
      </c>
      <c r="BF420" s="118">
        <v>3.5000000000000003E-2</v>
      </c>
      <c r="BG420" s="118">
        <v>0.04</v>
      </c>
      <c r="BH420" s="118">
        <v>4.4999999999999998E-2</v>
      </c>
      <c r="BI420" s="239">
        <f>+BI417/BI416</f>
        <v>3.7499999999999999E-2</v>
      </c>
      <c r="BJ420" s="118">
        <f>+BH420+0.005</f>
        <v>4.9999999999999996E-2</v>
      </c>
      <c r="BK420" s="118">
        <f>+BJ420+0.005</f>
        <v>5.4999999999999993E-2</v>
      </c>
      <c r="BL420" s="118">
        <f>+BK420+0.005</f>
        <v>5.9999999999999991E-2</v>
      </c>
      <c r="BM420" s="118">
        <f>+BL420+0.005</f>
        <v>6.4999999999999988E-2</v>
      </c>
      <c r="BN420" s="239">
        <f>+BN417/BN416</f>
        <v>5.7500000000000002E-2</v>
      </c>
      <c r="BO420" s="118">
        <f>+BM420+0.005</f>
        <v>6.9999999999999993E-2</v>
      </c>
      <c r="BP420" s="118">
        <f>+BO420+0.005</f>
        <v>7.4999999999999997E-2</v>
      </c>
      <c r="BQ420" s="118">
        <f>+BP420+0.005</f>
        <v>0.08</v>
      </c>
      <c r="BR420" s="118">
        <f>+BQ420+0.005</f>
        <v>8.5000000000000006E-2</v>
      </c>
      <c r="BS420" s="239">
        <f>+BS417/BS416</f>
        <v>7.7499999999999999E-2</v>
      </c>
      <c r="BT420" s="118">
        <f>+BR420+0.0025</f>
        <v>8.7500000000000008E-2</v>
      </c>
      <c r="BU420" s="118">
        <f>+BT420+0.0025</f>
        <v>9.0000000000000011E-2</v>
      </c>
      <c r="BV420" s="118">
        <f>+BU420+0.0025</f>
        <v>9.2500000000000013E-2</v>
      </c>
      <c r="BW420" s="118">
        <f>+BV420+0.0025</f>
        <v>9.5000000000000015E-2</v>
      </c>
      <c r="BX420" s="239">
        <f>+BX417/BX416</f>
        <v>9.1249999999999998E-2</v>
      </c>
      <c r="BY420" s="118">
        <f>+BW420+0.0025</f>
        <v>9.7500000000000017E-2</v>
      </c>
      <c r="BZ420" s="118">
        <f>+BY420+0.0025</f>
        <v>0.10000000000000002</v>
      </c>
      <c r="CA420" s="118">
        <f>+BZ420+0.0025</f>
        <v>0.10250000000000002</v>
      </c>
      <c r="CB420" s="118">
        <f>+CA420+0.0025</f>
        <v>0.10500000000000002</v>
      </c>
      <c r="CC420" s="239">
        <f>+CC417/CC416</f>
        <v>0.10125000000000002</v>
      </c>
      <c r="CD420" s="118">
        <f>+CB420+0.0025</f>
        <v>0.10750000000000003</v>
      </c>
      <c r="CE420" s="118">
        <f>+CD420+0.0025</f>
        <v>0.11000000000000003</v>
      </c>
      <c r="CF420" s="118">
        <f>+CE420+0.0025</f>
        <v>0.11250000000000003</v>
      </c>
      <c r="CG420" s="118">
        <f>+CF420+0.0025</f>
        <v>0.11500000000000003</v>
      </c>
      <c r="CH420" s="239">
        <f>+CH417/CH416</f>
        <v>0.11125000000000004</v>
      </c>
      <c r="CI420" s="118">
        <f>+CG420+0.0025</f>
        <v>0.11750000000000003</v>
      </c>
      <c r="CJ420" s="118">
        <f>+CI420+0.0025</f>
        <v>0.12000000000000004</v>
      </c>
      <c r="CK420" s="118">
        <f>+CJ420+0.0025</f>
        <v>0.12250000000000004</v>
      </c>
      <c r="CL420" s="118">
        <f>+CK420+0.0025</f>
        <v>0.12500000000000003</v>
      </c>
      <c r="CM420" s="239">
        <f>+CM417/CM416</f>
        <v>0.12125000000000004</v>
      </c>
      <c r="CN420" s="118">
        <f>+CL420+0.0025</f>
        <v>0.12750000000000003</v>
      </c>
      <c r="CO420" s="118">
        <f>+CN420+0.0025</f>
        <v>0.13000000000000003</v>
      </c>
      <c r="CP420" s="118">
        <f>+CO420+0.0025</f>
        <v>0.13250000000000003</v>
      </c>
      <c r="CQ420" s="118">
        <f>+CP420+0.0025</f>
        <v>0.13500000000000004</v>
      </c>
      <c r="CR420" s="239">
        <f>+CR417/CR416</f>
        <v>0.13125000000000003</v>
      </c>
      <c r="CS420" s="118">
        <f>+CQ420+0.0025</f>
        <v>0.13750000000000004</v>
      </c>
      <c r="CT420" s="118">
        <f>+CS420+0.0025</f>
        <v>0.14000000000000004</v>
      </c>
      <c r="CU420" s="118">
        <f>+CT420+0.0025</f>
        <v>0.14250000000000004</v>
      </c>
      <c r="CV420" s="118">
        <f>+CU420+0.0025</f>
        <v>0.14500000000000005</v>
      </c>
      <c r="CW420" s="239">
        <f>+CW417/CW416</f>
        <v>0.14125000000000004</v>
      </c>
      <c r="CX420" s="118">
        <f>+CV420+0.0025</f>
        <v>0.14750000000000005</v>
      </c>
      <c r="CY420" s="118">
        <f>+CX420+0.0025</f>
        <v>0.15000000000000005</v>
      </c>
      <c r="CZ420" s="118">
        <f>+CY420+0.0025</f>
        <v>0.15250000000000005</v>
      </c>
      <c r="DA420" s="118">
        <f>+CZ420+0.0025</f>
        <v>0.15500000000000005</v>
      </c>
      <c r="DB420" s="239">
        <f>+DB417/DB416</f>
        <v>0.15125000000000005</v>
      </c>
    </row>
    <row r="421" spans="1:106">
      <c r="F421" s="217"/>
      <c r="K421" s="217"/>
      <c r="P421" s="217"/>
      <c r="U421" s="217"/>
      <c r="Z421" s="217"/>
      <c r="AE421" s="217"/>
      <c r="AJ421" s="217"/>
      <c r="AO421" s="217"/>
      <c r="AT421" s="217"/>
      <c r="AY421" s="217"/>
      <c r="BD421" s="217"/>
      <c r="BI421" s="217"/>
      <c r="BN421" s="217"/>
      <c r="BS421" s="217"/>
      <c r="BX421" s="217"/>
      <c r="CC421" s="217"/>
      <c r="CH421" s="217"/>
      <c r="CM421" s="217"/>
      <c r="CR421" s="217"/>
      <c r="CW421" s="217"/>
      <c r="DB421" s="217"/>
    </row>
    <row r="422" spans="1:106" s="128" customFormat="1">
      <c r="A422" s="128" t="s">
        <v>351</v>
      </c>
      <c r="F422" s="244"/>
      <c r="K422" s="244"/>
      <c r="P422" s="244"/>
      <c r="U422" s="244"/>
      <c r="Z422" s="244"/>
      <c r="AE422" s="244"/>
      <c r="AJ422" s="244"/>
      <c r="AO422" s="244"/>
      <c r="AT422" s="244"/>
      <c r="AY422" s="244"/>
      <c r="BD422" s="244"/>
      <c r="BI422" s="244"/>
      <c r="BN422" s="244"/>
      <c r="BS422" s="244"/>
      <c r="BX422" s="244"/>
      <c r="CC422" s="244"/>
      <c r="CH422" s="244"/>
      <c r="CM422" s="244"/>
      <c r="CR422" s="244"/>
      <c r="CW422" s="244"/>
      <c r="DB422" s="244"/>
    </row>
    <row r="423" spans="1:106" s="51" customFormat="1">
      <c r="A423" s="51" t="s">
        <v>347</v>
      </c>
      <c r="F423" s="233"/>
      <c r="K423" s="233"/>
      <c r="P423" s="233"/>
      <c r="U423" s="233"/>
      <c r="Z423" s="233"/>
      <c r="AE423" s="233"/>
      <c r="AJ423" s="233"/>
      <c r="AO423" s="233"/>
      <c r="AT423" s="233"/>
      <c r="AY423" s="233"/>
      <c r="AZ423" s="213">
        <f>+$BD$416/4</f>
        <v>50000</v>
      </c>
      <c r="BA423" s="213">
        <f>+$BD$416/4</f>
        <v>50000</v>
      </c>
      <c r="BB423" s="213">
        <f>+$BD$416/4</f>
        <v>50000</v>
      </c>
      <c r="BC423" s="213">
        <f>+$BD$416/4</f>
        <v>50000</v>
      </c>
      <c r="BD423" s="234">
        <v>230000</v>
      </c>
      <c r="BE423" s="213">
        <f>+$BD$416/4</f>
        <v>50000</v>
      </c>
      <c r="BF423" s="213">
        <f>+$BD$416/4</f>
        <v>50000</v>
      </c>
      <c r="BG423" s="213">
        <f>+$BD$416/4</f>
        <v>50000</v>
      </c>
      <c r="BH423" s="213">
        <f>+$BD$416/4</f>
        <v>50000</v>
      </c>
      <c r="BI423" s="234">
        <v>200000</v>
      </c>
      <c r="BJ423" s="213">
        <f>+$BD$416/4</f>
        <v>50000</v>
      </c>
      <c r="BK423" s="213">
        <f>+$BD$416/4</f>
        <v>50000</v>
      </c>
      <c r="BL423" s="213">
        <f>+$BD$416/4</f>
        <v>50000</v>
      </c>
      <c r="BM423" s="213">
        <f>+$BD$416/4</f>
        <v>50000</v>
      </c>
      <c r="BN423" s="234">
        <v>200000</v>
      </c>
      <c r="BO423" s="213">
        <f>+$BD$416/4</f>
        <v>50000</v>
      </c>
      <c r="BP423" s="213">
        <f>+$BD$416/4</f>
        <v>50000</v>
      </c>
      <c r="BQ423" s="213">
        <f>+$BD$416/4</f>
        <v>50000</v>
      </c>
      <c r="BR423" s="213">
        <f>+$BD$416/4</f>
        <v>50000</v>
      </c>
      <c r="BS423" s="234">
        <v>200000</v>
      </c>
      <c r="BT423" s="213">
        <f>+$BD$416/4</f>
        <v>50000</v>
      </c>
      <c r="BU423" s="213">
        <f>+$BD$416/4</f>
        <v>50000</v>
      </c>
      <c r="BV423" s="213">
        <f>+$BD$416/4</f>
        <v>50000</v>
      </c>
      <c r="BW423" s="213">
        <f>+$BD$416/4</f>
        <v>50000</v>
      </c>
      <c r="BX423" s="234">
        <v>200000</v>
      </c>
      <c r="BY423" s="213">
        <f>+$BD$416/4</f>
        <v>50000</v>
      </c>
      <c r="BZ423" s="213">
        <f>+$BD$416/4</f>
        <v>50000</v>
      </c>
      <c r="CA423" s="213">
        <f>+$BD$416/4</f>
        <v>50000</v>
      </c>
      <c r="CB423" s="213">
        <f>+$BD$416/4</f>
        <v>50000</v>
      </c>
      <c r="CC423" s="234">
        <v>200000</v>
      </c>
      <c r="CD423" s="213">
        <f>+$BD$416/4</f>
        <v>50000</v>
      </c>
      <c r="CE423" s="213">
        <f>+$BD$416/4</f>
        <v>50000</v>
      </c>
      <c r="CF423" s="213">
        <f>+$BD$416/4</f>
        <v>50000</v>
      </c>
      <c r="CG423" s="213">
        <f>+$BD$416/4</f>
        <v>50000</v>
      </c>
      <c r="CH423" s="234">
        <v>200000</v>
      </c>
      <c r="CI423" s="213">
        <f>+$BD$416/4</f>
        <v>50000</v>
      </c>
      <c r="CJ423" s="213">
        <f>+$BD$416/4</f>
        <v>50000</v>
      </c>
      <c r="CK423" s="213">
        <f>+$BD$416/4</f>
        <v>50000</v>
      </c>
      <c r="CL423" s="213">
        <f>+$BD$416/4</f>
        <v>50000</v>
      </c>
      <c r="CM423" s="234">
        <v>200000</v>
      </c>
      <c r="CN423" s="213">
        <f>+$BD$416/4</f>
        <v>50000</v>
      </c>
      <c r="CO423" s="213">
        <f>+$BD$416/4</f>
        <v>50000</v>
      </c>
      <c r="CP423" s="213">
        <f>+$BD$416/4</f>
        <v>50000</v>
      </c>
      <c r="CQ423" s="213">
        <f>+$BD$416/4</f>
        <v>50000</v>
      </c>
      <c r="CR423" s="234">
        <v>200000</v>
      </c>
      <c r="CS423" s="213">
        <f>+$BD$416/4</f>
        <v>50000</v>
      </c>
      <c r="CT423" s="213">
        <f>+$BD$416/4</f>
        <v>50000</v>
      </c>
      <c r="CU423" s="213">
        <f>+$BD$416/4</f>
        <v>50000</v>
      </c>
      <c r="CV423" s="213">
        <f>+$BD$416/4</f>
        <v>50000</v>
      </c>
      <c r="CW423" s="234">
        <v>200000</v>
      </c>
      <c r="CX423" s="213">
        <f>+$BD$416/4</f>
        <v>50000</v>
      </c>
      <c r="CY423" s="213">
        <f>+$BD$416/4</f>
        <v>50000</v>
      </c>
      <c r="CZ423" s="213">
        <f>+$BD$416/4</f>
        <v>50000</v>
      </c>
      <c r="DA423" s="213">
        <f>+$BD$416/4</f>
        <v>50000</v>
      </c>
      <c r="DB423" s="234">
        <v>200000</v>
      </c>
    </row>
    <row r="424" spans="1:106" s="51" customFormat="1">
      <c r="A424" s="51" t="s">
        <v>348</v>
      </c>
      <c r="F424" s="233"/>
      <c r="K424" s="233"/>
      <c r="P424" s="233"/>
      <c r="U424" s="233"/>
      <c r="Z424" s="233"/>
      <c r="AE424" s="233"/>
      <c r="AJ424" s="233"/>
      <c r="AO424" s="233"/>
      <c r="AT424" s="233"/>
      <c r="AY424" s="233"/>
      <c r="AZ424" s="213">
        <f>+AZ423*AZ427</f>
        <v>0</v>
      </c>
      <c r="BA424" s="213">
        <f t="shared" ref="BA424" si="9279">+BA423*BA427</f>
        <v>0</v>
      </c>
      <c r="BB424" s="213">
        <f t="shared" ref="BB424" si="9280">+BB423*BB427</f>
        <v>0</v>
      </c>
      <c r="BC424" s="213">
        <f t="shared" ref="BC424" si="9281">+BC423*BC427</f>
        <v>0</v>
      </c>
      <c r="BD424" s="234">
        <f>+AZ424+BA424+BB424+BC424</f>
        <v>0</v>
      </c>
      <c r="BE424" s="213">
        <f>+BE423*BE427</f>
        <v>250</v>
      </c>
      <c r="BF424" s="213">
        <f t="shared" ref="BF424" si="9282">+BF423*BF427</f>
        <v>500</v>
      </c>
      <c r="BG424" s="213">
        <f t="shared" ref="BG424" si="9283">+BG423*BG427</f>
        <v>1000</v>
      </c>
      <c r="BH424" s="213">
        <f t="shared" ref="BH424" si="9284">+BH423*BH427</f>
        <v>1375</v>
      </c>
      <c r="BI424" s="234">
        <f>+BE424+BF424+BG424+BH424</f>
        <v>3125</v>
      </c>
      <c r="BJ424" s="213">
        <f>+BJ423*BJ427</f>
        <v>1500</v>
      </c>
      <c r="BK424" s="213">
        <f t="shared" ref="BK424" si="9285">+BK423*BK427</f>
        <v>1750.0000000000002</v>
      </c>
      <c r="BL424" s="213">
        <f t="shared" ref="BL424" si="9286">+BL423*BL427</f>
        <v>2000</v>
      </c>
      <c r="BM424" s="213">
        <f t="shared" ref="BM424" si="9287">+BM423*BM427</f>
        <v>2250</v>
      </c>
      <c r="BN424" s="234">
        <f>+BJ424+BK424+BL424+BM424</f>
        <v>7500</v>
      </c>
      <c r="BO424" s="213">
        <f>+BO423*BO427</f>
        <v>2500</v>
      </c>
      <c r="BP424" s="213">
        <f>+BP423*BP427</f>
        <v>2749.9999999999995</v>
      </c>
      <c r="BQ424" s="213">
        <f>+BQ423*BQ427</f>
        <v>2999.9999999999995</v>
      </c>
      <c r="BR424" s="213">
        <f>+BR423*BR427</f>
        <v>3249.9999999999995</v>
      </c>
      <c r="BS424" s="234">
        <f>+BO424+BP424+BQ424+BR424</f>
        <v>11500</v>
      </c>
      <c r="BT424" s="213">
        <f>+BT423*BT427</f>
        <v>3499.9999999999995</v>
      </c>
      <c r="BU424" s="213">
        <f t="shared" ref="BU424" si="9288">+BU423*BU427</f>
        <v>3750</v>
      </c>
      <c r="BV424" s="213">
        <f t="shared" ref="BV424" si="9289">+BV423*BV427</f>
        <v>4000</v>
      </c>
      <c r="BW424" s="213">
        <f t="shared" ref="BW424" si="9290">+BW423*BW427</f>
        <v>4250</v>
      </c>
      <c r="BX424" s="234">
        <f>+BT424+BU424+BV424+BW424</f>
        <v>15500</v>
      </c>
      <c r="BY424" s="213">
        <f>+BY423*BY427</f>
        <v>4375</v>
      </c>
      <c r="BZ424" s="213">
        <f t="shared" ref="BZ424" si="9291">+BZ423*BZ427</f>
        <v>4500.0000000000009</v>
      </c>
      <c r="CA424" s="213">
        <f t="shared" ref="CA424" si="9292">+CA423*CA427</f>
        <v>4625.0000000000009</v>
      </c>
      <c r="CB424" s="213">
        <f t="shared" ref="CB424" si="9293">+CB423*CB427</f>
        <v>4750.0000000000009</v>
      </c>
      <c r="CC424" s="234">
        <f>+BY424+BZ424+CA424+CB424</f>
        <v>18250</v>
      </c>
      <c r="CD424" s="213">
        <f>+CD423*CD427</f>
        <v>4875.0000000000009</v>
      </c>
      <c r="CE424" s="213">
        <f t="shared" ref="CE424" si="9294">+CE423*CE427</f>
        <v>5000.0000000000009</v>
      </c>
      <c r="CF424" s="213">
        <f t="shared" ref="CF424" si="9295">+CF423*CF427</f>
        <v>5125.0000000000009</v>
      </c>
      <c r="CG424" s="213">
        <f t="shared" ref="CG424" si="9296">+CG423*CG427</f>
        <v>5250.0000000000009</v>
      </c>
      <c r="CH424" s="234">
        <f>+CD424+CE424+CF424+CG424</f>
        <v>20250.000000000004</v>
      </c>
      <c r="CI424" s="213">
        <f>+CI423*CI427</f>
        <v>5375.0000000000009</v>
      </c>
      <c r="CJ424" s="213">
        <f t="shared" ref="CJ424" si="9297">+CJ423*CJ427</f>
        <v>5500.0000000000018</v>
      </c>
      <c r="CK424" s="213">
        <f t="shared" ref="CK424" si="9298">+CK423*CK427</f>
        <v>5625.0000000000018</v>
      </c>
      <c r="CL424" s="213">
        <f t="shared" ref="CL424" si="9299">+CL423*CL427</f>
        <v>5750.0000000000018</v>
      </c>
      <c r="CM424" s="234">
        <f>+CI424+CJ424+CK424+CL424</f>
        <v>22250.000000000007</v>
      </c>
      <c r="CN424" s="213">
        <f>+CN423*CN427</f>
        <v>5875.0000000000018</v>
      </c>
      <c r="CO424" s="213">
        <f t="shared" ref="CO424" si="9300">+CO423*CO427</f>
        <v>6000.0000000000018</v>
      </c>
      <c r="CP424" s="213">
        <f t="shared" ref="CP424" si="9301">+CP423*CP427</f>
        <v>6125.0000000000018</v>
      </c>
      <c r="CQ424" s="213">
        <f t="shared" ref="CQ424" si="9302">+CQ423*CQ427</f>
        <v>6250.0000000000018</v>
      </c>
      <c r="CR424" s="234">
        <f>+CN424+CO424+CP424+CQ424</f>
        <v>24250.000000000007</v>
      </c>
      <c r="CS424" s="213">
        <f>+CS423*CS427</f>
        <v>6375.0000000000018</v>
      </c>
      <c r="CT424" s="213">
        <f t="shared" ref="CT424" si="9303">+CT423*CT427</f>
        <v>6500.0000000000018</v>
      </c>
      <c r="CU424" s="213">
        <f t="shared" ref="CU424" si="9304">+CU423*CU427</f>
        <v>6625.0000000000018</v>
      </c>
      <c r="CV424" s="213">
        <f t="shared" ref="CV424" si="9305">+CV423*CV427</f>
        <v>6750.0000000000018</v>
      </c>
      <c r="CW424" s="234">
        <f>+CS424+CT424+CU424+CV424</f>
        <v>26250.000000000007</v>
      </c>
      <c r="CX424" s="213">
        <f>+CX423*CX427</f>
        <v>6875.0000000000018</v>
      </c>
      <c r="CY424" s="213">
        <f t="shared" ref="CY424" si="9306">+CY423*CY427</f>
        <v>7000.0000000000018</v>
      </c>
      <c r="CZ424" s="213">
        <f t="shared" ref="CZ424" si="9307">+CZ423*CZ427</f>
        <v>7125.0000000000018</v>
      </c>
      <c r="DA424" s="213">
        <f t="shared" ref="DA424" si="9308">+DA423*DA427</f>
        <v>7250.0000000000027</v>
      </c>
      <c r="DB424" s="234">
        <f>+CX424+CY424+CZ424+DA424</f>
        <v>28250.000000000011</v>
      </c>
    </row>
    <row r="425" spans="1:106">
      <c r="A425" s="117" t="s">
        <v>281</v>
      </c>
      <c r="F425" s="217"/>
      <c r="K425" s="217"/>
      <c r="P425" s="217"/>
      <c r="U425" s="217"/>
      <c r="Z425" s="217"/>
      <c r="AE425" s="217"/>
      <c r="AJ425" s="217"/>
      <c r="AO425" s="217"/>
      <c r="AT425" s="217"/>
      <c r="AY425" s="217"/>
      <c r="AZ425" s="119" t="s">
        <v>290</v>
      </c>
      <c r="BA425" s="119" t="s">
        <v>290</v>
      </c>
      <c r="BB425" s="119" t="s">
        <v>290</v>
      </c>
      <c r="BC425" s="119" t="s">
        <v>290</v>
      </c>
      <c r="BD425" s="235" t="s">
        <v>290</v>
      </c>
      <c r="BE425" s="119">
        <f t="shared" ref="BE425:CJ425" si="9309">+BE423/AZ423-1</f>
        <v>0</v>
      </c>
      <c r="BF425" s="13">
        <f t="shared" si="9309"/>
        <v>0</v>
      </c>
      <c r="BG425" s="13">
        <f t="shared" si="9309"/>
        <v>0</v>
      </c>
      <c r="BH425" s="13">
        <f t="shared" si="9309"/>
        <v>0</v>
      </c>
      <c r="BI425" s="239">
        <f t="shared" si="9309"/>
        <v>-0.13043478260869568</v>
      </c>
      <c r="BJ425" s="13">
        <f t="shared" si="9309"/>
        <v>0</v>
      </c>
      <c r="BK425" s="13">
        <f t="shared" si="9309"/>
        <v>0</v>
      </c>
      <c r="BL425" s="13">
        <f t="shared" si="9309"/>
        <v>0</v>
      </c>
      <c r="BM425" s="13">
        <f t="shared" si="9309"/>
        <v>0</v>
      </c>
      <c r="BN425" s="239">
        <f t="shared" si="9309"/>
        <v>0</v>
      </c>
      <c r="BO425" s="13">
        <f t="shared" si="9309"/>
        <v>0</v>
      </c>
      <c r="BP425" s="13">
        <f t="shared" si="9309"/>
        <v>0</v>
      </c>
      <c r="BQ425" s="13">
        <f t="shared" si="9309"/>
        <v>0</v>
      </c>
      <c r="BR425" s="13">
        <f t="shared" si="9309"/>
        <v>0</v>
      </c>
      <c r="BS425" s="239">
        <f t="shared" si="9309"/>
        <v>0</v>
      </c>
      <c r="BT425" s="13">
        <f t="shared" si="9309"/>
        <v>0</v>
      </c>
      <c r="BU425" s="13">
        <f t="shared" si="9309"/>
        <v>0</v>
      </c>
      <c r="BV425" s="13">
        <f t="shared" si="9309"/>
        <v>0</v>
      </c>
      <c r="BW425" s="13">
        <f t="shared" si="9309"/>
        <v>0</v>
      </c>
      <c r="BX425" s="239">
        <f t="shared" si="9309"/>
        <v>0</v>
      </c>
      <c r="BY425" s="13">
        <f t="shared" si="9309"/>
        <v>0</v>
      </c>
      <c r="BZ425" s="13">
        <f t="shared" si="9309"/>
        <v>0</v>
      </c>
      <c r="CA425" s="13">
        <f t="shared" si="9309"/>
        <v>0</v>
      </c>
      <c r="CB425" s="13">
        <f t="shared" si="9309"/>
        <v>0</v>
      </c>
      <c r="CC425" s="239">
        <f t="shared" si="9309"/>
        <v>0</v>
      </c>
      <c r="CD425" s="13">
        <f t="shared" si="9309"/>
        <v>0</v>
      </c>
      <c r="CE425" s="13">
        <f t="shared" si="9309"/>
        <v>0</v>
      </c>
      <c r="CF425" s="13">
        <f t="shared" si="9309"/>
        <v>0</v>
      </c>
      <c r="CG425" s="13">
        <f t="shared" si="9309"/>
        <v>0</v>
      </c>
      <c r="CH425" s="239">
        <f t="shared" si="9309"/>
        <v>0</v>
      </c>
      <c r="CI425" s="13">
        <f t="shared" si="9309"/>
        <v>0</v>
      </c>
      <c r="CJ425" s="13">
        <f t="shared" si="9309"/>
        <v>0</v>
      </c>
      <c r="CK425" s="13">
        <f t="shared" ref="CK425:DB425" si="9310">+CK423/CF423-1</f>
        <v>0</v>
      </c>
      <c r="CL425" s="13">
        <f t="shared" si="9310"/>
        <v>0</v>
      </c>
      <c r="CM425" s="239">
        <f t="shared" si="9310"/>
        <v>0</v>
      </c>
      <c r="CN425" s="13">
        <f t="shared" si="9310"/>
        <v>0</v>
      </c>
      <c r="CO425" s="13">
        <f t="shared" si="9310"/>
        <v>0</v>
      </c>
      <c r="CP425" s="13">
        <f t="shared" si="9310"/>
        <v>0</v>
      </c>
      <c r="CQ425" s="13">
        <f t="shared" si="9310"/>
        <v>0</v>
      </c>
      <c r="CR425" s="239">
        <f t="shared" si="9310"/>
        <v>0</v>
      </c>
      <c r="CS425" s="13">
        <f t="shared" si="9310"/>
        <v>0</v>
      </c>
      <c r="CT425" s="13">
        <f t="shared" si="9310"/>
        <v>0</v>
      </c>
      <c r="CU425" s="13">
        <f t="shared" si="9310"/>
        <v>0</v>
      </c>
      <c r="CV425" s="13">
        <f t="shared" si="9310"/>
        <v>0</v>
      </c>
      <c r="CW425" s="239">
        <f t="shared" si="9310"/>
        <v>0</v>
      </c>
      <c r="CX425" s="13">
        <f t="shared" si="9310"/>
        <v>0</v>
      </c>
      <c r="CY425" s="13">
        <f t="shared" si="9310"/>
        <v>0</v>
      </c>
      <c r="CZ425" s="13">
        <f t="shared" si="9310"/>
        <v>0</v>
      </c>
      <c r="DA425" s="13">
        <f t="shared" si="9310"/>
        <v>0</v>
      </c>
      <c r="DB425" s="239">
        <f t="shared" si="9310"/>
        <v>0</v>
      </c>
    </row>
    <row r="426" spans="1:106">
      <c r="A426" s="117" t="s">
        <v>288</v>
      </c>
      <c r="F426" s="217"/>
      <c r="K426" s="217"/>
      <c r="P426" s="217"/>
      <c r="U426" s="217"/>
      <c r="Z426" s="217"/>
      <c r="AE426" s="217"/>
      <c r="AJ426" s="217"/>
      <c r="AO426" s="217"/>
      <c r="AT426" s="217"/>
      <c r="AY426" s="217"/>
      <c r="AZ426" s="119" t="s">
        <v>290</v>
      </c>
      <c r="BA426" s="13">
        <f>+BA423/AZ423-1</f>
        <v>0</v>
      </c>
      <c r="BB426" s="13">
        <f>+BB423/BA423-1</f>
        <v>0</v>
      </c>
      <c r="BC426" s="13">
        <f>+BC423/BB423-1</f>
        <v>0</v>
      </c>
      <c r="BD426" s="235" t="s">
        <v>290</v>
      </c>
      <c r="BE426" s="13">
        <f>+BE423/BC423-1</f>
        <v>0</v>
      </c>
      <c r="BF426" s="13">
        <f>+BF423/BE423-1</f>
        <v>0</v>
      </c>
      <c r="BG426" s="13">
        <f>+BG423/BF423-1</f>
        <v>0</v>
      </c>
      <c r="BH426" s="13">
        <f>+BH423/BG423-1</f>
        <v>0</v>
      </c>
      <c r="BI426" s="235" t="s">
        <v>290</v>
      </c>
      <c r="BJ426" s="13">
        <f>+BJ423/BH423-1</f>
        <v>0</v>
      </c>
      <c r="BK426" s="13">
        <f>+BK423/BJ423-1</f>
        <v>0</v>
      </c>
      <c r="BL426" s="13">
        <f>+BL423/BK423-1</f>
        <v>0</v>
      </c>
      <c r="BM426" s="13">
        <f>+BM423/BL423-1</f>
        <v>0</v>
      </c>
      <c r="BN426" s="235" t="s">
        <v>290</v>
      </c>
      <c r="BO426" s="13">
        <f>+BO423/BM423-1</f>
        <v>0</v>
      </c>
      <c r="BP426" s="13">
        <f>+BP423/BO423-1</f>
        <v>0</v>
      </c>
      <c r="BQ426" s="13">
        <f>+BQ423/BP423-1</f>
        <v>0</v>
      </c>
      <c r="BR426" s="13">
        <f>+BR423/BQ423-1</f>
        <v>0</v>
      </c>
      <c r="BS426" s="235" t="s">
        <v>290</v>
      </c>
      <c r="BT426" s="13">
        <f>+BT423/BR423-1</f>
        <v>0</v>
      </c>
      <c r="BU426" s="13">
        <f>+BU423/BT423-1</f>
        <v>0</v>
      </c>
      <c r="BV426" s="13">
        <f>+BV423/BU423-1</f>
        <v>0</v>
      </c>
      <c r="BW426" s="13">
        <f>+BW423/BV423-1</f>
        <v>0</v>
      </c>
      <c r="BX426" s="235" t="s">
        <v>290</v>
      </c>
      <c r="BY426" s="13">
        <f>+BY423/BW423-1</f>
        <v>0</v>
      </c>
      <c r="BZ426" s="13">
        <f>+BZ423/BY423-1</f>
        <v>0</v>
      </c>
      <c r="CA426" s="13">
        <f>+CA423/BZ423-1</f>
        <v>0</v>
      </c>
      <c r="CB426" s="13">
        <f>+CB423/CA423-1</f>
        <v>0</v>
      </c>
      <c r="CC426" s="235" t="s">
        <v>290</v>
      </c>
      <c r="CD426" s="13">
        <f>+CD423/CB423-1</f>
        <v>0</v>
      </c>
      <c r="CE426" s="13">
        <f>+CE423/CD423-1</f>
        <v>0</v>
      </c>
      <c r="CF426" s="13">
        <f>+CF423/CE423-1</f>
        <v>0</v>
      </c>
      <c r="CG426" s="13">
        <f>+CG423/CF423-1</f>
        <v>0</v>
      </c>
      <c r="CH426" s="235" t="s">
        <v>290</v>
      </c>
      <c r="CI426" s="13">
        <f>+CI423/CG423-1</f>
        <v>0</v>
      </c>
      <c r="CJ426" s="13">
        <f>+CJ423/CI423-1</f>
        <v>0</v>
      </c>
      <c r="CK426" s="13">
        <f>+CK423/CJ423-1</f>
        <v>0</v>
      </c>
      <c r="CL426" s="13">
        <f>+CL423/CK423-1</f>
        <v>0</v>
      </c>
      <c r="CM426" s="235" t="s">
        <v>290</v>
      </c>
      <c r="CN426" s="13">
        <f>+CN423/CL423-1</f>
        <v>0</v>
      </c>
      <c r="CO426" s="13">
        <f>+CO423/CN423-1</f>
        <v>0</v>
      </c>
      <c r="CP426" s="13">
        <f>+CP423/CO423-1</f>
        <v>0</v>
      </c>
      <c r="CQ426" s="13">
        <f>+CQ423/CP423-1</f>
        <v>0</v>
      </c>
      <c r="CR426" s="235" t="s">
        <v>290</v>
      </c>
      <c r="CS426" s="13">
        <f>+CS423/CQ423-1</f>
        <v>0</v>
      </c>
      <c r="CT426" s="13">
        <f>+CT423/CS423-1</f>
        <v>0</v>
      </c>
      <c r="CU426" s="13">
        <f>+CU423/CT423-1</f>
        <v>0</v>
      </c>
      <c r="CV426" s="13">
        <f>+CV423/CU423-1</f>
        <v>0</v>
      </c>
      <c r="CW426" s="235" t="s">
        <v>290</v>
      </c>
      <c r="CX426" s="13">
        <f>+CX423/CV423-1</f>
        <v>0</v>
      </c>
      <c r="CY426" s="13">
        <f>+CY423/CX423-1</f>
        <v>0</v>
      </c>
      <c r="CZ426" s="13">
        <f>+CZ423/CY423-1</f>
        <v>0</v>
      </c>
      <c r="DA426" s="13">
        <f>+DA423/CZ423-1</f>
        <v>0</v>
      </c>
      <c r="DB426" s="235" t="s">
        <v>290</v>
      </c>
    </row>
    <row r="427" spans="1:106">
      <c r="A427" s="117" t="s">
        <v>505</v>
      </c>
      <c r="F427" s="217"/>
      <c r="K427" s="217"/>
      <c r="P427" s="217"/>
      <c r="U427" s="217"/>
      <c r="Z427" s="217"/>
      <c r="AE427" s="217"/>
      <c r="AJ427" s="217"/>
      <c r="AO427" s="217"/>
      <c r="AT427" s="217"/>
      <c r="AY427" s="217"/>
      <c r="AZ427" s="118">
        <v>0</v>
      </c>
      <c r="BA427" s="118">
        <v>0</v>
      </c>
      <c r="BB427" s="118">
        <v>0</v>
      </c>
      <c r="BC427" s="118">
        <v>0</v>
      </c>
      <c r="BD427" s="239">
        <f>+BD424/BD423</f>
        <v>0</v>
      </c>
      <c r="BE427" s="118">
        <f>+AZ420</f>
        <v>5.0000000000000001E-3</v>
      </c>
      <c r="BF427" s="118">
        <f t="shared" ref="BF427:BH427" si="9311">+BA420</f>
        <v>0.01</v>
      </c>
      <c r="BG427" s="118">
        <f>+BB420</f>
        <v>0.02</v>
      </c>
      <c r="BH427" s="118">
        <f t="shared" si="9311"/>
        <v>2.75E-2</v>
      </c>
      <c r="BI427" s="239">
        <f>+BI424/BI423</f>
        <v>1.5625E-2</v>
      </c>
      <c r="BJ427" s="118">
        <f>+BE420</f>
        <v>0.03</v>
      </c>
      <c r="BK427" s="118">
        <f t="shared" ref="BK427" si="9312">+BF420</f>
        <v>3.5000000000000003E-2</v>
      </c>
      <c r="BL427" s="118">
        <f t="shared" ref="BL427" si="9313">+BG420</f>
        <v>0.04</v>
      </c>
      <c r="BM427" s="118">
        <f t="shared" ref="BM427" si="9314">+BH420</f>
        <v>4.4999999999999998E-2</v>
      </c>
      <c r="BN427" s="239">
        <f>+BN424/BN423</f>
        <v>3.7499999999999999E-2</v>
      </c>
      <c r="BO427" s="118">
        <f>+BJ420</f>
        <v>4.9999999999999996E-2</v>
      </c>
      <c r="BP427" s="118">
        <f t="shared" ref="BP427" si="9315">+BK420</f>
        <v>5.4999999999999993E-2</v>
      </c>
      <c r="BQ427" s="118">
        <f t="shared" ref="BQ427" si="9316">+BL420</f>
        <v>5.9999999999999991E-2</v>
      </c>
      <c r="BR427" s="118">
        <f t="shared" ref="BR427" si="9317">+BM420</f>
        <v>6.4999999999999988E-2</v>
      </c>
      <c r="BS427" s="239">
        <f>+BS424/BS423</f>
        <v>5.7500000000000002E-2</v>
      </c>
      <c r="BT427" s="118">
        <f>+BO420</f>
        <v>6.9999999999999993E-2</v>
      </c>
      <c r="BU427" s="118">
        <f>+BP420</f>
        <v>7.4999999999999997E-2</v>
      </c>
      <c r="BV427" s="118">
        <f>+BQ420</f>
        <v>0.08</v>
      </c>
      <c r="BW427" s="118">
        <f>+BR420</f>
        <v>8.5000000000000006E-2</v>
      </c>
      <c r="BX427" s="239">
        <f>+BX424/BX423</f>
        <v>7.7499999999999999E-2</v>
      </c>
      <c r="BY427" s="118">
        <f>+BT420</f>
        <v>8.7500000000000008E-2</v>
      </c>
      <c r="BZ427" s="118">
        <f t="shared" ref="BZ427" si="9318">+BU420</f>
        <v>9.0000000000000011E-2</v>
      </c>
      <c r="CA427" s="118">
        <f t="shared" ref="CA427" si="9319">+BV420</f>
        <v>9.2500000000000013E-2</v>
      </c>
      <c r="CB427" s="118">
        <f t="shared" ref="CB427" si="9320">+BW420</f>
        <v>9.5000000000000015E-2</v>
      </c>
      <c r="CC427" s="239">
        <f>+CC424/CC423</f>
        <v>9.1249999999999998E-2</v>
      </c>
      <c r="CD427" s="118">
        <f>+BY420</f>
        <v>9.7500000000000017E-2</v>
      </c>
      <c r="CE427" s="118">
        <f t="shared" ref="CE427" si="9321">+BZ420</f>
        <v>0.10000000000000002</v>
      </c>
      <c r="CF427" s="118">
        <f t="shared" ref="CF427" si="9322">+CA420</f>
        <v>0.10250000000000002</v>
      </c>
      <c r="CG427" s="118">
        <f t="shared" ref="CG427" si="9323">+CB420</f>
        <v>0.10500000000000002</v>
      </c>
      <c r="CH427" s="239">
        <f>+CH424/CH423</f>
        <v>0.10125000000000002</v>
      </c>
      <c r="CI427" s="118">
        <f>+CD420</f>
        <v>0.10750000000000003</v>
      </c>
      <c r="CJ427" s="118">
        <f t="shared" ref="CJ427" si="9324">+CE420</f>
        <v>0.11000000000000003</v>
      </c>
      <c r="CK427" s="118">
        <f t="shared" ref="CK427" si="9325">+CF420</f>
        <v>0.11250000000000003</v>
      </c>
      <c r="CL427" s="118">
        <f t="shared" ref="CL427" si="9326">+CG420</f>
        <v>0.11500000000000003</v>
      </c>
      <c r="CM427" s="239">
        <f>+CM424/CM423</f>
        <v>0.11125000000000004</v>
      </c>
      <c r="CN427" s="118">
        <f>+CI420</f>
        <v>0.11750000000000003</v>
      </c>
      <c r="CO427" s="118">
        <f t="shared" ref="CO427" si="9327">+CJ420</f>
        <v>0.12000000000000004</v>
      </c>
      <c r="CP427" s="118">
        <f t="shared" ref="CP427" si="9328">+CK420</f>
        <v>0.12250000000000004</v>
      </c>
      <c r="CQ427" s="118">
        <f t="shared" ref="CQ427" si="9329">+CL420</f>
        <v>0.12500000000000003</v>
      </c>
      <c r="CR427" s="239">
        <f>+CR424/CR423</f>
        <v>0.12125000000000004</v>
      </c>
      <c r="CS427" s="118">
        <f>+CN420</f>
        <v>0.12750000000000003</v>
      </c>
      <c r="CT427" s="118">
        <f t="shared" ref="CT427" si="9330">+CO420</f>
        <v>0.13000000000000003</v>
      </c>
      <c r="CU427" s="118">
        <f t="shared" ref="CU427" si="9331">+CP420</f>
        <v>0.13250000000000003</v>
      </c>
      <c r="CV427" s="118">
        <f t="shared" ref="CV427" si="9332">+CQ420</f>
        <v>0.13500000000000004</v>
      </c>
      <c r="CW427" s="239">
        <f>+CW424/CW423</f>
        <v>0.13125000000000003</v>
      </c>
      <c r="CX427" s="118">
        <f>+CS420</f>
        <v>0.13750000000000004</v>
      </c>
      <c r="CY427" s="118">
        <f t="shared" ref="CY427" si="9333">+CT420</f>
        <v>0.14000000000000004</v>
      </c>
      <c r="CZ427" s="118">
        <f t="shared" ref="CZ427" si="9334">+CU420</f>
        <v>0.14250000000000004</v>
      </c>
      <c r="DA427" s="118">
        <f t="shared" ref="DA427" si="9335">+CV420</f>
        <v>0.14500000000000005</v>
      </c>
      <c r="DB427" s="239">
        <f>+DB424/DB423</f>
        <v>0.14125000000000004</v>
      </c>
    </row>
    <row r="428" spans="1:106">
      <c r="F428" s="217"/>
      <c r="K428" s="217"/>
      <c r="P428" s="217"/>
      <c r="U428" s="217"/>
      <c r="Z428" s="217"/>
      <c r="AE428" s="217"/>
      <c r="AJ428" s="217"/>
      <c r="AO428" s="217"/>
      <c r="AT428" s="217"/>
      <c r="AY428" s="217"/>
      <c r="BD428" s="217"/>
      <c r="BI428" s="217"/>
      <c r="BN428" s="217"/>
      <c r="BS428" s="217"/>
      <c r="BX428" s="217"/>
      <c r="CC428" s="217"/>
      <c r="CH428" s="217"/>
      <c r="CM428" s="217"/>
      <c r="CR428" s="217"/>
      <c r="CW428" s="217"/>
      <c r="DB428" s="217"/>
    </row>
    <row r="429" spans="1:106" s="128" customFormat="1">
      <c r="A429" s="128" t="s">
        <v>349</v>
      </c>
      <c r="F429" s="244"/>
      <c r="K429" s="244"/>
      <c r="P429" s="244"/>
      <c r="U429" s="244"/>
      <c r="Z429" s="244"/>
      <c r="AE429" s="244"/>
      <c r="AJ429" s="244"/>
      <c r="AO429" s="244"/>
      <c r="AT429" s="244"/>
      <c r="AY429" s="244"/>
      <c r="BD429" s="244"/>
      <c r="BI429" s="244"/>
      <c r="BN429" s="244"/>
      <c r="BS429" s="244"/>
      <c r="BX429" s="244"/>
      <c r="CC429" s="244"/>
      <c r="CH429" s="244"/>
      <c r="CM429" s="244"/>
      <c r="CR429" s="244"/>
      <c r="CW429" s="244"/>
      <c r="DB429" s="244"/>
    </row>
    <row r="430" spans="1:106" s="51" customFormat="1">
      <c r="A430" s="51" t="s">
        <v>496</v>
      </c>
      <c r="F430" s="233"/>
      <c r="K430" s="233"/>
      <c r="P430" s="233"/>
      <c r="U430" s="233"/>
      <c r="Z430" s="233"/>
      <c r="AE430" s="233"/>
      <c r="AF430" s="213">
        <f>+AJ430/4</f>
        <v>200000</v>
      </c>
      <c r="AG430" s="213">
        <f>+$BD$430/4</f>
        <v>200000</v>
      </c>
      <c r="AH430" s="213">
        <f>+$BD$430/4</f>
        <v>200000</v>
      </c>
      <c r="AI430" s="213">
        <f>+$BD$430/4</f>
        <v>200000</v>
      </c>
      <c r="AJ430" s="234">
        <v>800000</v>
      </c>
      <c r="AK430" s="213">
        <f>+$BD$430/4</f>
        <v>200000</v>
      </c>
      <c r="AL430" s="213">
        <f>+$BD$430/4</f>
        <v>200000</v>
      </c>
      <c r="AM430" s="213">
        <f>+$BD$430/4</f>
        <v>200000</v>
      </c>
      <c r="AN430" s="213">
        <f>+$BD$430/4</f>
        <v>200000</v>
      </c>
      <c r="AO430" s="234">
        <v>800000</v>
      </c>
      <c r="AP430" s="213">
        <f>+$BD$430/4</f>
        <v>200000</v>
      </c>
      <c r="AQ430" s="213">
        <f>+$BD$430/4</f>
        <v>200000</v>
      </c>
      <c r="AR430" s="213">
        <f>+$BD$430/4</f>
        <v>200000</v>
      </c>
      <c r="AS430" s="213">
        <f>+$BD$430/4</f>
        <v>200000</v>
      </c>
      <c r="AT430" s="234">
        <v>800000</v>
      </c>
      <c r="AU430" s="213">
        <f>+$BD$430/4</f>
        <v>200000</v>
      </c>
      <c r="AV430" s="213">
        <f>+$BD$430/4</f>
        <v>200000</v>
      </c>
      <c r="AW430" s="213">
        <f>+$BD$430/4</f>
        <v>200000</v>
      </c>
      <c r="AX430" s="213">
        <f>+$BD$430/4</f>
        <v>200000</v>
      </c>
      <c r="AY430" s="234">
        <v>800000</v>
      </c>
      <c r="AZ430" s="213">
        <f>+$BD$430/4</f>
        <v>200000</v>
      </c>
      <c r="BA430" s="213">
        <f>+$BD$430/4</f>
        <v>200000</v>
      </c>
      <c r="BB430" s="213">
        <f>+$BD$430/4</f>
        <v>200000</v>
      </c>
      <c r="BC430" s="213">
        <f>+$BD$430/4</f>
        <v>200000</v>
      </c>
      <c r="BD430" s="234">
        <v>800000</v>
      </c>
      <c r="BE430" s="213">
        <f>+$BD$430/4</f>
        <v>200000</v>
      </c>
      <c r="BF430" s="213">
        <f>+$BD$430/4</f>
        <v>200000</v>
      </c>
      <c r="BG430" s="213">
        <f>+$BD$430/4</f>
        <v>200000</v>
      </c>
      <c r="BH430" s="213">
        <f>+$BD$430/4</f>
        <v>200000</v>
      </c>
      <c r="BI430" s="234">
        <v>800000</v>
      </c>
      <c r="BJ430" s="213">
        <f>+$BD$430/4</f>
        <v>200000</v>
      </c>
      <c r="BK430" s="213">
        <f>+$BD$430/4</f>
        <v>200000</v>
      </c>
      <c r="BL430" s="213">
        <f>+$BD$430/4</f>
        <v>200000</v>
      </c>
      <c r="BM430" s="213">
        <f>+$BD$430/4</f>
        <v>200000</v>
      </c>
      <c r="BN430" s="234">
        <v>800000</v>
      </c>
      <c r="BO430" s="213">
        <f>+$BD$430/4</f>
        <v>200000</v>
      </c>
      <c r="BP430" s="213">
        <f>+$BD$430/4</f>
        <v>200000</v>
      </c>
      <c r="BQ430" s="213">
        <f>+$BD$430/4</f>
        <v>200000</v>
      </c>
      <c r="BR430" s="213">
        <f>+$BD$430/4</f>
        <v>200000</v>
      </c>
      <c r="BS430" s="234">
        <v>800000</v>
      </c>
      <c r="BT430" s="213">
        <f>+$BD$430/4</f>
        <v>200000</v>
      </c>
      <c r="BU430" s="213">
        <f>+$BD$430/4</f>
        <v>200000</v>
      </c>
      <c r="BV430" s="213">
        <f>+$BD$430/4</f>
        <v>200000</v>
      </c>
      <c r="BW430" s="213">
        <f>+$BD$430/4</f>
        <v>200000</v>
      </c>
      <c r="BX430" s="234">
        <v>800000</v>
      </c>
      <c r="BY430" s="213">
        <f>+$BD$430/4</f>
        <v>200000</v>
      </c>
      <c r="BZ430" s="213">
        <f>+$BD$430/4</f>
        <v>200000</v>
      </c>
      <c r="CA430" s="213">
        <f>+$BD$430/4</f>
        <v>200000</v>
      </c>
      <c r="CB430" s="213">
        <f>+$BD$430/4</f>
        <v>200000</v>
      </c>
      <c r="CC430" s="234">
        <v>800000</v>
      </c>
      <c r="CD430" s="213">
        <f>+$BD$430/4</f>
        <v>200000</v>
      </c>
      <c r="CE430" s="213">
        <f>+$BD$430/4</f>
        <v>200000</v>
      </c>
      <c r="CF430" s="213">
        <f>+$BD$430/4</f>
        <v>200000</v>
      </c>
      <c r="CG430" s="213">
        <f>+$BD$430/4</f>
        <v>200000</v>
      </c>
      <c r="CH430" s="234">
        <v>800000</v>
      </c>
      <c r="CI430" s="213">
        <f>+$BD$430/4</f>
        <v>200000</v>
      </c>
      <c r="CJ430" s="213">
        <f>+$BD$430/4</f>
        <v>200000</v>
      </c>
      <c r="CK430" s="213">
        <f>+$BD$430/4</f>
        <v>200000</v>
      </c>
      <c r="CL430" s="213">
        <f>+$BD$430/4</f>
        <v>200000</v>
      </c>
      <c r="CM430" s="234">
        <v>800000</v>
      </c>
      <c r="CN430" s="213">
        <f>+$BD$430/4</f>
        <v>200000</v>
      </c>
      <c r="CO430" s="213">
        <f>+$BD$430/4</f>
        <v>200000</v>
      </c>
      <c r="CP430" s="213">
        <f>+$BD$430/4</f>
        <v>200000</v>
      </c>
      <c r="CQ430" s="213">
        <f>+$BD$430/4</f>
        <v>200000</v>
      </c>
      <c r="CR430" s="234">
        <v>800000</v>
      </c>
      <c r="CS430" s="213">
        <f>+$BD$430/4</f>
        <v>200000</v>
      </c>
      <c r="CT430" s="213">
        <f>+$BD$430/4</f>
        <v>200000</v>
      </c>
      <c r="CU430" s="213">
        <f>+$BD$430/4</f>
        <v>200000</v>
      </c>
      <c r="CV430" s="213">
        <f>+$BD$430/4</f>
        <v>200000</v>
      </c>
      <c r="CW430" s="234">
        <v>800000</v>
      </c>
      <c r="CX430" s="213">
        <f>+$BD$430/4</f>
        <v>200000</v>
      </c>
      <c r="CY430" s="213">
        <f>+$BD$430/4</f>
        <v>200000</v>
      </c>
      <c r="CZ430" s="213">
        <f>+$BD$430/4</f>
        <v>200000</v>
      </c>
      <c r="DA430" s="213">
        <f>+$BD$430/4</f>
        <v>200000</v>
      </c>
      <c r="DB430" s="234">
        <v>800000</v>
      </c>
    </row>
    <row r="431" spans="1:106" s="51" customFormat="1">
      <c r="A431" s="51" t="s">
        <v>352</v>
      </c>
      <c r="F431" s="233"/>
      <c r="K431" s="233"/>
      <c r="P431" s="233"/>
      <c r="U431" s="233"/>
      <c r="Z431" s="233"/>
      <c r="AE431" s="233"/>
      <c r="AF431" s="213">
        <f>+AF430*AF434</f>
        <v>0</v>
      </c>
      <c r="AG431" s="213">
        <f t="shared" ref="AG431" si="9336">+AG430*AG434</f>
        <v>0</v>
      </c>
      <c r="AH431" s="213">
        <f t="shared" ref="AH431" si="9337">+AH430*AH434</f>
        <v>0</v>
      </c>
      <c r="AI431" s="213">
        <f t="shared" ref="AI431" si="9338">+AI430*AI434</f>
        <v>0</v>
      </c>
      <c r="AJ431" s="234">
        <f>+AF431+AG431+AH431+AI431</f>
        <v>0</v>
      </c>
      <c r="AK431" s="213">
        <f>+AK430*AK434</f>
        <v>0</v>
      </c>
      <c r="AL431" s="213">
        <f t="shared" ref="AL431" si="9339">+AL430*AL434</f>
        <v>0</v>
      </c>
      <c r="AM431" s="213">
        <f t="shared" ref="AM431" si="9340">+AM430*AM434</f>
        <v>300</v>
      </c>
      <c r="AN431" s="213">
        <f t="shared" ref="AN431" si="9341">+AN430*AN434</f>
        <v>600</v>
      </c>
      <c r="AO431" s="234">
        <f>+AK431+AL431+AM431+AN431</f>
        <v>900</v>
      </c>
      <c r="AP431" s="213">
        <f>+AP430*AP434</f>
        <v>3000</v>
      </c>
      <c r="AQ431" s="213">
        <f t="shared" ref="AQ431" si="9342">+AQ430*AQ434</f>
        <v>3400.0000000000005</v>
      </c>
      <c r="AR431" s="213">
        <f t="shared" ref="AR431" si="9343">+AR430*AR434</f>
        <v>4600</v>
      </c>
      <c r="AS431" s="213">
        <f t="shared" ref="AS431" si="9344">+AS430*AS434</f>
        <v>5500</v>
      </c>
      <c r="AT431" s="234">
        <f>+AP431+AQ431+AR431+AS431</f>
        <v>16500</v>
      </c>
      <c r="AU431" s="213">
        <f>+AU430*AU434</f>
        <v>6800.0000000000009</v>
      </c>
      <c r="AV431" s="213">
        <f t="shared" ref="AV431" si="9345">+AV430*AV434</f>
        <v>7800</v>
      </c>
      <c r="AW431" s="213">
        <f t="shared" ref="AW431" si="9346">+AW430*AW434</f>
        <v>8800</v>
      </c>
      <c r="AX431" s="213">
        <f t="shared" ref="AX431" si="9347">+AX430*AX434</f>
        <v>9500</v>
      </c>
      <c r="AY431" s="234">
        <f>+AU431+AV431+AW431+AX431</f>
        <v>32900</v>
      </c>
      <c r="AZ431" s="213">
        <f>+AZ430*AZ434</f>
        <v>11000</v>
      </c>
      <c r="BA431" s="213">
        <f t="shared" ref="BA431" si="9348">+BA430*BA434</f>
        <v>13000</v>
      </c>
      <c r="BB431" s="213">
        <f t="shared" ref="BB431" si="9349">+BB430*BB434</f>
        <v>15000</v>
      </c>
      <c r="BC431" s="213">
        <f t="shared" ref="BC431" si="9350">+BC430*BC434</f>
        <v>16000</v>
      </c>
      <c r="BD431" s="234">
        <f>+AZ431+BA431+BB431+BC431</f>
        <v>55000</v>
      </c>
      <c r="BE431" s="213">
        <f>+BE430*BE434</f>
        <v>17000</v>
      </c>
      <c r="BF431" s="213">
        <f t="shared" ref="BF431" si="9351">+BF430*BF434</f>
        <v>18600</v>
      </c>
      <c r="BG431" s="213">
        <f t="shared" ref="BG431" si="9352">+BG430*BG434</f>
        <v>19600</v>
      </c>
      <c r="BH431" s="213">
        <f t="shared" ref="BH431" si="9353">+BH430*BH434</f>
        <v>21200.000000000004</v>
      </c>
      <c r="BI431" s="234">
        <f>+BE431+BF431+BG431+BH431</f>
        <v>76400</v>
      </c>
      <c r="BJ431" s="213">
        <f>+BJ430*BJ434</f>
        <v>22200.000000000004</v>
      </c>
      <c r="BK431" s="213">
        <f t="shared" ref="BK431" si="9354">+BK430*BK434</f>
        <v>24000.000000000004</v>
      </c>
      <c r="BL431" s="213">
        <f t="shared" ref="BL431" si="9355">+BL430*BL434</f>
        <v>25800</v>
      </c>
      <c r="BM431" s="213">
        <f t="shared" ref="BM431" si="9356">+BM430*BM434</f>
        <v>27600.000000000004</v>
      </c>
      <c r="BN431" s="234">
        <f>+BJ431+BK431+BL431+BM431</f>
        <v>99600</v>
      </c>
      <c r="BO431" s="213">
        <f>+BO430*BO434</f>
        <v>28100.000000000004</v>
      </c>
      <c r="BP431" s="213">
        <f t="shared" ref="BP431" si="9357">+BP430*BP434</f>
        <v>28600.000000000004</v>
      </c>
      <c r="BQ431" s="213">
        <f t="shared" ref="BQ431" si="9358">+BQ430*BQ434</f>
        <v>29100.000000000004</v>
      </c>
      <c r="BR431" s="213">
        <f t="shared" ref="BR431" si="9359">+BR430*BR434</f>
        <v>29600.000000000004</v>
      </c>
      <c r="BS431" s="234">
        <f>+BO431+BP431+BQ431+BR431</f>
        <v>115400.00000000001</v>
      </c>
      <c r="BT431" s="213">
        <f>+BT430*BT434</f>
        <v>30100.000000000004</v>
      </c>
      <c r="BU431" s="213">
        <f t="shared" ref="BU431" si="9360">+BU430*BU434</f>
        <v>30600.000000000004</v>
      </c>
      <c r="BV431" s="213">
        <f t="shared" ref="BV431" si="9361">+BV430*BV434</f>
        <v>31100.000000000004</v>
      </c>
      <c r="BW431" s="213">
        <f t="shared" ref="BW431" si="9362">+BW430*BW434</f>
        <v>31600.000000000007</v>
      </c>
      <c r="BX431" s="234">
        <f>+BT431+BU431+BV431+BW431</f>
        <v>123400.00000000003</v>
      </c>
      <c r="BY431" s="213">
        <f>+BY430*BY434</f>
        <v>32100.000000000007</v>
      </c>
      <c r="BZ431" s="213">
        <f t="shared" ref="BZ431" si="9363">+BZ430*BZ434</f>
        <v>32600.000000000007</v>
      </c>
      <c r="CA431" s="213">
        <f t="shared" ref="CA431" si="9364">+CA430*CA434</f>
        <v>33100.000000000007</v>
      </c>
      <c r="CB431" s="213">
        <f t="shared" ref="CB431" si="9365">+CB430*CB434</f>
        <v>33600.000000000007</v>
      </c>
      <c r="CC431" s="234">
        <f>+BY431+BZ431+CA431+CB431</f>
        <v>131400.00000000003</v>
      </c>
      <c r="CD431" s="213">
        <f>+CD430*CD434</f>
        <v>34100.000000000007</v>
      </c>
      <c r="CE431" s="213">
        <f t="shared" ref="CE431" si="9366">+CE430*CE434</f>
        <v>34600.000000000007</v>
      </c>
      <c r="CF431" s="213">
        <f t="shared" ref="CF431" si="9367">+CF430*CF434</f>
        <v>35100.000000000007</v>
      </c>
      <c r="CG431" s="213">
        <f t="shared" ref="CG431" si="9368">+CG430*CG434</f>
        <v>35600.000000000007</v>
      </c>
      <c r="CH431" s="234">
        <f>+CD431+CE431+CF431+CG431</f>
        <v>139400.00000000003</v>
      </c>
      <c r="CI431" s="213">
        <f>+CI430*CI434</f>
        <v>36100.000000000007</v>
      </c>
      <c r="CJ431" s="213">
        <f t="shared" ref="CJ431" si="9369">+CJ430*CJ434</f>
        <v>36600.000000000007</v>
      </c>
      <c r="CK431" s="213">
        <f t="shared" ref="CK431" si="9370">+CK430*CK434</f>
        <v>37100.000000000007</v>
      </c>
      <c r="CL431" s="213">
        <f t="shared" ref="CL431" si="9371">+CL430*CL434</f>
        <v>37600.000000000015</v>
      </c>
      <c r="CM431" s="234">
        <f>+CI431+CJ431+CK431+CL431</f>
        <v>147400.00000000006</v>
      </c>
      <c r="CN431" s="213">
        <f>+CN430*CN434</f>
        <v>38100.000000000015</v>
      </c>
      <c r="CO431" s="213">
        <f t="shared" ref="CO431" si="9372">+CO430*CO434</f>
        <v>38600.000000000015</v>
      </c>
      <c r="CP431" s="213">
        <f t="shared" ref="CP431" si="9373">+CP430*CP434</f>
        <v>39100.000000000015</v>
      </c>
      <c r="CQ431" s="213">
        <f t="shared" ref="CQ431" si="9374">+CQ430*CQ434</f>
        <v>39600.000000000015</v>
      </c>
      <c r="CR431" s="234">
        <f>+CN431+CO431+CP431+CQ431</f>
        <v>155400.00000000006</v>
      </c>
      <c r="CS431" s="213">
        <f>+CS430*CS434</f>
        <v>40100.000000000015</v>
      </c>
      <c r="CT431" s="213">
        <f t="shared" ref="CT431" si="9375">+CT430*CT434</f>
        <v>40600.000000000015</v>
      </c>
      <c r="CU431" s="213">
        <f t="shared" ref="CU431" si="9376">+CU430*CU434</f>
        <v>41100.000000000015</v>
      </c>
      <c r="CV431" s="213">
        <f t="shared" ref="CV431" si="9377">+CV430*CV434</f>
        <v>41600.000000000015</v>
      </c>
      <c r="CW431" s="234">
        <f>+CS431+CT431+CU431+CV431</f>
        <v>163400.00000000006</v>
      </c>
      <c r="CX431" s="213">
        <f>+CX430*CX434</f>
        <v>42100.000000000015</v>
      </c>
      <c r="CY431" s="213">
        <f t="shared" ref="CY431" si="9378">+CY430*CY434</f>
        <v>42600.000000000015</v>
      </c>
      <c r="CZ431" s="213">
        <f t="shared" ref="CZ431" si="9379">+CZ430*CZ434</f>
        <v>43100.000000000015</v>
      </c>
      <c r="DA431" s="213">
        <f t="shared" ref="DA431" si="9380">+DA430*DA434</f>
        <v>43600.000000000015</v>
      </c>
      <c r="DB431" s="234">
        <f>+CX431+CY431+CZ431+DA431</f>
        <v>171400.00000000006</v>
      </c>
    </row>
    <row r="432" spans="1:106">
      <c r="A432" s="117" t="s">
        <v>281</v>
      </c>
      <c r="F432" s="217"/>
      <c r="K432" s="217"/>
      <c r="P432" s="217"/>
      <c r="U432" s="217"/>
      <c r="Z432" s="217"/>
      <c r="AE432" s="217"/>
      <c r="AF432" s="119" t="s">
        <v>290</v>
      </c>
      <c r="AG432" s="119" t="s">
        <v>290</v>
      </c>
      <c r="AH432" s="119" t="s">
        <v>290</v>
      </c>
      <c r="AI432" s="119" t="s">
        <v>290</v>
      </c>
      <c r="AJ432" s="235" t="s">
        <v>290</v>
      </c>
      <c r="AK432" s="119" t="s">
        <v>290</v>
      </c>
      <c r="AL432" s="119" t="s">
        <v>290</v>
      </c>
      <c r="AM432" s="119" t="s">
        <v>290</v>
      </c>
      <c r="AN432" s="119" t="s">
        <v>290</v>
      </c>
      <c r="AO432" s="235" t="s">
        <v>290</v>
      </c>
      <c r="AP432" s="13" t="e">
        <f t="shared" ref="AP432:BU432" si="9381">+AP431/AK431-1</f>
        <v>#DIV/0!</v>
      </c>
      <c r="AQ432" s="13" t="e">
        <f t="shared" si="9381"/>
        <v>#DIV/0!</v>
      </c>
      <c r="AR432" s="13">
        <f t="shared" si="9381"/>
        <v>14.333333333333334</v>
      </c>
      <c r="AS432" s="13">
        <f t="shared" si="9381"/>
        <v>8.1666666666666661</v>
      </c>
      <c r="AT432" s="239">
        <f t="shared" si="9381"/>
        <v>17.333333333333332</v>
      </c>
      <c r="AU432" s="13">
        <f t="shared" si="9381"/>
        <v>1.2666666666666671</v>
      </c>
      <c r="AV432" s="13">
        <f t="shared" si="9381"/>
        <v>1.2941176470588234</v>
      </c>
      <c r="AW432" s="13">
        <f t="shared" si="9381"/>
        <v>0.91304347826086962</v>
      </c>
      <c r="AX432" s="13">
        <f t="shared" si="9381"/>
        <v>0.72727272727272729</v>
      </c>
      <c r="AY432" s="239">
        <f t="shared" si="9381"/>
        <v>0.9939393939393939</v>
      </c>
      <c r="AZ432" s="13">
        <f t="shared" si="9381"/>
        <v>0.61764705882352922</v>
      </c>
      <c r="BA432" s="13">
        <f t="shared" si="9381"/>
        <v>0.66666666666666674</v>
      </c>
      <c r="BB432" s="13">
        <f t="shared" si="9381"/>
        <v>0.70454545454545459</v>
      </c>
      <c r="BC432" s="13">
        <f t="shared" si="9381"/>
        <v>0.68421052631578938</v>
      </c>
      <c r="BD432" s="239">
        <f t="shared" si="9381"/>
        <v>0.67173252279635265</v>
      </c>
      <c r="BE432" s="13">
        <f t="shared" si="9381"/>
        <v>0.54545454545454541</v>
      </c>
      <c r="BF432" s="13">
        <f t="shared" si="9381"/>
        <v>0.43076923076923079</v>
      </c>
      <c r="BG432" s="13">
        <f t="shared" si="9381"/>
        <v>0.30666666666666664</v>
      </c>
      <c r="BH432" s="13">
        <f t="shared" si="9381"/>
        <v>0.32500000000000018</v>
      </c>
      <c r="BI432" s="239">
        <f t="shared" si="9381"/>
        <v>0.38909090909090915</v>
      </c>
      <c r="BJ432" s="13">
        <f t="shared" si="9381"/>
        <v>0.30588235294117672</v>
      </c>
      <c r="BK432" s="13">
        <f t="shared" si="9381"/>
        <v>0.29032258064516148</v>
      </c>
      <c r="BL432" s="13">
        <f t="shared" si="9381"/>
        <v>0.31632653061224492</v>
      </c>
      <c r="BM432" s="13">
        <f t="shared" si="9381"/>
        <v>0.30188679245283012</v>
      </c>
      <c r="BN432" s="239">
        <f t="shared" si="9381"/>
        <v>0.30366492146596857</v>
      </c>
      <c r="BO432" s="13">
        <f t="shared" si="9381"/>
        <v>0.26576576576576572</v>
      </c>
      <c r="BP432" s="13">
        <f t="shared" si="9381"/>
        <v>0.19166666666666665</v>
      </c>
      <c r="BQ432" s="13">
        <f t="shared" si="9381"/>
        <v>0.12790697674418627</v>
      </c>
      <c r="BR432" s="13">
        <f t="shared" si="9381"/>
        <v>7.2463768115942129E-2</v>
      </c>
      <c r="BS432" s="239">
        <f t="shared" si="9381"/>
        <v>0.15863453815261064</v>
      </c>
      <c r="BT432" s="13">
        <f t="shared" si="9381"/>
        <v>7.1174377224199281E-2</v>
      </c>
      <c r="BU432" s="13">
        <f t="shared" si="9381"/>
        <v>6.9930069930070005E-2</v>
      </c>
      <c r="BV432" s="13">
        <f t="shared" ref="BV432:DA432" si="9382">+BV431/BQ431-1</f>
        <v>6.8728522336769737E-2</v>
      </c>
      <c r="BW432" s="13">
        <f t="shared" si="9382"/>
        <v>6.7567567567567766E-2</v>
      </c>
      <c r="BX432" s="239">
        <f t="shared" si="9382"/>
        <v>6.9324090121317239E-2</v>
      </c>
      <c r="BY432" s="13">
        <f t="shared" si="9382"/>
        <v>6.6445182724252705E-2</v>
      </c>
      <c r="BZ432" s="13">
        <f t="shared" si="9382"/>
        <v>6.5359477124183218E-2</v>
      </c>
      <c r="CA432" s="13">
        <f t="shared" si="9382"/>
        <v>6.4308681672025747E-2</v>
      </c>
      <c r="CB432" s="13">
        <f t="shared" si="9382"/>
        <v>6.3291139240506222E-2</v>
      </c>
      <c r="CC432" s="239">
        <f t="shared" si="9382"/>
        <v>6.4829821717990344E-2</v>
      </c>
      <c r="CD432" s="13">
        <f t="shared" si="9382"/>
        <v>6.230529595015577E-2</v>
      </c>
      <c r="CE432" s="13">
        <f t="shared" si="9382"/>
        <v>6.1349693251533832E-2</v>
      </c>
      <c r="CF432" s="13">
        <f t="shared" si="9382"/>
        <v>6.042296072507547E-2</v>
      </c>
      <c r="CG432" s="13">
        <f t="shared" si="9382"/>
        <v>5.9523809523809534E-2</v>
      </c>
      <c r="CH432" s="239">
        <f t="shared" si="9382"/>
        <v>6.0882800608828003E-2</v>
      </c>
      <c r="CI432" s="13">
        <f t="shared" si="9382"/>
        <v>5.8651026392961825E-2</v>
      </c>
      <c r="CJ432" s="13">
        <f t="shared" si="9382"/>
        <v>5.7803468208092568E-2</v>
      </c>
      <c r="CK432" s="13">
        <f t="shared" si="9382"/>
        <v>5.6980056980056926E-2</v>
      </c>
      <c r="CL432" s="13">
        <f t="shared" si="9382"/>
        <v>5.6179775280899014E-2</v>
      </c>
      <c r="CM432" s="239">
        <f t="shared" si="9382"/>
        <v>5.7388809182209677E-2</v>
      </c>
      <c r="CN432" s="13">
        <f t="shared" si="9382"/>
        <v>5.5401662049861633E-2</v>
      </c>
      <c r="CO432" s="13">
        <f t="shared" si="9382"/>
        <v>5.4644808743169682E-2</v>
      </c>
      <c r="CP432" s="13">
        <f t="shared" si="9382"/>
        <v>5.3908355795148521E-2</v>
      </c>
      <c r="CQ432" s="13">
        <f t="shared" si="9382"/>
        <v>5.3191489361702038E-2</v>
      </c>
      <c r="CR432" s="239">
        <f t="shared" si="9382"/>
        <v>5.4274084124830368E-2</v>
      </c>
      <c r="CS432" s="13">
        <f t="shared" si="9382"/>
        <v>5.2493438320210029E-2</v>
      </c>
      <c r="CT432" s="13">
        <f t="shared" si="9382"/>
        <v>5.1813471502590636E-2</v>
      </c>
      <c r="CU432" s="13">
        <f t="shared" si="9382"/>
        <v>5.1150895140664954E-2</v>
      </c>
      <c r="CV432" s="13">
        <f t="shared" si="9382"/>
        <v>5.0505050505050386E-2</v>
      </c>
      <c r="CW432" s="239">
        <f t="shared" si="9382"/>
        <v>5.1480051480051525E-2</v>
      </c>
      <c r="CX432" s="13">
        <f t="shared" si="9382"/>
        <v>4.9875311720698257E-2</v>
      </c>
      <c r="CY432" s="13">
        <f t="shared" si="9382"/>
        <v>4.9261083743842304E-2</v>
      </c>
      <c r="CZ432" s="13">
        <f t="shared" si="9382"/>
        <v>4.8661800486617945E-2</v>
      </c>
      <c r="DA432" s="13">
        <f t="shared" si="9382"/>
        <v>4.8076923076923128E-2</v>
      </c>
      <c r="DB432" s="239">
        <f t="shared" ref="DB432" si="9383">+DB431/CW431-1</f>
        <v>4.8959608323133397E-2</v>
      </c>
    </row>
    <row r="433" spans="1:106">
      <c r="A433" s="117" t="s">
        <v>288</v>
      </c>
      <c r="F433" s="217"/>
      <c r="K433" s="217"/>
      <c r="P433" s="217"/>
      <c r="U433" s="217"/>
      <c r="Z433" s="217"/>
      <c r="AE433" s="217"/>
      <c r="AF433" s="119" t="s">
        <v>290</v>
      </c>
      <c r="AG433" s="13" t="e">
        <f>+AG431/AF431-1</f>
        <v>#DIV/0!</v>
      </c>
      <c r="AH433" s="13" t="e">
        <f>+AH431/AG431-1</f>
        <v>#DIV/0!</v>
      </c>
      <c r="AI433" s="13" t="e">
        <f>+AI431/AH431-1</f>
        <v>#DIV/0!</v>
      </c>
      <c r="AJ433" s="235" t="s">
        <v>290</v>
      </c>
      <c r="AK433" s="119" t="s">
        <v>290</v>
      </c>
      <c r="AL433" s="13" t="e">
        <f>+AL431/AK431-1</f>
        <v>#DIV/0!</v>
      </c>
      <c r="AM433" s="13" t="e">
        <f>+AM431/AL431-1</f>
        <v>#DIV/0!</v>
      </c>
      <c r="AN433" s="13">
        <f>+AN431/AM431-1</f>
        <v>1</v>
      </c>
      <c r="AO433" s="235" t="s">
        <v>290</v>
      </c>
      <c r="AP433" s="119" t="s">
        <v>290</v>
      </c>
      <c r="AQ433" s="13">
        <f>+AQ431/AP431-1</f>
        <v>0.13333333333333353</v>
      </c>
      <c r="AR433" s="13">
        <f>+AR431/AQ431-1</f>
        <v>0.35294117647058809</v>
      </c>
      <c r="AS433" s="13">
        <f>+AS431/AR431-1</f>
        <v>0.19565217391304346</v>
      </c>
      <c r="AT433" s="235" t="s">
        <v>290</v>
      </c>
      <c r="AU433" s="119" t="s">
        <v>290</v>
      </c>
      <c r="AV433" s="13">
        <f>+AV431/AU431-1</f>
        <v>0.14705882352941169</v>
      </c>
      <c r="AW433" s="13">
        <f>+AW431/AV431-1</f>
        <v>0.12820512820512819</v>
      </c>
      <c r="AX433" s="13">
        <f>+AX431/AW431-1</f>
        <v>7.9545454545454586E-2</v>
      </c>
      <c r="AY433" s="235" t="s">
        <v>290</v>
      </c>
      <c r="AZ433" s="119" t="s">
        <v>290</v>
      </c>
      <c r="BA433" s="13">
        <f>+BA431/AZ431-1</f>
        <v>0.18181818181818188</v>
      </c>
      <c r="BB433" s="13">
        <f>+BB431/BA431-1</f>
        <v>0.15384615384615374</v>
      </c>
      <c r="BC433" s="13">
        <f>+BC431/BB431-1</f>
        <v>6.6666666666666652E-2</v>
      </c>
      <c r="BD433" s="235" t="s">
        <v>290</v>
      </c>
      <c r="BE433" s="13">
        <f>+BE431/BC431-1</f>
        <v>6.25E-2</v>
      </c>
      <c r="BF433" s="13">
        <f>+BF431/BE431-1</f>
        <v>9.4117647058823639E-2</v>
      </c>
      <c r="BG433" s="13">
        <f>+BG431/BF431-1</f>
        <v>5.3763440860215006E-2</v>
      </c>
      <c r="BH433" s="13">
        <f>+BH431/BG431-1</f>
        <v>8.163265306122458E-2</v>
      </c>
      <c r="BI433" s="235" t="s">
        <v>290</v>
      </c>
      <c r="BJ433" s="13">
        <f>+BJ431/BH431-1</f>
        <v>4.7169811320754818E-2</v>
      </c>
      <c r="BK433" s="13">
        <f>+BK431/BJ431-1</f>
        <v>8.1081081081081141E-2</v>
      </c>
      <c r="BL433" s="13">
        <f>+BL431/BK431-1</f>
        <v>7.4999999999999734E-2</v>
      </c>
      <c r="BM433" s="13">
        <f>+BM431/BL431-1</f>
        <v>6.976744186046524E-2</v>
      </c>
      <c r="BN433" s="235" t="s">
        <v>290</v>
      </c>
      <c r="BO433" s="13">
        <f>+BO431/BM431-1</f>
        <v>1.8115942028985588E-2</v>
      </c>
      <c r="BP433" s="13">
        <f>+BP431/BO431-1</f>
        <v>1.7793594306049876E-2</v>
      </c>
      <c r="BQ433" s="13">
        <f>+BQ431/BP431-1</f>
        <v>1.7482517482517501E-2</v>
      </c>
      <c r="BR433" s="13">
        <f>+BR431/BQ431-1</f>
        <v>1.7182130584192379E-2</v>
      </c>
      <c r="BS433" s="235" t="s">
        <v>290</v>
      </c>
      <c r="BT433" s="13">
        <f>+BT431/BR431-1</f>
        <v>1.6891891891891886E-2</v>
      </c>
      <c r="BU433" s="13">
        <f>+BU431/BT431-1</f>
        <v>1.6611295681063121E-2</v>
      </c>
      <c r="BV433" s="13">
        <f>+BV431/BU431-1</f>
        <v>1.6339869281045694E-2</v>
      </c>
      <c r="BW433" s="13">
        <f>+BW431/BV431-1</f>
        <v>1.6077170418006492E-2</v>
      </c>
      <c r="BX433" s="235" t="s">
        <v>290</v>
      </c>
      <c r="BY433" s="13">
        <f>+BY431/BW431-1</f>
        <v>1.5822784810126667E-2</v>
      </c>
      <c r="BZ433" s="13">
        <f>+BZ431/BY431-1</f>
        <v>1.5576323987538832E-2</v>
      </c>
      <c r="CA433" s="13">
        <f>+CA431/BZ431-1</f>
        <v>1.5337423312883347E-2</v>
      </c>
      <c r="CB433" s="13">
        <f>+CB431/CA431-1</f>
        <v>1.5105740181268867E-2</v>
      </c>
      <c r="CC433" s="235" t="s">
        <v>290</v>
      </c>
      <c r="CD433" s="13">
        <f>+CD431/CB431-1</f>
        <v>1.4880952380952328E-2</v>
      </c>
      <c r="CE433" s="13">
        <f>+CE431/CD431-1</f>
        <v>1.4662756598240456E-2</v>
      </c>
      <c r="CF433" s="13">
        <f>+CF431/CE431-1</f>
        <v>1.4450867052023142E-2</v>
      </c>
      <c r="CG433" s="13">
        <f>+CG431/CF431-1</f>
        <v>1.4245014245014342E-2</v>
      </c>
      <c r="CH433" s="235" t="s">
        <v>290</v>
      </c>
      <c r="CI433" s="13">
        <f>+CI431/CG431-1</f>
        <v>1.4044943820224809E-2</v>
      </c>
      <c r="CJ433" s="13">
        <f>+CJ431/CI431-1</f>
        <v>1.3850415512465464E-2</v>
      </c>
      <c r="CK433" s="13">
        <f>+CK431/CJ431-1</f>
        <v>1.3661202185792254E-2</v>
      </c>
      <c r="CL433" s="13">
        <f>+CL431/CK431-1</f>
        <v>1.3477088948787186E-2</v>
      </c>
      <c r="CM433" s="235" t="s">
        <v>290</v>
      </c>
      <c r="CN433" s="13">
        <f>+CN431/CL431-1</f>
        <v>1.3297872340425565E-2</v>
      </c>
      <c r="CO433" s="13">
        <f>+CO431/CN431-1</f>
        <v>1.3123359580052396E-2</v>
      </c>
      <c r="CP433" s="13">
        <f>+CP431/CO431-1</f>
        <v>1.2953367875647714E-2</v>
      </c>
      <c r="CQ433" s="13">
        <f>+CQ431/CP431-1</f>
        <v>1.2787723785166127E-2</v>
      </c>
      <c r="CR433" s="235" t="s">
        <v>290</v>
      </c>
      <c r="CS433" s="13">
        <f>+CS431/CQ431-1</f>
        <v>1.2626262626262541E-2</v>
      </c>
      <c r="CT433" s="13">
        <f>+CT431/CS431-1</f>
        <v>1.2468827930174564E-2</v>
      </c>
      <c r="CU433" s="13">
        <f>+CU431/CT431-1</f>
        <v>1.2315270935960632E-2</v>
      </c>
      <c r="CV433" s="13">
        <f>+CV431/CU431-1</f>
        <v>1.2165450121654597E-2</v>
      </c>
      <c r="CW433" s="235" t="s">
        <v>290</v>
      </c>
      <c r="CX433" s="13">
        <f>+CX431/CV431-1</f>
        <v>1.2019230769230838E-2</v>
      </c>
      <c r="CY433" s="13">
        <f>+CY431/CX431-1</f>
        <v>1.1876484560570111E-2</v>
      </c>
      <c r="CZ433" s="13">
        <f>+CZ431/CY431-1</f>
        <v>1.1737089201877993E-2</v>
      </c>
      <c r="DA433" s="13">
        <f>+DA431/CZ431-1</f>
        <v>1.1600928074245953E-2</v>
      </c>
      <c r="DB433" s="235" t="s">
        <v>290</v>
      </c>
    </row>
    <row r="434" spans="1:106">
      <c r="A434" s="117" t="s">
        <v>505</v>
      </c>
      <c r="F434" s="217"/>
      <c r="K434" s="217"/>
      <c r="P434" s="217"/>
      <c r="U434" s="217"/>
      <c r="Z434" s="217"/>
      <c r="AE434" s="217"/>
      <c r="AF434" s="118">
        <v>0</v>
      </c>
      <c r="AG434" s="118">
        <v>0</v>
      </c>
      <c r="AH434" s="118">
        <v>0</v>
      </c>
      <c r="AI434" s="118">
        <v>0</v>
      </c>
      <c r="AJ434" s="239">
        <f>+AJ431/AJ430</f>
        <v>0</v>
      </c>
      <c r="AK434" s="118">
        <v>0</v>
      </c>
      <c r="AL434" s="118">
        <v>0</v>
      </c>
      <c r="AM434" s="118">
        <v>1.5E-3</v>
      </c>
      <c r="AN434" s="118">
        <v>3.0000000000000001E-3</v>
      </c>
      <c r="AO434" s="239">
        <f>+AO431/AO430</f>
        <v>1.1249999999999999E-3</v>
      </c>
      <c r="AP434" s="118">
        <v>1.4999999999999999E-2</v>
      </c>
      <c r="AQ434" s="118">
        <v>1.7000000000000001E-2</v>
      </c>
      <c r="AR434" s="118">
        <v>2.3E-2</v>
      </c>
      <c r="AS434" s="118">
        <v>2.75E-2</v>
      </c>
      <c r="AT434" s="239">
        <f>+AT431/AT430</f>
        <v>2.0625000000000001E-2</v>
      </c>
      <c r="AU434" s="118">
        <v>3.4000000000000002E-2</v>
      </c>
      <c r="AV434" s="118">
        <v>3.9E-2</v>
      </c>
      <c r="AW434" s="118">
        <v>4.3999999999999997E-2</v>
      </c>
      <c r="AX434" s="118">
        <v>4.7500000000000001E-2</v>
      </c>
      <c r="AY434" s="239">
        <f>+AY431/AY430</f>
        <v>4.1125000000000002E-2</v>
      </c>
      <c r="AZ434" s="118">
        <v>5.5E-2</v>
      </c>
      <c r="BA434" s="118">
        <v>6.5000000000000002E-2</v>
      </c>
      <c r="BB434" s="118">
        <v>7.4999999999999997E-2</v>
      </c>
      <c r="BC434" s="118">
        <v>0.08</v>
      </c>
      <c r="BD434" s="239">
        <f>+BD431/BD430</f>
        <v>6.8750000000000006E-2</v>
      </c>
      <c r="BE434" s="118">
        <f>+BC434+0.005</f>
        <v>8.5000000000000006E-2</v>
      </c>
      <c r="BF434" s="118">
        <f>+BE434+0.008</f>
        <v>9.2999999999999999E-2</v>
      </c>
      <c r="BG434" s="118">
        <f>+BF434+0.005</f>
        <v>9.8000000000000004E-2</v>
      </c>
      <c r="BH434" s="118">
        <f>+BG434+0.008</f>
        <v>0.10600000000000001</v>
      </c>
      <c r="BI434" s="239">
        <f>+BI431/BI430</f>
        <v>9.5500000000000002E-2</v>
      </c>
      <c r="BJ434" s="118">
        <f>+BH434+0.005</f>
        <v>0.11100000000000002</v>
      </c>
      <c r="BK434" s="118">
        <f>+BJ434+0.009</f>
        <v>0.12000000000000001</v>
      </c>
      <c r="BL434" s="118">
        <f>+BK434+0.009</f>
        <v>0.129</v>
      </c>
      <c r="BM434" s="118">
        <f>+BL434+0.009</f>
        <v>0.13800000000000001</v>
      </c>
      <c r="BN434" s="239">
        <f>+BN431/BN430</f>
        <v>0.1245</v>
      </c>
      <c r="BO434" s="118">
        <f>+BM434+0.0025</f>
        <v>0.14050000000000001</v>
      </c>
      <c r="BP434" s="118">
        <f>+BO434+0.0025</f>
        <v>0.14300000000000002</v>
      </c>
      <c r="BQ434" s="118">
        <f>+BP434+0.0025</f>
        <v>0.14550000000000002</v>
      </c>
      <c r="BR434" s="118">
        <f>+BQ434+0.0025</f>
        <v>0.14800000000000002</v>
      </c>
      <c r="BS434" s="239">
        <f>+BS431/BS430</f>
        <v>0.14425000000000002</v>
      </c>
      <c r="BT434" s="118">
        <f>+BR434+0.0025</f>
        <v>0.15050000000000002</v>
      </c>
      <c r="BU434" s="118">
        <f>+BT434+0.0025</f>
        <v>0.15300000000000002</v>
      </c>
      <c r="BV434" s="118">
        <f>+BU434+0.0025</f>
        <v>0.15550000000000003</v>
      </c>
      <c r="BW434" s="118">
        <f>+BV434+0.0025</f>
        <v>0.15800000000000003</v>
      </c>
      <c r="BX434" s="239">
        <f>+BX431/BX430</f>
        <v>0.15425000000000003</v>
      </c>
      <c r="BY434" s="118">
        <f>+BW434+0.0025</f>
        <v>0.16050000000000003</v>
      </c>
      <c r="BZ434" s="118">
        <f>+BY434+0.0025</f>
        <v>0.16300000000000003</v>
      </c>
      <c r="CA434" s="118">
        <f>+BZ434+0.0025</f>
        <v>0.16550000000000004</v>
      </c>
      <c r="CB434" s="118">
        <f>+CA434+0.0025</f>
        <v>0.16800000000000004</v>
      </c>
      <c r="CC434" s="239">
        <f>+CC431/CC430</f>
        <v>0.16425000000000003</v>
      </c>
      <c r="CD434" s="118">
        <f>+CB434+0.0025</f>
        <v>0.17050000000000004</v>
      </c>
      <c r="CE434" s="118">
        <f>+CD434+0.0025</f>
        <v>0.17300000000000004</v>
      </c>
      <c r="CF434" s="118">
        <f>+CE434+0.0025</f>
        <v>0.17550000000000004</v>
      </c>
      <c r="CG434" s="118">
        <f>+CF434+0.0025</f>
        <v>0.17800000000000005</v>
      </c>
      <c r="CH434" s="239">
        <f>+CH431/CH430</f>
        <v>0.17425000000000004</v>
      </c>
      <c r="CI434" s="118">
        <f>+CG434+0.0025</f>
        <v>0.18050000000000005</v>
      </c>
      <c r="CJ434" s="118">
        <f>+CI434+0.0025</f>
        <v>0.18300000000000005</v>
      </c>
      <c r="CK434" s="118">
        <f>+CJ434+0.0025</f>
        <v>0.18550000000000005</v>
      </c>
      <c r="CL434" s="118">
        <f>+CK434+0.0025</f>
        <v>0.18800000000000006</v>
      </c>
      <c r="CM434" s="239">
        <f>+CM431/CM430</f>
        <v>0.18425000000000008</v>
      </c>
      <c r="CN434" s="118">
        <f>+CL434+0.0025</f>
        <v>0.19050000000000006</v>
      </c>
      <c r="CO434" s="118">
        <f>+CN434+0.0025</f>
        <v>0.19300000000000006</v>
      </c>
      <c r="CP434" s="118">
        <f>+CO434+0.0025</f>
        <v>0.19550000000000006</v>
      </c>
      <c r="CQ434" s="118">
        <f>+CP434+0.0025</f>
        <v>0.19800000000000006</v>
      </c>
      <c r="CR434" s="239">
        <f>+CR431/CR430</f>
        <v>0.19425000000000006</v>
      </c>
      <c r="CS434" s="118">
        <f>+CQ434+0.0025</f>
        <v>0.20050000000000007</v>
      </c>
      <c r="CT434" s="118">
        <f>+CS434+0.0025</f>
        <v>0.20300000000000007</v>
      </c>
      <c r="CU434" s="118">
        <f>+CT434+0.0025</f>
        <v>0.20550000000000007</v>
      </c>
      <c r="CV434" s="118">
        <f>+CU434+0.0025</f>
        <v>0.20800000000000007</v>
      </c>
      <c r="CW434" s="239">
        <f>+CW431/CW430</f>
        <v>0.20425000000000007</v>
      </c>
      <c r="CX434" s="118">
        <f>+CV434+0.0025</f>
        <v>0.21050000000000008</v>
      </c>
      <c r="CY434" s="118">
        <f>+CX434+0.0025</f>
        <v>0.21300000000000008</v>
      </c>
      <c r="CZ434" s="118">
        <f>+CY434+0.0025</f>
        <v>0.21550000000000008</v>
      </c>
      <c r="DA434" s="118">
        <f>+CZ434+0.0025</f>
        <v>0.21800000000000008</v>
      </c>
      <c r="DB434" s="239">
        <f>+DB431/DB430</f>
        <v>0.21425000000000008</v>
      </c>
    </row>
    <row r="435" spans="1:106">
      <c r="F435" s="217"/>
      <c r="K435" s="217"/>
      <c r="P435" s="217"/>
      <c r="U435" s="217"/>
      <c r="Z435" s="217"/>
      <c r="AE435" s="217"/>
      <c r="AF435" s="118"/>
      <c r="AG435" s="118"/>
      <c r="AH435" s="118"/>
      <c r="AI435" s="118"/>
      <c r="AJ435" s="239"/>
      <c r="AK435" s="118"/>
      <c r="AL435" s="118"/>
      <c r="AM435" s="118"/>
      <c r="AN435" s="118"/>
      <c r="AO435" s="239"/>
      <c r="AP435" s="118"/>
      <c r="AQ435" s="118"/>
      <c r="AR435" s="118"/>
      <c r="AS435" s="118"/>
      <c r="AT435" s="239"/>
      <c r="AU435" s="118"/>
      <c r="AV435" s="118"/>
      <c r="AW435" s="118"/>
      <c r="AX435" s="118"/>
      <c r="AY435" s="239"/>
      <c r="AZ435" s="118"/>
      <c r="BA435" s="118"/>
      <c r="BB435" s="118"/>
      <c r="BC435" s="118"/>
      <c r="BD435" s="239"/>
      <c r="BE435" s="118"/>
      <c r="BF435" s="118"/>
      <c r="BG435" s="118"/>
      <c r="BH435" s="118"/>
      <c r="BI435" s="239"/>
      <c r="BJ435" s="118"/>
      <c r="BK435" s="118"/>
      <c r="BL435" s="118"/>
      <c r="BM435" s="118"/>
      <c r="BN435" s="239"/>
      <c r="BO435" s="118"/>
      <c r="BP435" s="118"/>
      <c r="BQ435" s="118"/>
      <c r="BR435" s="118"/>
      <c r="BS435" s="239"/>
      <c r="BT435" s="118"/>
      <c r="BU435" s="118"/>
      <c r="BV435" s="118"/>
      <c r="BW435" s="118"/>
      <c r="BX435" s="239"/>
      <c r="BY435" s="118"/>
      <c r="BZ435" s="118"/>
      <c r="CA435" s="118"/>
      <c r="CB435" s="118"/>
      <c r="CC435" s="239"/>
      <c r="CD435" s="118"/>
      <c r="CE435" s="118"/>
      <c r="CF435" s="118"/>
      <c r="CG435" s="118"/>
      <c r="CH435" s="239"/>
      <c r="CI435" s="118"/>
      <c r="CJ435" s="118"/>
      <c r="CK435" s="118"/>
      <c r="CL435" s="118"/>
      <c r="CM435" s="239"/>
      <c r="CN435" s="118"/>
      <c r="CO435" s="118"/>
      <c r="CP435" s="118"/>
      <c r="CQ435" s="118"/>
      <c r="CR435" s="239"/>
      <c r="CS435" s="118"/>
      <c r="CT435" s="118"/>
      <c r="CU435" s="118"/>
      <c r="CV435" s="118"/>
      <c r="CW435" s="239"/>
      <c r="CX435" s="118"/>
      <c r="CY435" s="118"/>
      <c r="CZ435" s="118"/>
      <c r="DA435" s="118"/>
      <c r="DB435" s="239"/>
    </row>
    <row r="436" spans="1:106" s="128" customFormat="1">
      <c r="A436" s="128" t="s">
        <v>384</v>
      </c>
      <c r="F436" s="244"/>
      <c r="K436" s="244"/>
      <c r="P436" s="244"/>
      <c r="U436" s="244"/>
      <c r="Z436" s="244"/>
      <c r="AE436" s="244"/>
      <c r="AJ436" s="244"/>
      <c r="AO436" s="244"/>
      <c r="AT436" s="244"/>
      <c r="AY436" s="244"/>
      <c r="BD436" s="244"/>
      <c r="BI436" s="244"/>
      <c r="BN436" s="244"/>
      <c r="BS436" s="244"/>
      <c r="BX436" s="244"/>
      <c r="CC436" s="244"/>
      <c r="CH436" s="244"/>
      <c r="CM436" s="244"/>
      <c r="CR436" s="244"/>
      <c r="CW436" s="244"/>
      <c r="DB436" s="244"/>
    </row>
    <row r="437" spans="1:106" s="51" customFormat="1">
      <c r="A437" s="51" t="s">
        <v>353</v>
      </c>
      <c r="F437" s="233"/>
      <c r="K437" s="233"/>
      <c r="P437" s="233"/>
      <c r="U437" s="233"/>
      <c r="Z437" s="233"/>
      <c r="AE437" s="233"/>
      <c r="AF437" s="213">
        <v>0</v>
      </c>
      <c r="AG437" s="213">
        <v>2250</v>
      </c>
      <c r="AH437" s="213">
        <v>2750</v>
      </c>
      <c r="AI437" s="213">
        <v>2750</v>
      </c>
      <c r="AJ437" s="234">
        <f>+AF437+AG437+AH437+AI437</f>
        <v>7750</v>
      </c>
      <c r="AK437" s="213">
        <v>2000</v>
      </c>
      <c r="AL437" s="213">
        <v>3000</v>
      </c>
      <c r="AM437" s="213">
        <v>4000</v>
      </c>
      <c r="AN437" s="213">
        <v>6000</v>
      </c>
      <c r="AO437" s="234">
        <f>+AK437+AL437+AM437+AN437</f>
        <v>15000</v>
      </c>
      <c r="AP437" s="213">
        <f>+AK437*(1+AP438)</f>
        <v>4000</v>
      </c>
      <c r="AQ437" s="213">
        <f t="shared" ref="AQ437:AS437" si="9384">+AL437*(1+AQ438)</f>
        <v>6000</v>
      </c>
      <c r="AR437" s="213">
        <f t="shared" si="9384"/>
        <v>8000</v>
      </c>
      <c r="AS437" s="213">
        <f t="shared" si="9384"/>
        <v>9000</v>
      </c>
      <c r="AT437" s="234">
        <f>+AP437+AQ437+AR437+AS437</f>
        <v>27000</v>
      </c>
      <c r="AU437" s="213">
        <f>+AP437*(1+AU438)</f>
        <v>8000</v>
      </c>
      <c r="AV437" s="213">
        <f t="shared" ref="AV437" si="9385">+AQ437*(1+AV438)</f>
        <v>9000</v>
      </c>
      <c r="AW437" s="213">
        <f t="shared" ref="AW437" si="9386">+AR437*(1+AW438)</f>
        <v>8800</v>
      </c>
      <c r="AX437" s="213">
        <f t="shared" ref="AX437" si="9387">+AS437*(1+AX438)</f>
        <v>9450</v>
      </c>
      <c r="AY437" s="234">
        <f>+AU437+AV437+AW437+AX437</f>
        <v>35250</v>
      </c>
      <c r="AZ437" s="213">
        <f>+AU437*(1+AZ438)</f>
        <v>17600</v>
      </c>
      <c r="BA437" s="213">
        <f t="shared" ref="BA437" si="9388">+AV437*(1+BA438)</f>
        <v>16200</v>
      </c>
      <c r="BB437" s="213">
        <f t="shared" ref="BB437" si="9389">+AW437*(1+BB438)</f>
        <v>17160</v>
      </c>
      <c r="BC437" s="213">
        <f t="shared" ref="BC437" si="9390">+AX437*(1+BC438)</f>
        <v>22680</v>
      </c>
      <c r="BD437" s="234">
        <f>+AZ437+BA437+BB437+BC437</f>
        <v>73640</v>
      </c>
      <c r="BE437" s="213">
        <f>+AZ437*(1+BE438)</f>
        <v>26400</v>
      </c>
      <c r="BF437" s="213">
        <f t="shared" ref="BF437" si="9391">+BA437*(1+BF438)</f>
        <v>27864</v>
      </c>
      <c r="BG437" s="213">
        <f t="shared" ref="BG437" si="9392">+BB437*(1+BG438)</f>
        <v>29172</v>
      </c>
      <c r="BH437" s="213">
        <f t="shared" ref="BH437" si="9393">+BC437*(1+BH438)</f>
        <v>31751.999999999996</v>
      </c>
      <c r="BI437" s="234">
        <f>+BE437+BF437+BG437+BH437</f>
        <v>115188</v>
      </c>
      <c r="BJ437" s="213">
        <f>+BE437*(1+BJ438)</f>
        <v>28380</v>
      </c>
      <c r="BK437" s="213">
        <f t="shared" ref="BK437" si="9394">+BF437*(1+BK438)</f>
        <v>29953.8</v>
      </c>
      <c r="BL437" s="213">
        <f t="shared" ref="BL437" si="9395">+BG437*(1+BL438)</f>
        <v>31359.899999999998</v>
      </c>
      <c r="BM437" s="213">
        <f t="shared" ref="BM437" si="9396">+BH437*(1+BM438)</f>
        <v>34133.399999999994</v>
      </c>
      <c r="BN437" s="234">
        <f>+BJ437+BK437+BL437+BM437</f>
        <v>123827.09999999999</v>
      </c>
      <c r="BO437" s="213">
        <f>+BJ437*(1+BO438)</f>
        <v>30508.5</v>
      </c>
      <c r="BP437" s="213">
        <f t="shared" ref="BP437" si="9397">+BK437*(1+BP438)</f>
        <v>32200.334999999999</v>
      </c>
      <c r="BQ437" s="213">
        <f t="shared" ref="BQ437" si="9398">+BL437*(1+BQ438)</f>
        <v>33711.892499999994</v>
      </c>
      <c r="BR437" s="213">
        <f t="shared" ref="BR437" si="9399">+BM437*(1+BR438)</f>
        <v>36693.404999999992</v>
      </c>
      <c r="BS437" s="234">
        <f>+BO437+BP437+BQ437+BR437</f>
        <v>133114.13249999998</v>
      </c>
      <c r="BT437" s="213">
        <f>+BO437*(1+BT438)</f>
        <v>32796.637499999997</v>
      </c>
      <c r="BU437" s="213">
        <f t="shared" ref="BU437" si="9400">+BP437*(1+BU438)</f>
        <v>34615.360124999999</v>
      </c>
      <c r="BV437" s="213">
        <f t="shared" ref="BV437" si="9401">+BQ437*(1+BV438)</f>
        <v>36240.284437499991</v>
      </c>
      <c r="BW437" s="213">
        <f t="shared" ref="BW437" si="9402">+BR437*(1+BW438)</f>
        <v>39445.410374999992</v>
      </c>
      <c r="BX437" s="234">
        <f>+BT437+BU437+BV437+BW437</f>
        <v>143097.69243749999</v>
      </c>
      <c r="BY437" s="213">
        <f>+BT437*(1+BY438)</f>
        <v>35256.385312499995</v>
      </c>
      <c r="BZ437" s="213">
        <f t="shared" ref="BZ437" si="9403">+BU437*(1+BZ438)</f>
        <v>37211.512134375</v>
      </c>
      <c r="CA437" s="213">
        <f t="shared" ref="CA437" si="9404">+BV437*(1+CA438)</f>
        <v>38958.305770312487</v>
      </c>
      <c r="CB437" s="213">
        <f t="shared" ref="CB437" si="9405">+BW437*(1+CB438)</f>
        <v>42403.816153124993</v>
      </c>
      <c r="CC437" s="234">
        <f>+BY437+BZ437+CA437+CB437</f>
        <v>153830.01937031248</v>
      </c>
      <c r="CD437" s="213">
        <f>+BY437*(1+CD438)</f>
        <v>37900.614210937492</v>
      </c>
      <c r="CE437" s="213">
        <f t="shared" ref="CE437" si="9406">+BZ437*(1+CE438)</f>
        <v>40002.37554445312</v>
      </c>
      <c r="CF437" s="213">
        <f t="shared" ref="CF437" si="9407">+CA437*(1+CF438)</f>
        <v>41880.17870308592</v>
      </c>
      <c r="CG437" s="213">
        <f t="shared" ref="CG437" si="9408">+CB437*(1+CG438)</f>
        <v>45584.102364609367</v>
      </c>
      <c r="CH437" s="234">
        <f>+CD437+CE437+CF437+CG437</f>
        <v>165367.27082308591</v>
      </c>
      <c r="CI437" s="213">
        <f>+CD437*(1+CI438)</f>
        <v>39795.644921484367</v>
      </c>
      <c r="CJ437" s="213">
        <f t="shared" ref="CJ437" si="9409">+CE437*(1+CJ438)</f>
        <v>42002.494321675775</v>
      </c>
      <c r="CK437" s="213">
        <f t="shared" ref="CK437" si="9410">+CF437*(1+CK438)</f>
        <v>43974.187638240219</v>
      </c>
      <c r="CL437" s="213">
        <f t="shared" ref="CL437" si="9411">+CG437*(1+CL438)</f>
        <v>47863.307482839838</v>
      </c>
      <c r="CM437" s="234">
        <f>+CI437+CJ437+CK437+CL437</f>
        <v>173635.63436424022</v>
      </c>
      <c r="CN437" s="213">
        <f>+CI437*(1+CN438)</f>
        <v>41785.427167558584</v>
      </c>
      <c r="CO437" s="213">
        <f t="shared" ref="CO437" si="9412">+CJ437*(1+CO438)</f>
        <v>44102.619037759563</v>
      </c>
      <c r="CP437" s="213">
        <f t="shared" ref="CP437" si="9413">+CK437*(1+CP438)</f>
        <v>46172.897020152232</v>
      </c>
      <c r="CQ437" s="213">
        <f t="shared" ref="CQ437" si="9414">+CL437*(1+CQ438)</f>
        <v>50256.472856981833</v>
      </c>
      <c r="CR437" s="234">
        <f>+CN437+CO437+CP437+CQ437</f>
        <v>182317.4160824522</v>
      </c>
      <c r="CS437" s="213">
        <f>+CN437*(1+CS438)</f>
        <v>43874.698525936517</v>
      </c>
      <c r="CT437" s="213">
        <f t="shared" ref="CT437" si="9415">+CO437*(1+CT438)</f>
        <v>46307.749989647542</v>
      </c>
      <c r="CU437" s="213">
        <f t="shared" ref="CU437" si="9416">+CP437*(1+CU438)</f>
        <v>48481.541871159847</v>
      </c>
      <c r="CV437" s="213">
        <f t="shared" ref="CV437" si="9417">+CQ437*(1+CV438)</f>
        <v>52769.296499830925</v>
      </c>
      <c r="CW437" s="234">
        <f>+CS437+CT437+CU437+CV437</f>
        <v>191433.28688657485</v>
      </c>
      <c r="CX437" s="213">
        <f>+CS437*(1+CX438)</f>
        <v>46068.433452233345</v>
      </c>
      <c r="CY437" s="213">
        <f t="shared" ref="CY437" si="9418">+CT437*(1+CY438)</f>
        <v>48623.13748912992</v>
      </c>
      <c r="CZ437" s="213">
        <f t="shared" ref="CZ437" si="9419">+CU437*(1+CZ438)</f>
        <v>50905.61896471784</v>
      </c>
      <c r="DA437" s="213">
        <f t="shared" ref="DA437" si="9420">+CV437*(1+DA438)</f>
        <v>55407.761324822473</v>
      </c>
      <c r="DB437" s="234">
        <f>+CX437+CY437+CZ437+DA437</f>
        <v>201004.95123090356</v>
      </c>
    </row>
    <row r="438" spans="1:106">
      <c r="A438" s="117" t="s">
        <v>281</v>
      </c>
      <c r="F438" s="217"/>
      <c r="K438" s="217"/>
      <c r="P438" s="217"/>
      <c r="U438" s="217"/>
      <c r="Z438" s="217"/>
      <c r="AE438" s="217"/>
      <c r="AF438" s="119" t="s">
        <v>290</v>
      </c>
      <c r="AG438" s="119" t="s">
        <v>290</v>
      </c>
      <c r="AH438" s="119" t="s">
        <v>290</v>
      </c>
      <c r="AI438" s="119" t="s">
        <v>290</v>
      </c>
      <c r="AJ438" s="235" t="s">
        <v>290</v>
      </c>
      <c r="AK438" s="13" t="e">
        <f>+AK437/AF437-1</f>
        <v>#DIV/0!</v>
      </c>
      <c r="AL438" s="13">
        <f>+AL437/AG437-1</f>
        <v>0.33333333333333326</v>
      </c>
      <c r="AM438" s="13">
        <f>+AM437/AH437-1</f>
        <v>0.45454545454545459</v>
      </c>
      <c r="AN438" s="13">
        <f>+AN437/AI437-1</f>
        <v>1.1818181818181817</v>
      </c>
      <c r="AO438" s="239">
        <f>+AO437/AJ437-1</f>
        <v>0.93548387096774199</v>
      </c>
      <c r="AP438" s="118">
        <v>1</v>
      </c>
      <c r="AQ438" s="118">
        <v>1</v>
      </c>
      <c r="AR438" s="118">
        <v>1</v>
      </c>
      <c r="AS438" s="118">
        <v>0.5</v>
      </c>
      <c r="AT438" s="239">
        <f>+AT437/AO437-1</f>
        <v>0.8</v>
      </c>
      <c r="AU438" s="118">
        <v>1</v>
      </c>
      <c r="AV438" s="118">
        <v>0.5</v>
      </c>
      <c r="AW438" s="118">
        <v>0.1</v>
      </c>
      <c r="AX438" s="118">
        <v>0.05</v>
      </c>
      <c r="AY438" s="239">
        <f>+AY437/AT437-1</f>
        <v>0.30555555555555558</v>
      </c>
      <c r="AZ438" s="118">
        <v>1.2</v>
      </c>
      <c r="BA438" s="118">
        <v>0.8</v>
      </c>
      <c r="BB438" s="118">
        <v>0.95</v>
      </c>
      <c r="BC438" s="118">
        <v>1.4</v>
      </c>
      <c r="BD438" s="239">
        <f>+BD437/AY437-1</f>
        <v>1.089078014184397</v>
      </c>
      <c r="BE438" s="118">
        <v>0.5</v>
      </c>
      <c r="BF438" s="118">
        <v>0.72</v>
      </c>
      <c r="BG438" s="118">
        <v>0.7</v>
      </c>
      <c r="BH438" s="118">
        <v>0.4</v>
      </c>
      <c r="BI438" s="239">
        <f>+BI437/BD437-1</f>
        <v>0.56420423682781107</v>
      </c>
      <c r="BJ438" s="118">
        <v>7.4999999999999997E-2</v>
      </c>
      <c r="BK438" s="118">
        <v>7.4999999999999997E-2</v>
      </c>
      <c r="BL438" s="118">
        <v>7.4999999999999997E-2</v>
      </c>
      <c r="BM438" s="118">
        <v>7.4999999999999997E-2</v>
      </c>
      <c r="BN438" s="239">
        <f>+BN437/BI437-1</f>
        <v>7.4999999999999956E-2</v>
      </c>
      <c r="BO438" s="118">
        <v>7.4999999999999997E-2</v>
      </c>
      <c r="BP438" s="118">
        <v>7.4999999999999997E-2</v>
      </c>
      <c r="BQ438" s="118">
        <v>7.4999999999999997E-2</v>
      </c>
      <c r="BR438" s="118">
        <v>7.4999999999999997E-2</v>
      </c>
      <c r="BS438" s="239">
        <f>+BS437/BN437-1</f>
        <v>7.4999999999999956E-2</v>
      </c>
      <c r="BT438" s="118">
        <v>7.4999999999999997E-2</v>
      </c>
      <c r="BU438" s="118">
        <v>7.4999999999999997E-2</v>
      </c>
      <c r="BV438" s="118">
        <v>7.4999999999999997E-2</v>
      </c>
      <c r="BW438" s="118">
        <v>7.4999999999999997E-2</v>
      </c>
      <c r="BX438" s="239">
        <f>+BX437/BS437-1</f>
        <v>7.5000000000000178E-2</v>
      </c>
      <c r="BY438" s="118">
        <v>7.4999999999999997E-2</v>
      </c>
      <c r="BZ438" s="118">
        <v>7.4999999999999997E-2</v>
      </c>
      <c r="CA438" s="118">
        <v>7.4999999999999997E-2</v>
      </c>
      <c r="CB438" s="118">
        <v>7.4999999999999997E-2</v>
      </c>
      <c r="CC438" s="239">
        <f>+CC437/BX437-1</f>
        <v>7.4999999999999956E-2</v>
      </c>
      <c r="CD438" s="118">
        <v>7.4999999999999997E-2</v>
      </c>
      <c r="CE438" s="118">
        <v>7.4999999999999997E-2</v>
      </c>
      <c r="CF438" s="118">
        <v>7.4999999999999997E-2</v>
      </c>
      <c r="CG438" s="118">
        <v>7.4999999999999997E-2</v>
      </c>
      <c r="CH438" s="239">
        <f>+CH437/CC437-1</f>
        <v>7.4999999999999956E-2</v>
      </c>
      <c r="CI438" s="118">
        <v>0.05</v>
      </c>
      <c r="CJ438" s="118">
        <v>0.05</v>
      </c>
      <c r="CK438" s="118">
        <v>0.05</v>
      </c>
      <c r="CL438" s="118">
        <v>0.05</v>
      </c>
      <c r="CM438" s="239">
        <f>+CM437/CH437-1</f>
        <v>5.0000000000000044E-2</v>
      </c>
      <c r="CN438" s="118">
        <v>0.05</v>
      </c>
      <c r="CO438" s="118">
        <v>0.05</v>
      </c>
      <c r="CP438" s="118">
        <v>0.05</v>
      </c>
      <c r="CQ438" s="118">
        <v>0.05</v>
      </c>
      <c r="CR438" s="239">
        <f>+CR437/CM437-1</f>
        <v>4.9999999999999822E-2</v>
      </c>
      <c r="CS438" s="118">
        <v>0.05</v>
      </c>
      <c r="CT438" s="118">
        <v>0.05</v>
      </c>
      <c r="CU438" s="118">
        <v>0.05</v>
      </c>
      <c r="CV438" s="118">
        <v>0.05</v>
      </c>
      <c r="CW438" s="239">
        <f>+CW437/CR437-1</f>
        <v>5.0000000000000266E-2</v>
      </c>
      <c r="CX438" s="118">
        <v>0.05</v>
      </c>
      <c r="CY438" s="118">
        <v>0.05</v>
      </c>
      <c r="CZ438" s="118">
        <v>0.05</v>
      </c>
      <c r="DA438" s="118">
        <v>0.05</v>
      </c>
      <c r="DB438" s="239">
        <f>+DB437/CW437-1</f>
        <v>4.9999999999999822E-2</v>
      </c>
    </row>
    <row r="439" spans="1:106">
      <c r="A439" s="117" t="s">
        <v>288</v>
      </c>
      <c r="F439" s="217"/>
      <c r="K439" s="217"/>
      <c r="P439" s="217"/>
      <c r="U439" s="217"/>
      <c r="Z439" s="217"/>
      <c r="AE439" s="217"/>
      <c r="AF439" s="119" t="s">
        <v>290</v>
      </c>
      <c r="AG439" s="13" t="e">
        <f>+AG437/AF437-1</f>
        <v>#DIV/0!</v>
      </c>
      <c r="AH439" s="13">
        <f>+AH437/AG437-1</f>
        <v>0.22222222222222232</v>
      </c>
      <c r="AI439" s="13">
        <f>+AI437/AH437-1</f>
        <v>0</v>
      </c>
      <c r="AJ439" s="235" t="s">
        <v>290</v>
      </c>
      <c r="AK439" s="119" t="s">
        <v>290</v>
      </c>
      <c r="AL439" s="13">
        <f>+AL437/AK437-1</f>
        <v>0.5</v>
      </c>
      <c r="AM439" s="13">
        <f>+AM437/AL437-1</f>
        <v>0.33333333333333326</v>
      </c>
      <c r="AN439" s="13">
        <f>+AN437/AM437-1</f>
        <v>0.5</v>
      </c>
      <c r="AO439" s="235" t="s">
        <v>290</v>
      </c>
      <c r="AP439" s="119" t="s">
        <v>290</v>
      </c>
      <c r="AQ439" s="13">
        <f>+AQ437/AP437-1</f>
        <v>0.5</v>
      </c>
      <c r="AR439" s="13">
        <f>+AR437/AQ437-1</f>
        <v>0.33333333333333326</v>
      </c>
      <c r="AS439" s="13">
        <f>+AS437/AR437-1</f>
        <v>0.125</v>
      </c>
      <c r="AT439" s="235" t="s">
        <v>290</v>
      </c>
      <c r="AU439" s="119" t="s">
        <v>290</v>
      </c>
      <c r="AV439" s="13">
        <f>+AV437/AU437-1</f>
        <v>0.125</v>
      </c>
      <c r="AW439" s="13">
        <f>+AW437/AV437-1</f>
        <v>-2.2222222222222254E-2</v>
      </c>
      <c r="AX439" s="13">
        <f>+AX437/AW437-1</f>
        <v>7.3863636363636465E-2</v>
      </c>
      <c r="AY439" s="235" t="s">
        <v>290</v>
      </c>
      <c r="AZ439" s="119" t="s">
        <v>290</v>
      </c>
      <c r="BA439" s="13">
        <f>+BA437/AZ437-1</f>
        <v>-7.9545454545454586E-2</v>
      </c>
      <c r="BB439" s="13">
        <f>+BB437/BA437-1</f>
        <v>5.9259259259259345E-2</v>
      </c>
      <c r="BC439" s="13">
        <f>+BC437/BB437-1</f>
        <v>0.32167832167832167</v>
      </c>
      <c r="BD439" s="235" t="s">
        <v>290</v>
      </c>
      <c r="BE439" s="13">
        <f>+BE437/BC437-1</f>
        <v>0.16402116402116396</v>
      </c>
      <c r="BF439" s="13">
        <f>+BF437/BE437-1</f>
        <v>5.5454545454545423E-2</v>
      </c>
      <c r="BG439" s="13">
        <f>+BG437/BF437-1</f>
        <v>4.6942291128337699E-2</v>
      </c>
      <c r="BH439" s="13">
        <f>+BH437/BG437-1</f>
        <v>8.8440970793911777E-2</v>
      </c>
      <c r="BI439" s="235" t="s">
        <v>290</v>
      </c>
      <c r="BJ439" s="119" t="s">
        <v>290</v>
      </c>
      <c r="BK439" s="13">
        <f>+BK437/BJ437-1</f>
        <v>5.5454545454545423E-2</v>
      </c>
      <c r="BL439" s="13">
        <f>+BL437/BK437-1</f>
        <v>4.6942291128337699E-2</v>
      </c>
      <c r="BM439" s="13">
        <f>+BM437/BL437-1</f>
        <v>8.8440970793911777E-2</v>
      </c>
      <c r="BN439" s="235" t="s">
        <v>290</v>
      </c>
      <c r="BO439" s="119" t="s">
        <v>290</v>
      </c>
      <c r="BP439" s="13">
        <f>+BP437/BO437-1</f>
        <v>5.5454545454545423E-2</v>
      </c>
      <c r="BQ439" s="13">
        <f>+BQ437/BP437-1</f>
        <v>4.6942291128337477E-2</v>
      </c>
      <c r="BR439" s="13">
        <f>+BR437/BQ437-1</f>
        <v>8.8440970793911999E-2</v>
      </c>
      <c r="BS439" s="235" t="s">
        <v>290</v>
      </c>
      <c r="BT439" s="119" t="s">
        <v>290</v>
      </c>
      <c r="BU439" s="13">
        <f>+BU437/BT437-1</f>
        <v>5.5454545454545423E-2</v>
      </c>
      <c r="BV439" s="13">
        <f>+BV437/BU437-1</f>
        <v>4.6942291128337477E-2</v>
      </c>
      <c r="BW439" s="13">
        <f>+BW437/BV437-1</f>
        <v>8.8440970793911999E-2</v>
      </c>
      <c r="BX439" s="235" t="s">
        <v>290</v>
      </c>
      <c r="BY439" s="119" t="s">
        <v>290</v>
      </c>
      <c r="BZ439" s="13">
        <f>+BZ437/BY437-1</f>
        <v>5.5454545454545645E-2</v>
      </c>
      <c r="CA439" s="13">
        <f>+CA437/BZ437-1</f>
        <v>4.6942291128337255E-2</v>
      </c>
      <c r="CB439" s="13">
        <f>+CB437/CA437-1</f>
        <v>8.8440970793912221E-2</v>
      </c>
      <c r="CC439" s="235" t="s">
        <v>290</v>
      </c>
      <c r="CD439" s="119" t="s">
        <v>290</v>
      </c>
      <c r="CE439" s="13">
        <f>+CE437/CD437-1</f>
        <v>5.5454545454545423E-2</v>
      </c>
      <c r="CF439" s="13">
        <f>+CF437/CE437-1</f>
        <v>4.6942291128337255E-2</v>
      </c>
      <c r="CG439" s="13">
        <f>+CG437/CF437-1</f>
        <v>8.8440970793912221E-2</v>
      </c>
      <c r="CH439" s="235" t="s">
        <v>290</v>
      </c>
      <c r="CI439" s="119" t="s">
        <v>290</v>
      </c>
      <c r="CJ439" s="13">
        <f>+CJ437/CI437-1</f>
        <v>5.5454545454545423E-2</v>
      </c>
      <c r="CK439" s="13">
        <f>+CK437/CJ437-1</f>
        <v>4.6942291128337477E-2</v>
      </c>
      <c r="CL439" s="13">
        <f>+CL437/CK437-1</f>
        <v>8.8440970793912221E-2</v>
      </c>
      <c r="CM439" s="235" t="s">
        <v>290</v>
      </c>
      <c r="CN439" s="119" t="s">
        <v>290</v>
      </c>
      <c r="CO439" s="13">
        <f>+CO437/CN437-1</f>
        <v>5.5454545454545423E-2</v>
      </c>
      <c r="CP439" s="13">
        <f>+CP437/CO437-1</f>
        <v>4.6942291128337477E-2</v>
      </c>
      <c r="CQ439" s="13">
        <f>+CQ437/CP437-1</f>
        <v>8.8440970793912221E-2</v>
      </c>
      <c r="CR439" s="235" t="s">
        <v>290</v>
      </c>
      <c r="CS439" s="119" t="s">
        <v>290</v>
      </c>
      <c r="CT439" s="13">
        <f>+CT437/CS437-1</f>
        <v>5.5454545454545423E-2</v>
      </c>
      <c r="CU439" s="13">
        <f>+CU437/CT437-1</f>
        <v>4.6942291128337477E-2</v>
      </c>
      <c r="CV439" s="13">
        <f>+CV437/CU437-1</f>
        <v>8.8440970793912221E-2</v>
      </c>
      <c r="CW439" s="235" t="s">
        <v>290</v>
      </c>
      <c r="CX439" s="119" t="s">
        <v>290</v>
      </c>
      <c r="CY439" s="13">
        <f>+CY437/CX437-1</f>
        <v>5.5454545454545423E-2</v>
      </c>
      <c r="CZ439" s="13">
        <f>+CZ437/CY437-1</f>
        <v>4.6942291128337477E-2</v>
      </c>
      <c r="DA439" s="13">
        <f>+DA437/CZ437-1</f>
        <v>8.8440970793912221E-2</v>
      </c>
      <c r="DB439" s="235" t="s">
        <v>290</v>
      </c>
    </row>
    <row r="440" spans="1:106">
      <c r="F440" s="217"/>
      <c r="K440" s="217"/>
      <c r="P440" s="217"/>
      <c r="U440" s="217"/>
      <c r="Z440" s="217"/>
      <c r="AE440" s="217"/>
      <c r="AJ440" s="217"/>
      <c r="AO440" s="217"/>
      <c r="AT440" s="217"/>
      <c r="AY440" s="217"/>
      <c r="BD440" s="217"/>
      <c r="BI440" s="217"/>
      <c r="BN440" s="217"/>
      <c r="BS440" s="217"/>
      <c r="BX440" s="217"/>
      <c r="CC440" s="217"/>
      <c r="CH440" s="217"/>
      <c r="CM440" s="217"/>
      <c r="CR440" s="217"/>
      <c r="CW440" s="217"/>
      <c r="DB440" s="217"/>
    </row>
    <row r="441" spans="1:106" s="124" customFormat="1">
      <c r="A441" s="124" t="s">
        <v>364</v>
      </c>
      <c r="F441" s="243"/>
      <c r="K441" s="243"/>
      <c r="P441" s="243"/>
      <c r="U441" s="243"/>
      <c r="Z441" s="243"/>
      <c r="AE441" s="243"/>
      <c r="AJ441" s="243"/>
      <c r="AO441" s="243"/>
      <c r="AT441" s="243"/>
      <c r="AY441" s="243"/>
      <c r="BD441" s="243"/>
      <c r="BI441" s="243"/>
      <c r="BN441" s="243"/>
      <c r="BS441" s="243"/>
      <c r="BX441" s="243"/>
      <c r="CC441" s="243"/>
      <c r="CH441" s="243"/>
      <c r="CM441" s="243"/>
      <c r="CR441" s="243"/>
      <c r="CW441" s="243"/>
      <c r="DB441" s="243"/>
    </row>
    <row r="442" spans="1:106" s="51" customFormat="1">
      <c r="A442" s="51" t="s">
        <v>365</v>
      </c>
      <c r="F442" s="233"/>
      <c r="K442" s="233"/>
      <c r="P442" s="233"/>
      <c r="U442" s="233"/>
      <c r="V442" s="213">
        <v>750</v>
      </c>
      <c r="W442" s="213">
        <v>900</v>
      </c>
      <c r="X442" s="213">
        <v>750</v>
      </c>
      <c r="Y442" s="213">
        <v>800</v>
      </c>
      <c r="Z442" s="234">
        <f>+V442+W442+X442+Y442</f>
        <v>3200</v>
      </c>
      <c r="AA442" s="213">
        <f>+V442*(1+AA443)</f>
        <v>1800</v>
      </c>
      <c r="AB442" s="213">
        <f t="shared" ref="AB442:AD442" si="9421">+W442*(1+AB443)</f>
        <v>1080</v>
      </c>
      <c r="AC442" s="213">
        <f t="shared" si="9421"/>
        <v>1050</v>
      </c>
      <c r="AD442" s="213">
        <f t="shared" si="9421"/>
        <v>1080</v>
      </c>
      <c r="AE442" s="234">
        <f>+AA442+AB442+AC442+AD442</f>
        <v>5010</v>
      </c>
      <c r="AF442" s="213">
        <f>+AA442*(1+AF443)</f>
        <v>900</v>
      </c>
      <c r="AG442" s="213">
        <f t="shared" ref="AG442" si="9422">+AB442*(1+AG443)</f>
        <v>648</v>
      </c>
      <c r="AH442" s="213">
        <f t="shared" ref="AH442" si="9423">+AC442*(1+AH443)</f>
        <v>840</v>
      </c>
      <c r="AI442" s="213">
        <f t="shared" ref="AI442" si="9424">+AD442*(1+AI443)</f>
        <v>1512</v>
      </c>
      <c r="AJ442" s="234">
        <f>+AF442+AG442+AH442+AI442</f>
        <v>3900</v>
      </c>
      <c r="AK442" s="213">
        <f>+AF442*(1+AK443)</f>
        <v>1800</v>
      </c>
      <c r="AL442" s="213">
        <f t="shared" ref="AL442" si="9425">+AG442*(1+AL443)</f>
        <v>1944</v>
      </c>
      <c r="AM442" s="213">
        <f t="shared" ref="AM442" si="9426">+AH442*(1+AM443)</f>
        <v>2520</v>
      </c>
      <c r="AN442" s="213">
        <f t="shared" ref="AN442" si="9427">+AI442*(1+AN443)</f>
        <v>4536</v>
      </c>
      <c r="AO442" s="234">
        <f>+AK442+AL442+AM442+AN442</f>
        <v>10800</v>
      </c>
      <c r="AP442" s="213">
        <f>+AK442*(1+AP443)</f>
        <v>4500</v>
      </c>
      <c r="AQ442" s="213">
        <f t="shared" ref="AQ442" si="9428">+AL442*(1+AQ443)</f>
        <v>4860</v>
      </c>
      <c r="AR442" s="213">
        <f t="shared" ref="AR442" si="9429">+AM442*(1+AR443)</f>
        <v>5040</v>
      </c>
      <c r="AS442" s="213">
        <f t="shared" ref="AS442" si="9430">+AN442*(1+AS443)</f>
        <v>6804</v>
      </c>
      <c r="AT442" s="234">
        <f>+AP442+AQ442+AR442+AS442</f>
        <v>21204</v>
      </c>
      <c r="AU442" s="213">
        <f>+AP442*(1+AU443)</f>
        <v>4950</v>
      </c>
      <c r="AV442" s="213">
        <f t="shared" ref="AV442" si="9431">+AQ442*(1+AV443)</f>
        <v>5346</v>
      </c>
      <c r="AW442" s="213">
        <f t="shared" ref="AW442" si="9432">+AR442*(1+AW443)</f>
        <v>3276</v>
      </c>
      <c r="AX442" s="213">
        <f t="shared" ref="AX442" si="9433">+AS442*(1+AX443)</f>
        <v>3402</v>
      </c>
      <c r="AY442" s="234">
        <f>+AU442+AV442+AW442+AX442</f>
        <v>16974</v>
      </c>
      <c r="AZ442" s="213">
        <f>+AU442*(1+AZ443)</f>
        <v>3465</v>
      </c>
      <c r="BA442" s="213">
        <f t="shared" ref="BA442" si="9434">+AV442*(1+BA443)</f>
        <v>3742.2</v>
      </c>
      <c r="BB442" s="213">
        <f t="shared" ref="BB442" si="9435">+AW442*(1+BB443)</f>
        <v>2293.1999999999998</v>
      </c>
      <c r="BC442" s="213">
        <f>+AX442*(1+BC443)</f>
        <v>2381.3999999999996</v>
      </c>
      <c r="BD442" s="234">
        <f>+AZ442+BA442+BB442+BC442</f>
        <v>11881.8</v>
      </c>
      <c r="BE442" s="213">
        <f>+AZ442*(1+BE443)</f>
        <v>3811.5000000000005</v>
      </c>
      <c r="BF442" s="213">
        <f t="shared" ref="BF442" si="9436">+BA442*(1+BF443)</f>
        <v>4116.42</v>
      </c>
      <c r="BG442" s="213">
        <f t="shared" ref="BG442" si="9437">+BB442*(1+BG443)</f>
        <v>2522.52</v>
      </c>
      <c r="BH442" s="213">
        <f t="shared" ref="BH442" si="9438">+BC442*(1+BH443)</f>
        <v>2619.54</v>
      </c>
      <c r="BI442" s="234">
        <f>+BE442+BF442+BG442+BH442</f>
        <v>13069.98</v>
      </c>
      <c r="BJ442" s="213">
        <f>+BE442*(1+BJ443)</f>
        <v>4383.2250000000004</v>
      </c>
      <c r="BK442" s="213">
        <f t="shared" ref="BK442" si="9439">+BF442*(1+BK443)</f>
        <v>4733.8829999999998</v>
      </c>
      <c r="BL442" s="213">
        <f t="shared" ref="BL442" si="9440">+BG442*(1+BL443)</f>
        <v>2900.8979999999997</v>
      </c>
      <c r="BM442" s="213">
        <f t="shared" ref="BM442" si="9441">+BH442*(1+BM443)</f>
        <v>3012.4709999999995</v>
      </c>
      <c r="BN442" s="234">
        <f>+BJ442+BK442+BL442+BM442</f>
        <v>15030.476999999999</v>
      </c>
      <c r="BO442" s="213">
        <f>+BJ442*(1+BO443)</f>
        <v>4821.5475000000006</v>
      </c>
      <c r="BP442" s="213">
        <f t="shared" ref="BP442" si="9442">+BK442*(1+BP443)</f>
        <v>5207.2713000000003</v>
      </c>
      <c r="BQ442" s="213">
        <f t="shared" ref="BQ442" si="9443">+BL442*(1+BQ443)</f>
        <v>3190.9877999999999</v>
      </c>
      <c r="BR442" s="213">
        <f t="shared" ref="BR442" si="9444">+BM442*(1+BR443)</f>
        <v>3313.7180999999996</v>
      </c>
      <c r="BS442" s="234">
        <f>+BO442+BP442+BQ442+BR442</f>
        <v>16533.524699999998</v>
      </c>
      <c r="BT442" s="213">
        <f>+BO442*(1+BT443)</f>
        <v>5303.7022500000012</v>
      </c>
      <c r="BU442" s="213">
        <f t="shared" ref="BU442" si="9445">+BP442*(1+BU443)</f>
        <v>5727.9984300000006</v>
      </c>
      <c r="BV442" s="213">
        <f t="shared" ref="BV442" si="9446">+BQ442*(1+BV443)</f>
        <v>3510.0865800000001</v>
      </c>
      <c r="BW442" s="213">
        <f t="shared" ref="BW442" si="9447">+BR442*(1+BW443)</f>
        <v>3645.0899099999997</v>
      </c>
      <c r="BX442" s="234">
        <f>+BT442+BU442+BV442+BW442</f>
        <v>18186.87717</v>
      </c>
      <c r="BY442" s="213">
        <f>+BT442*(1+BY443)</f>
        <v>5781.0354525000021</v>
      </c>
      <c r="BZ442" s="213">
        <f t="shared" ref="BZ442" si="9448">+BU442*(1+BZ443)</f>
        <v>6243.518288700001</v>
      </c>
      <c r="CA442" s="213">
        <f t="shared" ref="CA442" si="9449">+BV442*(1+CA443)</f>
        <v>3825.9943722000003</v>
      </c>
      <c r="CB442" s="213">
        <f t="shared" ref="CB442" si="9450">+BW442*(1+CB443)</f>
        <v>3973.1480019000001</v>
      </c>
      <c r="CC442" s="234">
        <f>+BY442+BZ442+CA442+CB442</f>
        <v>19823.696115300005</v>
      </c>
      <c r="CD442" s="213">
        <f>+BY442*(1+CD443)</f>
        <v>6243.5182887000028</v>
      </c>
      <c r="CE442" s="213">
        <f t="shared" ref="CE442" si="9451">+BZ442*(1+CE443)</f>
        <v>6742.9997517960019</v>
      </c>
      <c r="CF442" s="213">
        <f t="shared" ref="CF442" si="9452">+CA442*(1+CF443)</f>
        <v>4132.0739219760007</v>
      </c>
      <c r="CG442" s="213">
        <f t="shared" ref="CG442" si="9453">+CB442*(1+CG443)</f>
        <v>4290.9998420520005</v>
      </c>
      <c r="CH442" s="234">
        <f>+CD442+CE442+CF442+CG442</f>
        <v>21409.591804524003</v>
      </c>
      <c r="CI442" s="213">
        <f>+CD442*(1+CI443)</f>
        <v>6555.6942031350036</v>
      </c>
      <c r="CJ442" s="213">
        <f t="shared" ref="CJ442" si="9454">+CE442*(1+CJ443)</f>
        <v>7080.1497393858026</v>
      </c>
      <c r="CK442" s="213">
        <f t="shared" ref="CK442" si="9455">+CF442*(1+CK443)</f>
        <v>4338.6776180748011</v>
      </c>
      <c r="CL442" s="213">
        <f t="shared" ref="CL442" si="9456">+CG442*(1+CL443)</f>
        <v>4505.5498341546008</v>
      </c>
      <c r="CM442" s="234">
        <f>+CI442+CJ442+CK442+CL442</f>
        <v>22480.071394750208</v>
      </c>
      <c r="CN442" s="213">
        <f>+CI442*(1+CN443)</f>
        <v>6883.478913291754</v>
      </c>
      <c r="CO442" s="213">
        <f t="shared" ref="CO442" si="9457">+CJ442*(1+CO443)</f>
        <v>7434.1572263550934</v>
      </c>
      <c r="CP442" s="213">
        <f t="shared" ref="CP442" si="9458">+CK442*(1+CP443)</f>
        <v>4555.611498978541</v>
      </c>
      <c r="CQ442" s="213">
        <f t="shared" ref="CQ442" si="9459">+CL442*(1+CQ443)</f>
        <v>4730.8273258623312</v>
      </c>
      <c r="CR442" s="234">
        <f>+CN442+CO442+CP442+CQ442</f>
        <v>23604.074964487718</v>
      </c>
      <c r="CS442" s="213">
        <f>+CN442*(1+CS443)</f>
        <v>7227.6528589563422</v>
      </c>
      <c r="CT442" s="213">
        <f t="shared" ref="CT442" si="9460">+CO442*(1+CT443)</f>
        <v>7805.8650876728479</v>
      </c>
      <c r="CU442" s="213">
        <f t="shared" ref="CU442" si="9461">+CP442*(1+CU443)</f>
        <v>4783.3920739274681</v>
      </c>
      <c r="CV442" s="213">
        <f t="shared" ref="CV442" si="9462">+CQ442*(1+CV443)</f>
        <v>4967.3686921554481</v>
      </c>
      <c r="CW442" s="234">
        <f>+CS442+CT442+CU442+CV442</f>
        <v>24784.278712712105</v>
      </c>
      <c r="CX442" s="213">
        <f>+CS442*(1+CX443)</f>
        <v>7589.0355019041599</v>
      </c>
      <c r="CY442" s="213">
        <f t="shared" ref="CY442" si="9463">+CT442*(1+CY443)</f>
        <v>8196.1583420564912</v>
      </c>
      <c r="CZ442" s="213">
        <f t="shared" ref="CZ442" si="9464">+CU442*(1+CZ443)</f>
        <v>5022.5616776238421</v>
      </c>
      <c r="DA442" s="213">
        <f t="shared" ref="DA442" si="9465">+CV442*(1+DA443)</f>
        <v>5215.7371267632207</v>
      </c>
      <c r="DB442" s="234">
        <f>+CX442+CY442+CZ442+DA442</f>
        <v>26023.49264834771</v>
      </c>
    </row>
    <row r="443" spans="1:106">
      <c r="A443" s="117" t="s">
        <v>281</v>
      </c>
      <c r="F443" s="217"/>
      <c r="K443" s="217"/>
      <c r="P443" s="217"/>
      <c r="U443" s="217"/>
      <c r="Z443" s="217"/>
      <c r="AA443" s="118">
        <v>1.4</v>
      </c>
      <c r="AB443" s="118">
        <v>0.2</v>
      </c>
      <c r="AC443" s="118">
        <v>0.4</v>
      </c>
      <c r="AD443" s="118">
        <v>0.35</v>
      </c>
      <c r="AE443" s="239">
        <f>+AE442/Z442-1</f>
        <v>0.56562500000000004</v>
      </c>
      <c r="AF443" s="118">
        <v>-0.5</v>
      </c>
      <c r="AG443" s="118">
        <v>-0.4</v>
      </c>
      <c r="AH443" s="118">
        <v>-0.2</v>
      </c>
      <c r="AI443" s="118">
        <v>0.4</v>
      </c>
      <c r="AJ443" s="239">
        <f>+AJ442/AE442-1</f>
        <v>-0.22155688622754488</v>
      </c>
      <c r="AK443" s="118">
        <v>1</v>
      </c>
      <c r="AL443" s="118">
        <v>2</v>
      </c>
      <c r="AM443" s="118">
        <v>2</v>
      </c>
      <c r="AN443" s="118">
        <v>2</v>
      </c>
      <c r="AO443" s="239">
        <f>+AO442/AJ442-1</f>
        <v>1.7692307692307692</v>
      </c>
      <c r="AP443" s="118">
        <v>1.5</v>
      </c>
      <c r="AQ443" s="118">
        <v>1.5</v>
      </c>
      <c r="AR443" s="118">
        <v>1</v>
      </c>
      <c r="AS443" s="118">
        <v>0.5</v>
      </c>
      <c r="AT443" s="239">
        <f>+AT442/AO442-1</f>
        <v>0.96333333333333337</v>
      </c>
      <c r="AU443" s="118">
        <v>0.1</v>
      </c>
      <c r="AV443" s="118">
        <v>0.1</v>
      </c>
      <c r="AW443" s="118">
        <v>-0.35</v>
      </c>
      <c r="AX443" s="118">
        <v>-0.5</v>
      </c>
      <c r="AY443" s="239">
        <f>+AY442/AT442-1</f>
        <v>-0.19949066213921907</v>
      </c>
      <c r="AZ443" s="118">
        <v>-0.3</v>
      </c>
      <c r="BA443" s="118">
        <v>-0.3</v>
      </c>
      <c r="BB443" s="118">
        <v>-0.3</v>
      </c>
      <c r="BC443" s="118">
        <v>-0.3</v>
      </c>
      <c r="BD443" s="239">
        <f>+BD442/AY442-1</f>
        <v>-0.30000000000000004</v>
      </c>
      <c r="BE443" s="110">
        <v>0.1</v>
      </c>
      <c r="BF443" s="118">
        <v>0.1</v>
      </c>
      <c r="BG443" s="118">
        <v>0.1</v>
      </c>
      <c r="BH443" s="118">
        <v>0.1</v>
      </c>
      <c r="BI443" s="239">
        <f>+BI442/BD442-1</f>
        <v>0.10000000000000009</v>
      </c>
      <c r="BJ443" s="118">
        <v>0.15</v>
      </c>
      <c r="BK443" s="118">
        <v>0.15</v>
      </c>
      <c r="BL443" s="118">
        <v>0.15</v>
      </c>
      <c r="BM443" s="118">
        <v>0.15</v>
      </c>
      <c r="BN443" s="239">
        <f>+BN442/BI442-1</f>
        <v>0.14999999999999991</v>
      </c>
      <c r="BO443" s="118">
        <v>0.1</v>
      </c>
      <c r="BP443" s="118">
        <v>0.1</v>
      </c>
      <c r="BQ443" s="118">
        <v>0.1</v>
      </c>
      <c r="BR443" s="118">
        <v>0.1</v>
      </c>
      <c r="BS443" s="239">
        <f>+BS442/BN442-1</f>
        <v>9.9999999999999867E-2</v>
      </c>
      <c r="BT443" s="118">
        <v>0.1</v>
      </c>
      <c r="BU443" s="118">
        <v>0.1</v>
      </c>
      <c r="BV443" s="118">
        <v>0.1</v>
      </c>
      <c r="BW443" s="118">
        <v>0.1</v>
      </c>
      <c r="BX443" s="239">
        <f>+BX442/BS442-1</f>
        <v>0.10000000000000009</v>
      </c>
      <c r="BY443" s="118">
        <v>0.09</v>
      </c>
      <c r="BZ443" s="118">
        <v>0.09</v>
      </c>
      <c r="CA443" s="118">
        <v>0.09</v>
      </c>
      <c r="CB443" s="118">
        <v>0.09</v>
      </c>
      <c r="CC443" s="239">
        <f>+CC442/BX442-1</f>
        <v>9.0000000000000302E-2</v>
      </c>
      <c r="CD443" s="118">
        <v>0.08</v>
      </c>
      <c r="CE443" s="118">
        <v>0.08</v>
      </c>
      <c r="CF443" s="118">
        <v>0.08</v>
      </c>
      <c r="CG443" s="118">
        <v>0.08</v>
      </c>
      <c r="CH443" s="239">
        <f>+CH442/CC442-1</f>
        <v>7.9999999999999849E-2</v>
      </c>
      <c r="CI443" s="118">
        <v>0.05</v>
      </c>
      <c r="CJ443" s="118">
        <v>0.05</v>
      </c>
      <c r="CK443" s="118">
        <v>0.05</v>
      </c>
      <c r="CL443" s="118">
        <v>0.05</v>
      </c>
      <c r="CM443" s="239">
        <f>+CM442/CH442-1</f>
        <v>5.0000000000000266E-2</v>
      </c>
      <c r="CN443" s="118">
        <v>0.05</v>
      </c>
      <c r="CO443" s="118">
        <v>0.05</v>
      </c>
      <c r="CP443" s="118">
        <v>0.05</v>
      </c>
      <c r="CQ443" s="118">
        <v>0.05</v>
      </c>
      <c r="CR443" s="239">
        <f>+CR442/CM442-1</f>
        <v>5.0000000000000044E-2</v>
      </c>
      <c r="CS443" s="118">
        <v>0.05</v>
      </c>
      <c r="CT443" s="118">
        <v>0.05</v>
      </c>
      <c r="CU443" s="118">
        <v>0.05</v>
      </c>
      <c r="CV443" s="118">
        <v>0.05</v>
      </c>
      <c r="CW443" s="239">
        <f>+CW442/CR442-1</f>
        <v>5.0000000000000044E-2</v>
      </c>
      <c r="CX443" s="118">
        <v>0.05</v>
      </c>
      <c r="CY443" s="118">
        <v>0.05</v>
      </c>
      <c r="CZ443" s="118">
        <v>0.05</v>
      </c>
      <c r="DA443" s="118">
        <v>0.05</v>
      </c>
      <c r="DB443" s="239">
        <f>+DB442/CW442-1</f>
        <v>5.0000000000000044E-2</v>
      </c>
    </row>
    <row r="444" spans="1:106">
      <c r="A444" s="117" t="s">
        <v>288</v>
      </c>
      <c r="F444" s="217"/>
      <c r="K444" s="217"/>
      <c r="P444" s="217"/>
      <c r="U444" s="217"/>
      <c r="Z444" s="217"/>
      <c r="AE444" s="217"/>
      <c r="AJ444" s="217"/>
      <c r="AO444" s="217"/>
      <c r="AT444" s="217"/>
      <c r="AY444" s="217"/>
      <c r="BD444" s="217"/>
      <c r="BE444" s="62">
        <f>+BE442/BC442-1</f>
        <v>0.60052910052910091</v>
      </c>
      <c r="BI444" s="217"/>
      <c r="BN444" s="217"/>
      <c r="BS444" s="217"/>
      <c r="BX444" s="217"/>
      <c r="CC444" s="217"/>
      <c r="CH444" s="217"/>
      <c r="CM444" s="217"/>
      <c r="CR444" s="217"/>
      <c r="CW444" s="217"/>
      <c r="DB444" s="217"/>
    </row>
    <row r="445" spans="1:106">
      <c r="F445" s="217"/>
      <c r="K445" s="217"/>
      <c r="P445" s="217"/>
      <c r="U445" s="217"/>
      <c r="Z445" s="217"/>
      <c r="AE445" s="217"/>
      <c r="AJ445" s="217"/>
      <c r="AO445" s="217"/>
      <c r="AT445" s="217"/>
      <c r="AY445" s="217"/>
      <c r="BD445" s="217"/>
      <c r="BI445" s="217"/>
      <c r="BN445" s="217"/>
      <c r="BS445" s="217"/>
      <c r="BX445" s="217"/>
      <c r="CC445" s="217"/>
      <c r="CH445" s="217"/>
      <c r="CM445" s="217"/>
      <c r="CR445" s="217"/>
      <c r="CW445" s="217"/>
      <c r="DB445" s="217"/>
    </row>
    <row r="446" spans="1:106" s="51" customFormat="1">
      <c r="A446" s="51" t="s">
        <v>366</v>
      </c>
      <c r="F446" s="233"/>
      <c r="K446" s="233"/>
      <c r="P446" s="233"/>
      <c r="U446" s="233"/>
      <c r="V446" s="226">
        <v>1500</v>
      </c>
      <c r="W446" s="226">
        <v>1500</v>
      </c>
      <c r="X446" s="226">
        <v>1500</v>
      </c>
      <c r="Y446" s="226">
        <v>1500</v>
      </c>
      <c r="Z446" s="236">
        <f>+Z450/Z442*1000000</f>
        <v>1500</v>
      </c>
      <c r="AA446" s="226">
        <v>1500</v>
      </c>
      <c r="AB446" s="226">
        <v>1500</v>
      </c>
      <c r="AC446" s="226">
        <v>1500</v>
      </c>
      <c r="AD446" s="226">
        <v>1500</v>
      </c>
      <c r="AE446" s="236">
        <f>+AE450/AE442*1000000</f>
        <v>1500</v>
      </c>
      <c r="AF446" s="226">
        <v>1500</v>
      </c>
      <c r="AG446" s="226">
        <v>1500</v>
      </c>
      <c r="AH446" s="226">
        <v>1500</v>
      </c>
      <c r="AI446" s="226">
        <v>1500</v>
      </c>
      <c r="AJ446" s="236">
        <f>+AJ450/AJ442*1000000</f>
        <v>1499.9999999999998</v>
      </c>
      <c r="AK446" s="226">
        <v>1500</v>
      </c>
      <c r="AL446" s="226">
        <v>1500</v>
      </c>
      <c r="AM446" s="226">
        <v>1500</v>
      </c>
      <c r="AN446" s="226">
        <v>1500</v>
      </c>
      <c r="AO446" s="236">
        <f>+AO450/AO442*1000000</f>
        <v>1500</v>
      </c>
      <c r="AP446" s="226">
        <v>1500</v>
      </c>
      <c r="AQ446" s="226">
        <v>1500</v>
      </c>
      <c r="AR446" s="226">
        <v>1500</v>
      </c>
      <c r="AS446" s="226">
        <v>1500</v>
      </c>
      <c r="AT446" s="236">
        <f>+AT450/AT442*1000000</f>
        <v>1499.9999999999998</v>
      </c>
      <c r="AU446" s="226">
        <v>1500</v>
      </c>
      <c r="AV446" s="226">
        <v>1500</v>
      </c>
      <c r="AW446" s="226">
        <v>1500</v>
      </c>
      <c r="AX446" s="226">
        <v>1500</v>
      </c>
      <c r="AY446" s="236">
        <f>+AY450/AY442*1000000</f>
        <v>1499.9999999999998</v>
      </c>
      <c r="AZ446" s="226">
        <v>1500</v>
      </c>
      <c r="BA446" s="226">
        <v>1500</v>
      </c>
      <c r="BB446" s="226">
        <v>1500</v>
      </c>
      <c r="BC446" s="226">
        <v>1500</v>
      </c>
      <c r="BD446" s="236">
        <f>+BD450/BD442*1000000</f>
        <v>1500.0000000000002</v>
      </c>
      <c r="BE446" s="226">
        <v>1500</v>
      </c>
      <c r="BF446" s="226">
        <v>1500</v>
      </c>
      <c r="BG446" s="226">
        <v>1500</v>
      </c>
      <c r="BH446" s="226">
        <v>1500</v>
      </c>
      <c r="BI446" s="236">
        <f>+BI450/BI442*1000000</f>
        <v>1500.0000000000002</v>
      </c>
      <c r="BJ446" s="226">
        <v>1500</v>
      </c>
      <c r="BK446" s="226">
        <v>1500</v>
      </c>
      <c r="BL446" s="226">
        <v>1500</v>
      </c>
      <c r="BM446" s="226">
        <v>1500</v>
      </c>
      <c r="BN446" s="236">
        <f>+BN450/BN442*1000000</f>
        <v>1500</v>
      </c>
      <c r="BO446" s="226">
        <v>1500</v>
      </c>
      <c r="BP446" s="226">
        <v>1500</v>
      </c>
      <c r="BQ446" s="226">
        <v>1500</v>
      </c>
      <c r="BR446" s="226">
        <v>1500</v>
      </c>
      <c r="BS446" s="236">
        <f>+BS450/BS442*1000000</f>
        <v>1500.0000000000002</v>
      </c>
      <c r="BT446" s="226">
        <v>1500</v>
      </c>
      <c r="BU446" s="226">
        <v>1500</v>
      </c>
      <c r="BV446" s="226">
        <v>1500</v>
      </c>
      <c r="BW446" s="226">
        <v>1500</v>
      </c>
      <c r="BX446" s="236">
        <f>+BX450/BX442*1000000</f>
        <v>1500.0000000000002</v>
      </c>
      <c r="BY446" s="226">
        <v>1500</v>
      </c>
      <c r="BZ446" s="226">
        <v>1500</v>
      </c>
      <c r="CA446" s="226">
        <v>1500</v>
      </c>
      <c r="CB446" s="226">
        <v>1500</v>
      </c>
      <c r="CC446" s="236">
        <f>+CC450/CC442*1000000</f>
        <v>1499.9999999999998</v>
      </c>
      <c r="CD446" s="226">
        <v>1500</v>
      </c>
      <c r="CE446" s="226">
        <v>1500</v>
      </c>
      <c r="CF446" s="226">
        <v>1500</v>
      </c>
      <c r="CG446" s="226">
        <v>1500</v>
      </c>
      <c r="CH446" s="236">
        <f>+CH450/CH442*1000000</f>
        <v>1500.0000000000002</v>
      </c>
      <c r="CI446" s="226">
        <v>1500</v>
      </c>
      <c r="CJ446" s="226">
        <v>1500</v>
      </c>
      <c r="CK446" s="226">
        <v>1500</v>
      </c>
      <c r="CL446" s="226">
        <v>1500</v>
      </c>
      <c r="CM446" s="236">
        <f>+CM450/CM442*1000000</f>
        <v>1500.0000000000002</v>
      </c>
      <c r="CN446" s="226">
        <v>1500</v>
      </c>
      <c r="CO446" s="226">
        <v>1500</v>
      </c>
      <c r="CP446" s="226">
        <v>1500</v>
      </c>
      <c r="CQ446" s="226">
        <v>1500</v>
      </c>
      <c r="CR446" s="236">
        <f>+CR450/CR442*1000000</f>
        <v>1500</v>
      </c>
      <c r="CS446" s="226">
        <v>1500</v>
      </c>
      <c r="CT446" s="226">
        <v>1500</v>
      </c>
      <c r="CU446" s="226">
        <v>1500</v>
      </c>
      <c r="CV446" s="226">
        <v>1500</v>
      </c>
      <c r="CW446" s="236">
        <f>+CW450/CW442*1000000</f>
        <v>1500</v>
      </c>
      <c r="CX446" s="226">
        <v>1500</v>
      </c>
      <c r="CY446" s="226">
        <v>1500</v>
      </c>
      <c r="CZ446" s="226">
        <v>1500</v>
      </c>
      <c r="DA446" s="226">
        <v>1500</v>
      </c>
      <c r="DB446" s="236">
        <f>+DB450/DB442*1000000</f>
        <v>1500</v>
      </c>
    </row>
    <row r="447" spans="1:106">
      <c r="A447" s="117" t="s">
        <v>281</v>
      </c>
      <c r="F447" s="217"/>
      <c r="K447" s="217"/>
      <c r="P447" s="217"/>
      <c r="U447" s="217"/>
      <c r="Z447" s="217"/>
      <c r="AE447" s="217"/>
      <c r="AJ447" s="217"/>
      <c r="AO447" s="217"/>
      <c r="AT447" s="217"/>
      <c r="AY447" s="217"/>
      <c r="BD447" s="217"/>
      <c r="BE447" s="62">
        <f t="shared" ref="BE447" si="9466">+BE446/AZ446-1</f>
        <v>0</v>
      </c>
      <c r="BI447" s="217"/>
      <c r="BN447" s="217"/>
      <c r="BS447" s="217"/>
      <c r="BX447" s="217"/>
      <c r="CC447" s="217"/>
      <c r="CH447" s="217"/>
      <c r="CM447" s="217"/>
      <c r="CR447" s="217"/>
      <c r="CW447" s="217"/>
      <c r="DB447" s="217"/>
    </row>
    <row r="448" spans="1:106">
      <c r="A448" s="117" t="s">
        <v>288</v>
      </c>
      <c r="F448" s="217"/>
      <c r="K448" s="217"/>
      <c r="P448" s="217"/>
      <c r="U448" s="217"/>
      <c r="Z448" s="217"/>
      <c r="AE448" s="217"/>
      <c r="AJ448" s="217"/>
      <c r="AO448" s="217"/>
      <c r="AT448" s="217"/>
      <c r="AY448" s="217"/>
      <c r="BD448" s="217"/>
      <c r="BE448" s="62">
        <f>+BE446/BC446-1</f>
        <v>0</v>
      </c>
      <c r="BI448" s="217"/>
      <c r="BN448" s="217"/>
      <c r="BS448" s="217"/>
      <c r="BX448" s="217"/>
      <c r="CC448" s="217"/>
      <c r="CH448" s="217"/>
      <c r="CM448" s="217"/>
      <c r="CR448" s="217"/>
      <c r="CW448" s="217"/>
      <c r="DB448" s="217"/>
    </row>
    <row r="449" spans="1:111">
      <c r="F449" s="217"/>
      <c r="K449" s="217"/>
      <c r="P449" s="217"/>
      <c r="U449" s="217"/>
      <c r="Z449" s="217"/>
      <c r="AE449" s="217"/>
      <c r="AJ449" s="217"/>
      <c r="AO449" s="217"/>
      <c r="AT449" s="217"/>
      <c r="AY449" s="217"/>
      <c r="BD449" s="217"/>
      <c r="BI449" s="217"/>
      <c r="BN449" s="217"/>
      <c r="BS449" s="217"/>
      <c r="BX449" s="217"/>
      <c r="CC449" s="217"/>
      <c r="CH449" s="217"/>
      <c r="CM449" s="217"/>
      <c r="CR449" s="217"/>
      <c r="CW449" s="217"/>
      <c r="DB449" s="217"/>
    </row>
    <row r="450" spans="1:111" s="51" customFormat="1">
      <c r="A450" s="51" t="s">
        <v>367</v>
      </c>
      <c r="F450" s="233"/>
      <c r="K450" s="233"/>
      <c r="P450" s="233"/>
      <c r="U450" s="233"/>
      <c r="V450" s="135">
        <f>+V442*V446/1000000</f>
        <v>1.125</v>
      </c>
      <c r="W450" s="135">
        <f t="shared" ref="W450:Y450" si="9467">+W442*W446/1000000</f>
        <v>1.35</v>
      </c>
      <c r="X450" s="135">
        <f t="shared" si="9467"/>
        <v>1.125</v>
      </c>
      <c r="Y450" s="135">
        <f t="shared" si="9467"/>
        <v>1.2</v>
      </c>
      <c r="Z450" s="216">
        <f>+V450+W450+X450+Y450</f>
        <v>4.8</v>
      </c>
      <c r="AA450" s="135">
        <f>+AA442*AA446/1000000</f>
        <v>2.7</v>
      </c>
      <c r="AB450" s="135">
        <f t="shared" ref="AB450:AD450" si="9468">+AB442*AB446/1000000</f>
        <v>1.62</v>
      </c>
      <c r="AC450" s="135">
        <f t="shared" si="9468"/>
        <v>1.575</v>
      </c>
      <c r="AD450" s="135">
        <f t="shared" si="9468"/>
        <v>1.62</v>
      </c>
      <c r="AE450" s="216">
        <f>+AA450+AB450+AC450+AD450</f>
        <v>7.5150000000000006</v>
      </c>
      <c r="AF450" s="135">
        <f>+AF442*AF446/1000000</f>
        <v>1.35</v>
      </c>
      <c r="AG450" s="135">
        <f t="shared" ref="AG450:AI450" si="9469">+AG442*AG446/1000000</f>
        <v>0.97199999999999998</v>
      </c>
      <c r="AH450" s="135">
        <f t="shared" si="9469"/>
        <v>1.26</v>
      </c>
      <c r="AI450" s="135">
        <f t="shared" si="9469"/>
        <v>2.2679999999999998</v>
      </c>
      <c r="AJ450" s="216">
        <f>+AF450+AG450+AH450+AI450</f>
        <v>5.85</v>
      </c>
      <c r="AK450" s="135">
        <f>+AK442*AK446/1000000</f>
        <v>2.7</v>
      </c>
      <c r="AL450" s="135">
        <f t="shared" ref="AL450:AN450" si="9470">+AL442*AL446/1000000</f>
        <v>2.9159999999999999</v>
      </c>
      <c r="AM450" s="135">
        <f t="shared" si="9470"/>
        <v>3.78</v>
      </c>
      <c r="AN450" s="135">
        <f t="shared" si="9470"/>
        <v>6.8040000000000003</v>
      </c>
      <c r="AO450" s="216">
        <f>+AK450+AL450+AM450+AN450</f>
        <v>16.2</v>
      </c>
      <c r="AP450" s="135">
        <f>+AP442*AP446/1000000</f>
        <v>6.75</v>
      </c>
      <c r="AQ450" s="135">
        <f t="shared" ref="AQ450:AS450" si="9471">+AQ442*AQ446/1000000</f>
        <v>7.29</v>
      </c>
      <c r="AR450" s="135">
        <f t="shared" si="9471"/>
        <v>7.56</v>
      </c>
      <c r="AS450" s="135">
        <f t="shared" si="9471"/>
        <v>10.206</v>
      </c>
      <c r="AT450" s="216">
        <f>+AP450+AQ450+AR450+AS450</f>
        <v>31.805999999999997</v>
      </c>
      <c r="AU450" s="135">
        <f>+AU442*AU446/1000000</f>
        <v>7.4249999999999998</v>
      </c>
      <c r="AV450" s="135">
        <f t="shared" ref="AV450:AX450" si="9472">+AV442*AV446/1000000</f>
        <v>8.0190000000000001</v>
      </c>
      <c r="AW450" s="135">
        <f t="shared" si="9472"/>
        <v>4.9139999999999997</v>
      </c>
      <c r="AX450" s="135">
        <f t="shared" si="9472"/>
        <v>5.1029999999999998</v>
      </c>
      <c r="AY450" s="216">
        <f>+AU450+AV450+AW450+AX450</f>
        <v>25.460999999999999</v>
      </c>
      <c r="AZ450" s="135">
        <f>+AZ442*AZ446/1000000</f>
        <v>5.1974999999999998</v>
      </c>
      <c r="BA450" s="135">
        <f t="shared" ref="BA450:BC450" si="9473">+BA442*BA446/1000000</f>
        <v>5.6132999999999997</v>
      </c>
      <c r="BB450" s="135">
        <f t="shared" si="9473"/>
        <v>3.4397999999999995</v>
      </c>
      <c r="BC450" s="135">
        <f t="shared" si="9473"/>
        <v>3.5720999999999994</v>
      </c>
      <c r="BD450" s="216">
        <f>+AZ450+BA450+BB450+BC450</f>
        <v>17.822700000000001</v>
      </c>
      <c r="BE450" s="135">
        <f>+BE442*BE446/1000000</f>
        <v>5.7172500000000008</v>
      </c>
      <c r="BF450" s="135">
        <f t="shared" ref="BF450:BH450" si="9474">+BF442*BF446/1000000</f>
        <v>6.1746299999999996</v>
      </c>
      <c r="BG450" s="135">
        <f t="shared" si="9474"/>
        <v>3.7837800000000001</v>
      </c>
      <c r="BH450" s="135">
        <f t="shared" si="9474"/>
        <v>3.9293100000000001</v>
      </c>
      <c r="BI450" s="216">
        <f>+BE450+BF450+BG450+BH450</f>
        <v>19.604970000000002</v>
      </c>
      <c r="BJ450" s="135">
        <f>+BJ442*BJ446/1000000</f>
        <v>6.574837500000001</v>
      </c>
      <c r="BK450" s="135">
        <f t="shared" ref="BK450:BM450" si="9475">+BK442*BK446/1000000</f>
        <v>7.1008244999999999</v>
      </c>
      <c r="BL450" s="135">
        <f t="shared" si="9475"/>
        <v>4.3513469999999987</v>
      </c>
      <c r="BM450" s="135">
        <f t="shared" si="9475"/>
        <v>4.5187064999999986</v>
      </c>
      <c r="BN450" s="216">
        <f>+BJ450+BK450+BL450+BM450</f>
        <v>22.5457155</v>
      </c>
      <c r="BO450" s="135">
        <f>+BO442*BO446/1000000</f>
        <v>7.2323212500000009</v>
      </c>
      <c r="BP450" s="135">
        <f t="shared" ref="BP450:BR450" si="9476">+BP442*BP446/1000000</f>
        <v>7.8109069500000006</v>
      </c>
      <c r="BQ450" s="135">
        <f t="shared" si="9476"/>
        <v>4.7864817000000004</v>
      </c>
      <c r="BR450" s="135">
        <f t="shared" si="9476"/>
        <v>4.9705771499999996</v>
      </c>
      <c r="BS450" s="216">
        <f>+BO450+BP450+BQ450+BR450</f>
        <v>24.800287050000001</v>
      </c>
      <c r="BT450" s="135">
        <f>+BT442*BT446/1000000</f>
        <v>7.9555533750000018</v>
      </c>
      <c r="BU450" s="135">
        <f t="shared" ref="BU450:BW450" si="9477">+BU442*BU446/1000000</f>
        <v>8.5919976450000011</v>
      </c>
      <c r="BV450" s="135">
        <f t="shared" si="9477"/>
        <v>5.26512987</v>
      </c>
      <c r="BW450" s="135">
        <f t="shared" si="9477"/>
        <v>5.4676348649999991</v>
      </c>
      <c r="BX450" s="216">
        <f>+BT450+BU450+BV450+BW450</f>
        <v>27.280315755000004</v>
      </c>
      <c r="BY450" s="135">
        <f>+BY442*BY446/1000000</f>
        <v>8.6715531787500026</v>
      </c>
      <c r="BZ450" s="135">
        <f t="shared" ref="BZ450:CB450" si="9478">+BZ442*BZ446/1000000</f>
        <v>9.3652774330500002</v>
      </c>
      <c r="CA450" s="135">
        <f t="shared" si="9478"/>
        <v>5.7389915583000004</v>
      </c>
      <c r="CB450" s="135">
        <f t="shared" si="9478"/>
        <v>5.9597220028499995</v>
      </c>
      <c r="CC450" s="216">
        <f>+BY450+BZ450+CA450+CB450</f>
        <v>29.735544172950004</v>
      </c>
      <c r="CD450" s="135">
        <f>+CD442*CD446/1000000</f>
        <v>9.3652774330500055</v>
      </c>
      <c r="CE450" s="135">
        <f t="shared" ref="CE450:CG450" si="9479">+CE442*CE446/1000000</f>
        <v>10.114499627694004</v>
      </c>
      <c r="CF450" s="135">
        <f t="shared" si="9479"/>
        <v>6.1981108829640013</v>
      </c>
      <c r="CG450" s="135">
        <f t="shared" si="9479"/>
        <v>6.4364997630780003</v>
      </c>
      <c r="CH450" s="216">
        <f>+CD450+CE450+CF450+CG450</f>
        <v>32.114387706786012</v>
      </c>
      <c r="CI450" s="135">
        <f>+CI442*CI446/1000000</f>
        <v>9.8335413047025053</v>
      </c>
      <c r="CJ450" s="135">
        <f t="shared" ref="CJ450:CL450" si="9480">+CJ442*CJ446/1000000</f>
        <v>10.620224609078704</v>
      </c>
      <c r="CK450" s="135">
        <f t="shared" si="9480"/>
        <v>6.5080164271122012</v>
      </c>
      <c r="CL450" s="135">
        <f t="shared" si="9480"/>
        <v>6.7583247512319016</v>
      </c>
      <c r="CM450" s="216">
        <f>+CI450+CJ450+CK450+CL450</f>
        <v>33.720107092125318</v>
      </c>
      <c r="CN450" s="135">
        <f>+CN442*CN446/1000000</f>
        <v>10.32521836993763</v>
      </c>
      <c r="CO450" s="135">
        <f t="shared" ref="CO450:CQ450" si="9481">+CO442*CO446/1000000</f>
        <v>11.151235839532641</v>
      </c>
      <c r="CP450" s="135">
        <f t="shared" si="9481"/>
        <v>6.8334172484678115</v>
      </c>
      <c r="CQ450" s="135">
        <f t="shared" si="9481"/>
        <v>7.0962409887934967</v>
      </c>
      <c r="CR450" s="216">
        <f>+CN450+CO450+CP450+CQ450</f>
        <v>35.406112446731576</v>
      </c>
      <c r="CS450" s="135">
        <f>+CS442*CS446/1000000</f>
        <v>10.841479288434513</v>
      </c>
      <c r="CT450" s="135">
        <f t="shared" ref="CT450:CV450" si="9482">+CT442*CT446/1000000</f>
        <v>11.708797631509272</v>
      </c>
      <c r="CU450" s="135">
        <f t="shared" si="9482"/>
        <v>7.1750881108912026</v>
      </c>
      <c r="CV450" s="135">
        <f t="shared" si="9482"/>
        <v>7.4510530382331721</v>
      </c>
      <c r="CW450" s="216">
        <f>+CS450+CT450+CU450+CV450</f>
        <v>37.176418069068156</v>
      </c>
      <c r="CX450" s="135">
        <f>+CX442*CX446/1000000</f>
        <v>11.38355325285624</v>
      </c>
      <c r="CY450" s="135">
        <f t="shared" ref="CY450:DA450" si="9483">+CY442*CY446/1000000</f>
        <v>12.294237513084738</v>
      </c>
      <c r="CZ450" s="135">
        <f t="shared" si="9483"/>
        <v>7.5338425164357625</v>
      </c>
      <c r="DA450" s="135">
        <f t="shared" si="9483"/>
        <v>7.8236056901448316</v>
      </c>
      <c r="DB450" s="216">
        <f>+CX450+CY450+CZ450+DA450</f>
        <v>39.035238972521569</v>
      </c>
    </row>
    <row r="451" spans="1:111">
      <c r="A451" s="117" t="s">
        <v>281</v>
      </c>
      <c r="F451" s="217"/>
      <c r="K451" s="217"/>
      <c r="P451" s="217"/>
      <c r="U451" s="217"/>
      <c r="Z451" s="217"/>
      <c r="AE451" s="217"/>
      <c r="AJ451" s="217"/>
      <c r="AO451" s="217"/>
      <c r="AT451" s="217"/>
      <c r="AY451" s="217"/>
      <c r="BD451" s="217"/>
      <c r="BE451" s="62">
        <f t="shared" ref="BE451:BH451" si="9484">+BE450/AZ450-1</f>
        <v>0.10000000000000031</v>
      </c>
      <c r="BF451" s="62">
        <f t="shared" si="9484"/>
        <v>0.10000000000000009</v>
      </c>
      <c r="BG451" s="62">
        <f t="shared" si="9484"/>
        <v>0.10000000000000009</v>
      </c>
      <c r="BH451" s="62">
        <f t="shared" si="9484"/>
        <v>0.10000000000000031</v>
      </c>
      <c r="BI451" s="217"/>
      <c r="BN451" s="217"/>
      <c r="BS451" s="217"/>
      <c r="BX451" s="217"/>
      <c r="CC451" s="217"/>
      <c r="CH451" s="217"/>
      <c r="CM451" s="217"/>
      <c r="CR451" s="217"/>
      <c r="CW451" s="217"/>
      <c r="DB451" s="217"/>
    </row>
    <row r="452" spans="1:111">
      <c r="A452" s="117" t="s">
        <v>288</v>
      </c>
      <c r="F452" s="217"/>
      <c r="K452" s="217"/>
      <c r="P452" s="217"/>
      <c r="U452" s="217"/>
      <c r="Z452" s="217"/>
      <c r="AE452" s="217"/>
      <c r="AJ452" s="217"/>
      <c r="AO452" s="217"/>
      <c r="AT452" s="217"/>
      <c r="AY452" s="217"/>
      <c r="BD452" s="217"/>
      <c r="BE452" s="62">
        <f>+BE450/BC450-1</f>
        <v>0.60052910052910113</v>
      </c>
      <c r="BI452" s="217"/>
      <c r="BN452" s="217"/>
      <c r="BS452" s="217"/>
      <c r="BX452" s="217"/>
      <c r="CC452" s="217"/>
      <c r="CH452" s="217"/>
      <c r="CM452" s="217"/>
      <c r="CR452" s="217"/>
      <c r="CW452" s="217"/>
      <c r="DB452" s="217"/>
    </row>
    <row r="453" spans="1:111">
      <c r="F453" s="217"/>
      <c r="K453" s="217"/>
      <c r="P453" s="217"/>
      <c r="U453" s="217"/>
      <c r="Z453" s="217"/>
      <c r="AE453" s="217"/>
      <c r="AJ453" s="217"/>
      <c r="AO453" s="217"/>
      <c r="AT453" s="217"/>
      <c r="AY453" s="217"/>
      <c r="BD453" s="217"/>
      <c r="BI453" s="217"/>
      <c r="BN453" s="217"/>
      <c r="BS453" s="217"/>
      <c r="BX453" s="217"/>
      <c r="CC453" s="217"/>
      <c r="CH453" s="217"/>
      <c r="CM453" s="217"/>
      <c r="CR453" s="217"/>
      <c r="CW453" s="217"/>
      <c r="DB453" s="217"/>
    </row>
    <row r="454" spans="1:111" s="121" customFormat="1">
      <c r="A454" s="121" t="s">
        <v>368</v>
      </c>
      <c r="F454" s="237"/>
      <c r="K454" s="237"/>
      <c r="P454" s="237"/>
      <c r="U454" s="237"/>
      <c r="Z454" s="237"/>
      <c r="AE454" s="237"/>
      <c r="AJ454" s="237"/>
      <c r="AO454" s="237"/>
      <c r="AT454" s="237"/>
      <c r="AY454" s="237"/>
      <c r="BD454" s="237"/>
      <c r="BI454" s="237"/>
      <c r="BN454" s="237"/>
      <c r="BS454" s="237"/>
      <c r="BX454" s="237"/>
      <c r="CC454" s="237"/>
      <c r="CH454" s="237"/>
      <c r="CM454" s="237"/>
      <c r="CR454" s="237"/>
      <c r="CW454" s="237"/>
      <c r="DB454" s="237"/>
    </row>
    <row r="455" spans="1:111" s="51" customFormat="1">
      <c r="A455" s="51" t="s">
        <v>369</v>
      </c>
      <c r="F455" s="233"/>
      <c r="K455" s="233"/>
      <c r="P455" s="233"/>
      <c r="U455" s="233"/>
      <c r="V455" s="213"/>
      <c r="Z455" s="233"/>
      <c r="AE455" s="233"/>
      <c r="AF455" s="213"/>
      <c r="AJ455" s="233"/>
      <c r="AK455" s="213">
        <f>+AK318*AK458</f>
        <v>112.96107220000002</v>
      </c>
      <c r="AL455" s="213">
        <f>+AL318*AL458</f>
        <v>184.36992996000001</v>
      </c>
      <c r="AM455" s="213">
        <f>+AM318*AM458</f>
        <v>406.25985992000005</v>
      </c>
      <c r="AN455" s="213">
        <f>+AN318*AN458</f>
        <v>522.5642888000001</v>
      </c>
      <c r="AO455" s="234">
        <f>+AK455+AL455+AM455+AN455</f>
        <v>1226.1551508800003</v>
      </c>
      <c r="AP455" s="213">
        <f>+AP318*AP458</f>
        <v>1424.3089480260001</v>
      </c>
      <c r="AQ455" s="213">
        <f>+AQ303-AQ318</f>
        <v>4140</v>
      </c>
      <c r="AR455" s="213">
        <f>+AR303-AR318</f>
        <v>3960</v>
      </c>
      <c r="AS455" s="213">
        <f>+AS303-AS318</f>
        <v>5196</v>
      </c>
      <c r="AT455" s="234">
        <f>+AP455+AQ455+AR455+AS455</f>
        <v>14720.308948026001</v>
      </c>
      <c r="AU455" s="213">
        <f>+AU303-AU318</f>
        <v>5050</v>
      </c>
      <c r="AV455" s="213">
        <f>+AV303-AV318</f>
        <v>6654</v>
      </c>
      <c r="AW455" s="213">
        <f>+AW303-AW318</f>
        <v>4724</v>
      </c>
      <c r="AX455" s="213">
        <f>+AX303-AX318</f>
        <v>3598</v>
      </c>
      <c r="AY455" s="234">
        <f>+AU455+AV455+AW455+AX455</f>
        <v>20026</v>
      </c>
      <c r="AZ455" s="213">
        <f>+AZ303-AZ318</f>
        <v>5335</v>
      </c>
      <c r="BA455" s="213">
        <f>+BA303-BA318</f>
        <v>3657.8000000000029</v>
      </c>
      <c r="BB455" s="213">
        <f>+BB303-BB318</f>
        <v>4706.7999999999884</v>
      </c>
      <c r="BC455" s="213">
        <f>+BC303-BC318</f>
        <v>3618.6000000000058</v>
      </c>
      <c r="BD455" s="234">
        <f>+AZ455+BA455+BB455+BC455</f>
        <v>17318.199999999997</v>
      </c>
      <c r="BE455" s="213">
        <f>+BE303-BE318</f>
        <v>2888.5</v>
      </c>
      <c r="BF455" s="213">
        <f>+BF303-BF318</f>
        <v>3683.5799999999872</v>
      </c>
      <c r="BG455" s="213">
        <f>+BG303-BG318</f>
        <v>5977.4800000000105</v>
      </c>
      <c r="BH455" s="213">
        <f>+BH303-BH318</f>
        <v>5380.4599999999919</v>
      </c>
      <c r="BI455" s="234">
        <f>+BE455+BF455+BG455+BH455</f>
        <v>17930.01999999999</v>
      </c>
      <c r="BJ455" s="213">
        <f>+BJ318*BJ458</f>
        <v>6079.0511421732717</v>
      </c>
      <c r="BK455" s="213">
        <f>+BK318*BK458</f>
        <v>6385.2239653089646</v>
      </c>
      <c r="BL455" s="213">
        <f>+BL318*BL458</f>
        <v>6725.5307989144412</v>
      </c>
      <c r="BM455" s="213">
        <f>+BM318*BM458</f>
        <v>7177.7089558877633</v>
      </c>
      <c r="BN455" s="234">
        <f>+BJ455+BK455+BL455+BM455</f>
        <v>26367.514862284443</v>
      </c>
      <c r="BO455" s="213">
        <f>+BO318*BO458</f>
        <v>9014.5448453554181</v>
      </c>
      <c r="BP455" s="213">
        <f>+BP318*BP458</f>
        <v>9337.4641741335636</v>
      </c>
      <c r="BQ455" s="213">
        <f>+BQ318*BQ458</f>
        <v>9582.9149589117042</v>
      </c>
      <c r="BR455" s="213">
        <f>+BR318*BR458</f>
        <v>9936.6348076898448</v>
      </c>
      <c r="BS455" s="234">
        <f>+BO455+BP455+BQ455+BR455</f>
        <v>37871.558786090529</v>
      </c>
      <c r="BT455" s="213">
        <f>+BT318*BT458</f>
        <v>10403.472957475666</v>
      </c>
      <c r="BU455" s="213">
        <f>+BU318*BU458</f>
        <v>10800.573993600969</v>
      </c>
      <c r="BV455" s="213">
        <f>+BV318*BV458</f>
        <v>11112.594839451271</v>
      </c>
      <c r="BW455" s="213">
        <f>+BW318*BW458</f>
        <v>11542.609189451572</v>
      </c>
      <c r="BX455" s="234">
        <f>+BT455+BU455+BV455+BW455</f>
        <v>43859.250979979479</v>
      </c>
      <c r="BY455" s="213">
        <f>+BY318*BY458</f>
        <v>12088.594360977444</v>
      </c>
      <c r="BZ455" s="213">
        <f>+BZ318*BZ458</f>
        <v>12458.16294517749</v>
      </c>
      <c r="CA455" s="213">
        <f>+CA318*CA458</f>
        <v>12798.410030804052</v>
      </c>
      <c r="CB455" s="213">
        <f>+CB318*CB458</f>
        <v>13203.230245637222</v>
      </c>
      <c r="CC455" s="234">
        <f>+BY455+BZ455+CA455+CB455</f>
        <v>50548.397582596204</v>
      </c>
      <c r="CD455" s="213">
        <f>+CD318*CD458</f>
        <v>13795.776575240647</v>
      </c>
      <c r="CE455" s="213">
        <f>+CE318*CE458</f>
        <v>14207.627857681302</v>
      </c>
      <c r="CF455" s="213">
        <f>+CF318*CF458</f>
        <v>14525.971032145319</v>
      </c>
      <c r="CG455" s="213">
        <f>+CG318*CG458</f>
        <v>14975.67051813561</v>
      </c>
      <c r="CH455" s="234">
        <f>+CD455+CE455+CF455+CG455</f>
        <v>57505.045983202872</v>
      </c>
      <c r="CI455" s="213">
        <f>+CI318*CI458</f>
        <v>15479.172782283606</v>
      </c>
      <c r="CJ455" s="213">
        <f>+CJ318*CJ458</f>
        <v>15807.884563428051</v>
      </c>
      <c r="CK455" s="213">
        <f>+CK318*CK458</f>
        <v>16031.563832336837</v>
      </c>
      <c r="CL455" s="213">
        <f>+CL318*CL458</f>
        <v>16400.016227208402</v>
      </c>
      <c r="CM455" s="234">
        <f>+CI455+CJ455+CK455+CL455</f>
        <v>63718.637405256886</v>
      </c>
      <c r="CN455" s="213">
        <f>+CN318*CN458</f>
        <v>16927.432046433594</v>
      </c>
      <c r="CO455" s="213">
        <f>+CO318*CO458</f>
        <v>17251.653993010081</v>
      </c>
      <c r="CP455" s="213">
        <f>+CP318*CP458</f>
        <v>17465.591801739123</v>
      </c>
      <c r="CQ455" s="213">
        <f>+CQ318*CQ458</f>
        <v>17831.541392729087</v>
      </c>
      <c r="CR455" s="234">
        <f>+CN455+CO455+CP455+CQ455</f>
        <v>69476.219233911892</v>
      </c>
      <c r="CS455" s="213">
        <f>+CS318*CS458</f>
        <v>18397.767016718775</v>
      </c>
      <c r="CT455" s="213">
        <f>+CT318*CT458</f>
        <v>18732.761343802518</v>
      </c>
      <c r="CU455" s="213">
        <f>+CU318*CU458</f>
        <v>18951.957326146439</v>
      </c>
      <c r="CV455" s="213">
        <f>+CV318*CV458</f>
        <v>19330.765679864326</v>
      </c>
      <c r="CW455" s="234">
        <f>+CS455+CT455+CU455+CV455</f>
        <v>75413.251366532058</v>
      </c>
      <c r="CX455" s="213">
        <f>+CX318*CX458</f>
        <v>19855.068726960613</v>
      </c>
      <c r="CY455" s="213">
        <f>+CY318*CY458</f>
        <v>20118.682495780689</v>
      </c>
      <c r="CZ455" s="213">
        <f>+CZ318*CZ458</f>
        <v>20260.70800262396</v>
      </c>
      <c r="DA455" s="213">
        <f>+DA318*DA458</f>
        <v>20570.326499409886</v>
      </c>
      <c r="DB455" s="234">
        <f>+CX455+CY455+CZ455+DA455</f>
        <v>80804.785724775153</v>
      </c>
    </row>
    <row r="456" spans="1:111">
      <c r="A456" s="117" t="s">
        <v>281</v>
      </c>
      <c r="F456" s="217"/>
      <c r="K456" s="217"/>
      <c r="P456" s="217"/>
      <c r="U456" s="217"/>
      <c r="Z456" s="217"/>
      <c r="AE456" s="217"/>
      <c r="AJ456" s="217"/>
      <c r="AK456" s="119" t="s">
        <v>290</v>
      </c>
      <c r="AL456" s="119" t="s">
        <v>290</v>
      </c>
      <c r="AM456" s="119" t="s">
        <v>290</v>
      </c>
      <c r="AN456" s="119" t="s">
        <v>290</v>
      </c>
      <c r="AO456" s="235" t="s">
        <v>290</v>
      </c>
      <c r="AP456" s="13">
        <f t="shared" ref="AP456" si="9485">+AP455/AK455-1</f>
        <v>11.608847634734117</v>
      </c>
      <c r="AQ456" s="13">
        <f t="shared" ref="AQ456" si="9486">+AQ455/AL455-1</f>
        <v>21.454854763454072</v>
      </c>
      <c r="AR456" s="13">
        <f t="shared" ref="AR456" si="9487">+AR455/AM455-1</f>
        <v>8.7474557313631625</v>
      </c>
      <c r="AS456" s="13">
        <f t="shared" ref="AS456" si="9488">+AS455/AN455-1</f>
        <v>8.9432741795883679</v>
      </c>
      <c r="AT456" s="239">
        <f t="shared" ref="AT456" si="9489">+AT455/AO455-1</f>
        <v>11.005258011159004</v>
      </c>
      <c r="AU456" s="13">
        <f t="shared" ref="AU456:BZ456" si="9490">+AU455/AP455-1</f>
        <v>2.5455790732754808</v>
      </c>
      <c r="AV456" s="13">
        <f t="shared" si="9490"/>
        <v>0.6072463768115941</v>
      </c>
      <c r="AW456" s="13">
        <f t="shared" si="9490"/>
        <v>0.19292929292929295</v>
      </c>
      <c r="AX456" s="13">
        <f t="shared" si="9490"/>
        <v>-0.30754426481909158</v>
      </c>
      <c r="AY456" s="239">
        <f t="shared" si="9490"/>
        <v>0.36043340331423512</v>
      </c>
      <c r="AZ456" s="13">
        <f t="shared" si="9490"/>
        <v>5.6435643564356486E-2</v>
      </c>
      <c r="BA456" s="13">
        <f t="shared" si="9490"/>
        <v>-0.4502855425308081</v>
      </c>
      <c r="BB456" s="13">
        <f t="shared" si="9490"/>
        <v>-3.6409822184614304E-3</v>
      </c>
      <c r="BC456" s="13">
        <f t="shared" si="9490"/>
        <v>5.7254030016691271E-3</v>
      </c>
      <c r="BD456" s="239">
        <f t="shared" si="9490"/>
        <v>-0.13521422151203455</v>
      </c>
      <c r="BE456" s="13">
        <f t="shared" si="9490"/>
        <v>-0.45857544517338333</v>
      </c>
      <c r="BF456" s="13">
        <f t="shared" si="9490"/>
        <v>7.0479523210629225E-3</v>
      </c>
      <c r="BG456" s="13">
        <f t="shared" si="9490"/>
        <v>0.26996685646299512</v>
      </c>
      <c r="BH456" s="13">
        <f t="shared" si="9490"/>
        <v>0.48688995744209995</v>
      </c>
      <c r="BI456" s="239">
        <f t="shared" si="9490"/>
        <v>3.5328151886454329E-2</v>
      </c>
      <c r="BJ456" s="13">
        <f t="shared" si="9490"/>
        <v>1.1045702413617002</v>
      </c>
      <c r="BK456" s="13">
        <f t="shared" si="9490"/>
        <v>0.73342888312700882</v>
      </c>
      <c r="BL456" s="13">
        <f t="shared" si="9490"/>
        <v>0.12514484346487631</v>
      </c>
      <c r="BM456" s="13">
        <f t="shared" si="9490"/>
        <v>0.33403258381026424</v>
      </c>
      <c r="BN456" s="239">
        <f t="shared" si="9490"/>
        <v>0.47057922201338642</v>
      </c>
      <c r="BO456" s="13">
        <f t="shared" si="9490"/>
        <v>0.48288682469164135</v>
      </c>
      <c r="BP456" s="13">
        <f t="shared" si="9490"/>
        <v>0.46235499723489304</v>
      </c>
      <c r="BQ456" s="13">
        <f t="shared" si="9490"/>
        <v>0.4248563043467839</v>
      </c>
      <c r="BR456" s="13">
        <f t="shared" si="9490"/>
        <v>0.38437416016136705</v>
      </c>
      <c r="BS456" s="239">
        <f t="shared" si="9490"/>
        <v>0.436296100860883</v>
      </c>
      <c r="BT456" s="13">
        <f t="shared" si="9490"/>
        <v>0.15407634394717862</v>
      </c>
      <c r="BU456" s="13">
        <f t="shared" si="9490"/>
        <v>0.15669241586173688</v>
      </c>
      <c r="BV456" s="13">
        <f t="shared" si="9490"/>
        <v>0.15962573883816322</v>
      </c>
      <c r="BW456" s="13">
        <f t="shared" si="9490"/>
        <v>0.16162155627565999</v>
      </c>
      <c r="BX456" s="239">
        <f t="shared" si="9490"/>
        <v>0.15810524799650216</v>
      </c>
      <c r="BY456" s="13">
        <f t="shared" si="9490"/>
        <v>0.16197681393412888</v>
      </c>
      <c r="BZ456" s="13">
        <f t="shared" si="9490"/>
        <v>0.15347230180160754</v>
      </c>
      <c r="CA456" s="13">
        <f t="shared" ref="CA456:DB456" si="9491">+CA455/BV455-1</f>
        <v>0.15170310946349819</v>
      </c>
      <c r="CB456" s="13">
        <f t="shared" si="9491"/>
        <v>0.14386877602191017</v>
      </c>
      <c r="CC456" s="239">
        <f t="shared" si="9491"/>
        <v>0.15251392700869726</v>
      </c>
      <c r="CD456" s="13">
        <f t="shared" si="9491"/>
        <v>0.14122255766758696</v>
      </c>
      <c r="CE456" s="13">
        <f t="shared" si="9491"/>
        <v>0.14042719783024049</v>
      </c>
      <c r="CF456" s="13">
        <f t="shared" si="9491"/>
        <v>0.1349824702586695</v>
      </c>
      <c r="CG456" s="13">
        <f t="shared" si="9491"/>
        <v>0.13424292688405259</v>
      </c>
      <c r="CH456" s="239">
        <f t="shared" si="9491"/>
        <v>0.13762351989970578</v>
      </c>
      <c r="CI456" s="13">
        <f t="shared" si="9491"/>
        <v>0.12202257682718343</v>
      </c>
      <c r="CJ456" s="13">
        <f t="shared" si="9491"/>
        <v>0.11263363045376895</v>
      </c>
      <c r="CK456" s="13">
        <f t="shared" si="9491"/>
        <v>0.10364834108919174</v>
      </c>
      <c r="CL456" s="13">
        <f t="shared" si="9491"/>
        <v>9.5110646788596265E-2</v>
      </c>
      <c r="CM456" s="239">
        <f t="shared" si="9491"/>
        <v>0.10805297719210571</v>
      </c>
      <c r="CN456" s="13">
        <f t="shared" si="9491"/>
        <v>9.3561799749891428E-2</v>
      </c>
      <c r="CO456" s="13">
        <f t="shared" si="9491"/>
        <v>9.1332235112737692E-2</v>
      </c>
      <c r="CP456" s="13">
        <f t="shared" si="9491"/>
        <v>8.9450285973333932E-2</v>
      </c>
      <c r="CQ456" s="13">
        <f t="shared" si="9491"/>
        <v>8.7288033480461769E-2</v>
      </c>
      <c r="CR456" s="239">
        <f t="shared" si="9491"/>
        <v>9.0359462523283529E-2</v>
      </c>
      <c r="CS456" s="13">
        <f t="shared" si="9491"/>
        <v>8.6861076520756919E-2</v>
      </c>
      <c r="CT456" s="13">
        <f t="shared" si="9491"/>
        <v>8.585306379275548E-2</v>
      </c>
      <c r="CU456" s="13">
        <f t="shared" si="9491"/>
        <v>8.5102499891203998E-2</v>
      </c>
      <c r="CV456" s="13">
        <f t="shared" si="9491"/>
        <v>8.4077099904922292E-2</v>
      </c>
      <c r="CW456" s="239">
        <f t="shared" si="9491"/>
        <v>8.5454162562177194E-2</v>
      </c>
      <c r="CX456" s="13">
        <f t="shared" si="9491"/>
        <v>7.921079275096421E-2</v>
      </c>
      <c r="CY456" s="13">
        <f t="shared" si="9491"/>
        <v>7.398381512166563E-2</v>
      </c>
      <c r="CZ456" s="13">
        <f t="shared" si="9491"/>
        <v>6.9056227489070254E-2</v>
      </c>
      <c r="DA456" s="13">
        <f t="shared" si="9491"/>
        <v>6.4123731055140576E-2</v>
      </c>
      <c r="DB456" s="239">
        <f t="shared" si="9491"/>
        <v>7.149319596417536E-2</v>
      </c>
      <c r="DC456" s="13"/>
      <c r="DD456" s="13"/>
      <c r="DE456" s="13"/>
      <c r="DF456" s="13"/>
      <c r="DG456" s="13"/>
    </row>
    <row r="457" spans="1:111">
      <c r="A457" s="117" t="s">
        <v>288</v>
      </c>
      <c r="F457" s="217"/>
      <c r="K457" s="217"/>
      <c r="P457" s="217"/>
      <c r="U457" s="217"/>
      <c r="Z457" s="217"/>
      <c r="AE457" s="217"/>
      <c r="AJ457" s="217"/>
      <c r="AK457" s="119" t="s">
        <v>290</v>
      </c>
      <c r="AL457" s="13">
        <f>+AL455/AK455-1</f>
        <v>0.63215456766884315</v>
      </c>
      <c r="AM457" s="13">
        <f>+AM455/AL455-1</f>
        <v>1.2035039011412554</v>
      </c>
      <c r="AN457" s="13">
        <f>+AN455/AM455-1</f>
        <v>0.28628087673466562</v>
      </c>
      <c r="AO457" s="235" t="s">
        <v>290</v>
      </c>
      <c r="AP457" s="119" t="s">
        <v>290</v>
      </c>
      <c r="AQ457" s="13">
        <f>+AQ455/AP455-1</f>
        <v>1.906672745219899</v>
      </c>
      <c r="AR457" s="13">
        <f>+AR455/AQ455-1</f>
        <v>-4.3478260869565188E-2</v>
      </c>
      <c r="AS457" s="13">
        <f>+AS455/AR455-1</f>
        <v>0.31212121212121202</v>
      </c>
      <c r="AT457" s="235" t="s">
        <v>290</v>
      </c>
      <c r="AU457" s="119" t="s">
        <v>290</v>
      </c>
      <c r="AV457" s="13">
        <f>+AV455/AU455-1</f>
        <v>0.31762376237623768</v>
      </c>
      <c r="AW457" s="13">
        <f>+AW455/AV455-1</f>
        <v>-0.29005109708446053</v>
      </c>
      <c r="AX457" s="13">
        <f>+AX455/AW455-1</f>
        <v>-0.23835732430143941</v>
      </c>
      <c r="AY457" s="235" t="s">
        <v>290</v>
      </c>
      <c r="AZ457" s="119" t="s">
        <v>290</v>
      </c>
      <c r="BA457" s="13">
        <f>+BA455/AZ455-1</f>
        <v>-0.31437675726335468</v>
      </c>
      <c r="BB457" s="13">
        <f>+BB455/BA455-1</f>
        <v>0.28678440592705567</v>
      </c>
      <c r="BC457" s="13">
        <f>+BC455/BB455-1</f>
        <v>-0.23119741650377867</v>
      </c>
      <c r="BD457" s="235" t="s">
        <v>290</v>
      </c>
      <c r="BE457" s="13">
        <f>+BE455/BC455-1</f>
        <v>-0.20176311280605885</v>
      </c>
      <c r="BF457" s="13">
        <f>+BF455/BE455-1</f>
        <v>0.27525705383416565</v>
      </c>
      <c r="BG457" s="13">
        <f>+BG455/BF455-1</f>
        <v>0.62273657691702944</v>
      </c>
      <c r="BH457" s="13">
        <f>+BH455/BG455-1</f>
        <v>-9.987820954650084E-2</v>
      </c>
      <c r="BI457" s="235" t="s">
        <v>290</v>
      </c>
      <c r="BJ457" s="119" t="s">
        <v>290</v>
      </c>
      <c r="BK457" s="13">
        <f>+BK455/BJ455-1</f>
        <v>5.0365232332333365E-2</v>
      </c>
      <c r="BL457" s="13">
        <f>+BL455/BK455-1</f>
        <v>5.3295990157020245E-2</v>
      </c>
      <c r="BM457" s="13">
        <f>+BM455/BL455-1</f>
        <v>6.7233081000284356E-2</v>
      </c>
      <c r="BN457" s="235" t="s">
        <v>290</v>
      </c>
      <c r="BO457" s="119" t="s">
        <v>290</v>
      </c>
      <c r="BP457" s="13">
        <f>+BP455/BO455-1</f>
        <v>3.5822033648712059E-2</v>
      </c>
      <c r="BQ457" s="13">
        <f>+BQ455/BP455-1</f>
        <v>2.6286664152145534E-2</v>
      </c>
      <c r="BR457" s="13">
        <f>+BR455/BQ455-1</f>
        <v>3.6911508689659867E-2</v>
      </c>
      <c r="BS457" s="235" t="s">
        <v>290</v>
      </c>
      <c r="BT457" s="119" t="s">
        <v>290</v>
      </c>
      <c r="BU457" s="13">
        <f>+BU455/BT455-1</f>
        <v>3.8170045498119531E-2</v>
      </c>
      <c r="BV457" s="13">
        <f>+BV455/BU455-1</f>
        <v>2.8889283665401999E-2</v>
      </c>
      <c r="BW457" s="13">
        <f>+BW455/BV455-1</f>
        <v>3.8696124191776482E-2</v>
      </c>
      <c r="BX457" s="235" t="s">
        <v>290</v>
      </c>
      <c r="BY457" s="119" t="s">
        <v>290</v>
      </c>
      <c r="BZ457" s="13">
        <f>+BZ455/BY455-1</f>
        <v>3.0571675512004237E-2</v>
      </c>
      <c r="CA457" s="13">
        <f>+CA455/BZ455-1</f>
        <v>2.731117638481928E-2</v>
      </c>
      <c r="CB457" s="13">
        <f>+CB455/CA455-1</f>
        <v>3.1630508309924643E-2</v>
      </c>
      <c r="CC457" s="235" t="s">
        <v>290</v>
      </c>
      <c r="CD457" s="119" t="s">
        <v>290</v>
      </c>
      <c r="CE457" s="13">
        <f>+CE455/CD455-1</f>
        <v>2.9853432330863239E-2</v>
      </c>
      <c r="CF457" s="13">
        <f>+CF455/CE455-1</f>
        <v>2.2406497245907708E-2</v>
      </c>
      <c r="CG457" s="13">
        <f>+CG455/CF455-1</f>
        <v>3.0958308053563366E-2</v>
      </c>
      <c r="CH457" s="235" t="s">
        <v>290</v>
      </c>
      <c r="CI457" s="119" t="s">
        <v>290</v>
      </c>
      <c r="CJ457" s="13">
        <f>+CJ455/CI455-1</f>
        <v>2.1235745977373321E-2</v>
      </c>
      <c r="CK457" s="13">
        <f>+CK455/CJ455-1</f>
        <v>1.4149854650778115E-2</v>
      </c>
      <c r="CL457" s="13">
        <f>+CL455/CK455-1</f>
        <v>2.2982935334628474E-2</v>
      </c>
      <c r="CM457" s="235" t="s">
        <v>290</v>
      </c>
      <c r="CN457" s="119" t="s">
        <v>290</v>
      </c>
      <c r="CO457" s="13">
        <f>+CO455/CN455-1</f>
        <v>1.9153640415575879E-2</v>
      </c>
      <c r="CP457" s="13">
        <f>+CP455/CO455-1</f>
        <v>1.2401002756937007E-2</v>
      </c>
      <c r="CQ457" s="13">
        <f>+CQ455/CP455-1</f>
        <v>2.0952601843902352E-2</v>
      </c>
      <c r="CR457" s="235" t="s">
        <v>290</v>
      </c>
      <c r="CS457" s="119" t="s">
        <v>290</v>
      </c>
      <c r="CT457" s="13">
        <f>+CT455/CS455-1</f>
        <v>1.8208423162404452E-2</v>
      </c>
      <c r="CU457" s="13">
        <f>+CU455/CT455-1</f>
        <v>1.1701210426002584E-2</v>
      </c>
      <c r="CV457" s="13">
        <f>+CV455/CU455-1</f>
        <v>1.9987822217986784E-2</v>
      </c>
      <c r="CW457" s="235" t="s">
        <v>290</v>
      </c>
      <c r="CX457" s="119" t="s">
        <v>290</v>
      </c>
      <c r="CY457" s="13">
        <f>+CY455/CX455-1</f>
        <v>1.3276900344450615E-2</v>
      </c>
      <c r="CZ457" s="13">
        <f>+CZ455/CY455-1</f>
        <v>7.059384076122166E-3</v>
      </c>
      <c r="DA457" s="13">
        <f>+DA455/CZ455-1</f>
        <v>1.5281721485045141E-2</v>
      </c>
      <c r="DB457" s="235" t="s">
        <v>290</v>
      </c>
      <c r="DC457" s="13"/>
      <c r="DD457" s="13"/>
      <c r="DE457" s="13"/>
      <c r="DF457" s="13"/>
      <c r="DG457" s="119"/>
    </row>
    <row r="458" spans="1:111">
      <c r="A458" s="117" t="s">
        <v>372</v>
      </c>
      <c r="F458" s="217"/>
      <c r="K458" s="217"/>
      <c r="P458" s="217"/>
      <c r="U458" s="217"/>
      <c r="V458" s="13"/>
      <c r="Z458" s="217"/>
      <c r="AE458" s="217"/>
      <c r="AF458" s="13"/>
      <c r="AJ458" s="217"/>
      <c r="AK458" s="13">
        <v>0.01</v>
      </c>
      <c r="AL458" s="13">
        <v>0.01</v>
      </c>
      <c r="AM458" s="13">
        <v>0.02</v>
      </c>
      <c r="AN458" s="13">
        <v>0.02</v>
      </c>
      <c r="AO458" s="239">
        <f>+AO455/AO318</f>
        <v>1.6096702269768601E-2</v>
      </c>
      <c r="AP458" s="13">
        <v>0.05</v>
      </c>
      <c r="AQ458" s="13">
        <f>+AQ455/AQ303</f>
        <v>9.4090909090909086E-2</v>
      </c>
      <c r="AR458" s="13">
        <f>+AR455/AR303</f>
        <v>7.4716981132075477E-2</v>
      </c>
      <c r="AS458" s="13">
        <f>+AS455/AS303</f>
        <v>8.1187499999999996E-2</v>
      </c>
      <c r="AT458" s="239">
        <f>+AT455/AT318</f>
        <v>8.3547840378347463E-2</v>
      </c>
      <c r="AU458" s="13">
        <f>+AU455/AU303</f>
        <v>7.1126760563380284E-2</v>
      </c>
      <c r="AV458" s="13">
        <f>+AV455/AV303</f>
        <v>7.9214285714285709E-2</v>
      </c>
      <c r="AW458" s="13">
        <f>+AW455/AW303</f>
        <v>5.3078651685393261E-2</v>
      </c>
      <c r="AX458" s="13">
        <f>+AX455/AX303</f>
        <v>3.6714285714285713E-2</v>
      </c>
      <c r="AY458" s="239">
        <f>+AY455/AY318</f>
        <v>6.2197568747787091E-2</v>
      </c>
      <c r="AZ458" s="13">
        <f>+AZ455/AZ303</f>
        <v>4.6472125435540072E-2</v>
      </c>
      <c r="BA458" s="13">
        <f>+BA455/BA303</f>
        <v>2.9169059011164296E-2</v>
      </c>
      <c r="BB458" s="13">
        <f>+BB455/BB303</f>
        <v>3.435620437956196E-2</v>
      </c>
      <c r="BC458" s="13">
        <f>+BC455/BC303</f>
        <v>2.3964238410596066E-2</v>
      </c>
      <c r="BD458" s="239">
        <f>+BD455/BD318</f>
        <v>3.3898643482699914E-2</v>
      </c>
      <c r="BE458" s="13">
        <f t="shared" ref="BE458:BH458" si="9492">+BE455/BE303</f>
        <v>1.7224209898628502E-2</v>
      </c>
      <c r="BF458" s="13">
        <f t="shared" si="9492"/>
        <v>1.9510487288135526E-2</v>
      </c>
      <c r="BG458" s="13">
        <f t="shared" si="9492"/>
        <v>2.8329289099526117E-2</v>
      </c>
      <c r="BH458" s="13">
        <f t="shared" si="9492"/>
        <v>2.3062408915559329E-2</v>
      </c>
      <c r="BI458" s="239">
        <f>+BI455/BI318</f>
        <v>2.2902934661002062E-2</v>
      </c>
      <c r="BJ458" s="118">
        <v>2.5000000000000001E-2</v>
      </c>
      <c r="BK458" s="118">
        <v>2.5000000000000001E-2</v>
      </c>
      <c r="BL458" s="118">
        <v>2.5000000000000001E-2</v>
      </c>
      <c r="BM458" s="118">
        <v>2.5000000000000001E-2</v>
      </c>
      <c r="BN458" s="239">
        <f>+BN455/BN318</f>
        <v>2.5000000000000001E-2</v>
      </c>
      <c r="BO458" s="118">
        <v>0.03</v>
      </c>
      <c r="BP458" s="118">
        <v>0.03</v>
      </c>
      <c r="BQ458" s="118">
        <v>0.03</v>
      </c>
      <c r="BR458" s="118">
        <v>0.03</v>
      </c>
      <c r="BS458" s="239">
        <f>+BS455/BS318</f>
        <v>0.03</v>
      </c>
      <c r="BT458" s="118">
        <v>0.03</v>
      </c>
      <c r="BU458" s="118">
        <v>0.03</v>
      </c>
      <c r="BV458" s="118">
        <v>0.03</v>
      </c>
      <c r="BW458" s="118">
        <v>0.03</v>
      </c>
      <c r="BX458" s="239">
        <f>+BX455/BX318</f>
        <v>0.03</v>
      </c>
      <c r="BY458" s="118">
        <v>0.03</v>
      </c>
      <c r="BZ458" s="118">
        <v>0.03</v>
      </c>
      <c r="CA458" s="118">
        <v>0.03</v>
      </c>
      <c r="CB458" s="118">
        <v>0.03</v>
      </c>
      <c r="CC458" s="239">
        <f>+CC455/CC318</f>
        <v>0.03</v>
      </c>
      <c r="CD458" s="118">
        <v>0.03</v>
      </c>
      <c r="CE458" s="118">
        <v>0.03</v>
      </c>
      <c r="CF458" s="118">
        <v>0.03</v>
      </c>
      <c r="CG458" s="118">
        <v>0.03</v>
      </c>
      <c r="CH458" s="239">
        <f>+CH455/CH318</f>
        <v>2.9999999999999995E-2</v>
      </c>
      <c r="CI458" s="118">
        <v>0.03</v>
      </c>
      <c r="CJ458" s="118">
        <v>0.03</v>
      </c>
      <c r="CK458" s="118">
        <v>0.03</v>
      </c>
      <c r="CL458" s="118">
        <v>0.03</v>
      </c>
      <c r="CM458" s="239">
        <f>+CM455/CM318</f>
        <v>2.9999999999999988E-2</v>
      </c>
      <c r="CN458" s="118">
        <v>0.03</v>
      </c>
      <c r="CO458" s="118">
        <v>0.03</v>
      </c>
      <c r="CP458" s="118">
        <v>0.03</v>
      </c>
      <c r="CQ458" s="118">
        <v>0.03</v>
      </c>
      <c r="CR458" s="239">
        <f>+CR455/CR318</f>
        <v>2.9999999999999995E-2</v>
      </c>
      <c r="CS458" s="118">
        <v>0.03</v>
      </c>
      <c r="CT458" s="118">
        <v>0.03</v>
      </c>
      <c r="CU458" s="118">
        <v>0.03</v>
      </c>
      <c r="CV458" s="118">
        <v>0.03</v>
      </c>
      <c r="CW458" s="239">
        <f>+CW455/CW318</f>
        <v>2.9999999999999995E-2</v>
      </c>
      <c r="CX458" s="118">
        <v>0.03</v>
      </c>
      <c r="CY458" s="118">
        <v>0.03</v>
      </c>
      <c r="CZ458" s="118">
        <v>0.03</v>
      </c>
      <c r="DA458" s="118">
        <v>0.03</v>
      </c>
      <c r="DB458" s="239">
        <f>+DB455/DB318</f>
        <v>2.9999999999999995E-2</v>
      </c>
    </row>
    <row r="459" spans="1:111">
      <c r="F459" s="217"/>
      <c r="K459" s="217"/>
      <c r="P459" s="217"/>
      <c r="U459" s="217"/>
      <c r="Z459" s="217"/>
      <c r="AE459" s="217"/>
      <c r="AJ459" s="217"/>
      <c r="AO459" s="217"/>
      <c r="AT459" s="217"/>
      <c r="AY459" s="217"/>
      <c r="BD459" s="217"/>
      <c r="BI459" s="217"/>
      <c r="BN459" s="217"/>
      <c r="BS459" s="217"/>
      <c r="BX459" s="217"/>
      <c r="CC459" s="217"/>
      <c r="CH459" s="217"/>
      <c r="CM459" s="217"/>
      <c r="CR459" s="217"/>
      <c r="CW459" s="217"/>
      <c r="DB459" s="217"/>
    </row>
    <row r="460" spans="1:111" s="51" customFormat="1">
      <c r="A460" s="51" t="s">
        <v>370</v>
      </c>
      <c r="F460" s="233"/>
      <c r="K460" s="233"/>
      <c r="P460" s="233"/>
      <c r="U460" s="233"/>
      <c r="Z460" s="233"/>
      <c r="AE460" s="233"/>
      <c r="AJ460" s="233"/>
      <c r="AK460" s="226">
        <v>900</v>
      </c>
      <c r="AL460" s="226">
        <v>900</v>
      </c>
      <c r="AM460" s="226">
        <v>900</v>
      </c>
      <c r="AN460" s="226">
        <v>900</v>
      </c>
      <c r="AO460" s="236">
        <f>+AO463/AO455*1000000</f>
        <v>900</v>
      </c>
      <c r="AP460" s="226">
        <v>900</v>
      </c>
      <c r="AQ460" s="226">
        <v>900</v>
      </c>
      <c r="AR460" s="226">
        <v>900</v>
      </c>
      <c r="AS460" s="226">
        <v>900</v>
      </c>
      <c r="AT460" s="236">
        <f>+AT463/AT455*1000000</f>
        <v>900.00000000000011</v>
      </c>
      <c r="AU460" s="226">
        <v>900</v>
      </c>
      <c r="AV460" s="226">
        <v>900</v>
      </c>
      <c r="AW460" s="226">
        <v>900</v>
      </c>
      <c r="AX460" s="226">
        <v>900</v>
      </c>
      <c r="AY460" s="236">
        <f>+AY463/AY455*1000000</f>
        <v>900</v>
      </c>
      <c r="AZ460" s="226">
        <v>900</v>
      </c>
      <c r="BA460" s="226">
        <v>900</v>
      </c>
      <c r="BB460" s="226">
        <v>900</v>
      </c>
      <c r="BC460" s="226">
        <v>900</v>
      </c>
      <c r="BD460" s="236">
        <f>+BD463/BD455*1000000</f>
        <v>899.99999999999989</v>
      </c>
      <c r="BE460" s="226">
        <v>900</v>
      </c>
      <c r="BF460" s="226">
        <v>900</v>
      </c>
      <c r="BG460" s="226">
        <v>900</v>
      </c>
      <c r="BH460" s="226">
        <v>900</v>
      </c>
      <c r="BI460" s="236">
        <f>+BI463/BI455*1000000</f>
        <v>900</v>
      </c>
      <c r="BJ460" s="226">
        <v>900</v>
      </c>
      <c r="BK460" s="226">
        <v>900</v>
      </c>
      <c r="BL460" s="226">
        <v>900</v>
      </c>
      <c r="BM460" s="226">
        <v>900</v>
      </c>
      <c r="BN460" s="236">
        <f>+BN463/BN455*1000000</f>
        <v>900</v>
      </c>
      <c r="BO460" s="226">
        <v>900</v>
      </c>
      <c r="BP460" s="226">
        <v>900</v>
      </c>
      <c r="BQ460" s="226">
        <v>900</v>
      </c>
      <c r="BR460" s="226">
        <v>900</v>
      </c>
      <c r="BS460" s="236">
        <f>+BS463/BS455*1000000</f>
        <v>900</v>
      </c>
      <c r="BT460" s="226">
        <v>900</v>
      </c>
      <c r="BU460" s="226">
        <v>900</v>
      </c>
      <c r="BV460" s="226">
        <v>900</v>
      </c>
      <c r="BW460" s="226">
        <v>900</v>
      </c>
      <c r="BX460" s="236">
        <f>+BX463/BX455*1000000</f>
        <v>899.99999999999989</v>
      </c>
      <c r="BY460" s="226">
        <v>900</v>
      </c>
      <c r="BZ460" s="226">
        <v>900</v>
      </c>
      <c r="CA460" s="226">
        <v>900</v>
      </c>
      <c r="CB460" s="226">
        <v>900</v>
      </c>
      <c r="CC460" s="236">
        <f>+CC463/CC455*1000000</f>
        <v>899.99999999999989</v>
      </c>
      <c r="CD460" s="226">
        <v>900</v>
      </c>
      <c r="CE460" s="226">
        <v>900</v>
      </c>
      <c r="CF460" s="226">
        <v>900</v>
      </c>
      <c r="CG460" s="226">
        <v>900</v>
      </c>
      <c r="CH460" s="236">
        <f>+CH463/CH455*1000000</f>
        <v>900</v>
      </c>
      <c r="CI460" s="226">
        <v>900</v>
      </c>
      <c r="CJ460" s="226">
        <v>900</v>
      </c>
      <c r="CK460" s="226">
        <v>900</v>
      </c>
      <c r="CL460" s="226">
        <v>900</v>
      </c>
      <c r="CM460" s="236">
        <f>+CM463/CM455*1000000</f>
        <v>900.00000000000011</v>
      </c>
      <c r="CN460" s="226">
        <v>900</v>
      </c>
      <c r="CO460" s="226">
        <v>900</v>
      </c>
      <c r="CP460" s="226">
        <v>900</v>
      </c>
      <c r="CQ460" s="226">
        <v>900</v>
      </c>
      <c r="CR460" s="236">
        <f>+CR463/CR455*1000000</f>
        <v>899.99999999999989</v>
      </c>
      <c r="CS460" s="226">
        <v>900</v>
      </c>
      <c r="CT460" s="226">
        <v>900</v>
      </c>
      <c r="CU460" s="226">
        <v>900</v>
      </c>
      <c r="CV460" s="226">
        <v>900</v>
      </c>
      <c r="CW460" s="236">
        <f>+CW463/CW455*1000000</f>
        <v>900</v>
      </c>
      <c r="CX460" s="226">
        <v>900</v>
      </c>
      <c r="CY460" s="226">
        <v>900</v>
      </c>
      <c r="CZ460" s="226">
        <v>900</v>
      </c>
      <c r="DA460" s="226">
        <v>900</v>
      </c>
      <c r="DB460" s="236">
        <f>+DB463/DB455*1000000</f>
        <v>900.00000000000011</v>
      </c>
    </row>
    <row r="461" spans="1:111">
      <c r="A461" s="117" t="s">
        <v>281</v>
      </c>
      <c r="F461" s="217"/>
      <c r="K461" s="217"/>
      <c r="P461" s="217"/>
      <c r="U461" s="217"/>
      <c r="Z461" s="217"/>
      <c r="AE461" s="217"/>
      <c r="AJ461" s="217"/>
      <c r="AK461" s="119" t="s">
        <v>290</v>
      </c>
      <c r="AL461" s="119" t="s">
        <v>290</v>
      </c>
      <c r="AM461" s="119" t="s">
        <v>290</v>
      </c>
      <c r="AN461" s="119" t="s">
        <v>290</v>
      </c>
      <c r="AO461" s="235" t="s">
        <v>290</v>
      </c>
      <c r="AP461" s="13">
        <f t="shared" ref="AP461" si="9493">+AP460/AK460-1</f>
        <v>0</v>
      </c>
      <c r="AQ461" s="13">
        <f t="shared" ref="AQ461" si="9494">+AQ460/AL460-1</f>
        <v>0</v>
      </c>
      <c r="AR461" s="13">
        <f t="shared" ref="AR461" si="9495">+AR460/AM460-1</f>
        <v>0</v>
      </c>
      <c r="AS461" s="13">
        <f t="shared" ref="AS461" si="9496">+AS460/AN460-1</f>
        <v>0</v>
      </c>
      <c r="AT461" s="239">
        <f t="shared" ref="AT461" si="9497">+AT460/AO460-1</f>
        <v>0</v>
      </c>
      <c r="AU461" s="13">
        <f t="shared" ref="AU461:BZ461" si="9498">+AU460/AP460-1</f>
        <v>0</v>
      </c>
      <c r="AV461" s="13">
        <f t="shared" si="9498"/>
        <v>0</v>
      </c>
      <c r="AW461" s="13">
        <f t="shared" si="9498"/>
        <v>0</v>
      </c>
      <c r="AX461" s="13">
        <f t="shared" si="9498"/>
        <v>0</v>
      </c>
      <c r="AY461" s="239">
        <f t="shared" si="9498"/>
        <v>0</v>
      </c>
      <c r="AZ461" s="13">
        <f t="shared" si="9498"/>
        <v>0</v>
      </c>
      <c r="BA461" s="13">
        <f t="shared" si="9498"/>
        <v>0</v>
      </c>
      <c r="BB461" s="13">
        <f t="shared" si="9498"/>
        <v>0</v>
      </c>
      <c r="BC461" s="13">
        <f t="shared" si="9498"/>
        <v>0</v>
      </c>
      <c r="BD461" s="239">
        <f t="shared" si="9498"/>
        <v>0</v>
      </c>
      <c r="BE461" s="13">
        <f t="shared" si="9498"/>
        <v>0</v>
      </c>
      <c r="BF461" s="13">
        <f t="shared" si="9498"/>
        <v>0</v>
      </c>
      <c r="BG461" s="13">
        <f t="shared" si="9498"/>
        <v>0</v>
      </c>
      <c r="BH461" s="13">
        <f t="shared" si="9498"/>
        <v>0</v>
      </c>
      <c r="BI461" s="239">
        <f t="shared" si="9498"/>
        <v>0</v>
      </c>
      <c r="BJ461" s="13">
        <f t="shared" si="9498"/>
        <v>0</v>
      </c>
      <c r="BK461" s="13">
        <f t="shared" si="9498"/>
        <v>0</v>
      </c>
      <c r="BL461" s="13">
        <f t="shared" si="9498"/>
        <v>0</v>
      </c>
      <c r="BM461" s="13">
        <f t="shared" si="9498"/>
        <v>0</v>
      </c>
      <c r="BN461" s="239">
        <f t="shared" si="9498"/>
        <v>0</v>
      </c>
      <c r="BO461" s="13">
        <f t="shared" si="9498"/>
        <v>0</v>
      </c>
      <c r="BP461" s="13">
        <f t="shared" si="9498"/>
        <v>0</v>
      </c>
      <c r="BQ461" s="13">
        <f t="shared" si="9498"/>
        <v>0</v>
      </c>
      <c r="BR461" s="13">
        <f t="shared" si="9498"/>
        <v>0</v>
      </c>
      <c r="BS461" s="239">
        <f t="shared" si="9498"/>
        <v>0</v>
      </c>
      <c r="BT461" s="13">
        <f t="shared" si="9498"/>
        <v>0</v>
      </c>
      <c r="BU461" s="13">
        <f t="shared" si="9498"/>
        <v>0</v>
      </c>
      <c r="BV461" s="13">
        <f t="shared" si="9498"/>
        <v>0</v>
      </c>
      <c r="BW461" s="13">
        <f t="shared" si="9498"/>
        <v>0</v>
      </c>
      <c r="BX461" s="239">
        <f t="shared" si="9498"/>
        <v>0</v>
      </c>
      <c r="BY461" s="13">
        <f t="shared" si="9498"/>
        <v>0</v>
      </c>
      <c r="BZ461" s="13">
        <f t="shared" si="9498"/>
        <v>0</v>
      </c>
      <c r="CA461" s="13">
        <f t="shared" ref="CA461:DB461" si="9499">+CA460/BV460-1</f>
        <v>0</v>
      </c>
      <c r="CB461" s="13">
        <f t="shared" si="9499"/>
        <v>0</v>
      </c>
      <c r="CC461" s="239">
        <f t="shared" si="9499"/>
        <v>0</v>
      </c>
      <c r="CD461" s="13">
        <f t="shared" si="9499"/>
        <v>0</v>
      </c>
      <c r="CE461" s="13">
        <f t="shared" si="9499"/>
        <v>0</v>
      </c>
      <c r="CF461" s="13">
        <f t="shared" si="9499"/>
        <v>0</v>
      </c>
      <c r="CG461" s="13">
        <f t="shared" si="9499"/>
        <v>0</v>
      </c>
      <c r="CH461" s="239">
        <f t="shared" si="9499"/>
        <v>0</v>
      </c>
      <c r="CI461" s="13">
        <f t="shared" si="9499"/>
        <v>0</v>
      </c>
      <c r="CJ461" s="13">
        <f t="shared" si="9499"/>
        <v>0</v>
      </c>
      <c r="CK461" s="13">
        <f t="shared" si="9499"/>
        <v>0</v>
      </c>
      <c r="CL461" s="13">
        <f t="shared" si="9499"/>
        <v>0</v>
      </c>
      <c r="CM461" s="239">
        <f t="shared" si="9499"/>
        <v>0</v>
      </c>
      <c r="CN461" s="13">
        <f t="shared" si="9499"/>
        <v>0</v>
      </c>
      <c r="CO461" s="13">
        <f t="shared" si="9499"/>
        <v>0</v>
      </c>
      <c r="CP461" s="13">
        <f t="shared" si="9499"/>
        <v>0</v>
      </c>
      <c r="CQ461" s="13">
        <f t="shared" si="9499"/>
        <v>0</v>
      </c>
      <c r="CR461" s="239">
        <f t="shared" si="9499"/>
        <v>0</v>
      </c>
      <c r="CS461" s="13">
        <f t="shared" si="9499"/>
        <v>0</v>
      </c>
      <c r="CT461" s="13">
        <f t="shared" si="9499"/>
        <v>0</v>
      </c>
      <c r="CU461" s="13">
        <f t="shared" si="9499"/>
        <v>0</v>
      </c>
      <c r="CV461" s="13">
        <f t="shared" si="9499"/>
        <v>0</v>
      </c>
      <c r="CW461" s="239">
        <f t="shared" si="9499"/>
        <v>0</v>
      </c>
      <c r="CX461" s="13">
        <f t="shared" si="9499"/>
        <v>0</v>
      </c>
      <c r="CY461" s="13">
        <f t="shared" si="9499"/>
        <v>0</v>
      </c>
      <c r="CZ461" s="13">
        <f t="shared" si="9499"/>
        <v>0</v>
      </c>
      <c r="DA461" s="13">
        <f t="shared" si="9499"/>
        <v>0</v>
      </c>
      <c r="DB461" s="239">
        <f t="shared" si="9499"/>
        <v>0</v>
      </c>
    </row>
    <row r="462" spans="1:111">
      <c r="F462" s="217"/>
      <c r="K462" s="217"/>
      <c r="P462" s="217"/>
      <c r="U462" s="217"/>
      <c r="Z462" s="217"/>
      <c r="AE462" s="217"/>
      <c r="AJ462" s="217"/>
      <c r="AO462" s="217"/>
      <c r="AT462" s="217"/>
      <c r="AY462" s="217"/>
      <c r="BD462" s="217"/>
      <c r="BI462" s="217"/>
      <c r="BN462" s="217"/>
      <c r="BS462" s="217"/>
      <c r="BX462" s="217"/>
      <c r="CC462" s="217"/>
      <c r="CH462" s="217"/>
      <c r="CM462" s="217"/>
      <c r="CR462" s="217"/>
      <c r="CW462" s="217"/>
      <c r="DB462" s="217"/>
    </row>
    <row r="463" spans="1:111" s="51" customFormat="1">
      <c r="A463" s="51" t="s">
        <v>371</v>
      </c>
      <c r="F463" s="233"/>
      <c r="K463" s="233"/>
      <c r="P463" s="233"/>
      <c r="U463" s="233"/>
      <c r="Z463" s="233"/>
      <c r="AE463" s="233"/>
      <c r="AJ463" s="233"/>
      <c r="AK463" s="135">
        <f>+AK455*AK460/1000000</f>
        <v>0.10166496498000002</v>
      </c>
      <c r="AL463" s="135">
        <f t="shared" ref="AL463:AN463" si="9500">+AL455*AL460/1000000</f>
        <v>0.16593293696399999</v>
      </c>
      <c r="AM463" s="135">
        <f t="shared" si="9500"/>
        <v>0.36563387392800006</v>
      </c>
      <c r="AN463" s="135">
        <f t="shared" si="9500"/>
        <v>0.47030785992000007</v>
      </c>
      <c r="AO463" s="216">
        <f>+AK463+AL463+AM463+AN463</f>
        <v>1.1035396357920002</v>
      </c>
      <c r="AP463" s="135">
        <f>+AP455*AP460/1000000</f>
        <v>1.2818780532234002</v>
      </c>
      <c r="AQ463" s="135">
        <f t="shared" ref="AQ463:AS463" si="9501">+AQ455*AQ460/1000000</f>
        <v>3.726</v>
      </c>
      <c r="AR463" s="135">
        <f t="shared" si="9501"/>
        <v>3.5640000000000001</v>
      </c>
      <c r="AS463" s="135">
        <f t="shared" si="9501"/>
        <v>4.6764000000000001</v>
      </c>
      <c r="AT463" s="216">
        <f>+AP463+AQ463+AR463+AS463</f>
        <v>13.248278053223402</v>
      </c>
      <c r="AU463" s="135">
        <f>+AU455*AU460/1000000</f>
        <v>4.5449999999999999</v>
      </c>
      <c r="AV463" s="135">
        <f t="shared" ref="AV463:AX463" si="9502">+AV455*AV460/1000000</f>
        <v>5.9885999999999999</v>
      </c>
      <c r="AW463" s="135">
        <f t="shared" si="9502"/>
        <v>4.2515999999999998</v>
      </c>
      <c r="AX463" s="135">
        <f t="shared" si="9502"/>
        <v>3.2382</v>
      </c>
      <c r="AY463" s="216">
        <f>+AU463+AV463+AW463+AX463</f>
        <v>18.023399999999999</v>
      </c>
      <c r="AZ463" s="135">
        <f>+AZ455*AZ460/1000000</f>
        <v>4.8014999999999999</v>
      </c>
      <c r="BA463" s="135">
        <f t="shared" ref="BA463:BC463" si="9503">+BA455*BA460/1000000</f>
        <v>3.2920200000000026</v>
      </c>
      <c r="BB463" s="135">
        <f t="shared" si="9503"/>
        <v>4.2361199999999899</v>
      </c>
      <c r="BC463" s="135">
        <f t="shared" si="9503"/>
        <v>3.2567400000000051</v>
      </c>
      <c r="BD463" s="216">
        <f>+AZ463+BA463+BB463+BC463</f>
        <v>15.586379999999995</v>
      </c>
      <c r="BE463" s="135">
        <f>+BE455*BE460/1000000</f>
        <v>2.59965</v>
      </c>
      <c r="BF463" s="135">
        <f t="shared" ref="BF463:BH463" si="9504">+BF455*BF460/1000000</f>
        <v>3.3152219999999883</v>
      </c>
      <c r="BG463" s="135">
        <f t="shared" si="9504"/>
        <v>5.3797320000000095</v>
      </c>
      <c r="BH463" s="135">
        <f t="shared" si="9504"/>
        <v>4.8424139999999927</v>
      </c>
      <c r="BI463" s="216">
        <f>+BE463+BF463+BG463+BH463</f>
        <v>16.137017999999991</v>
      </c>
      <c r="BJ463" s="135">
        <f>+BJ455*BJ460/1000000</f>
        <v>5.4711460279559443</v>
      </c>
      <c r="BK463" s="135">
        <f t="shared" ref="BK463:BM463" si="9505">+BK455*BK460/1000000</f>
        <v>5.746701568778068</v>
      </c>
      <c r="BL463" s="135">
        <f t="shared" si="9505"/>
        <v>6.052977719022997</v>
      </c>
      <c r="BM463" s="135">
        <f t="shared" si="9505"/>
        <v>6.4599380602989864</v>
      </c>
      <c r="BN463" s="216">
        <f>+BJ463+BK463+BL463+BM463</f>
        <v>23.730763376055997</v>
      </c>
      <c r="BO463" s="135">
        <f>+BO455*BO460/1000000</f>
        <v>8.1130903608198768</v>
      </c>
      <c r="BP463" s="135">
        <f t="shared" ref="BP463:BR463" si="9506">+BP455*BP460/1000000</f>
        <v>8.4037177567202068</v>
      </c>
      <c r="BQ463" s="135">
        <f t="shared" si="9506"/>
        <v>8.6246234630205336</v>
      </c>
      <c r="BR463" s="135">
        <f t="shared" si="9506"/>
        <v>8.9429713269208602</v>
      </c>
      <c r="BS463" s="216">
        <f>+BO463+BP463+BQ463+BR463</f>
        <v>34.084402907481476</v>
      </c>
      <c r="BT463" s="135">
        <f>+BT455*BT460/1000000</f>
        <v>9.3631256617280982</v>
      </c>
      <c r="BU463" s="135">
        <f t="shared" ref="BU463:BW463" si="9507">+BU455*BU460/1000000</f>
        <v>9.7205165942408716</v>
      </c>
      <c r="BV463" s="135">
        <f t="shared" si="9507"/>
        <v>10.001335355506145</v>
      </c>
      <c r="BW463" s="135">
        <f t="shared" si="9507"/>
        <v>10.388348270506416</v>
      </c>
      <c r="BX463" s="216">
        <f>+BT463+BU463+BV463+BW463</f>
        <v>39.473325881981523</v>
      </c>
      <c r="BY463" s="135">
        <f>+BY455*BY460/1000000</f>
        <v>10.879734924879699</v>
      </c>
      <c r="BZ463" s="135">
        <f t="shared" ref="BZ463:CB463" si="9508">+BZ455*BZ460/1000000</f>
        <v>11.21234665065974</v>
      </c>
      <c r="CA463" s="135">
        <f t="shared" si="9508"/>
        <v>11.518569027723647</v>
      </c>
      <c r="CB463" s="135">
        <f t="shared" si="9508"/>
        <v>11.882907221073499</v>
      </c>
      <c r="CC463" s="216">
        <f>+BY463+BZ463+CA463+CB463</f>
        <v>45.493557824336577</v>
      </c>
      <c r="CD463" s="135">
        <f>+CD455*CD460/1000000</f>
        <v>12.416198917716581</v>
      </c>
      <c r="CE463" s="135">
        <f t="shared" ref="CE463:CG463" si="9509">+CE455*CE460/1000000</f>
        <v>12.786865071913171</v>
      </c>
      <c r="CF463" s="135">
        <f t="shared" si="9509"/>
        <v>13.073373928930787</v>
      </c>
      <c r="CG463" s="135">
        <f t="shared" si="9509"/>
        <v>13.47810346632205</v>
      </c>
      <c r="CH463" s="216">
        <f>+CD463+CE463+CF463+CG463</f>
        <v>51.754541384882586</v>
      </c>
      <c r="CI463" s="135">
        <f>+CI455*CI460/1000000</f>
        <v>13.931255504055246</v>
      </c>
      <c r="CJ463" s="135">
        <f t="shared" ref="CJ463:CL463" si="9510">+CJ455*CJ460/1000000</f>
        <v>14.227096107085247</v>
      </c>
      <c r="CK463" s="135">
        <f t="shared" si="9510"/>
        <v>14.428407449103153</v>
      </c>
      <c r="CL463" s="135">
        <f t="shared" si="9510"/>
        <v>14.76001460448756</v>
      </c>
      <c r="CM463" s="216">
        <f>+CI463+CJ463+CK463+CL463</f>
        <v>57.346773664731202</v>
      </c>
      <c r="CN463" s="135">
        <f>+CN455*CN460/1000000</f>
        <v>15.234688841790234</v>
      </c>
      <c r="CO463" s="135">
        <f t="shared" ref="CO463:CQ463" si="9511">+CO455*CO460/1000000</f>
        <v>15.526488593709072</v>
      </c>
      <c r="CP463" s="135">
        <f t="shared" si="9511"/>
        <v>15.719032621565212</v>
      </c>
      <c r="CQ463" s="135">
        <f t="shared" si="9511"/>
        <v>16.048387253456177</v>
      </c>
      <c r="CR463" s="216">
        <f>+CN463+CO463+CP463+CQ463</f>
        <v>62.528597310520695</v>
      </c>
      <c r="CS463" s="135">
        <f>+CS455*CS460/1000000</f>
        <v>16.557990315046897</v>
      </c>
      <c r="CT463" s="135">
        <f t="shared" ref="CT463:CV463" si="9512">+CT455*CT460/1000000</f>
        <v>16.859485209422267</v>
      </c>
      <c r="CU463" s="135">
        <f t="shared" si="9512"/>
        <v>17.056761593531796</v>
      </c>
      <c r="CV463" s="135">
        <f t="shared" si="9512"/>
        <v>17.397689111877892</v>
      </c>
      <c r="CW463" s="216">
        <f>+CS463+CT463+CU463+CV463</f>
        <v>67.871926229878852</v>
      </c>
      <c r="CX463" s="135">
        <f>+CX455*CX460/1000000</f>
        <v>17.869561854264553</v>
      </c>
      <c r="CY463" s="135">
        <f t="shared" ref="CY463:DA463" si="9513">+CY455*CY460/1000000</f>
        <v>18.106814246202621</v>
      </c>
      <c r="CZ463" s="135">
        <f t="shared" si="9513"/>
        <v>18.234637202361565</v>
      </c>
      <c r="DA463" s="135">
        <f t="shared" si="9513"/>
        <v>18.513293849468898</v>
      </c>
      <c r="DB463" s="216">
        <f>+CX463+CY463+CZ463+DA463</f>
        <v>72.724307152297641</v>
      </c>
    </row>
    <row r="464" spans="1:111">
      <c r="A464" s="117" t="s">
        <v>281</v>
      </c>
      <c r="F464" s="217"/>
      <c r="K464" s="217"/>
      <c r="P464" s="217"/>
      <c r="U464" s="217"/>
      <c r="Z464" s="217"/>
      <c r="AE464" s="217"/>
      <c r="AJ464" s="217"/>
      <c r="AK464" s="119" t="s">
        <v>290</v>
      </c>
      <c r="AL464" s="119" t="s">
        <v>290</v>
      </c>
      <c r="AM464" s="119" t="s">
        <v>290</v>
      </c>
      <c r="AN464" s="119" t="s">
        <v>290</v>
      </c>
      <c r="AO464" s="235" t="s">
        <v>290</v>
      </c>
      <c r="AP464" s="13">
        <f t="shared" ref="AP464" si="9514">+AP463/AK463-1</f>
        <v>11.608847634734119</v>
      </c>
      <c r="AQ464" s="13">
        <f t="shared" ref="AQ464" si="9515">+AQ463/AL463-1</f>
        <v>21.454854763454076</v>
      </c>
      <c r="AR464" s="13">
        <f t="shared" ref="AR464" si="9516">+AR463/AM463-1</f>
        <v>8.7474557313631625</v>
      </c>
      <c r="AS464" s="13">
        <f t="shared" ref="AS464" si="9517">+AS463/AN463-1</f>
        <v>8.9432741795883679</v>
      </c>
      <c r="AT464" s="239">
        <f t="shared" ref="AT464" si="9518">+AT463/AO463-1</f>
        <v>11.005258011159006</v>
      </c>
      <c r="AU464" s="13">
        <f t="shared" ref="AU464:BZ464" si="9519">+AU463/AP463-1</f>
        <v>2.5455790732754799</v>
      </c>
      <c r="AV464" s="13">
        <f t="shared" si="9519"/>
        <v>0.6072463768115941</v>
      </c>
      <c r="AW464" s="13">
        <f t="shared" si="9519"/>
        <v>0.19292929292929295</v>
      </c>
      <c r="AX464" s="13">
        <f t="shared" si="9519"/>
        <v>-0.30754426481909158</v>
      </c>
      <c r="AY464" s="239">
        <f t="shared" si="9519"/>
        <v>0.3604334033142349</v>
      </c>
      <c r="AZ464" s="13">
        <f t="shared" si="9519"/>
        <v>5.6435643564356486E-2</v>
      </c>
      <c r="BA464" s="13">
        <f t="shared" si="9519"/>
        <v>-0.4502855425308081</v>
      </c>
      <c r="BB464" s="13">
        <f t="shared" si="9519"/>
        <v>-3.6409822184613194E-3</v>
      </c>
      <c r="BC464" s="13">
        <f t="shared" si="9519"/>
        <v>5.7254030016691271E-3</v>
      </c>
      <c r="BD464" s="239">
        <f t="shared" si="9519"/>
        <v>-0.13521422151203455</v>
      </c>
      <c r="BE464" s="13">
        <f t="shared" si="9519"/>
        <v>-0.45857544517338333</v>
      </c>
      <c r="BF464" s="13">
        <f>+BF463/BA463-1</f>
        <v>7.0479523210629225E-3</v>
      </c>
      <c r="BG464" s="13">
        <f t="shared" si="9519"/>
        <v>0.2699668564629949</v>
      </c>
      <c r="BH464" s="13">
        <f t="shared" si="9519"/>
        <v>0.48688995744210017</v>
      </c>
      <c r="BI464" s="239">
        <f t="shared" si="9519"/>
        <v>3.5328151886454551E-2</v>
      </c>
      <c r="BJ464" s="13">
        <f t="shared" si="9519"/>
        <v>1.1045702413617002</v>
      </c>
      <c r="BK464" s="13">
        <f t="shared" si="9519"/>
        <v>0.73342888312700882</v>
      </c>
      <c r="BL464" s="13">
        <f t="shared" si="9519"/>
        <v>0.12514484346487631</v>
      </c>
      <c r="BM464" s="13">
        <f t="shared" si="9519"/>
        <v>0.33403258381026402</v>
      </c>
      <c r="BN464" s="239">
        <f t="shared" si="9519"/>
        <v>0.4705792220133862</v>
      </c>
      <c r="BO464" s="13">
        <f t="shared" si="9519"/>
        <v>0.48288682469164135</v>
      </c>
      <c r="BP464" s="13">
        <f t="shared" si="9519"/>
        <v>0.46235499723489304</v>
      </c>
      <c r="BQ464" s="13">
        <f t="shared" si="9519"/>
        <v>0.4248563043467839</v>
      </c>
      <c r="BR464" s="13">
        <f t="shared" si="9519"/>
        <v>0.38437416016136705</v>
      </c>
      <c r="BS464" s="239">
        <f t="shared" si="9519"/>
        <v>0.43629610086088322</v>
      </c>
      <c r="BT464" s="13">
        <f t="shared" si="9519"/>
        <v>0.1540763439471784</v>
      </c>
      <c r="BU464" s="13">
        <f t="shared" si="9519"/>
        <v>0.15669241586173688</v>
      </c>
      <c r="BV464" s="13">
        <f t="shared" si="9519"/>
        <v>0.15962573883816322</v>
      </c>
      <c r="BW464" s="13">
        <f t="shared" si="9519"/>
        <v>0.16162155627566022</v>
      </c>
      <c r="BX464" s="239">
        <f t="shared" si="9519"/>
        <v>0.15810524799650194</v>
      </c>
      <c r="BY464" s="13">
        <f t="shared" si="9519"/>
        <v>0.1619768139341291</v>
      </c>
      <c r="BZ464" s="13">
        <f t="shared" si="9519"/>
        <v>0.15347230180160731</v>
      </c>
      <c r="CA464" s="13">
        <f t="shared" ref="CA464:DB464" si="9520">+CA463/BV463-1</f>
        <v>0.15170310946349819</v>
      </c>
      <c r="CB464" s="13">
        <f t="shared" si="9520"/>
        <v>0.14386877602190995</v>
      </c>
      <c r="CC464" s="239">
        <f t="shared" si="9520"/>
        <v>0.15251392700869726</v>
      </c>
      <c r="CD464" s="13">
        <f t="shared" si="9520"/>
        <v>0.14122255766758696</v>
      </c>
      <c r="CE464" s="13">
        <f t="shared" si="9520"/>
        <v>0.14042719783024071</v>
      </c>
      <c r="CF464" s="13">
        <f t="shared" si="9520"/>
        <v>0.1349824702586695</v>
      </c>
      <c r="CG464" s="13">
        <f t="shared" si="9520"/>
        <v>0.13424292688405282</v>
      </c>
      <c r="CH464" s="239">
        <f t="shared" si="9520"/>
        <v>0.137623519899706</v>
      </c>
      <c r="CI464" s="13">
        <f t="shared" si="9520"/>
        <v>0.12202257682718343</v>
      </c>
      <c r="CJ464" s="13">
        <f t="shared" si="9520"/>
        <v>0.11263363045376917</v>
      </c>
      <c r="CK464" s="13">
        <f t="shared" si="9520"/>
        <v>0.10364834108919174</v>
      </c>
      <c r="CL464" s="13">
        <f t="shared" si="9520"/>
        <v>9.5110646788596265E-2</v>
      </c>
      <c r="CM464" s="239">
        <f t="shared" si="9520"/>
        <v>0.10805297719210594</v>
      </c>
      <c r="CN464" s="13">
        <f t="shared" si="9520"/>
        <v>9.3561799749891428E-2</v>
      </c>
      <c r="CO464" s="13">
        <f t="shared" si="9520"/>
        <v>9.1332235112737692E-2</v>
      </c>
      <c r="CP464" s="13">
        <f t="shared" si="9520"/>
        <v>8.9450285973333932E-2</v>
      </c>
      <c r="CQ464" s="13">
        <f t="shared" si="9520"/>
        <v>8.7288033480461769E-2</v>
      </c>
      <c r="CR464" s="239">
        <f t="shared" si="9520"/>
        <v>9.0359462523283307E-2</v>
      </c>
      <c r="CS464" s="13">
        <f t="shared" si="9520"/>
        <v>8.6861076520756919E-2</v>
      </c>
      <c r="CT464" s="13">
        <f t="shared" si="9520"/>
        <v>8.585306379275548E-2</v>
      </c>
      <c r="CU464" s="13">
        <f t="shared" si="9520"/>
        <v>8.5102499891203998E-2</v>
      </c>
      <c r="CV464" s="13">
        <f t="shared" si="9520"/>
        <v>8.4077099904922292E-2</v>
      </c>
      <c r="CW464" s="239">
        <f t="shared" si="9520"/>
        <v>8.5454162562177194E-2</v>
      </c>
      <c r="CX464" s="13">
        <f t="shared" si="9520"/>
        <v>7.9210792750964432E-2</v>
      </c>
      <c r="CY464" s="13">
        <f t="shared" si="9520"/>
        <v>7.398381512166563E-2</v>
      </c>
      <c r="CZ464" s="13">
        <f t="shared" si="9520"/>
        <v>6.9056227489070254E-2</v>
      </c>
      <c r="DA464" s="13">
        <f t="shared" si="9520"/>
        <v>6.4123731055140576E-2</v>
      </c>
      <c r="DB464" s="239">
        <f t="shared" si="9520"/>
        <v>7.149319596417536E-2</v>
      </c>
    </row>
    <row r="465" spans="1:106">
      <c r="A465" s="117" t="s">
        <v>288</v>
      </c>
      <c r="F465" s="217"/>
      <c r="K465" s="217"/>
      <c r="P465" s="217"/>
      <c r="U465" s="217"/>
      <c r="Z465" s="217"/>
      <c r="AE465" s="217"/>
      <c r="AJ465" s="217"/>
      <c r="AK465" s="119" t="s">
        <v>290</v>
      </c>
      <c r="AL465" s="13">
        <f>+AL463/AK463-1</f>
        <v>0.63215456766884293</v>
      </c>
      <c r="AM465" s="13">
        <f>+AM463/AL463-1</f>
        <v>1.2035039011412558</v>
      </c>
      <c r="AN465" s="13">
        <f>+AN463/AM463-1</f>
        <v>0.2862808767346654</v>
      </c>
      <c r="AO465" s="235" t="s">
        <v>290</v>
      </c>
      <c r="AP465" s="119" t="s">
        <v>290</v>
      </c>
      <c r="AQ465" s="13">
        <f>+AQ463/AP463-1</f>
        <v>1.9066727452198986</v>
      </c>
      <c r="AR465" s="13">
        <f>+AR463/AQ463-1</f>
        <v>-4.3478260869565188E-2</v>
      </c>
      <c r="AS465" s="13">
        <f>+AS463/AR463-1</f>
        <v>0.31212121212121202</v>
      </c>
      <c r="AT465" s="235" t="s">
        <v>290</v>
      </c>
      <c r="AU465" s="119" t="s">
        <v>290</v>
      </c>
      <c r="AV465" s="13">
        <f>+AV463/AU463-1</f>
        <v>0.31762376237623768</v>
      </c>
      <c r="AW465" s="13">
        <f>+AW463/AV463-1</f>
        <v>-0.29005109708446053</v>
      </c>
      <c r="AX465" s="13">
        <f>+AX463/AW463-1</f>
        <v>-0.23835732430143941</v>
      </c>
      <c r="AY465" s="235" t="s">
        <v>290</v>
      </c>
      <c r="AZ465" s="119" t="s">
        <v>290</v>
      </c>
      <c r="BA465" s="13">
        <f>+BA463/AZ463-1</f>
        <v>-0.31437675726335468</v>
      </c>
      <c r="BB465" s="13">
        <f>+BB463/BA463-1</f>
        <v>0.2867844059270559</v>
      </c>
      <c r="BC465" s="13">
        <f>+BC463/BB463-1</f>
        <v>-0.23119741650377879</v>
      </c>
      <c r="BD465" s="235" t="s">
        <v>290</v>
      </c>
      <c r="BE465" s="13">
        <f>+BE463/BC463-1</f>
        <v>-0.20176311280605885</v>
      </c>
      <c r="BF465" s="13">
        <f>+BF463/BE463-1</f>
        <v>0.27525705383416543</v>
      </c>
      <c r="BG465" s="13">
        <f>+BG463/BF463-1</f>
        <v>0.62273657691702944</v>
      </c>
      <c r="BH465" s="13">
        <f>+BH463/BG463-1</f>
        <v>-9.987820954650084E-2</v>
      </c>
      <c r="BI465" s="235" t="s">
        <v>290</v>
      </c>
      <c r="BJ465" s="119" t="s">
        <v>290</v>
      </c>
      <c r="BK465" s="13">
        <f>+BK463/BJ463-1</f>
        <v>5.0365232332333365E-2</v>
      </c>
      <c r="BL465" s="13">
        <f>+BL463/BK463-1</f>
        <v>5.3295990157020245E-2</v>
      </c>
      <c r="BM465" s="13">
        <f>+BM463/BL463-1</f>
        <v>6.7233081000284356E-2</v>
      </c>
      <c r="BN465" s="235" t="s">
        <v>290</v>
      </c>
      <c r="BO465" s="119" t="s">
        <v>290</v>
      </c>
      <c r="BP465" s="13">
        <f>+BP463/BO463-1</f>
        <v>3.5822033648711837E-2</v>
      </c>
      <c r="BQ465" s="13">
        <f>+BQ463/BP463-1</f>
        <v>2.6286664152145534E-2</v>
      </c>
      <c r="BR465" s="13">
        <f>+BR463/BQ463-1</f>
        <v>3.6911508689659867E-2</v>
      </c>
      <c r="BS465" s="235" t="s">
        <v>290</v>
      </c>
      <c r="BT465" s="119" t="s">
        <v>290</v>
      </c>
      <c r="BU465" s="13">
        <f>+BU463/BT463-1</f>
        <v>3.8170045498119753E-2</v>
      </c>
      <c r="BV465" s="13">
        <f>+BV463/BU463-1</f>
        <v>2.8889283665402221E-2</v>
      </c>
      <c r="BW465" s="13">
        <f>+BW463/BV463-1</f>
        <v>3.8696124191776482E-2</v>
      </c>
      <c r="BX465" s="235" t="s">
        <v>290</v>
      </c>
      <c r="BY465" s="119" t="s">
        <v>290</v>
      </c>
      <c r="BZ465" s="13">
        <f>+BZ463/BY463-1</f>
        <v>3.0571675512004015E-2</v>
      </c>
      <c r="CA465" s="13">
        <f>+CA463/BZ463-1</f>
        <v>2.7311176384819502E-2</v>
      </c>
      <c r="CB465" s="13">
        <f>+CB463/CA463-1</f>
        <v>3.1630508309924421E-2</v>
      </c>
      <c r="CC465" s="235" t="s">
        <v>290</v>
      </c>
      <c r="CD465" s="119" t="s">
        <v>290</v>
      </c>
      <c r="CE465" s="13">
        <f>+CE463/CD463-1</f>
        <v>2.9853432330863239E-2</v>
      </c>
      <c r="CF465" s="13">
        <f>+CF463/CE463-1</f>
        <v>2.2406497245907708E-2</v>
      </c>
      <c r="CG465" s="13">
        <f>+CG463/CF463-1</f>
        <v>3.0958308053563366E-2</v>
      </c>
      <c r="CH465" s="235" t="s">
        <v>290</v>
      </c>
      <c r="CI465" s="119" t="s">
        <v>290</v>
      </c>
      <c r="CJ465" s="13">
        <f>+CJ463/CI463-1</f>
        <v>2.1235745977373321E-2</v>
      </c>
      <c r="CK465" s="13">
        <f>+CK463/CJ463-1</f>
        <v>1.4149854650778115E-2</v>
      </c>
      <c r="CL465" s="13">
        <f>+CL463/CK463-1</f>
        <v>2.2982935334628252E-2</v>
      </c>
      <c r="CM465" s="235" t="s">
        <v>290</v>
      </c>
      <c r="CN465" s="119" t="s">
        <v>290</v>
      </c>
      <c r="CO465" s="13">
        <f>+CO463/CN463-1</f>
        <v>1.9153640415575879E-2</v>
      </c>
      <c r="CP465" s="13">
        <f>+CP463/CO463-1</f>
        <v>1.2401002756937229E-2</v>
      </c>
      <c r="CQ465" s="13">
        <f>+CQ463/CP463-1</f>
        <v>2.095260184390213E-2</v>
      </c>
      <c r="CR465" s="235" t="s">
        <v>290</v>
      </c>
      <c r="CS465" s="119" t="s">
        <v>290</v>
      </c>
      <c r="CT465" s="13">
        <f>+CT463/CS463-1</f>
        <v>1.8208423162404452E-2</v>
      </c>
      <c r="CU465" s="13">
        <f>+CU463/CT463-1</f>
        <v>1.1701210426002584E-2</v>
      </c>
      <c r="CV465" s="13">
        <f>+CV463/CU463-1</f>
        <v>1.9987822217986562E-2</v>
      </c>
      <c r="CW465" s="235" t="s">
        <v>290</v>
      </c>
      <c r="CX465" s="119" t="s">
        <v>290</v>
      </c>
      <c r="CY465" s="13">
        <f>+CY463/CX463-1</f>
        <v>1.3276900344450615E-2</v>
      </c>
      <c r="CZ465" s="13">
        <f>+CZ463/CY463-1</f>
        <v>7.059384076122166E-3</v>
      </c>
      <c r="DA465" s="13">
        <f>+DA463/CZ463-1</f>
        <v>1.5281721485045141E-2</v>
      </c>
      <c r="DB465" s="235" t="s">
        <v>290</v>
      </c>
    </row>
    <row r="466" spans="1:106">
      <c r="F466" s="217"/>
      <c r="K466" s="217"/>
      <c r="P466" s="217"/>
      <c r="U466" s="217"/>
      <c r="Z466" s="217"/>
      <c r="AE466" s="217"/>
      <c r="AJ466" s="217"/>
      <c r="AO466" s="217"/>
      <c r="AT466" s="217"/>
      <c r="AY466" s="217"/>
      <c r="BD466" s="217"/>
      <c r="BI466" s="217"/>
      <c r="BN466" s="217"/>
      <c r="BS466" s="217"/>
      <c r="BX466" s="217"/>
      <c r="CC466" s="217"/>
      <c r="CH466" s="217"/>
      <c r="CM466" s="217"/>
      <c r="CR466" s="217"/>
      <c r="CW466" s="217"/>
      <c r="DB466" s="217"/>
    </row>
    <row r="467" spans="1:106" s="131" customFormat="1">
      <c r="A467" s="131" t="s">
        <v>386</v>
      </c>
      <c r="F467" s="245"/>
      <c r="K467" s="245"/>
      <c r="P467" s="245"/>
      <c r="U467" s="245"/>
      <c r="Z467" s="245"/>
      <c r="AE467" s="245"/>
      <c r="AJ467" s="245"/>
      <c r="AO467" s="245"/>
      <c r="AT467" s="245"/>
      <c r="AY467" s="245"/>
      <c r="BD467" s="245"/>
      <c r="BI467" s="245"/>
      <c r="BN467" s="245"/>
      <c r="BS467" s="245"/>
      <c r="BX467" s="245"/>
      <c r="CC467" s="245"/>
      <c r="CH467" s="245"/>
      <c r="CM467" s="245"/>
      <c r="CR467" s="245"/>
      <c r="CW467" s="245"/>
      <c r="DB467" s="245"/>
    </row>
    <row r="468" spans="1:106" s="51" customFormat="1">
      <c r="A468" s="51" t="s">
        <v>377</v>
      </c>
      <c r="B468" s="213">
        <f t="shared" ref="B468:AG468" si="9521">+B23</f>
        <v>44000</v>
      </c>
      <c r="C468" s="213">
        <f t="shared" si="9521"/>
        <v>54000</v>
      </c>
      <c r="D468" s="213">
        <f t="shared" si="9521"/>
        <v>57000</v>
      </c>
      <c r="E468" s="213">
        <f t="shared" si="9521"/>
        <v>60000</v>
      </c>
      <c r="F468" s="234">
        <f t="shared" si="9521"/>
        <v>215000</v>
      </c>
      <c r="G468" s="213">
        <f t="shared" si="9521"/>
        <v>64000</v>
      </c>
      <c r="H468" s="213">
        <f t="shared" si="9521"/>
        <v>69000</v>
      </c>
      <c r="I468" s="213">
        <f t="shared" si="9521"/>
        <v>84000</v>
      </c>
      <c r="J468" s="213">
        <f t="shared" si="9521"/>
        <v>96000</v>
      </c>
      <c r="K468" s="234">
        <f t="shared" si="9521"/>
        <v>313000</v>
      </c>
      <c r="L468" s="213">
        <f t="shared" si="9521"/>
        <v>105000</v>
      </c>
      <c r="M468" s="213">
        <f t="shared" si="9521"/>
        <v>103000</v>
      </c>
      <c r="N468" s="213">
        <f t="shared" si="9521"/>
        <v>109000</v>
      </c>
      <c r="O468" s="213">
        <f t="shared" si="9521"/>
        <v>117000</v>
      </c>
      <c r="P468" s="234">
        <f t="shared" si="9521"/>
        <v>434000</v>
      </c>
      <c r="Q468" s="213">
        <f t="shared" si="9521"/>
        <v>121300</v>
      </c>
      <c r="R468" s="213">
        <f t="shared" si="9521"/>
        <v>125700</v>
      </c>
      <c r="S468" s="213">
        <f t="shared" si="9521"/>
        <v>130400</v>
      </c>
      <c r="T468" s="213">
        <f t="shared" si="9521"/>
        <v>137800</v>
      </c>
      <c r="U468" s="234">
        <f t="shared" si="9521"/>
        <v>515200</v>
      </c>
      <c r="V468" s="213">
        <f t="shared" si="9521"/>
        <v>164355</v>
      </c>
      <c r="W468" s="213">
        <f t="shared" si="9521"/>
        <v>162807</v>
      </c>
      <c r="X468" s="213">
        <f t="shared" si="9521"/>
        <v>167172</v>
      </c>
      <c r="Y468" s="213">
        <f t="shared" si="9521"/>
        <v>174200</v>
      </c>
      <c r="Z468" s="234">
        <f t="shared" si="9521"/>
        <v>668534</v>
      </c>
      <c r="AA468" s="213">
        <f t="shared" si="9521"/>
        <v>200200</v>
      </c>
      <c r="AB468" s="213">
        <f t="shared" si="9521"/>
        <v>194200</v>
      </c>
      <c r="AC468" s="213">
        <f t="shared" si="9521"/>
        <v>200200</v>
      </c>
      <c r="AD468" s="213">
        <f t="shared" si="9521"/>
        <v>209400</v>
      </c>
      <c r="AE468" s="234">
        <f t="shared" si="9521"/>
        <v>804000</v>
      </c>
      <c r="AF468" s="213">
        <f t="shared" si="9521"/>
        <v>235500</v>
      </c>
      <c r="AG468" s="213">
        <f t="shared" si="9521"/>
        <v>234100</v>
      </c>
      <c r="AH468" s="213">
        <f t="shared" ref="AH468:BM468" si="9522">+AH23</f>
        <v>262000</v>
      </c>
      <c r="AI468" s="213">
        <f t="shared" si="9522"/>
        <v>295000</v>
      </c>
      <c r="AJ468" s="234">
        <f t="shared" si="9522"/>
        <v>1026600</v>
      </c>
      <c r="AK468" s="213">
        <f t="shared" si="9522"/>
        <v>348200</v>
      </c>
      <c r="AL468" s="213">
        <f t="shared" si="9522"/>
        <v>375700</v>
      </c>
      <c r="AM468" s="213">
        <f t="shared" si="9522"/>
        <v>407300</v>
      </c>
      <c r="AN468" s="213">
        <f t="shared" si="9522"/>
        <v>438800</v>
      </c>
      <c r="AO468" s="234">
        <f t="shared" si="9522"/>
        <v>1570000</v>
      </c>
      <c r="AP468" s="213">
        <f t="shared" si="9522"/>
        <v>489300</v>
      </c>
      <c r="AQ468" s="213">
        <f t="shared" si="9522"/>
        <v>499900</v>
      </c>
      <c r="AR468" s="213">
        <f t="shared" si="9522"/>
        <v>517500</v>
      </c>
      <c r="AS468" s="213">
        <f t="shared" si="9522"/>
        <v>559700</v>
      </c>
      <c r="AT468" s="234">
        <f t="shared" si="9522"/>
        <v>2066400</v>
      </c>
      <c r="AU468" s="213">
        <f t="shared" si="9522"/>
        <v>626200</v>
      </c>
      <c r="AV468" s="213">
        <f t="shared" si="9522"/>
        <v>617200</v>
      </c>
      <c r="AW468" s="213">
        <f t="shared" si="9522"/>
        <v>626000</v>
      </c>
      <c r="AX468" s="213">
        <f t="shared" si="9522"/>
        <v>626800</v>
      </c>
      <c r="AY468" s="234">
        <f t="shared" si="9522"/>
        <v>2496200</v>
      </c>
      <c r="AZ468" s="213">
        <f t="shared" si="9522"/>
        <v>735800</v>
      </c>
      <c r="BA468" s="213">
        <f t="shared" si="9522"/>
        <v>760300</v>
      </c>
      <c r="BB468" s="213">
        <f t="shared" si="9522"/>
        <v>775800</v>
      </c>
      <c r="BC468" s="213">
        <f t="shared" si="9522"/>
        <v>792800</v>
      </c>
      <c r="BD468" s="234">
        <f t="shared" si="9522"/>
        <v>3064700</v>
      </c>
      <c r="BE468" s="213">
        <f t="shared" si="9522"/>
        <v>855100</v>
      </c>
      <c r="BF468" s="213">
        <f t="shared" si="9522"/>
        <v>853100</v>
      </c>
      <c r="BG468" s="213">
        <f t="shared" si="9522"/>
        <v>893600</v>
      </c>
      <c r="BH468" s="213">
        <f t="shared" si="9522"/>
        <v>923600</v>
      </c>
      <c r="BI468" s="234">
        <f t="shared" si="9522"/>
        <v>3525400</v>
      </c>
      <c r="BJ468" s="213">
        <f t="shared" si="9522"/>
        <v>972433.10931401083</v>
      </c>
      <c r="BK468" s="213">
        <f t="shared" si="9522"/>
        <v>973583.43144045747</v>
      </c>
      <c r="BL468" s="213">
        <f t="shared" si="9522"/>
        <v>1001384.3868926498</v>
      </c>
      <c r="BM468" s="213">
        <f t="shared" si="9522"/>
        <v>1037415.7331436416</v>
      </c>
      <c r="BN468" s="234">
        <f t="shared" ref="BN468:CS468" si="9523">+BN23</f>
        <v>3984816.6607907596</v>
      </c>
      <c r="BO468" s="213">
        <f t="shared" si="9523"/>
        <v>1152255.0550513144</v>
      </c>
      <c r="BP468" s="213">
        <f t="shared" si="9523"/>
        <v>1117515.9254644341</v>
      </c>
      <c r="BQ468" s="213">
        <f t="shared" si="9523"/>
        <v>1163750.1791548547</v>
      </c>
      <c r="BR468" s="213">
        <f t="shared" si="9523"/>
        <v>1180204.38343386</v>
      </c>
      <c r="BS468" s="234">
        <f t="shared" si="9523"/>
        <v>4613725.5431044633</v>
      </c>
      <c r="BT468" s="213">
        <f t="shared" si="9523"/>
        <v>1279588.5001745126</v>
      </c>
      <c r="BU468" s="213">
        <f t="shared" si="9523"/>
        <v>1256073.8175800294</v>
      </c>
      <c r="BV468" s="213">
        <f t="shared" si="9523"/>
        <v>1296499.3327626353</v>
      </c>
      <c r="BW468" s="213">
        <f t="shared" si="9523"/>
        <v>1315961.9605228375</v>
      </c>
      <c r="BX468" s="234">
        <f t="shared" si="9523"/>
        <v>5148123.6110400148</v>
      </c>
      <c r="BY468" s="213">
        <f t="shared" si="9523"/>
        <v>1421648.8136464029</v>
      </c>
      <c r="BZ468" s="213">
        <f t="shared" si="9523"/>
        <v>1386853.9877360654</v>
      </c>
      <c r="CA468" s="213">
        <f t="shared" si="9523"/>
        <v>1439214.9055209556</v>
      </c>
      <c r="CB468" s="213">
        <f t="shared" si="9523"/>
        <v>1454195.4678056375</v>
      </c>
      <c r="CC468" s="234">
        <f t="shared" si="9523"/>
        <v>5701913.1747090612</v>
      </c>
      <c r="CD468" s="213">
        <f t="shared" si="9523"/>
        <v>1562934.208614761</v>
      </c>
      <c r="CE468" s="213">
        <f t="shared" si="9523"/>
        <v>1528898.0664752906</v>
      </c>
      <c r="CF468" s="213">
        <f t="shared" si="9523"/>
        <v>1581844.5368787597</v>
      </c>
      <c r="CG468" s="213">
        <f t="shared" si="9523"/>
        <v>1599444.1596438582</v>
      </c>
      <c r="CH468" s="234">
        <f t="shared" si="9523"/>
        <v>6273120.9716126695</v>
      </c>
      <c r="CI468" s="213">
        <f t="shared" si="9523"/>
        <v>1706590.2583328844</v>
      </c>
      <c r="CJ468" s="213">
        <f t="shared" si="9523"/>
        <v>1667950.0324488373</v>
      </c>
      <c r="CK468" s="213">
        <f t="shared" si="9523"/>
        <v>1720084.3702364983</v>
      </c>
      <c r="CL468" s="213">
        <f t="shared" si="9523"/>
        <v>1734921.4816913861</v>
      </c>
      <c r="CM468" s="234">
        <f t="shared" si="9523"/>
        <v>6829546.1427096054</v>
      </c>
      <c r="CN468" s="213">
        <f t="shared" si="9523"/>
        <v>1844354.7174937571</v>
      </c>
      <c r="CO468" s="213">
        <f t="shared" si="9523"/>
        <v>1804351.3039850537</v>
      </c>
      <c r="CP468" s="213">
        <f t="shared" si="9523"/>
        <v>1858088.4629752296</v>
      </c>
      <c r="CQ468" s="213">
        <f t="shared" si="9523"/>
        <v>1873432.8575783686</v>
      </c>
      <c r="CR468" s="234">
        <f t="shared" si="9523"/>
        <v>7380227.3420324093</v>
      </c>
      <c r="CS468" s="213">
        <f t="shared" si="9523"/>
        <v>1985668.5261577349</v>
      </c>
      <c r="CT468" s="213">
        <f t="shared" ref="CT468:DB468" si="9524">+CT23</f>
        <v>1944557.6872860026</v>
      </c>
      <c r="CU468" s="213">
        <f t="shared" si="9524"/>
        <v>2000726.7149276717</v>
      </c>
      <c r="CV468" s="213">
        <f t="shared" si="9524"/>
        <v>2016852.3958197241</v>
      </c>
      <c r="CW468" s="234">
        <f t="shared" si="9524"/>
        <v>7947805.3241911326</v>
      </c>
      <c r="CX468" s="213">
        <f t="shared" si="9524"/>
        <v>2129118.4789289068</v>
      </c>
      <c r="CY468" s="213">
        <f t="shared" si="9524"/>
        <v>2084225.1772172288</v>
      </c>
      <c r="CZ468" s="213">
        <f t="shared" si="9524"/>
        <v>2139897.5266830744</v>
      </c>
      <c r="DA468" s="213">
        <f t="shared" si="9524"/>
        <v>2154152.6698742877</v>
      </c>
      <c r="DB468" s="234">
        <f t="shared" si="9524"/>
        <v>8507393.8527034968</v>
      </c>
    </row>
    <row r="469" spans="1:106">
      <c r="A469" s="117" t="s">
        <v>281</v>
      </c>
      <c r="B469" s="119" t="s">
        <v>290</v>
      </c>
      <c r="C469" s="119" t="s">
        <v>290</v>
      </c>
      <c r="D469" s="119" t="s">
        <v>290</v>
      </c>
      <c r="E469" s="119" t="s">
        <v>290</v>
      </c>
      <c r="F469" s="235" t="s">
        <v>290</v>
      </c>
      <c r="G469" s="13">
        <f>+G468/B468-1</f>
        <v>0.45454545454545459</v>
      </c>
      <c r="H469" s="13">
        <f t="shared" ref="H469" si="9525">+H468/C468-1</f>
        <v>0.27777777777777768</v>
      </c>
      <c r="I469" s="13">
        <f t="shared" ref="I469" si="9526">+I468/D468-1</f>
        <v>0.47368421052631571</v>
      </c>
      <c r="J469" s="13">
        <f t="shared" ref="J469" si="9527">+J468/E468-1</f>
        <v>0.60000000000000009</v>
      </c>
      <c r="K469" s="239">
        <f t="shared" ref="K469" si="9528">+K468/F468-1</f>
        <v>0.45581395348837206</v>
      </c>
      <c r="L469" s="13">
        <f>+L468/G468-1</f>
        <v>0.640625</v>
      </c>
      <c r="M469" s="13">
        <f t="shared" ref="M469" si="9529">+M468/H468-1</f>
        <v>0.49275362318840576</v>
      </c>
      <c r="N469" s="13">
        <f t="shared" ref="N469" si="9530">+N468/I468-1</f>
        <v>0.29761904761904767</v>
      </c>
      <c r="O469" s="13">
        <f t="shared" ref="O469" si="9531">+O468/J468-1</f>
        <v>0.21875</v>
      </c>
      <c r="P469" s="239">
        <f t="shared" ref="P469" si="9532">+P468/K468-1</f>
        <v>0.38658146964856233</v>
      </c>
      <c r="Q469" s="13">
        <f>+Q468/L468-1</f>
        <v>0.15523809523809518</v>
      </c>
      <c r="R469" s="13">
        <f t="shared" ref="R469" si="9533">+R468/M468-1</f>
        <v>0.2203883495145631</v>
      </c>
      <c r="S469" s="13">
        <f t="shared" ref="S469" si="9534">+S468/N468-1</f>
        <v>0.19633027522935786</v>
      </c>
      <c r="T469" s="13">
        <f t="shared" ref="T469" si="9535">+T468/O468-1</f>
        <v>0.17777777777777781</v>
      </c>
      <c r="U469" s="239">
        <f t="shared" ref="U469" si="9536">+U468/P468-1</f>
        <v>0.18709677419354831</v>
      </c>
      <c r="V469" s="13">
        <f>+V468/Q468-1</f>
        <v>0.35494641384995873</v>
      </c>
      <c r="W469" s="13">
        <f t="shared" ref="W469" si="9537">+W468/R468-1</f>
        <v>0.29520286396181383</v>
      </c>
      <c r="X469" s="13">
        <f t="shared" ref="X469" si="9538">+X468/S468-1</f>
        <v>0.28199386503067481</v>
      </c>
      <c r="Y469" s="13">
        <f t="shared" ref="Y469" si="9539">+Y468/T468-1</f>
        <v>0.26415094339622636</v>
      </c>
      <c r="Z469" s="239">
        <f t="shared" ref="Z469" si="9540">+Z468/U468-1</f>
        <v>0.2976203416149068</v>
      </c>
      <c r="AA469" s="13">
        <f>+AA468/V468-1</f>
        <v>0.21809497733564531</v>
      </c>
      <c r="AB469" s="13">
        <f t="shared" ref="AB469" si="9541">+AB468/W468-1</f>
        <v>0.19282340439907375</v>
      </c>
      <c r="AC469" s="13">
        <f t="shared" ref="AC469" si="9542">+AC468/X468-1</f>
        <v>0.19756897088029102</v>
      </c>
      <c r="AD469" s="13">
        <f t="shared" ref="AD469" si="9543">+AD468/Y468-1</f>
        <v>0.20206659012629169</v>
      </c>
      <c r="AE469" s="239">
        <f t="shared" ref="AE469" si="9544">+AE468/Z468-1</f>
        <v>0.20263142936634493</v>
      </c>
      <c r="AF469" s="13">
        <f>+AF468/AA468-1</f>
        <v>0.1763236763236764</v>
      </c>
      <c r="AG469" s="13">
        <f t="shared" ref="AG469" si="9545">+AG468/AB468-1</f>
        <v>0.20545829042224506</v>
      </c>
      <c r="AH469" s="13">
        <f t="shared" ref="AH469" si="9546">+AH468/AC468-1</f>
        <v>0.30869130869130879</v>
      </c>
      <c r="AI469" s="13">
        <f t="shared" ref="AI469" si="9547">+AI468/AD468-1</f>
        <v>0.40878701050620814</v>
      </c>
      <c r="AJ469" s="239">
        <f t="shared" ref="AJ469" si="9548">+AJ468/AE468-1</f>
        <v>0.27686567164179099</v>
      </c>
      <c r="AK469" s="13">
        <f>+AK468/AF468-1</f>
        <v>0.47855626326963896</v>
      </c>
      <c r="AL469" s="13">
        <f t="shared" ref="AL469" si="9549">+AL468/AG468-1</f>
        <v>0.60486971379752252</v>
      </c>
      <c r="AM469" s="13">
        <f t="shared" ref="AM469" si="9550">+AM468/AH468-1</f>
        <v>0.55458015267175576</v>
      </c>
      <c r="AN469" s="13">
        <f t="shared" ref="AN469" si="9551">+AN468/AI468-1</f>
        <v>0.48745762711864415</v>
      </c>
      <c r="AO469" s="239">
        <f t="shared" ref="AO469" si="9552">+AO468/AJ468-1</f>
        <v>0.5293200857198519</v>
      </c>
      <c r="AP469" s="13">
        <f>+AP468/AK468-1</f>
        <v>0.40522688110281457</v>
      </c>
      <c r="AQ469" s="13">
        <f t="shared" ref="AQ469" si="9553">+AQ468/AL468-1</f>
        <v>0.33058291189779077</v>
      </c>
      <c r="AR469" s="13">
        <f t="shared" ref="AR469" si="9554">+AR468/AM468-1</f>
        <v>0.27056223913577226</v>
      </c>
      <c r="AS469" s="13">
        <f t="shared" ref="AS469" si="9555">+AS468/AN468-1</f>
        <v>0.27552415679124875</v>
      </c>
      <c r="AT469" s="239">
        <f t="shared" ref="AT469" si="9556">+AT468/AO468-1</f>
        <v>0.31617834394904465</v>
      </c>
      <c r="AU469" s="13">
        <f>+AU468/AP468-1</f>
        <v>0.27978745146127126</v>
      </c>
      <c r="AV469" s="13">
        <f t="shared" ref="AV469" si="9557">+AV468/AQ468-1</f>
        <v>0.23464692938587728</v>
      </c>
      <c r="AW469" s="13">
        <f t="shared" ref="AW469" si="9558">+AW468/AR468-1</f>
        <v>0.20966183574879227</v>
      </c>
      <c r="AX469" s="13">
        <f t="shared" ref="AX469" si="9559">+AX468/AS468-1</f>
        <v>0.11988565302840803</v>
      </c>
      <c r="AY469" s="239">
        <f t="shared" ref="AY469" si="9560">+AY468/AT468-1</f>
        <v>0.2079945799457994</v>
      </c>
      <c r="AZ469" s="13">
        <f>+AZ468/AU468-1</f>
        <v>0.17502395400830406</v>
      </c>
      <c r="BA469" s="13">
        <f t="shared" ref="BA469" si="9561">+BA468/AV468-1</f>
        <v>0.23185353208036297</v>
      </c>
      <c r="BB469" s="13">
        <f t="shared" ref="BB469" si="9562">+BB468/AW468-1</f>
        <v>0.23929712460063901</v>
      </c>
      <c r="BC469" s="13">
        <f t="shared" ref="BC469:BE469" si="9563">+BC468/AX468-1</f>
        <v>0.26483726866624124</v>
      </c>
      <c r="BD469" s="239">
        <f t="shared" ref="BD469" si="9564">+BD468/AY468-1</f>
        <v>0.22774617418476084</v>
      </c>
      <c r="BE469" s="13">
        <f t="shared" si="9563"/>
        <v>0.16213645012231592</v>
      </c>
      <c r="BF469" s="13">
        <f t="shared" ref="BF469" si="9565">+BF468/BA468-1</f>
        <v>0.1220570827305012</v>
      </c>
      <c r="BG469" s="13">
        <f t="shared" ref="BG469" si="9566">+BG468/BB468-1</f>
        <v>0.15184325857179681</v>
      </c>
      <c r="BH469" s="13">
        <f t="shared" ref="BH469" si="9567">+BH468/BC468-1</f>
        <v>0.16498486377396571</v>
      </c>
      <c r="BI469" s="239">
        <f t="shared" ref="BI469" si="9568">+BI468/BD468-1</f>
        <v>0.15032466473064243</v>
      </c>
      <c r="BJ469" s="13">
        <f>+BJ468/BE468-1</f>
        <v>0.13721565818502035</v>
      </c>
      <c r="BK469" s="13">
        <f t="shared" ref="BK469" si="9569">+BK468/BF468-1</f>
        <v>0.14123013883537383</v>
      </c>
      <c r="BL469" s="13">
        <f t="shared" ref="BL469" si="9570">+BL468/BG468-1</f>
        <v>0.12061815901147033</v>
      </c>
      <c r="BM469" s="13">
        <f t="shared" ref="BM469" si="9571">+BM468/BH468-1</f>
        <v>0.12323054692901869</v>
      </c>
      <c r="BN469" s="239">
        <f t="shared" ref="BN469" si="9572">+BN468/BI468-1</f>
        <v>0.13031617994859013</v>
      </c>
      <c r="BO469" s="13">
        <f>+BO468/BJ468-1</f>
        <v>0.18491960425345488</v>
      </c>
      <c r="BP469" s="13">
        <f t="shared" ref="BP469" si="9573">+BP468/BK468-1</f>
        <v>0.14783786306944702</v>
      </c>
      <c r="BQ469" s="13">
        <f t="shared" ref="BQ469" si="9574">+BQ468/BL468-1</f>
        <v>0.16214132593582242</v>
      </c>
      <c r="BR469" s="13">
        <f t="shared" ref="BR469" si="9575">+BR468/BM468-1</f>
        <v>0.13763879390717482</v>
      </c>
      <c r="BS469" s="239">
        <f t="shared" ref="BS469" si="9576">+BS468/BN468-1</f>
        <v>0.15782630315265278</v>
      </c>
      <c r="BT469" s="13">
        <f>+BT468/BO468-1</f>
        <v>0.11050803775170026</v>
      </c>
      <c r="BU469" s="13">
        <f t="shared" ref="BU469" si="9577">+BU468/BP468-1</f>
        <v>0.12398739826281346</v>
      </c>
      <c r="BV469" s="13">
        <f t="shared" ref="BV469" si="9578">+BV468/BQ468-1</f>
        <v>0.11407014665654991</v>
      </c>
      <c r="BW469" s="13">
        <f t="shared" ref="BW469" si="9579">+BW468/BR468-1</f>
        <v>0.11502887041817655</v>
      </c>
      <c r="BX469" s="239">
        <f t="shared" ref="BX469" si="9580">+BX468/BS468-1</f>
        <v>0.11582788419962409</v>
      </c>
      <c r="BY469" s="13">
        <f>+BY468/BT468-1</f>
        <v>0.11102031118013</v>
      </c>
      <c r="BZ469" s="13">
        <f t="shared" ref="BZ469" si="9581">+BZ468/BU468-1</f>
        <v>0.10411822006448568</v>
      </c>
      <c r="CA469" s="13">
        <f t="shared" ref="CA469" si="9582">+CA468/BV468-1</f>
        <v>0.11007762916022168</v>
      </c>
      <c r="CB469" s="13">
        <f t="shared" ref="CB469" si="9583">+CB468/BW468-1</f>
        <v>0.10504369535718139</v>
      </c>
      <c r="CC469" s="239">
        <f t="shared" ref="CC469" si="9584">+CC468/BX468-1</f>
        <v>0.10757114737522211</v>
      </c>
      <c r="CD469" s="13">
        <f>+CD468/BY468-1</f>
        <v>9.9381361706323057E-2</v>
      </c>
      <c r="CE469" s="13">
        <f t="shared" ref="CE469" si="9585">+CE468/BZ468-1</f>
        <v>0.10242179782105354</v>
      </c>
      <c r="CF469" s="13">
        <f t="shared" ref="CF469" si="9586">+CF468/CA468-1</f>
        <v>9.9102386176424639E-2</v>
      </c>
      <c r="CG469" s="13">
        <f t="shared" ref="CG469" si="9587">+CG468/CB468-1</f>
        <v>9.9882508956927962E-2</v>
      </c>
      <c r="CH469" s="239">
        <f t="shared" ref="CH469" si="9588">+CH468/CC468-1</f>
        <v>0.10017826988969447</v>
      </c>
      <c r="CI469" s="13">
        <f>+CI468/CD468-1</f>
        <v>9.1914329423659291E-2</v>
      </c>
      <c r="CJ469" s="13">
        <f t="shared" ref="CJ469" si="9589">+CJ468/CE468-1</f>
        <v>9.0949141098801922E-2</v>
      </c>
      <c r="CK469" s="13">
        <f t="shared" ref="CK469" si="9590">+CK468/CF468-1</f>
        <v>8.7391542047809967E-2</v>
      </c>
      <c r="CL469" s="13">
        <f t="shared" ref="CL469" si="9591">+CL468/CG468-1</f>
        <v>8.4702752034615525E-2</v>
      </c>
      <c r="CM469" s="239">
        <f t="shared" ref="CM469" si="9592">+CM468/CH468-1</f>
        <v>8.8699894935055257E-2</v>
      </c>
      <c r="CN469" s="13">
        <f>+CN468/CI468-1</f>
        <v>8.0724976887803557E-2</v>
      </c>
      <c r="CO469" s="13">
        <f t="shared" ref="CO469" si="9593">+CO468/CJ468-1</f>
        <v>8.1777792429402529E-2</v>
      </c>
      <c r="CP469" s="13">
        <f t="shared" ref="CP469" si="9594">+CP468/CK468-1</f>
        <v>8.023100211052836E-2</v>
      </c>
      <c r="CQ469" s="13">
        <f t="shared" ref="CQ469" si="9595">+CQ468/CL468-1</f>
        <v>7.9837259120191906E-2</v>
      </c>
      <c r="CR469" s="239">
        <f t="shared" ref="CR469" si="9596">+CR468/CM468-1</f>
        <v>8.0632180794421249E-2</v>
      </c>
      <c r="CS469" s="13">
        <f>+CS468/CN468-1</f>
        <v>7.6619647686864356E-2</v>
      </c>
      <c r="CT469" s="13">
        <f t="shared" ref="CT469" si="9597">+CT468/CO468-1</f>
        <v>7.7704592775969861E-2</v>
      </c>
      <c r="CU469" s="13">
        <f t="shared" ref="CU469" si="9598">+CU468/CP468-1</f>
        <v>7.676612539967298E-2</v>
      </c>
      <c r="CV469" s="13">
        <f t="shared" ref="CV469" si="9599">+CV468/CQ468-1</f>
        <v>7.6554405278629556E-2</v>
      </c>
      <c r="CW469" s="239">
        <f t="shared" ref="CW469" si="9600">+CW468/CR468-1</f>
        <v>7.6905216581366176E-2</v>
      </c>
      <c r="CX469" s="13">
        <f>+CX468/CS468-1</f>
        <v>7.2242648197051951E-2</v>
      </c>
      <c r="CY469" s="13">
        <f t="shared" ref="CY469" si="9601">+CY468/CT468-1</f>
        <v>7.1824811803942179E-2</v>
      </c>
      <c r="CZ469" s="13">
        <f t="shared" ref="CZ469" si="9602">+CZ468/CU468-1</f>
        <v>6.9560130685031529E-2</v>
      </c>
      <c r="DA469" s="13">
        <f t="shared" ref="DA469" si="9603">+DA468/CV468-1</f>
        <v>6.8076510873647633E-2</v>
      </c>
      <c r="DB469" s="239">
        <f t="shared" ref="DB469" si="9604">+DB468/CW468-1</f>
        <v>7.0407930955369125E-2</v>
      </c>
    </row>
    <row r="470" spans="1:106">
      <c r="F470" s="217"/>
      <c r="K470" s="217"/>
      <c r="P470" s="217"/>
      <c r="U470" s="217"/>
      <c r="Z470" s="217"/>
      <c r="AE470" s="217"/>
      <c r="AJ470" s="217"/>
      <c r="AO470" s="217"/>
      <c r="AT470" s="217"/>
      <c r="AY470" s="217"/>
      <c r="BD470" s="217"/>
      <c r="BI470" s="217"/>
      <c r="BN470" s="217"/>
      <c r="BS470" s="217"/>
      <c r="BX470" s="217"/>
      <c r="CC470" s="217"/>
      <c r="CH470" s="217"/>
      <c r="CM470" s="217"/>
      <c r="CR470" s="217"/>
      <c r="CW470" s="217"/>
      <c r="DB470" s="217"/>
    </row>
    <row r="471" spans="1:106" s="51" customFormat="1">
      <c r="A471" s="51" t="s">
        <v>388</v>
      </c>
      <c r="B471" s="225"/>
      <c r="C471" s="225"/>
      <c r="D471" s="225"/>
      <c r="E471" s="225"/>
      <c r="F471" s="236"/>
      <c r="G471" s="225">
        <f t="shared" ref="G471:AL471" si="9605">+G474/G468*1000000</f>
        <v>388.171875</v>
      </c>
      <c r="H471" s="225">
        <f t="shared" si="9605"/>
        <v>372.92753623188406</v>
      </c>
      <c r="I471" s="225">
        <f t="shared" si="9605"/>
        <v>362.57142857142856</v>
      </c>
      <c r="J471" s="225">
        <f t="shared" si="9605"/>
        <v>331.39583333333326</v>
      </c>
      <c r="K471" s="236">
        <f t="shared" si="9605"/>
        <v>360.52715654952078</v>
      </c>
      <c r="L471" s="225">
        <f t="shared" si="9605"/>
        <v>308</v>
      </c>
      <c r="M471" s="225">
        <f t="shared" si="9605"/>
        <v>300.7087378640777</v>
      </c>
      <c r="N471" s="225">
        <f t="shared" si="9605"/>
        <v>314.32110091743118</v>
      </c>
      <c r="O471" s="225">
        <f t="shared" si="9605"/>
        <v>324.78632478632477</v>
      </c>
      <c r="P471" s="236">
        <f t="shared" si="9605"/>
        <v>312.38248847926275</v>
      </c>
      <c r="Q471" s="225">
        <f t="shared" si="9605"/>
        <v>277.82357790601816</v>
      </c>
      <c r="R471" s="225">
        <f t="shared" si="9605"/>
        <v>274.93237867939541</v>
      </c>
      <c r="S471" s="225">
        <f t="shared" si="9605"/>
        <v>265.42944785276075</v>
      </c>
      <c r="T471" s="225">
        <f t="shared" si="9605"/>
        <v>266.50943396226415</v>
      </c>
      <c r="U471" s="236">
        <f t="shared" si="9605"/>
        <v>270.95496894409939</v>
      </c>
      <c r="V471" s="225">
        <f t="shared" si="9605"/>
        <v>246.97757902102157</v>
      </c>
      <c r="W471" s="225">
        <f t="shared" si="9605"/>
        <v>251.80121247857892</v>
      </c>
      <c r="X471" s="225">
        <f t="shared" si="9605"/>
        <v>249.3180676189792</v>
      </c>
      <c r="Y471" s="225">
        <f t="shared" si="9605"/>
        <v>245.63145809414459</v>
      </c>
      <c r="Z471" s="236">
        <f t="shared" si="9605"/>
        <v>248.38676866098058</v>
      </c>
      <c r="AA471" s="225">
        <f t="shared" si="9605"/>
        <v>216.2987012987013</v>
      </c>
      <c r="AB471" s="225">
        <f t="shared" si="9605"/>
        <v>225.66941297631308</v>
      </c>
      <c r="AC471" s="225">
        <f t="shared" si="9605"/>
        <v>219.18081918081916</v>
      </c>
      <c r="AD471" s="225">
        <f t="shared" si="9605"/>
        <v>212.33046800382067</v>
      </c>
      <c r="AE471" s="236">
        <f t="shared" si="9605"/>
        <v>218.24626865671647</v>
      </c>
      <c r="AF471" s="225">
        <f t="shared" si="9605"/>
        <v>190.98938428874735</v>
      </c>
      <c r="AG471" s="225">
        <f t="shared" si="9605"/>
        <v>200.50832977360102</v>
      </c>
      <c r="AH471" s="225">
        <f t="shared" si="9605"/>
        <v>197.79007633587784</v>
      </c>
      <c r="AI471" s="225">
        <f t="shared" si="9605"/>
        <v>202.9898305084746</v>
      </c>
      <c r="AJ471" s="236">
        <f t="shared" si="9605"/>
        <v>198.34404831482564</v>
      </c>
      <c r="AK471" s="225">
        <f t="shared" si="9605"/>
        <v>191.88110281447445</v>
      </c>
      <c r="AL471" s="225">
        <f t="shared" si="9605"/>
        <v>202.58717061485231</v>
      </c>
      <c r="AM471" s="225">
        <f t="shared" ref="AM471:BH471" si="9606">+AM474/AM468*1000000</f>
        <v>199.78148784679595</v>
      </c>
      <c r="AN471" s="225">
        <f t="shared" si="9606"/>
        <v>214.49863263445766</v>
      </c>
      <c r="AO471" s="236">
        <f t="shared" si="9606"/>
        <v>202.81401273885351</v>
      </c>
      <c r="AP471" s="225">
        <f t="shared" si="9606"/>
        <v>210.94420600858371</v>
      </c>
      <c r="AQ471" s="225">
        <f t="shared" si="9606"/>
        <v>218.51770354070814</v>
      </c>
      <c r="AR471" s="225">
        <f t="shared" si="9606"/>
        <v>225.14396135265702</v>
      </c>
      <c r="AS471" s="225">
        <f t="shared" si="9606"/>
        <v>227.42897981061287</v>
      </c>
      <c r="AT471" s="236">
        <f t="shared" si="9606"/>
        <v>220.79752226093689</v>
      </c>
      <c r="AU471" s="225">
        <f t="shared" si="9606"/>
        <v>236.54423506866817</v>
      </c>
      <c r="AV471" s="225">
        <f t="shared" si="9606"/>
        <v>231.93292287751134</v>
      </c>
      <c r="AW471" s="225">
        <f t="shared" si="9606"/>
        <v>235.32108626198081</v>
      </c>
      <c r="AX471" s="225">
        <f t="shared" si="9606"/>
        <v>241.30025526483729</v>
      </c>
      <c r="AY471" s="236">
        <f t="shared" si="9606"/>
        <v>236.29156317602755</v>
      </c>
      <c r="AZ471" s="225">
        <f t="shared" si="9606"/>
        <v>216.28159826039683</v>
      </c>
      <c r="BA471" s="225">
        <f t="shared" si="9606"/>
        <v>223.83138234907273</v>
      </c>
      <c r="BB471" s="225">
        <f t="shared" si="9606"/>
        <v>216.56483629801497</v>
      </c>
      <c r="BC471" s="225">
        <f t="shared" si="9606"/>
        <v>222.53153380423808</v>
      </c>
      <c r="BD471" s="236">
        <f t="shared" si="9606"/>
        <v>219.84305152217181</v>
      </c>
      <c r="BE471" s="225">
        <f t="shared" si="9606"/>
        <v>216.42497953455737</v>
      </c>
      <c r="BF471" s="225">
        <f t="shared" si="9606"/>
        <v>234.43441566053221</v>
      </c>
      <c r="BG471" s="225">
        <f t="shared" si="9606"/>
        <v>232.5436436884512</v>
      </c>
      <c r="BH471" s="225">
        <f t="shared" si="9606"/>
        <v>238.27522737115629</v>
      </c>
      <c r="BI471" s="236">
        <f>+BI474/BI468*1000000</f>
        <v>230.59312418448971</v>
      </c>
      <c r="BJ471" s="225">
        <f>+BE471*(1+BJ472)</f>
        <v>236.98535259034031</v>
      </c>
      <c r="BK471" s="225">
        <f t="shared" ref="BK471" si="9607">+BF471*(1+BK472)</f>
        <v>246.15613644355884</v>
      </c>
      <c r="BL471" s="225">
        <f t="shared" ref="BL471" si="9608">+BG471*(1+BL472)</f>
        <v>237.19451656222023</v>
      </c>
      <c r="BM471" s="225">
        <f t="shared" ref="BM471" si="9609">+BH471*(1+BM472)</f>
        <v>226.36146600259846</v>
      </c>
      <c r="BN471" s="236">
        <f>+BN474/BN468*1000000</f>
        <v>236.51270591546745</v>
      </c>
      <c r="BO471" s="225">
        <f>+BJ471*(1+BO472)</f>
        <v>232.24564553853349</v>
      </c>
      <c r="BP471" s="225">
        <f t="shared" ref="BP471" si="9610">+BK471*(1+BP472)</f>
        <v>241.23301371468764</v>
      </c>
      <c r="BQ471" s="225">
        <f t="shared" ref="BQ471" si="9611">+BL471*(1+BQ472)</f>
        <v>232.45062623097581</v>
      </c>
      <c r="BR471" s="225">
        <f t="shared" ref="BR471" si="9612">+BM471*(1+BR472)</f>
        <v>221.83423668254648</v>
      </c>
      <c r="BS471" s="236">
        <f>+BS474/BS468*1000000</f>
        <v>231.81096060367912</v>
      </c>
      <c r="BT471" s="225">
        <f>+BO471*(1+BT472)</f>
        <v>229.92318908314815</v>
      </c>
      <c r="BU471" s="225">
        <f t="shared" ref="BU471" si="9613">+BP471*(1+BU472)</f>
        <v>238.82068357754076</v>
      </c>
      <c r="BV471" s="225">
        <f t="shared" ref="BV471" si="9614">+BQ471*(1+BV472)</f>
        <v>230.12611996866605</v>
      </c>
      <c r="BW471" s="225">
        <f t="shared" ref="BW471" si="9615">+BR471*(1+BW472)</f>
        <v>219.61589431572102</v>
      </c>
      <c r="BX471" s="236">
        <f>+BX474/BX468*1000000</f>
        <v>229.51041768210152</v>
      </c>
      <c r="BY471" s="225">
        <f>+BT471*(1+BY472)</f>
        <v>229.92318908314815</v>
      </c>
      <c r="BZ471" s="225">
        <f t="shared" ref="BZ471" si="9616">+BU471*(1+BZ472)</f>
        <v>238.82068357754076</v>
      </c>
      <c r="CA471" s="225">
        <f t="shared" ref="CA471" si="9617">+BV471*(1+CA472)</f>
        <v>230.12611996866605</v>
      </c>
      <c r="CB471" s="225">
        <f t="shared" ref="CB471" si="9618">+BW471*(1+CB472)</f>
        <v>219.61589431572102</v>
      </c>
      <c r="CC471" s="236">
        <f>+CC474/CC468*1000000</f>
        <v>229.50977793705266</v>
      </c>
      <c r="CD471" s="225">
        <f>+BY471*(1+CD472)</f>
        <v>229.92318908314815</v>
      </c>
      <c r="CE471" s="225">
        <f t="shared" ref="CE471" si="9619">+BZ471*(1+CE472)</f>
        <v>238.82068357754076</v>
      </c>
      <c r="CF471" s="225">
        <f t="shared" ref="CF471" si="9620">+CA471*(1+CF472)</f>
        <v>230.12611996866605</v>
      </c>
      <c r="CG471" s="225">
        <f t="shared" ref="CG471" si="9621">+CB471*(1+CG472)</f>
        <v>219.61589431572102</v>
      </c>
      <c r="CH471" s="236">
        <f>+CH474/CH468*1000000</f>
        <v>229.51484765509204</v>
      </c>
      <c r="CI471" s="225">
        <f>+CD471*(1+CI472)</f>
        <v>229.92318908314815</v>
      </c>
      <c r="CJ471" s="225">
        <f t="shared" ref="CJ471" si="9622">+CE471*(1+CJ472)</f>
        <v>238.82068357754076</v>
      </c>
      <c r="CK471" s="225">
        <f t="shared" ref="CK471" si="9623">+CF471*(1+CK472)</f>
        <v>230.12611996866605</v>
      </c>
      <c r="CL471" s="225">
        <f t="shared" ref="CL471" si="9624">+CG471*(1+CL472)</f>
        <v>219.61589431572102</v>
      </c>
      <c r="CM471" s="236">
        <f>+CM474/CM468*1000000</f>
        <v>229.52891505983612</v>
      </c>
      <c r="CN471" s="225">
        <f>+CI471*(1+CN472)</f>
        <v>229.92318908314815</v>
      </c>
      <c r="CO471" s="225">
        <f t="shared" ref="CO471" si="9625">+CJ471*(1+CO472)</f>
        <v>238.82068357754076</v>
      </c>
      <c r="CP471" s="225">
        <f t="shared" ref="CP471" si="9626">+CK471*(1+CP472)</f>
        <v>230.12611996866605</v>
      </c>
      <c r="CQ471" s="225">
        <f t="shared" ref="CQ471" si="9627">+CL471*(1+CQ472)</f>
        <v>219.61589431572102</v>
      </c>
      <c r="CR471" s="236">
        <f>+CR474/CR468*1000000</f>
        <v>229.5331258471108</v>
      </c>
      <c r="CS471" s="225">
        <f>+CN471*(1+CS472)</f>
        <v>229.92318908314815</v>
      </c>
      <c r="CT471" s="225">
        <f t="shared" ref="CT471" si="9628">+CO471*(1+CT472)</f>
        <v>238.82068357754076</v>
      </c>
      <c r="CU471" s="225">
        <f t="shared" ref="CU471" si="9629">+CP471*(1+CU472)</f>
        <v>230.12611996866605</v>
      </c>
      <c r="CV471" s="225">
        <f t="shared" ref="CV471" si="9630">+CQ471*(1+CV472)</f>
        <v>219.61589431572102</v>
      </c>
      <c r="CW471" s="236">
        <f>+CW474/CW468*1000000</f>
        <v>229.53558628465822</v>
      </c>
      <c r="CX471" s="225">
        <f>+CS471*(1+CX472)</f>
        <v>229.92318908314815</v>
      </c>
      <c r="CY471" s="225">
        <f t="shared" ref="CY471" si="9631">+CT471*(1+CY472)</f>
        <v>238.82068357754076</v>
      </c>
      <c r="CZ471" s="225">
        <f t="shared" ref="CZ471" si="9632">+CU471*(1+CZ472)</f>
        <v>230.12611996866605</v>
      </c>
      <c r="DA471" s="225">
        <f t="shared" ref="DA471" si="9633">+CV471*(1+DA472)</f>
        <v>219.61589431572102</v>
      </c>
      <c r="DB471" s="236">
        <f>+DB474/DB468*1000000</f>
        <v>229.54412432384621</v>
      </c>
    </row>
    <row r="472" spans="1:106">
      <c r="A472" s="117" t="s">
        <v>281</v>
      </c>
      <c r="F472" s="217"/>
      <c r="G472" s="119" t="s">
        <v>290</v>
      </c>
      <c r="H472" s="119" t="s">
        <v>290</v>
      </c>
      <c r="I472" s="119" t="s">
        <v>290</v>
      </c>
      <c r="J472" s="119" t="s">
        <v>290</v>
      </c>
      <c r="K472" s="235" t="s">
        <v>290</v>
      </c>
      <c r="L472" s="13">
        <f>+L471/G471-1</f>
        <v>-0.20653705269089884</v>
      </c>
      <c r="M472" s="13">
        <f t="shared" ref="M472" si="9634">+M471/H471-1</f>
        <v>-0.19365370306927709</v>
      </c>
      <c r="N472" s="13">
        <f t="shared" ref="N472" si="9635">+N471/I471-1</f>
        <v>-0.13307812985736078</v>
      </c>
      <c r="O472" s="13">
        <f t="shared" ref="O472" si="9636">+O471/J471-1</f>
        <v>-1.9944452772767129E-2</v>
      </c>
      <c r="P472" s="239">
        <f t="shared" ref="P472" si="9637">+P471/K471-1</f>
        <v>-0.13353964381222705</v>
      </c>
      <c r="Q472" s="13">
        <f>+Q471/L471-1</f>
        <v>-9.7975396409031967E-2</v>
      </c>
      <c r="R472" s="13">
        <f t="shared" ref="R472" si="9638">+R471/M471-1</f>
        <v>-8.5718690343921322E-2</v>
      </c>
      <c r="S472" s="13">
        <f t="shared" ref="S472" si="9639">+S471/N471-1</f>
        <v>-0.1555468370464691</v>
      </c>
      <c r="T472" s="13">
        <f t="shared" ref="T472" si="9640">+T471/O471-1</f>
        <v>-0.17943147964250239</v>
      </c>
      <c r="U472" s="239">
        <f t="shared" ref="U472" si="9641">+U471/P471-1</f>
        <v>-0.13261793174399883</v>
      </c>
      <c r="V472" s="13">
        <f>+V471/Q471-1</f>
        <v>-0.11102728975519538</v>
      </c>
      <c r="W472" s="13">
        <f t="shared" ref="W472" si="9642">+W471/R471-1</f>
        <v>-8.4134019833983387E-2</v>
      </c>
      <c r="X472" s="13">
        <f t="shared" ref="X472" si="9643">+X471/S471-1</f>
        <v>-6.0699294536146864E-2</v>
      </c>
      <c r="Y472" s="13">
        <f t="shared" ref="Y472" si="9644">+Y471/T471-1</f>
        <v>-7.8338599717545976E-2</v>
      </c>
      <c r="Z472" s="239">
        <f t="shared" ref="Z472" si="9645">+Z471/U471-1</f>
        <v>-8.3291332028588294E-2</v>
      </c>
      <c r="AA472" s="13">
        <f>+AA471/V471-1</f>
        <v>-0.12421725827877284</v>
      </c>
      <c r="AB472" s="13">
        <f t="shared" ref="AB472" si="9646">+AB471/W471-1</f>
        <v>-0.10377948241408452</v>
      </c>
      <c r="AC472" s="13">
        <f t="shared" ref="AC472" si="9647">+AC471/X471-1</f>
        <v>-0.12087871820111062</v>
      </c>
      <c r="AD472" s="13">
        <f t="shared" ref="AD472" si="9648">+AD471/Y471-1</f>
        <v>-0.13557298543397667</v>
      </c>
      <c r="AE472" s="239">
        <f t="shared" ref="AE472" si="9649">+AE471/Z471-1</f>
        <v>-0.12134503044082201</v>
      </c>
      <c r="AF472" s="13">
        <f>+AF471/AA471-1</f>
        <v>-0.11701095225256408</v>
      </c>
      <c r="AG472" s="13">
        <f t="shared" ref="AG472" si="9650">+AG471/AB471-1</f>
        <v>-0.11149531906370069</v>
      </c>
      <c r="AH472" s="13">
        <f t="shared" ref="AH472" si="9651">+AH471/AC471-1</f>
        <v>-9.7594045523182626E-2</v>
      </c>
      <c r="AI472" s="13">
        <f t="shared" ref="AI472" si="9652">+AI471/AD471-1</f>
        <v>-4.3991037099668562E-2</v>
      </c>
      <c r="AJ472" s="239">
        <f t="shared" ref="AJ472" si="9653">+AJ471/AE471-1</f>
        <v>-9.1191572091412931E-2</v>
      </c>
      <c r="AK472" s="13">
        <f>+AK471/AF471-1</f>
        <v>4.6689428789348231E-3</v>
      </c>
      <c r="AL472" s="13">
        <f t="shared" ref="AL472" si="9654">+AL471/AG471-1</f>
        <v>1.036785276501262E-2</v>
      </c>
      <c r="AM472" s="13">
        <f t="shared" ref="AM472" si="9655">+AM471/AH471-1</f>
        <v>1.0068308520880365E-2</v>
      </c>
      <c r="AN472" s="13">
        <f t="shared" ref="AN472" si="9656">+AN471/AI471-1</f>
        <v>5.6696446798119693E-2</v>
      </c>
      <c r="AO472" s="239">
        <f t="shared" ref="AO472" si="9657">+AO471/AJ471-1</f>
        <v>2.2536418218775278E-2</v>
      </c>
      <c r="AP472" s="13">
        <f>+AP471/AK471-1</f>
        <v>9.9348517985853757E-2</v>
      </c>
      <c r="AQ472" s="13">
        <f t="shared" ref="AQ472" si="9658">+AQ471/AL471-1</f>
        <v>7.8635448027170929E-2</v>
      </c>
      <c r="AR472" s="13">
        <f t="shared" ref="AR472" si="9659">+AR471/AM471-1</f>
        <v>0.12695106928681232</v>
      </c>
      <c r="AS472" s="13">
        <f t="shared" ref="AS472" si="9660">+AS471/AN471-1</f>
        <v>6.0281723092336481E-2</v>
      </c>
      <c r="AT472" s="239">
        <f t="shared" ref="AT472" si="9661">+AT471/AO471-1</f>
        <v>8.8669955686144997E-2</v>
      </c>
      <c r="AU472" s="13">
        <f>+AU471/AP471-1</f>
        <v>0.12135924254322839</v>
      </c>
      <c r="AV472" s="13">
        <f t="shared" ref="AV472" si="9662">+AV471/AQ471-1</f>
        <v>6.1391910675576256E-2</v>
      </c>
      <c r="AW472" s="13">
        <f t="shared" ref="AW472" si="9663">+AW471/AR471-1</f>
        <v>4.5202744271620743E-2</v>
      </c>
      <c r="AX472" s="13">
        <f t="shared" ref="AX472" si="9664">+AX471/AS471-1</f>
        <v>6.099167953782958E-2</v>
      </c>
      <c r="AY472" s="239">
        <f t="shared" ref="AY472" si="9665">+AY471/AT471-1</f>
        <v>7.017307421040675E-2</v>
      </c>
      <c r="AZ472" s="13">
        <f>+AZ471/AU471-1</f>
        <v>-8.5661089150573244E-2</v>
      </c>
      <c r="BA472" s="13">
        <f t="shared" ref="BA472" si="9666">+BA471/AV471-1</f>
        <v>-3.4930532620921717E-2</v>
      </c>
      <c r="BB472" s="13">
        <f t="shared" ref="BB472" si="9667">+BB471/AW471-1</f>
        <v>-7.9704926838067847E-2</v>
      </c>
      <c r="BC472" s="13">
        <f t="shared" ref="BC472:BH472" si="9668">+BC471/AX471-1</f>
        <v>-7.7781606322793739E-2</v>
      </c>
      <c r="BD472" s="239">
        <f t="shared" ref="BD472" si="9669">+BD471/AY471-1</f>
        <v>-6.9611083158319431E-2</v>
      </c>
      <c r="BE472" s="13">
        <f t="shared" si="9668"/>
        <v>6.629379258975554E-4</v>
      </c>
      <c r="BF472" s="13">
        <f t="shared" si="9668"/>
        <v>4.737062873035236E-2</v>
      </c>
      <c r="BG472" s="13">
        <f t="shared" si="9668"/>
        <v>7.3783018811270917E-2</v>
      </c>
      <c r="BH472" s="13">
        <f t="shared" si="9668"/>
        <v>7.0748146556020242E-2</v>
      </c>
      <c r="BI472" s="239">
        <f t="shared" ref="BI472" si="9670">+BI471/BD471-1</f>
        <v>4.8898851193546644E-2</v>
      </c>
      <c r="BJ472" s="118">
        <v>9.5000000000000001E-2</v>
      </c>
      <c r="BK472" s="118">
        <v>0.05</v>
      </c>
      <c r="BL472" s="118">
        <v>0.02</v>
      </c>
      <c r="BM472" s="118">
        <v>-0.05</v>
      </c>
      <c r="BN472" s="239">
        <f t="shared" ref="BN472" si="9671">+BN471/BI471-1</f>
        <v>2.5671111191683638E-2</v>
      </c>
      <c r="BO472" s="118">
        <v>-0.02</v>
      </c>
      <c r="BP472" s="118">
        <v>-0.02</v>
      </c>
      <c r="BQ472" s="118">
        <v>-0.02</v>
      </c>
      <c r="BR472" s="118">
        <v>-0.02</v>
      </c>
      <c r="BS472" s="239">
        <f t="shared" ref="BS472" si="9672">+BS471/BN471-1</f>
        <v>-1.987946183943623E-2</v>
      </c>
      <c r="BT472" s="118">
        <v>-0.01</v>
      </c>
      <c r="BU472" s="118">
        <v>-0.01</v>
      </c>
      <c r="BV472" s="118">
        <v>-0.01</v>
      </c>
      <c r="BW472" s="118">
        <v>-0.01</v>
      </c>
      <c r="BX472" s="239">
        <f t="shared" ref="BX472" si="9673">+BX471/BS471-1</f>
        <v>-9.9242197848908864E-3</v>
      </c>
      <c r="BY472" s="118">
        <v>0</v>
      </c>
      <c r="BZ472" s="118">
        <v>0</v>
      </c>
      <c r="CA472" s="118">
        <v>0</v>
      </c>
      <c r="CB472" s="118">
        <v>0</v>
      </c>
      <c r="CC472" s="239">
        <f t="shared" ref="CC472" si="9674">+CC471/BX471-1</f>
        <v>-2.7874335959410246E-6</v>
      </c>
      <c r="CD472" s="118">
        <v>0</v>
      </c>
      <c r="CE472" s="118">
        <v>0</v>
      </c>
      <c r="CF472" s="118">
        <v>0</v>
      </c>
      <c r="CG472" s="118">
        <v>0</v>
      </c>
      <c r="CH472" s="239">
        <f t="shared" ref="CH472" si="9675">+CH471/CC471-1</f>
        <v>2.2089333556740698E-5</v>
      </c>
      <c r="CI472" s="118">
        <v>0</v>
      </c>
      <c r="CJ472" s="118">
        <v>0</v>
      </c>
      <c r="CK472" s="118">
        <v>0</v>
      </c>
      <c r="CL472" s="118">
        <v>0</v>
      </c>
      <c r="CM472" s="239">
        <f t="shared" ref="CM472" si="9676">+CM471/CH471-1</f>
        <v>6.1291915916639184E-5</v>
      </c>
      <c r="CN472" s="118">
        <v>0</v>
      </c>
      <c r="CO472" s="118">
        <v>0</v>
      </c>
      <c r="CP472" s="118">
        <v>0</v>
      </c>
      <c r="CQ472" s="118">
        <v>0</v>
      </c>
      <c r="CR472" s="239">
        <f t="shared" ref="CR472" si="9677">+CR471/CM471-1</f>
        <v>1.8345345611736619E-5</v>
      </c>
      <c r="CS472" s="118">
        <v>0</v>
      </c>
      <c r="CT472" s="118">
        <v>0</v>
      </c>
      <c r="CU472" s="118">
        <v>0</v>
      </c>
      <c r="CV472" s="118">
        <v>0</v>
      </c>
      <c r="CW472" s="239">
        <f t="shared" ref="CW472" si="9678">+CW471/CR471-1</f>
        <v>1.0719313555895837E-5</v>
      </c>
      <c r="CX472" s="118">
        <v>0</v>
      </c>
      <c r="CY472" s="118">
        <v>0</v>
      </c>
      <c r="CZ472" s="118">
        <v>0</v>
      </c>
      <c r="DA472" s="118">
        <v>0</v>
      </c>
      <c r="DB472" s="239">
        <f t="shared" ref="DB472" si="9679">+DB471/CW471-1</f>
        <v>3.7197017360934836E-5</v>
      </c>
    </row>
    <row r="473" spans="1:106">
      <c r="F473" s="217"/>
      <c r="K473" s="217"/>
      <c r="P473" s="217"/>
      <c r="U473" s="217"/>
      <c r="Z473" s="217"/>
      <c r="AE473" s="217"/>
      <c r="AJ473" s="217"/>
      <c r="AO473" s="217"/>
      <c r="AT473" s="217"/>
      <c r="AY473" s="217"/>
      <c r="BD473" s="217"/>
      <c r="BI473" s="217"/>
      <c r="BN473" s="217"/>
      <c r="BS473" s="217"/>
      <c r="BX473" s="217"/>
      <c r="CC473" s="217"/>
      <c r="CH473" s="217"/>
      <c r="CM473" s="217"/>
      <c r="CR473" s="217"/>
      <c r="CW473" s="217"/>
      <c r="DB473" s="217"/>
    </row>
    <row r="474" spans="1:106" s="51" customFormat="1">
      <c r="A474" s="51" t="s">
        <v>387</v>
      </c>
      <c r="B474" s="135"/>
      <c r="C474" s="135"/>
      <c r="D474" s="135"/>
      <c r="E474" s="135"/>
      <c r="F474" s="216"/>
      <c r="G474" s="135">
        <f>+IS!G8</f>
        <v>24.843</v>
      </c>
      <c r="H474" s="135">
        <f>+IS!H8</f>
        <v>25.731999999999999</v>
      </c>
      <c r="I474" s="135">
        <f>+IS!I8</f>
        <v>30.456</v>
      </c>
      <c r="J474" s="135">
        <f>+IS!J8</f>
        <v>31.813999999999993</v>
      </c>
      <c r="K474" s="216">
        <f>+IS!K8</f>
        <v>112.845</v>
      </c>
      <c r="L474" s="135">
        <f>+IS!L8</f>
        <v>32.340000000000003</v>
      </c>
      <c r="M474" s="135">
        <f>+IS!M8</f>
        <v>30.972999999999999</v>
      </c>
      <c r="N474" s="135">
        <f>+IS!N8</f>
        <v>34.261000000000003</v>
      </c>
      <c r="O474" s="135">
        <f>+IS!O8</f>
        <v>38</v>
      </c>
      <c r="P474" s="216">
        <f>+IS!P8</f>
        <v>135.57400000000001</v>
      </c>
      <c r="Q474" s="135">
        <f>+IS!Q8</f>
        <v>33.700000000000003</v>
      </c>
      <c r="R474" s="135">
        <f>+IS!R8</f>
        <v>34.559000000000005</v>
      </c>
      <c r="S474" s="135">
        <f>+IS!S8</f>
        <v>34.612000000000002</v>
      </c>
      <c r="T474" s="135">
        <f>+IS!T8</f>
        <v>36.724999999999994</v>
      </c>
      <c r="U474" s="216">
        <f>+IS!U8</f>
        <v>139.596</v>
      </c>
      <c r="V474" s="135">
        <f>+IS!V8</f>
        <v>40.591999999999999</v>
      </c>
      <c r="W474" s="135">
        <f>+IS!W8</f>
        <v>40.994999999999997</v>
      </c>
      <c r="X474" s="135">
        <f>+IS!X8</f>
        <v>41.678999999999995</v>
      </c>
      <c r="Y474" s="135">
        <f>+IS!Y8</f>
        <v>42.788999999999987</v>
      </c>
      <c r="Z474" s="216">
        <f>+IS!Z8</f>
        <v>166.05499999999998</v>
      </c>
      <c r="AA474" s="135">
        <f>+IS!AA8</f>
        <v>43.302999999999997</v>
      </c>
      <c r="AB474" s="135">
        <f>+IS!AB8</f>
        <v>43.824999999999996</v>
      </c>
      <c r="AC474" s="135">
        <f>+IS!AC8</f>
        <v>43.879999999999995</v>
      </c>
      <c r="AD474" s="135">
        <f>+IS!AD8</f>
        <v>44.462000000000046</v>
      </c>
      <c r="AE474" s="216">
        <f>+IS!AE8</f>
        <v>175.47000000000003</v>
      </c>
      <c r="AF474" s="135">
        <f>+IS!AF8</f>
        <v>44.978000000000002</v>
      </c>
      <c r="AG474" s="135">
        <f>+IS!AG8</f>
        <v>46.939</v>
      </c>
      <c r="AH474" s="135">
        <f>+IS!AH8</f>
        <v>51.820999999999998</v>
      </c>
      <c r="AI474" s="135">
        <f>+IS!AI8</f>
        <v>59.882000000000005</v>
      </c>
      <c r="AJ474" s="216">
        <f>+IS!AJ8</f>
        <v>203.62</v>
      </c>
      <c r="AK474" s="135">
        <f>+IS!AK8</f>
        <v>66.813000000000002</v>
      </c>
      <c r="AL474" s="135">
        <f>+IS!AL8</f>
        <v>76.112000000000009</v>
      </c>
      <c r="AM474" s="135">
        <f>+IS!AM8</f>
        <v>81.370999999999995</v>
      </c>
      <c r="AN474" s="135">
        <f>+IS!AN8</f>
        <v>94.122000000000014</v>
      </c>
      <c r="AO474" s="216">
        <f>+IS!AO8</f>
        <v>318.41800000000001</v>
      </c>
      <c r="AP474" s="135">
        <f>+IS!AP8</f>
        <v>103.215</v>
      </c>
      <c r="AQ474" s="135">
        <f>+IS!AQ8</f>
        <v>109.23699999999999</v>
      </c>
      <c r="AR474" s="135">
        <f>+IS!AR8</f>
        <v>116.512</v>
      </c>
      <c r="AS474" s="135">
        <f>+IS!AS8</f>
        <v>127.29200000000003</v>
      </c>
      <c r="AT474" s="216">
        <f>+IS!AT8</f>
        <v>456.25600000000003</v>
      </c>
      <c r="AU474" s="135">
        <f>+IS!AU8</f>
        <v>148.124</v>
      </c>
      <c r="AV474" s="135">
        <f>+IS!AV8</f>
        <v>143.149</v>
      </c>
      <c r="AW474" s="135">
        <f>+IS!AW8</f>
        <v>147.31099999999998</v>
      </c>
      <c r="AX474" s="135">
        <f>+IS!AX8</f>
        <v>151.24700000000001</v>
      </c>
      <c r="AY474" s="216">
        <f>+IS!AY8</f>
        <v>589.83100000000002</v>
      </c>
      <c r="AZ474" s="135">
        <f>+IS!AZ8</f>
        <v>159.13999999999999</v>
      </c>
      <c r="BA474" s="135">
        <f>+IS!BA8</f>
        <v>170.179</v>
      </c>
      <c r="BB474" s="135">
        <f>+IS!BB8</f>
        <v>168.01100000000002</v>
      </c>
      <c r="BC474" s="135">
        <f>+IS!BC8</f>
        <v>176.42299999999994</v>
      </c>
      <c r="BD474" s="216">
        <f>+IS!BD8</f>
        <v>673.75299999999993</v>
      </c>
      <c r="BE474" s="135">
        <f>+IS!BE8</f>
        <v>185.065</v>
      </c>
      <c r="BF474" s="135">
        <f>+IS!BF8</f>
        <v>199.99600000000001</v>
      </c>
      <c r="BG474" s="135">
        <f>+IS!BG8</f>
        <v>207.80099999999999</v>
      </c>
      <c r="BH474" s="135">
        <f>+IS!BH8</f>
        <v>220.07099999999997</v>
      </c>
      <c r="BI474" s="233">
        <f>+BE474+BF474+BG474+BH474</f>
        <v>812.93299999999999</v>
      </c>
      <c r="BJ474" s="135">
        <f>+BJ468*BJ471/1000000</f>
        <v>230.4524032813018</v>
      </c>
      <c r="BK474" s="135">
        <f>+BK468*BK471/1000000</f>
        <v>239.65353598884548</v>
      </c>
      <c r="BL474" s="135">
        <f>+BL468*BL471/1000000</f>
        <v>237.52288554195738</v>
      </c>
      <c r="BM474" s="135">
        <f>+BM468*BM471/1000000</f>
        <v>234.83094620855519</v>
      </c>
      <c r="BN474" s="233">
        <f>+BJ474+BK474+BL474+BM474</f>
        <v>942.4597710206599</v>
      </c>
      <c r="BO474" s="135">
        <f>+BO468*BO471/1000000</f>
        <v>267.60621908543101</v>
      </c>
      <c r="BP474" s="135">
        <f>+BP468*BP471/1000000</f>
        <v>269.58173457394366</v>
      </c>
      <c r="BQ474" s="135">
        <f>+BQ468*BQ471/1000000</f>
        <v>270.51445792095626</v>
      </c>
      <c r="BR474" s="135">
        <f>+BR468*BR471/1000000</f>
        <v>261.80973852844573</v>
      </c>
      <c r="BS474" s="233">
        <f>+BO474+BP474+BQ474+BR474</f>
        <v>1069.5121501087767</v>
      </c>
      <c r="BT474" s="135">
        <f>+BT468*BT471/1000000</f>
        <v>294.20706867424644</v>
      </c>
      <c r="BU474" s="135">
        <f>+BU468*BU471/1000000</f>
        <v>299.97640773831387</v>
      </c>
      <c r="BV474" s="135">
        <f>+BV468*BV471/1000000</f>
        <v>298.35836099062965</v>
      </c>
      <c r="BW474" s="135">
        <f>+BW468*BW471/1000000</f>
        <v>289.00616284569253</v>
      </c>
      <c r="BX474" s="233">
        <f>+BT474+BU474+BV474+BW474</f>
        <v>1181.5480002488825</v>
      </c>
      <c r="BY474" s="135">
        <f>+BY468*BY471/1000000</f>
        <v>326.87002898985509</v>
      </c>
      <c r="BZ474" s="135">
        <f>+BZ468*BZ471/1000000</f>
        <v>331.20941737336545</v>
      </c>
      <c r="CA474" s="135">
        <f>+CA468*CA471/1000000</f>
        <v>331.2009420086078</v>
      </c>
      <c r="CB474" s="135">
        <f>+CB468*CB471/1000000</f>
        <v>319.36443817200336</v>
      </c>
      <c r="CC474" s="233">
        <f>+BY474+BZ474+CA474+CB474</f>
        <v>1308.6448265438316</v>
      </c>
      <c r="CD474" s="135">
        <f>+CD468*CD471/1000000</f>
        <v>359.35481757185221</v>
      </c>
      <c r="CE474" s="135">
        <f>+CE468*CE471/1000000</f>
        <v>365.13248135600924</v>
      </c>
      <c r="CF474" s="135">
        <f>+CF468*CF471/1000000</f>
        <v>364.02374566554045</v>
      </c>
      <c r="CG474" s="135">
        <f>+CG468*CG471/1000000</f>
        <v>351.26335952824275</v>
      </c>
      <c r="CH474" s="233">
        <f>+CD474+CE474+CF474+CG474</f>
        <v>1439.7744041216447</v>
      </c>
      <c r="CI474" s="135">
        <f>+CI468*CI471/1000000</f>
        <v>392.38467465413038</v>
      </c>
      <c r="CJ474" s="135">
        <f>+CJ468*CJ471/1000000</f>
        <v>398.34096692261261</v>
      </c>
      <c r="CK474" s="135">
        <f>+CK468*CK471/1000000</f>
        <v>395.83634214127176</v>
      </c>
      <c r="CL474" s="135">
        <f>+CL468*CL471/1000000</f>
        <v>381.01633276920955</v>
      </c>
      <c r="CM474" s="233">
        <f>+CI474+CJ474+CK474+CL474</f>
        <v>1567.5783164872244</v>
      </c>
      <c r="CN474" s="135">
        <f>+CN468*CN471/1000000</f>
        <v>424.05991844671337</v>
      </c>
      <c r="CO474" s="135">
        <f>+CO468*CO471/1000000</f>
        <v>430.91641183173761</v>
      </c>
      <c r="CP474" s="135">
        <f>+CP468*CP471/1000000</f>
        <v>427.59468854303196</v>
      </c>
      <c r="CQ474" s="135">
        <f>+CQ468*CQ471/1000000</f>
        <v>411.43563245753023</v>
      </c>
      <c r="CR474" s="233">
        <f>+CN474+CO474+CP474+CQ474</f>
        <v>1694.0066512790131</v>
      </c>
      <c r="CS474" s="135">
        <f>+CS468*CS471/1000000</f>
        <v>456.551239996221</v>
      </c>
      <c r="CT474" s="135">
        <f>+CT468*CT471/1000000</f>
        <v>464.40059613360489</v>
      </c>
      <c r="CU474" s="135">
        <f>+CU468*CU471/1000000</f>
        <v>460.4194760239605</v>
      </c>
      <c r="CV474" s="135">
        <f>+CV468*CV471/1000000</f>
        <v>442.93284261075326</v>
      </c>
      <c r="CW474" s="233">
        <f>+CS474+CT474+CU474+CV474</f>
        <v>1824.3041547645398</v>
      </c>
      <c r="CX474" s="135">
        <f>+CX468*CX471/1000000</f>
        <v>489.53371061119583</v>
      </c>
      <c r="CY474" s="135">
        <f>+CY468*CY471/1000000</f>
        <v>497.75608155253963</v>
      </c>
      <c r="CZ474" s="135">
        <f>+CZ468*CZ471/1000000</f>
        <v>492.44631494612094</v>
      </c>
      <c r="DA474" s="135">
        <f>+DA468*DA471/1000000</f>
        <v>473.08616508703983</v>
      </c>
      <c r="DB474" s="233">
        <f>+CX474+CY474+CZ474+DA474</f>
        <v>1952.8222721968964</v>
      </c>
    </row>
    <row r="475" spans="1:106">
      <c r="A475" s="117" t="s">
        <v>281</v>
      </c>
      <c r="F475" s="217"/>
      <c r="G475" s="119" t="s">
        <v>290</v>
      </c>
      <c r="H475" s="119" t="s">
        <v>290</v>
      </c>
      <c r="I475" s="119" t="s">
        <v>290</v>
      </c>
      <c r="J475" s="119" t="s">
        <v>290</v>
      </c>
      <c r="K475" s="235" t="s">
        <v>290</v>
      </c>
      <c r="L475" s="13">
        <f>+L474/G474-1</f>
        <v>0.30177514792899429</v>
      </c>
      <c r="M475" s="13">
        <f t="shared" ref="M475" si="9680">+M474/H474-1</f>
        <v>0.20367635628789049</v>
      </c>
      <c r="N475" s="13">
        <f t="shared" ref="N475" si="9681">+N474/I474-1</f>
        <v>0.12493433149461519</v>
      </c>
      <c r="O475" s="13">
        <f t="shared" ref="O475" si="9682">+O474/J474-1</f>
        <v>0.19444269818319015</v>
      </c>
      <c r="P475" s="239">
        <f t="shared" ref="P475" si="9683">+P474/K474-1</f>
        <v>0.20141787407505873</v>
      </c>
      <c r="Q475" s="13">
        <f>+Q474/L474-1</f>
        <v>4.2053184910327834E-2</v>
      </c>
      <c r="R475" s="13">
        <f t="shared" ref="R475" si="9684">+R474/M474-1</f>
        <v>0.11577825848319523</v>
      </c>
      <c r="S475" s="13">
        <f t="shared" ref="S475" si="9685">+S474/N474-1</f>
        <v>1.0244884854499148E-2</v>
      </c>
      <c r="T475" s="13">
        <f t="shared" ref="T475" si="9686">+T474/O474-1</f>
        <v>-3.35526315789475E-2</v>
      </c>
      <c r="U475" s="239">
        <f t="shared" ref="U475" si="9687">+U474/P474-1</f>
        <v>2.9666455220027421E-2</v>
      </c>
      <c r="V475" s="13">
        <f>+V474/Q474-1</f>
        <v>0.20451038575667635</v>
      </c>
      <c r="W475" s="13">
        <f t="shared" ref="W475" si="9688">+W474/R474-1</f>
        <v>0.18623224051621845</v>
      </c>
      <c r="X475" s="13">
        <f t="shared" ref="X475" si="9689">+X474/S474-1</f>
        <v>0.20417774182364479</v>
      </c>
      <c r="Y475" s="13">
        <f t="shared" ref="Y475" si="9690">+Y474/T474-1</f>
        <v>0.16511912865895151</v>
      </c>
      <c r="Z475" s="239">
        <f t="shared" ref="Z475" si="9691">+Z474/U474-1</f>
        <v>0.18953981489440941</v>
      </c>
      <c r="AA475" s="13">
        <f>+AA474/V474-1</f>
        <v>6.6786558927867556E-2</v>
      </c>
      <c r="AB475" s="13">
        <f t="shared" ref="AB475" si="9692">+AB474/W474-1</f>
        <v>6.9032808879131657E-2</v>
      </c>
      <c r="AC475" s="13">
        <f t="shared" ref="AC475" si="9693">+AC474/X474-1</f>
        <v>5.280836872285799E-2</v>
      </c>
      <c r="AD475" s="13">
        <f t="shared" ref="AD475" si="9694">+AD474/Y474-1</f>
        <v>3.9098833812429845E-2</v>
      </c>
      <c r="AE475" s="239">
        <f t="shared" ref="AE475" si="9695">+AE474/Z474-1</f>
        <v>5.6698081960796509E-2</v>
      </c>
      <c r="AF475" s="13">
        <f>+AF474/AA474-1</f>
        <v>3.8680922799806172E-2</v>
      </c>
      <c r="AG475" s="13">
        <f t="shared" ref="AG475" si="9696">+AG474/AB474-1</f>
        <v>7.1055333713633928E-2</v>
      </c>
      <c r="AH475" s="13">
        <f t="shared" ref="AH475" si="9697">+AH474/AC474-1</f>
        <v>0.1809708295350958</v>
      </c>
      <c r="AI475" s="13">
        <f t="shared" ref="AI475" si="9698">+AI474/AD474-1</f>
        <v>0.34681300886149846</v>
      </c>
      <c r="AJ475" s="239">
        <f t="shared" ref="AJ475" si="9699">+AJ474/AE474-1</f>
        <v>0.16042628369521839</v>
      </c>
      <c r="AK475" s="13">
        <f>+AK474/AF474-1</f>
        <v>0.48545955800613627</v>
      </c>
      <c r="AL475" s="13">
        <f t="shared" ref="AL475" si="9700">+AL474/AG474-1</f>
        <v>0.62150876669720301</v>
      </c>
      <c r="AM475" s="13">
        <f t="shared" ref="AM475" si="9701">+AM474/AH474-1</f>
        <v>0.57023214526929245</v>
      </c>
      <c r="AN475" s="13">
        <f t="shared" ref="AN475" si="9702">+AN474/AI474-1</f>
        <v>0.5717911893390335</v>
      </c>
      <c r="AO475" s="239">
        <f t="shared" ref="AO475" si="9703">+AO474/AJ474-1</f>
        <v>0.56378548276200768</v>
      </c>
      <c r="AP475" s="13">
        <f>+AP474/AK474-1</f>
        <v>0.54483408917426246</v>
      </c>
      <c r="AQ475" s="13">
        <f t="shared" ref="AQ475" si="9704">+AQ474/AL474-1</f>
        <v>0.43521389531217136</v>
      </c>
      <c r="AR475" s="13">
        <f t="shared" ref="AR475" si="9705">+AR474/AM474-1</f>
        <v>0.43186147398950503</v>
      </c>
      <c r="AS475" s="13">
        <f t="shared" ref="AS475" si="9706">+AS474/AN474-1</f>
        <v>0.35241495080852525</v>
      </c>
      <c r="AT475" s="239">
        <f t="shared" ref="AT475" si="9707">+AT474/AO474-1</f>
        <v>0.4328838193820701</v>
      </c>
      <c r="AU475" s="13">
        <f>+AU474/AP474-1</f>
        <v>0.43510148718693986</v>
      </c>
      <c r="AV475" s="13">
        <f t="shared" ref="AV475" si="9708">+AV474/AQ474-1</f>
        <v>0.31044426339060949</v>
      </c>
      <c r="AW475" s="13">
        <f t="shared" ref="AW475" si="9709">+AW474/AR474-1</f>
        <v>0.264341870365284</v>
      </c>
      <c r="AX475" s="13">
        <f t="shared" ref="AX475" si="9710">+AX474/AS474-1</f>
        <v>0.18818935989692975</v>
      </c>
      <c r="AY475" s="239">
        <f t="shared" ref="AY475" si="9711">+AY474/AT474-1</f>
        <v>0.29276327325010509</v>
      </c>
      <c r="AZ475" s="13">
        <f>+AZ474/AU474-1</f>
        <v>7.4370122329939781E-2</v>
      </c>
      <c r="BA475" s="13">
        <f t="shared" ref="BA475" si="9712">+BA474/AV474-1</f>
        <v>0.18882423209383226</v>
      </c>
      <c r="BB475" s="13">
        <f t="shared" ref="BB475" si="9713">+BB474/AW474-1</f>
        <v>0.14051903795371734</v>
      </c>
      <c r="BC475" s="13">
        <f t="shared" ref="BC475:BE475" si="9714">+BC474/AX474-1</f>
        <v>0.16645619417244584</v>
      </c>
      <c r="BD475" s="239">
        <f t="shared" ref="BD475" si="9715">+BD474/AY474-1</f>
        <v>0.14228143315627673</v>
      </c>
      <c r="BE475" s="13">
        <f t="shared" si="9714"/>
        <v>0.16290687445016983</v>
      </c>
      <c r="BF475" s="13">
        <f t="shared" ref="BF475:BG475" si="9716">+BF474/BA474-1</f>
        <v>0.17520963221078989</v>
      </c>
      <c r="BG475" s="13">
        <f t="shared" si="9716"/>
        <v>0.23682973138663521</v>
      </c>
      <c r="BH475" s="13">
        <f t="shared" ref="BH475" si="9717">+BH474/BC474-1</f>
        <v>0.24740538365179154</v>
      </c>
      <c r="BI475" s="239">
        <f t="shared" ref="BI475" si="9718">+BI474/BD474-1</f>
        <v>0.20657421933557263</v>
      </c>
      <c r="BJ475" s="13">
        <f>+BJ474/BE474-1</f>
        <v>0.24525114571259721</v>
      </c>
      <c r="BK475" s="13">
        <f t="shared" ref="BK475" si="9719">+BK474/BF474-1</f>
        <v>0.19829164577714287</v>
      </c>
      <c r="BL475" s="13">
        <f t="shared" ref="BL475" si="9720">+BL474/BG474-1</f>
        <v>0.14303052219169965</v>
      </c>
      <c r="BM475" s="13">
        <f t="shared" ref="BM475" si="9721">+BM474/BH474-1</f>
        <v>6.7069019582567613E-2</v>
      </c>
      <c r="BN475" s="239">
        <f t="shared" ref="BN475" si="9722">+BN474/BI474-1</f>
        <v>0.1593326522858094</v>
      </c>
      <c r="BO475" s="13">
        <f>+BO474/BJ474-1</f>
        <v>0.16122121216838603</v>
      </c>
      <c r="BP475" s="13">
        <f t="shared" ref="BP475" si="9723">+BP474/BK474-1</f>
        <v>0.12488110580805767</v>
      </c>
      <c r="BQ475" s="13">
        <f t="shared" ref="BQ475" si="9724">+BQ474/BL474-1</f>
        <v>0.13889849941710586</v>
      </c>
      <c r="BR475" s="13">
        <f t="shared" ref="BR475" si="9725">+BR474/BM474-1</f>
        <v>0.1148860180290312</v>
      </c>
      <c r="BS475" s="239">
        <f t="shared" ref="BS475" si="9726">+BS474/BN474-1</f>
        <v>0.13480933934243411</v>
      </c>
      <c r="BT475" s="13">
        <f>+BT474/BO474-1</f>
        <v>9.9402957374183254E-2</v>
      </c>
      <c r="BU475" s="13">
        <f t="shared" ref="BU475" si="9727">+BU474/BP474-1</f>
        <v>0.11274752428018542</v>
      </c>
      <c r="BV475" s="13">
        <f t="shared" ref="BV475" si="9728">+BV474/BQ474-1</f>
        <v>0.10292944518998426</v>
      </c>
      <c r="BW475" s="13">
        <f t="shared" ref="BW475" si="9729">+BW474/BR474-1</f>
        <v>0.10387858171399489</v>
      </c>
      <c r="BX475" s="239">
        <f t="shared" ref="BX475" si="9730">+BX474/BS474-1</f>
        <v>0.1047541630347173</v>
      </c>
      <c r="BY475" s="13">
        <f>+BY474/BT474-1</f>
        <v>0.11102031118012978</v>
      </c>
      <c r="BZ475" s="13">
        <f t="shared" ref="BZ475" si="9731">+BZ474/BU474-1</f>
        <v>0.10411822006448546</v>
      </c>
      <c r="CA475" s="13">
        <f t="shared" ref="CA475" si="9732">+CA474/BV474-1</f>
        <v>0.1100776291602219</v>
      </c>
      <c r="CB475" s="13">
        <f t="shared" ref="CB475" si="9733">+CB474/BW474-1</f>
        <v>0.10504369535718117</v>
      </c>
      <c r="CC475" s="239">
        <f t="shared" ref="CC475" si="9734">+CC474/BX474-1</f>
        <v>0.10756806009419617</v>
      </c>
      <c r="CD475" s="13">
        <f>+CD474/BY474-1</f>
        <v>9.9381361706323057E-2</v>
      </c>
      <c r="CE475" s="13">
        <f t="shared" ref="CE475" si="9735">+CE474/BZ474-1</f>
        <v>0.10242179782105354</v>
      </c>
      <c r="CF475" s="13">
        <f t="shared" ref="CF475" si="9736">+CF474/CA474-1</f>
        <v>9.9102386176424639E-2</v>
      </c>
      <c r="CG475" s="13">
        <f t="shared" ref="CG475" si="9737">+CG474/CB474-1</f>
        <v>9.9882508956927962E-2</v>
      </c>
      <c r="CH475" s="239">
        <f t="shared" ref="CH475" si="9738">+CH474/CC474-1</f>
        <v>0.1002025720944697</v>
      </c>
      <c r="CI475" s="13">
        <f>+CI474/CD474-1</f>
        <v>9.1914329423659069E-2</v>
      </c>
      <c r="CJ475" s="13">
        <f t="shared" ref="CJ475" si="9739">+CJ474/CE474-1</f>
        <v>9.0949141098801922E-2</v>
      </c>
      <c r="CK475" s="13">
        <f t="shared" ref="CK475" si="9740">+CK474/CF474-1</f>
        <v>8.7391542047809745E-2</v>
      </c>
      <c r="CL475" s="13">
        <f t="shared" ref="CL475" si="9741">+CL474/CG474-1</f>
        <v>8.4702752034615747E-2</v>
      </c>
      <c r="CM475" s="239">
        <f t="shared" ref="CM475" si="9742">+CM474/CH474-1</f>
        <v>8.876662343747399E-2</v>
      </c>
      <c r="CN475" s="13">
        <f>+CN474/CI474-1</f>
        <v>8.0724976887803557E-2</v>
      </c>
      <c r="CO475" s="13">
        <f t="shared" ref="CO475" si="9743">+CO474/CJ474-1</f>
        <v>8.1777792429402751E-2</v>
      </c>
      <c r="CP475" s="13">
        <f t="shared" ref="CP475" si="9744">+CP474/CK474-1</f>
        <v>8.023100211052836E-2</v>
      </c>
      <c r="CQ475" s="13">
        <f t="shared" ref="CQ475" si="9745">+CQ474/CL474-1</f>
        <v>7.9837259120191906E-2</v>
      </c>
      <c r="CR475" s="239">
        <f t="shared" ref="CR475" si="9746">+CR474/CM474-1</f>
        <v>8.0652005365257295E-2</v>
      </c>
      <c r="CS475" s="13">
        <f>+CS474/CN474-1</f>
        <v>7.6619647686864356E-2</v>
      </c>
      <c r="CT475" s="13">
        <f t="shared" ref="CT475" si="9747">+CT474/CO474-1</f>
        <v>7.7704592775969861E-2</v>
      </c>
      <c r="CU475" s="13">
        <f t="shared" ref="CU475" si="9748">+CU474/CP474-1</f>
        <v>7.676612539967298E-2</v>
      </c>
      <c r="CV475" s="13">
        <f t="shared" ref="CV475" si="9749">+CV474/CQ474-1</f>
        <v>7.6554405278629556E-2</v>
      </c>
      <c r="CW475" s="239">
        <f t="shared" ref="CW475" si="9750">+CW474/CR474-1</f>
        <v>7.6916760266052764E-2</v>
      </c>
      <c r="CX475" s="13">
        <f>+CX474/CS474-1</f>
        <v>7.2242648197051951E-2</v>
      </c>
      <c r="CY475" s="13">
        <f t="shared" ref="CY475" si="9751">+CY474/CT474-1</f>
        <v>7.1824811803942179E-2</v>
      </c>
      <c r="CZ475" s="13">
        <f t="shared" ref="CZ475" si="9752">+CZ474/CU474-1</f>
        <v>6.9560130685031529E-2</v>
      </c>
      <c r="DA475" s="13">
        <f t="shared" ref="DA475" si="9753">+DA474/CV474-1</f>
        <v>6.8076510873647633E-2</v>
      </c>
      <c r="DB475" s="239">
        <f t="shared" ref="DB475" si="9754">+DB474/CW474-1</f>
        <v>7.0447746937760014E-2</v>
      </c>
    </row>
    <row r="476" spans="1:106">
      <c r="F476" s="217"/>
      <c r="K476" s="217"/>
      <c r="P476" s="217"/>
      <c r="U476" s="217"/>
      <c r="Z476" s="217"/>
      <c r="AE476" s="217"/>
      <c r="AJ476" s="217"/>
      <c r="AO476" s="217"/>
      <c r="AT476" s="217"/>
      <c r="AY476" s="217"/>
      <c r="BD476" s="217"/>
      <c r="BI476" s="217"/>
      <c r="BN476" s="217"/>
      <c r="BS476" s="217"/>
      <c r="BX476" s="217"/>
      <c r="CC476" s="217"/>
      <c r="CH476" s="217"/>
      <c r="CM476" s="217"/>
      <c r="CR476" s="217"/>
      <c r="CW476" s="217"/>
      <c r="DB476" s="217"/>
    </row>
    <row r="477" spans="1:106">
      <c r="A477" s="12" t="s">
        <v>391</v>
      </c>
      <c r="F477" s="217"/>
      <c r="K477" s="217"/>
      <c r="P477" s="217"/>
      <c r="U477" s="217"/>
      <c r="Z477" s="217"/>
      <c r="AE477" s="217"/>
      <c r="AJ477" s="217"/>
      <c r="AO477" s="217"/>
      <c r="AT477" s="217"/>
      <c r="AU477" s="292">
        <v>-9.1999999999999993</v>
      </c>
      <c r="AV477" s="292">
        <f>-5.8-AU477</f>
        <v>3.3999999999999995</v>
      </c>
      <c r="AW477" s="292">
        <v>2.2000000000000002</v>
      </c>
      <c r="AX477" s="21">
        <f>AY477-SUM(AU477:AW477)</f>
        <v>8.8999999999999986</v>
      </c>
      <c r="AY477" s="293">
        <v>5.3</v>
      </c>
      <c r="AZ477" s="292">
        <v>33.700000000000003</v>
      </c>
      <c r="BA477" s="292">
        <v>39.9</v>
      </c>
      <c r="BB477" s="292">
        <v>34.5</v>
      </c>
      <c r="BC477" s="292">
        <v>43</v>
      </c>
      <c r="BD477" s="253">
        <f>+AZ477+BA477+BB477+BC477</f>
        <v>151.1</v>
      </c>
      <c r="BE477" s="292">
        <v>34.299999999999997</v>
      </c>
      <c r="BF477" s="292">
        <v>45.3</v>
      </c>
      <c r="BG477" s="292">
        <v>55</v>
      </c>
      <c r="BH477" s="132">
        <v>59.7</v>
      </c>
      <c r="BI477" s="215">
        <f>+BE477+BF477+BG477+BH477</f>
        <v>194.3</v>
      </c>
      <c r="BJ477" s="132">
        <v>0</v>
      </c>
      <c r="BK477" s="132">
        <v>0</v>
      </c>
      <c r="BL477" s="132">
        <v>0</v>
      </c>
      <c r="BM477" s="132">
        <v>0</v>
      </c>
      <c r="BN477" s="215">
        <f>+BJ477+BK477+BL477+BM477</f>
        <v>0</v>
      </c>
      <c r="BO477" s="132">
        <v>0</v>
      </c>
      <c r="BP477" s="132">
        <v>0</v>
      </c>
      <c r="BQ477" s="132">
        <v>0</v>
      </c>
      <c r="BR477" s="132">
        <v>0</v>
      </c>
      <c r="BS477" s="215">
        <f>+BO477+BP477+BQ477+BR477</f>
        <v>0</v>
      </c>
      <c r="BT477" s="132">
        <v>0</v>
      </c>
      <c r="BU477" s="132">
        <v>0</v>
      </c>
      <c r="BV477" s="132">
        <v>0</v>
      </c>
      <c r="BW477" s="132">
        <v>0</v>
      </c>
      <c r="BX477" s="215">
        <f>+BT477+BU477+BV477+BW477</f>
        <v>0</v>
      </c>
      <c r="BY477" s="132">
        <v>0</v>
      </c>
      <c r="BZ477" s="132">
        <v>0</v>
      </c>
      <c r="CA477" s="132">
        <v>0</v>
      </c>
      <c r="CB477" s="132">
        <v>0</v>
      </c>
      <c r="CC477" s="215">
        <f>+BY477+BZ477+CA477+CB477</f>
        <v>0</v>
      </c>
      <c r="CD477" s="132">
        <v>0</v>
      </c>
      <c r="CE477" s="132">
        <v>0</v>
      </c>
      <c r="CF477" s="132">
        <v>0</v>
      </c>
      <c r="CG477" s="132">
        <v>0</v>
      </c>
      <c r="CH477" s="215">
        <f>+CD477+CE477+CF477+CG477</f>
        <v>0</v>
      </c>
      <c r="CI477" s="132">
        <v>0</v>
      </c>
      <c r="CJ477" s="132">
        <v>0</v>
      </c>
      <c r="CK477" s="132">
        <v>0</v>
      </c>
      <c r="CL477" s="132">
        <v>0</v>
      </c>
      <c r="CM477" s="215">
        <f>+CI477+CJ477+CK477+CL477</f>
        <v>0</v>
      </c>
      <c r="CN477" s="132">
        <v>0</v>
      </c>
      <c r="CO477" s="132">
        <v>0</v>
      </c>
      <c r="CP477" s="132">
        <v>0</v>
      </c>
      <c r="CQ477" s="132">
        <v>0</v>
      </c>
      <c r="CR477" s="215">
        <f>+CN477+CO477+CP477+CQ477</f>
        <v>0</v>
      </c>
      <c r="CS477" s="132">
        <v>0</v>
      </c>
      <c r="CT477" s="132">
        <v>0</v>
      </c>
      <c r="CU477" s="132">
        <v>0</v>
      </c>
      <c r="CV477" s="132">
        <v>0</v>
      </c>
      <c r="CW477" s="215">
        <f>+CS477+CT477+CU477+CV477</f>
        <v>0</v>
      </c>
      <c r="CX477" s="132">
        <v>0</v>
      </c>
      <c r="CY477" s="132">
        <v>0</v>
      </c>
      <c r="CZ477" s="132">
        <v>0</v>
      </c>
      <c r="DA477" s="132">
        <v>0</v>
      </c>
      <c r="DB477" s="215">
        <f>+CX477+CY477+CZ477+DA477</f>
        <v>0</v>
      </c>
    </row>
    <row r="478" spans="1:106">
      <c r="F478" s="217"/>
      <c r="K478" s="217"/>
      <c r="P478" s="217"/>
      <c r="U478" s="217"/>
      <c r="Z478" s="217"/>
      <c r="AE478" s="217"/>
      <c r="AJ478" s="217"/>
      <c r="AO478" s="217"/>
      <c r="AT478" s="217"/>
      <c r="AU478" s="21"/>
      <c r="AV478" s="21"/>
      <c r="AW478" s="21"/>
      <c r="AX478" s="21"/>
      <c r="AY478" s="253"/>
      <c r="AZ478" s="21"/>
      <c r="BA478" s="21"/>
      <c r="BB478" s="21"/>
      <c r="BC478" s="21"/>
      <c r="BD478" s="253"/>
      <c r="BE478" s="21"/>
      <c r="BF478" s="132"/>
      <c r="BG478" s="132"/>
      <c r="BH478" s="132"/>
      <c r="BI478" s="215"/>
      <c r="BJ478" s="132"/>
      <c r="BK478" s="132"/>
      <c r="BL478" s="132"/>
      <c r="BM478" s="132"/>
      <c r="BN478" s="215"/>
      <c r="BO478" s="132"/>
      <c r="BP478" s="132"/>
      <c r="BQ478" s="132"/>
      <c r="BR478" s="132"/>
      <c r="BS478" s="215"/>
      <c r="BT478" s="132"/>
      <c r="BU478" s="132"/>
      <c r="BV478" s="132"/>
      <c r="BW478" s="132"/>
      <c r="BX478" s="215"/>
      <c r="BY478" s="132"/>
      <c r="BZ478" s="132"/>
      <c r="CA478" s="132"/>
      <c r="CB478" s="132"/>
      <c r="CC478" s="215"/>
      <c r="CD478" s="132"/>
      <c r="CE478" s="132"/>
      <c r="CF478" s="132"/>
      <c r="CG478" s="132"/>
      <c r="CH478" s="215"/>
      <c r="CI478" s="132"/>
      <c r="CJ478" s="132"/>
      <c r="CK478" s="132"/>
      <c r="CL478" s="132"/>
      <c r="CM478" s="215"/>
      <c r="CN478" s="132"/>
      <c r="CO478" s="132"/>
      <c r="CP478" s="132"/>
      <c r="CQ478" s="132"/>
      <c r="CR478" s="215"/>
      <c r="CS478" s="132"/>
      <c r="CT478" s="132"/>
      <c r="CU478" s="132"/>
      <c r="CV478" s="132"/>
      <c r="CW478" s="215"/>
      <c r="CX478" s="132"/>
      <c r="CY478" s="132"/>
      <c r="CZ478" s="132"/>
      <c r="DA478" s="132"/>
      <c r="DB478" s="215"/>
    </row>
    <row r="479" spans="1:106" s="51" customFormat="1">
      <c r="A479" s="51" t="s">
        <v>200</v>
      </c>
      <c r="F479" s="233"/>
      <c r="G479" s="135">
        <f t="shared" ref="G479:AX479" si="9755">+G17-G474</f>
        <v>22.592000000000002</v>
      </c>
      <c r="H479" s="135">
        <f t="shared" si="9755"/>
        <v>19.354999999999997</v>
      </c>
      <c r="I479" s="135">
        <f t="shared" si="9755"/>
        <v>14.465</v>
      </c>
      <c r="J479" s="135">
        <f t="shared" si="9755"/>
        <v>21.098000000000006</v>
      </c>
      <c r="K479" s="216">
        <f t="shared" si="9755"/>
        <v>77.510000000000019</v>
      </c>
      <c r="L479" s="135">
        <f t="shared" si="9755"/>
        <v>29.561999999999998</v>
      </c>
      <c r="M479" s="135">
        <f t="shared" si="9755"/>
        <v>21.011000000000003</v>
      </c>
      <c r="N479" s="135">
        <f t="shared" si="9755"/>
        <v>19.628</v>
      </c>
      <c r="O479" s="135">
        <f t="shared" si="9755"/>
        <v>11.298999999999999</v>
      </c>
      <c r="P479" s="216">
        <f t="shared" si="9755"/>
        <v>81.499999999999972</v>
      </c>
      <c r="Q479" s="135">
        <f t="shared" si="9755"/>
        <v>13.200999999999993</v>
      </c>
      <c r="R479" s="135">
        <f t="shared" si="9755"/>
        <v>19.058</v>
      </c>
      <c r="S479" s="135">
        <f t="shared" si="9755"/>
        <v>22.044000000000004</v>
      </c>
      <c r="T479" s="135">
        <f t="shared" si="9755"/>
        <v>17.040000000000006</v>
      </c>
      <c r="U479" s="216">
        <f t="shared" si="9755"/>
        <v>71.342999999999961</v>
      </c>
      <c r="V479" s="135">
        <f t="shared" si="9755"/>
        <v>21.747999999999998</v>
      </c>
      <c r="W479" s="135">
        <f t="shared" si="9755"/>
        <v>22.074000000000005</v>
      </c>
      <c r="X479" s="135">
        <f t="shared" si="9755"/>
        <v>23.601000000000006</v>
      </c>
      <c r="Y479" s="135">
        <f t="shared" si="9755"/>
        <v>24.176000000000016</v>
      </c>
      <c r="Z479" s="216">
        <f t="shared" si="9755"/>
        <v>91.599000000000018</v>
      </c>
      <c r="AA479" s="135">
        <f t="shared" si="9755"/>
        <v>23.521000000000001</v>
      </c>
      <c r="AB479" s="135">
        <f t="shared" si="9755"/>
        <v>30.530000000000008</v>
      </c>
      <c r="AC479" s="135">
        <f t="shared" si="9755"/>
        <v>34.029000000000011</v>
      </c>
      <c r="AD479" s="135">
        <f t="shared" si="9755"/>
        <v>38.777999999999949</v>
      </c>
      <c r="AE479" s="216">
        <f t="shared" si="9755"/>
        <v>126.85799999999995</v>
      </c>
      <c r="AF479" s="135">
        <f t="shared" si="9755"/>
        <v>49.033999999999999</v>
      </c>
      <c r="AG479" s="135">
        <f t="shared" si="9755"/>
        <v>39.533000000000008</v>
      </c>
      <c r="AH479" s="135">
        <f t="shared" si="9755"/>
        <v>46.322000000000003</v>
      </c>
      <c r="AI479" s="135">
        <f t="shared" si="9755"/>
        <v>52.495999999999995</v>
      </c>
      <c r="AJ479" s="216">
        <f t="shared" si="9755"/>
        <v>187.38499999999999</v>
      </c>
      <c r="AK479" s="135">
        <f t="shared" si="9755"/>
        <v>85.503</v>
      </c>
      <c r="AL479" s="135">
        <f t="shared" si="9755"/>
        <v>65.914000000000001</v>
      </c>
      <c r="AM479" s="135">
        <f t="shared" si="9755"/>
        <v>76.745000000000019</v>
      </c>
      <c r="AN479" s="135">
        <f t="shared" si="9755"/>
        <v>78.905999999999977</v>
      </c>
      <c r="AO479" s="216">
        <f t="shared" si="9755"/>
        <v>307.06799999999998</v>
      </c>
      <c r="AP479" s="135">
        <f t="shared" si="9755"/>
        <v>90.918000000000006</v>
      </c>
      <c r="AQ479" s="135">
        <f t="shared" si="9755"/>
        <v>88.962999999999994</v>
      </c>
      <c r="AR479" s="135">
        <f t="shared" si="9755"/>
        <v>94.125</v>
      </c>
      <c r="AS479" s="135">
        <f t="shared" si="9755"/>
        <v>89.95999999999998</v>
      </c>
      <c r="AT479" s="216">
        <f t="shared" si="9755"/>
        <v>363.96599999999995</v>
      </c>
      <c r="AU479" s="135">
        <f t="shared" si="9755"/>
        <v>93.632000000000005</v>
      </c>
      <c r="AV479" s="135">
        <f t="shared" si="9755"/>
        <v>118.255</v>
      </c>
      <c r="AW479" s="135">
        <f t="shared" si="9755"/>
        <v>120.99500000000006</v>
      </c>
      <c r="AX479" s="135">
        <f t="shared" si="9755"/>
        <v>159.85799999999995</v>
      </c>
      <c r="AY479" s="216">
        <f>+AY17-AY474+AY478</f>
        <v>492.7399999999999</v>
      </c>
      <c r="AZ479" s="135">
        <f t="shared" ref="AZ479:CE479" si="9756">+AZ17-AZ474</f>
        <v>208.60100000000006</v>
      </c>
      <c r="BA479" s="135">
        <f t="shared" si="9756"/>
        <v>243.172</v>
      </c>
      <c r="BB479" s="135">
        <f t="shared" si="9756"/>
        <v>271.74699999999996</v>
      </c>
      <c r="BC479" s="135">
        <f t="shared" si="9756"/>
        <v>299.63800000000009</v>
      </c>
      <c r="BD479" s="216">
        <f t="shared" si="9756"/>
        <v>1023.1580000000001</v>
      </c>
      <c r="BE479" s="135">
        <f t="shared" si="9756"/>
        <v>316.76499999999999</v>
      </c>
      <c r="BF479" s="135">
        <f t="shared" si="9756"/>
        <v>346.60400000000004</v>
      </c>
      <c r="BG479" s="135">
        <f t="shared" si="9756"/>
        <v>384.38200000000001</v>
      </c>
      <c r="BH479" s="135">
        <f t="shared" si="9756"/>
        <v>445.42900000000003</v>
      </c>
      <c r="BI479" s="216">
        <f t="shared" si="9756"/>
        <v>1493.1799999999998</v>
      </c>
      <c r="BJ479" s="135">
        <f t="shared" si="9756"/>
        <v>386.08046609487337</v>
      </c>
      <c r="BK479" s="135">
        <f t="shared" si="9756"/>
        <v>410.85428704996883</v>
      </c>
      <c r="BL479" s="135">
        <f t="shared" si="9756"/>
        <v>439.05888627426248</v>
      </c>
      <c r="BM479" s="135">
        <f t="shared" si="9756"/>
        <v>480.47592211796967</v>
      </c>
      <c r="BN479" s="216">
        <f t="shared" si="9756"/>
        <v>1716.4695615370747</v>
      </c>
      <c r="BO479" s="135">
        <f t="shared" si="9756"/>
        <v>494.54227418205653</v>
      </c>
      <c r="BP479" s="135">
        <f t="shared" si="9756"/>
        <v>493.48739325054567</v>
      </c>
      <c r="BQ479" s="135">
        <f t="shared" si="9756"/>
        <v>520.23594517840547</v>
      </c>
      <c r="BR479" s="135">
        <f t="shared" si="9756"/>
        <v>551.31447981605106</v>
      </c>
      <c r="BS479" s="216">
        <f t="shared" si="9756"/>
        <v>2059.5800924270579</v>
      </c>
      <c r="BT479" s="135">
        <f t="shared" si="9756"/>
        <v>582.69326420814605</v>
      </c>
      <c r="BU479" s="135">
        <f t="shared" si="9756"/>
        <v>586.0753518561371</v>
      </c>
      <c r="BV479" s="135">
        <f t="shared" si="9756"/>
        <v>615.28022838128993</v>
      </c>
      <c r="BW479" s="135">
        <f t="shared" si="9756"/>
        <v>651.57562021268859</v>
      </c>
      <c r="BX479" s="216">
        <f t="shared" si="9756"/>
        <v>2435.6244646582618</v>
      </c>
      <c r="BY479" s="135">
        <f t="shared" si="9756"/>
        <v>685.95002003273896</v>
      </c>
      <c r="BZ479" s="135">
        <f t="shared" si="9756"/>
        <v>685.68034588134697</v>
      </c>
      <c r="CA479" s="135">
        <f t="shared" si="9756"/>
        <v>720.31542586405976</v>
      </c>
      <c r="CB479" s="135">
        <f t="shared" si="9756"/>
        <v>757.24127964353295</v>
      </c>
      <c r="CC479" s="216">
        <f t="shared" si="9756"/>
        <v>2849.1870714216789</v>
      </c>
      <c r="CD479" s="135">
        <f t="shared" si="9756"/>
        <v>795.68118211416595</v>
      </c>
      <c r="CE479" s="135">
        <f t="shared" si="9756"/>
        <v>796.68253521357815</v>
      </c>
      <c r="CF479" s="135">
        <f t="shared" ref="CF479:DB479" si="9757">+CF17-CF474</f>
        <v>832.69260557688767</v>
      </c>
      <c r="CG479" s="135">
        <f t="shared" si="9757"/>
        <v>874.24140319008234</v>
      </c>
      <c r="CH479" s="216">
        <f t="shared" si="9757"/>
        <v>3299.2977260947146</v>
      </c>
      <c r="CI479" s="135">
        <f t="shared" si="9757"/>
        <v>906.01568854942138</v>
      </c>
      <c r="CJ479" s="135">
        <f t="shared" si="9757"/>
        <v>902.68784143137032</v>
      </c>
      <c r="CK479" s="135">
        <f t="shared" si="9757"/>
        <v>936.99841630172443</v>
      </c>
      <c r="CL479" s="135">
        <f t="shared" si="9757"/>
        <v>977.41005777448299</v>
      </c>
      <c r="CM479" s="216">
        <f t="shared" si="9757"/>
        <v>3723.1120040569986</v>
      </c>
      <c r="CN479" s="135">
        <f t="shared" si="9757"/>
        <v>1011.2647124964625</v>
      </c>
      <c r="CO479" s="135">
        <f t="shared" si="9757"/>
        <v>1007.0373169830061</v>
      </c>
      <c r="CP479" s="135">
        <f t="shared" si="9757"/>
        <v>1043.044060840831</v>
      </c>
      <c r="CQ479" s="135">
        <f t="shared" si="9757"/>
        <v>1085.7749306545688</v>
      </c>
      <c r="CR479" s="216">
        <f t="shared" si="9757"/>
        <v>4147.1210209748679</v>
      </c>
      <c r="CS479" s="135">
        <f t="shared" si="9757"/>
        <v>1122.3984239058054</v>
      </c>
      <c r="CT479" s="135">
        <f t="shared" si="9757"/>
        <v>1117.8795424310867</v>
      </c>
      <c r="CU479" s="135">
        <f t="shared" si="9757"/>
        <v>1156.368596680285</v>
      </c>
      <c r="CV479" s="135">
        <f t="shared" si="9757"/>
        <v>1202.1294061845547</v>
      </c>
      <c r="CW479" s="216">
        <f t="shared" si="9757"/>
        <v>4598.7759692017316</v>
      </c>
      <c r="CX479" s="135">
        <f t="shared" si="9757"/>
        <v>1228.0180296317433</v>
      </c>
      <c r="CY479" s="135">
        <f t="shared" si="9757"/>
        <v>1219.3105934559471</v>
      </c>
      <c r="CZ479" s="135">
        <f t="shared" si="9757"/>
        <v>1256.2992937108895</v>
      </c>
      <c r="DA479" s="135">
        <f t="shared" si="9757"/>
        <v>1301.1138319629395</v>
      </c>
      <c r="DB479" s="216">
        <f t="shared" si="9757"/>
        <v>5004.7417487615203</v>
      </c>
    </row>
    <row r="480" spans="1:106">
      <c r="A480" s="159" t="s">
        <v>389</v>
      </c>
      <c r="F480" s="217"/>
      <c r="G480" s="13">
        <f t="shared" ref="G480:AL480" si="9758">+G479/G17</f>
        <v>0.4762727943501634</v>
      </c>
      <c r="H480" s="13">
        <f t="shared" si="9758"/>
        <v>0.42928116752057133</v>
      </c>
      <c r="I480" s="13">
        <f t="shared" si="9758"/>
        <v>0.32200975045079139</v>
      </c>
      <c r="J480" s="13">
        <f t="shared" si="9758"/>
        <v>0.39873752645902644</v>
      </c>
      <c r="K480" s="239">
        <f t="shared" si="9758"/>
        <v>0.40718657245672568</v>
      </c>
      <c r="L480" s="13">
        <f t="shared" si="9758"/>
        <v>0.47756130658137053</v>
      </c>
      <c r="M480" s="13">
        <f t="shared" si="9758"/>
        <v>0.40418205601723611</v>
      </c>
      <c r="N480" s="13">
        <f t="shared" si="9758"/>
        <v>0.3642301768449962</v>
      </c>
      <c r="O480" s="13">
        <f t="shared" si="9758"/>
        <v>0.22919328992474491</v>
      </c>
      <c r="P480" s="239">
        <f t="shared" si="9758"/>
        <v>0.37544800390650185</v>
      </c>
      <c r="Q480" s="13">
        <f t="shared" si="9758"/>
        <v>0.28146521396132268</v>
      </c>
      <c r="R480" s="13">
        <f t="shared" si="9758"/>
        <v>0.35544696644720886</v>
      </c>
      <c r="S480" s="13">
        <f t="shared" si="9758"/>
        <v>0.38908500423609155</v>
      </c>
      <c r="T480" s="13">
        <f t="shared" si="9758"/>
        <v>0.31693480889054226</v>
      </c>
      <c r="U480" s="239">
        <f t="shared" si="9758"/>
        <v>0.33821626157325091</v>
      </c>
      <c r="V480" s="13">
        <f t="shared" si="9758"/>
        <v>0.34886108437600255</v>
      </c>
      <c r="W480" s="13">
        <f t="shared" si="9758"/>
        <v>0.34999762165247594</v>
      </c>
      <c r="X480" s="13">
        <f t="shared" si="9758"/>
        <v>0.36153492647058832</v>
      </c>
      <c r="Y480" s="13">
        <f t="shared" si="9758"/>
        <v>0.36102441573956567</v>
      </c>
      <c r="Z480" s="239">
        <f t="shared" si="9758"/>
        <v>0.35551165516545452</v>
      </c>
      <c r="AA480" s="13">
        <f t="shared" si="9758"/>
        <v>0.35198431701185207</v>
      </c>
      <c r="AB480" s="13">
        <f t="shared" si="9758"/>
        <v>0.41059780781386601</v>
      </c>
      <c r="AC480" s="13">
        <f t="shared" si="9758"/>
        <v>0.43677880604294766</v>
      </c>
      <c r="AD480" s="13">
        <f t="shared" si="9758"/>
        <v>0.46585776069197443</v>
      </c>
      <c r="AE480" s="239">
        <f t="shared" si="9758"/>
        <v>0.41960387393823911</v>
      </c>
      <c r="AF480" s="13">
        <f t="shared" si="9758"/>
        <v>0.52157171424924476</v>
      </c>
      <c r="AG480" s="13">
        <f t="shared" si="9758"/>
        <v>0.45717688962901293</v>
      </c>
      <c r="AH480" s="13">
        <f t="shared" si="9758"/>
        <v>0.47198475693630726</v>
      </c>
      <c r="AI480" s="13">
        <f t="shared" si="9758"/>
        <v>0.46713769599031835</v>
      </c>
      <c r="AJ480" s="239">
        <f t="shared" si="9758"/>
        <v>0.47923939591565323</v>
      </c>
      <c r="AK480" s="13">
        <f t="shared" si="9758"/>
        <v>0.5613527140943827</v>
      </c>
      <c r="AL480" s="13">
        <f t="shared" si="9758"/>
        <v>0.46409812287890945</v>
      </c>
      <c r="AM480" s="13">
        <f t="shared" ref="AM480:BR480" si="9759">+AM479/AM17</f>
        <v>0.48537149940549984</v>
      </c>
      <c r="AN480" s="13">
        <f t="shared" si="9759"/>
        <v>0.45603023788057412</v>
      </c>
      <c r="AO480" s="239">
        <f t="shared" si="9759"/>
        <v>0.49092705512193718</v>
      </c>
      <c r="AP480" s="13">
        <f t="shared" si="9759"/>
        <v>0.46832841402543618</v>
      </c>
      <c r="AQ480" s="13">
        <f t="shared" si="9759"/>
        <v>0.44885469223007063</v>
      </c>
      <c r="AR480" s="13">
        <f t="shared" si="9759"/>
        <v>0.44685881397855076</v>
      </c>
      <c r="AS480" s="13">
        <f t="shared" si="9759"/>
        <v>0.4140813433248024</v>
      </c>
      <c r="AT480" s="239">
        <f t="shared" si="9759"/>
        <v>0.44374084089429444</v>
      </c>
      <c r="AU480" s="13">
        <f t="shared" si="9759"/>
        <v>0.38729959132348318</v>
      </c>
      <c r="AV480" s="13">
        <f t="shared" si="9759"/>
        <v>0.45238404921118269</v>
      </c>
      <c r="AW480" s="13">
        <f t="shared" si="9759"/>
        <v>0.45095897967246368</v>
      </c>
      <c r="AX480" s="13">
        <f t="shared" si="9759"/>
        <v>0.51383937898780141</v>
      </c>
      <c r="AY480" s="239">
        <f t="shared" si="9759"/>
        <v>0.4551572137069993</v>
      </c>
      <c r="AZ480" s="13">
        <f t="shared" si="9759"/>
        <v>0.56724977633715046</v>
      </c>
      <c r="BA480" s="13">
        <f t="shared" si="9759"/>
        <v>0.58829421000554005</v>
      </c>
      <c r="BB480" s="13">
        <f t="shared" si="9759"/>
        <v>0.61794668886069148</v>
      </c>
      <c r="BC480" s="13">
        <f t="shared" si="9759"/>
        <v>0.62941093683372529</v>
      </c>
      <c r="BD480" s="239">
        <f t="shared" si="9759"/>
        <v>0.60295324857933041</v>
      </c>
      <c r="BE480" s="13">
        <f t="shared" si="9759"/>
        <v>0.63121973576709245</v>
      </c>
      <c r="BF480" s="13">
        <f t="shared" si="9759"/>
        <v>0.63410903768752291</v>
      </c>
      <c r="BG480" s="13">
        <f t="shared" si="9759"/>
        <v>0.649093270154665</v>
      </c>
      <c r="BH480" s="13">
        <f t="shared" si="9759"/>
        <v>0.6693148009015778</v>
      </c>
      <c r="BI480" s="239">
        <f t="shared" si="9759"/>
        <v>0.64748778572429011</v>
      </c>
      <c r="BJ480" s="13">
        <f t="shared" si="9759"/>
        <v>0.62621229989817107</v>
      </c>
      <c r="BK480" s="13">
        <f t="shared" si="9759"/>
        <v>0.63159007854922311</v>
      </c>
      <c r="BL480" s="13">
        <f t="shared" si="9759"/>
        <v>0.64893691282230437</v>
      </c>
      <c r="BM480" s="13">
        <f t="shared" si="9759"/>
        <v>0.67170600953693205</v>
      </c>
      <c r="BN480" s="239">
        <f t="shared" si="9759"/>
        <v>0.64554914661305851</v>
      </c>
      <c r="BO480" s="13">
        <f t="shared" si="9759"/>
        <v>0.64887916009890934</v>
      </c>
      <c r="BP480" s="13">
        <f t="shared" si="9759"/>
        <v>0.646713875920362</v>
      </c>
      <c r="BQ480" s="13">
        <f t="shared" si="9759"/>
        <v>0.65790158707391166</v>
      </c>
      <c r="BR480" s="13">
        <f t="shared" si="9759"/>
        <v>0.67801999667223711</v>
      </c>
      <c r="BS480" s="239">
        <f t="shared" ref="BS480:CX480" si="9760">+BS479/BS17</f>
        <v>0.65820370023926233</v>
      </c>
      <c r="BT480" s="13">
        <f t="shared" si="9760"/>
        <v>0.66449200936304731</v>
      </c>
      <c r="BU480" s="13">
        <f t="shared" si="9760"/>
        <v>0.66144595449410981</v>
      </c>
      <c r="BV480" s="13">
        <f t="shared" si="9760"/>
        <v>0.67343940540456382</v>
      </c>
      <c r="BW480" s="13">
        <f t="shared" si="9760"/>
        <v>0.69273680603725429</v>
      </c>
      <c r="BX480" s="239">
        <f t="shared" si="9760"/>
        <v>0.67335038300994754</v>
      </c>
      <c r="BY480" s="13">
        <f t="shared" si="9760"/>
        <v>0.67726741852583205</v>
      </c>
      <c r="BZ480" s="13">
        <f t="shared" si="9760"/>
        <v>0.67429171839307467</v>
      </c>
      <c r="CA480" s="13">
        <f t="shared" si="9760"/>
        <v>0.68502540509315746</v>
      </c>
      <c r="CB480" s="13">
        <f t="shared" si="9760"/>
        <v>0.70335989035985902</v>
      </c>
      <c r="CC480" s="239">
        <f t="shared" si="9760"/>
        <v>0.6852578799099186</v>
      </c>
      <c r="CD480" s="13">
        <f t="shared" si="9760"/>
        <v>0.68887998497922298</v>
      </c>
      <c r="CE480" s="13">
        <f t="shared" si="9760"/>
        <v>0.68572236014463706</v>
      </c>
      <c r="CF480" s="13">
        <f t="shared" si="9760"/>
        <v>0.69581451336600197</v>
      </c>
      <c r="CG480" s="13">
        <f t="shared" si="9760"/>
        <v>0.71337250558774168</v>
      </c>
      <c r="CH480" s="239">
        <f t="shared" si="9760"/>
        <v>0.69619065408571601</v>
      </c>
      <c r="CI480" s="13">
        <f t="shared" si="9760"/>
        <v>0.69779377318872815</v>
      </c>
      <c r="CJ480" s="13">
        <f t="shared" si="9760"/>
        <v>0.693826174820387</v>
      </c>
      <c r="CK480" s="13">
        <f t="shared" si="9760"/>
        <v>0.70301169020855692</v>
      </c>
      <c r="CL480" s="13">
        <f t="shared" si="9760"/>
        <v>0.71951639380569399</v>
      </c>
      <c r="CM480" s="239">
        <f t="shared" si="9760"/>
        <v>0.70371006021649429</v>
      </c>
      <c r="CN480" s="13">
        <f t="shared" si="9760"/>
        <v>0.70455469842522211</v>
      </c>
      <c r="CO480" s="13">
        <f t="shared" si="9760"/>
        <v>0.70032664946254752</v>
      </c>
      <c r="CP480" s="13">
        <f t="shared" si="9760"/>
        <v>0.70924559908259155</v>
      </c>
      <c r="CQ480" s="13">
        <f t="shared" si="9760"/>
        <v>0.72519855082886875</v>
      </c>
      <c r="CR480" s="239">
        <f t="shared" si="9760"/>
        <v>0.70998636798750925</v>
      </c>
      <c r="CS480" s="13">
        <f t="shared" si="9760"/>
        <v>0.71085130170143918</v>
      </c>
      <c r="CT480" s="13">
        <f t="shared" si="9760"/>
        <v>0.70649913070711412</v>
      </c>
      <c r="CU480" s="13">
        <f t="shared" si="9760"/>
        <v>0.71522583336858669</v>
      </c>
      <c r="CV480" s="13">
        <f t="shared" si="9760"/>
        <v>0.73075010204925894</v>
      </c>
      <c r="CW480" s="239">
        <f t="shared" si="9760"/>
        <v>0.71597674020014768</v>
      </c>
      <c r="CX480" s="13">
        <f t="shared" si="9760"/>
        <v>0.71498168052745026</v>
      </c>
      <c r="CY480" s="13">
        <f t="shared" ref="CY480:DB480" si="9761">+CY479/CY17</f>
        <v>0.7101125490365251</v>
      </c>
      <c r="CZ480" s="13">
        <f t="shared" si="9761"/>
        <v>0.71840025644192673</v>
      </c>
      <c r="DA480" s="13">
        <f t="shared" si="9761"/>
        <v>0.73335240340792707</v>
      </c>
      <c r="DB480" s="239">
        <f t="shared" si="9761"/>
        <v>0.71932385152125533</v>
      </c>
    </row>
    <row r="481" spans="1:106">
      <c r="A481" s="159" t="s">
        <v>469</v>
      </c>
      <c r="F481" s="217"/>
      <c r="G481" s="119" t="s">
        <v>326</v>
      </c>
      <c r="H481" s="119" t="s">
        <v>326</v>
      </c>
      <c r="I481" s="119" t="s">
        <v>326</v>
      </c>
      <c r="J481" s="119" t="s">
        <v>326</v>
      </c>
      <c r="K481" s="235" t="s">
        <v>326</v>
      </c>
      <c r="L481" s="133">
        <f>+(L480-G480)*1000</f>
        <v>1.2885122312071284</v>
      </c>
      <c r="M481" s="133">
        <f t="shared" ref="M481:P481" si="9762">+(M480-H480)*1000</f>
        <v>-25.099111503335216</v>
      </c>
      <c r="N481" s="133">
        <f t="shared" si="9762"/>
        <v>42.220426394204814</v>
      </c>
      <c r="O481" s="133">
        <f t="shared" si="9762"/>
        <v>-169.54423653428151</v>
      </c>
      <c r="P481" s="247">
        <f t="shared" si="9762"/>
        <v>-31.738568550223832</v>
      </c>
      <c r="Q481" s="133">
        <f>+(Q480-L480)*1000</f>
        <v>-196.09609262004784</v>
      </c>
      <c r="R481" s="133">
        <f t="shared" ref="R481" si="9763">+(R480-M480)*1000</f>
        <v>-48.735089570027256</v>
      </c>
      <c r="S481" s="133">
        <f t="shared" ref="S481" si="9764">+(S480-N480)*1000</f>
        <v>24.854827391095348</v>
      </c>
      <c r="T481" s="133">
        <f t="shared" ref="T481" si="9765">+(T480-O480)*1000</f>
        <v>87.741518965797354</v>
      </c>
      <c r="U481" s="247">
        <f t="shared" ref="U481" si="9766">+(U480-P480)*1000</f>
        <v>-37.231742333250942</v>
      </c>
      <c r="V481" s="133">
        <f>+(V480-Q480)*1000</f>
        <v>67.395870414679877</v>
      </c>
      <c r="W481" s="133">
        <f t="shared" ref="W481" si="9767">+(W480-R480)*1000</f>
        <v>-5.4493447947329132</v>
      </c>
      <c r="X481" s="133">
        <f t="shared" ref="X481" si="9768">+(X480-S480)*1000</f>
        <v>-27.550077765503222</v>
      </c>
      <c r="Y481" s="133">
        <f t="shared" ref="Y481" si="9769">+(Y480-T480)*1000</f>
        <v>44.089606849023411</v>
      </c>
      <c r="Z481" s="247">
        <f t="shared" ref="Z481" si="9770">+(Z480-U480)*1000</f>
        <v>17.295393592203613</v>
      </c>
      <c r="AA481" s="133">
        <f>+(AA480-V480)*1000</f>
        <v>3.1232326358495155</v>
      </c>
      <c r="AB481" s="133">
        <f t="shared" ref="AB481" si="9771">+(AB480-W480)*1000</f>
        <v>60.60018616139007</v>
      </c>
      <c r="AC481" s="133">
        <f t="shared" ref="AC481" si="9772">+(AC480-X480)*1000</f>
        <v>75.243879572359333</v>
      </c>
      <c r="AD481" s="133">
        <f t="shared" ref="AD481" si="9773">+(AD480-Y480)*1000</f>
        <v>104.83334495240875</v>
      </c>
      <c r="AE481" s="247">
        <f t="shared" ref="AE481" si="9774">+(AE480-Z480)*1000</f>
        <v>64.092218772784591</v>
      </c>
      <c r="AF481" s="133">
        <f>+(AF480-AA480)*1000</f>
        <v>169.58739723739268</v>
      </c>
      <c r="AG481" s="133">
        <f t="shared" ref="AG481" si="9775">+(AG480-AB480)*1000</f>
        <v>46.579081815146914</v>
      </c>
      <c r="AH481" s="133">
        <f t="shared" ref="AH481" si="9776">+(AH480-AC480)*1000</f>
        <v>35.205950893359592</v>
      </c>
      <c r="AI481" s="133">
        <f t="shared" ref="AI481" si="9777">+(AI480-AD480)*1000</f>
        <v>1.279935298343915</v>
      </c>
      <c r="AJ481" s="247">
        <f t="shared" ref="AJ481" si="9778">+(AJ480-AE480)*1000</f>
        <v>59.635521977414122</v>
      </c>
      <c r="AK481" s="133">
        <f>+(AK480-AF480)*1000</f>
        <v>39.780999845137941</v>
      </c>
      <c r="AL481" s="133">
        <f t="shared" ref="AL481" si="9779">+(AL480-AG480)*1000</f>
        <v>6.9212332498965186</v>
      </c>
      <c r="AM481" s="133">
        <f t="shared" ref="AM481" si="9780">+(AM480-AH480)*1000</f>
        <v>13.38674246919258</v>
      </c>
      <c r="AN481" s="133">
        <f t="shared" ref="AN481" si="9781">+(AN480-AI480)*1000</f>
        <v>-11.107458109744229</v>
      </c>
      <c r="AO481" s="247">
        <f t="shared" ref="AO481" si="9782">+(AO480-AJ480)*1000</f>
        <v>11.687659206283952</v>
      </c>
      <c r="AP481" s="133">
        <f>+(AP480-AK480)*1000</f>
        <v>-93.024300068946516</v>
      </c>
      <c r="AQ481" s="133">
        <f t="shared" ref="AQ481" si="9783">+(AQ480-AL480)*1000</f>
        <v>-15.243430648838817</v>
      </c>
      <c r="AR481" s="133">
        <f t="shared" ref="AR481" si="9784">+(AR480-AM480)*1000</f>
        <v>-38.512685426949076</v>
      </c>
      <c r="AS481" s="133">
        <f t="shared" ref="AS481" si="9785">+(AS480-AN480)*1000</f>
        <v>-41.948894555771723</v>
      </c>
      <c r="AT481" s="247">
        <f t="shared" ref="AT481" si="9786">+(AT480-AO480)*1000</f>
        <v>-47.186214227642743</v>
      </c>
      <c r="AU481" s="133">
        <f>+(AU480-AP480)*1000</f>
        <v>-81.02882270195299</v>
      </c>
      <c r="AV481" s="133">
        <f t="shared" ref="AV481" si="9787">+(AV480-AQ480)*1000</f>
        <v>3.529356981112064</v>
      </c>
      <c r="AW481" s="133">
        <f t="shared" ref="AW481" si="9788">+(AW480-AR480)*1000</f>
        <v>4.1001656939129161</v>
      </c>
      <c r="AX481" s="133">
        <f t="shared" ref="AX481" si="9789">+(AX480-AS480)*1000</f>
        <v>99.758035662999006</v>
      </c>
      <c r="AY481" s="247">
        <f t="shared" ref="AY481" si="9790">+(AY480-AT480)*1000</f>
        <v>11.416372812704855</v>
      </c>
      <c r="AZ481" s="133">
        <f>+(AZ480-AU480)*1000</f>
        <v>179.95018501366727</v>
      </c>
      <c r="BA481" s="133">
        <f t="shared" ref="BA481" si="9791">+(BA480-AV480)*1000</f>
        <v>135.91016079435735</v>
      </c>
      <c r="BB481" s="133">
        <f t="shared" ref="BB481" si="9792">+(BB480-AW480)*1000</f>
        <v>166.9877091882278</v>
      </c>
      <c r="BC481" s="133">
        <f t="shared" ref="BC481" si="9793">+(BC480-AX480)*1000</f>
        <v>115.57155784592388</v>
      </c>
      <c r="BD481" s="247">
        <f t="shared" ref="BD481" si="9794">+(BD480-AY480)*1000</f>
        <v>147.79603487233112</v>
      </c>
      <c r="BE481" s="133">
        <f>+(BE480-AZ480)*1000</f>
        <v>63.969959429941994</v>
      </c>
      <c r="BF481" s="133">
        <f t="shared" ref="BF481" si="9795">+(BF480-BA480)*1000</f>
        <v>45.814827681982862</v>
      </c>
      <c r="BG481" s="133">
        <f t="shared" ref="BG481" si="9796">+(BG480-BB480)*1000</f>
        <v>31.146581293973519</v>
      </c>
      <c r="BH481" s="133">
        <f t="shared" ref="BH481" si="9797">+(BH480-BC480)*1000</f>
        <v>39.90386406785251</v>
      </c>
      <c r="BI481" s="247">
        <f t="shared" ref="BI481" si="9798">+(BI480-BD480)*1000</f>
        <v>44.5345371449597</v>
      </c>
      <c r="BJ481" s="133">
        <f>+(BJ480-BE480)*1000</f>
        <v>-5.0074358689213838</v>
      </c>
      <c r="BK481" s="133">
        <f t="shared" ref="BK481" si="9799">+(BK480-BF480)*1000</f>
        <v>-2.5189591382998033</v>
      </c>
      <c r="BL481" s="133">
        <f t="shared" ref="BL481" si="9800">+(BL480-BG480)*1000</f>
        <v>-0.15635733236063487</v>
      </c>
      <c r="BM481" s="133">
        <f t="shared" ref="BM481" si="9801">+(BM480-BH480)*1000</f>
        <v>2.3912086353542472</v>
      </c>
      <c r="BN481" s="247">
        <f t="shared" ref="BN481" si="9802">+(BN480-BI480)*1000</f>
        <v>-1.9386391112315993</v>
      </c>
      <c r="BO481" s="133">
        <f>+(BO480-BJ480)*1000</f>
        <v>22.66686020073827</v>
      </c>
      <c r="BP481" s="133">
        <f t="shared" ref="BP481" si="9803">+(BP480-BK480)*1000</f>
        <v>15.123797371138892</v>
      </c>
      <c r="BQ481" s="133">
        <f t="shared" ref="BQ481" si="9804">+(BQ480-BL480)*1000</f>
        <v>8.9646742516072955</v>
      </c>
      <c r="BR481" s="133">
        <f t="shared" ref="BR481" si="9805">+(BR480-BM480)*1000</f>
        <v>6.3139871353050658</v>
      </c>
      <c r="BS481" s="247">
        <f t="shared" ref="BS481" si="9806">+(BS480-BN480)*1000</f>
        <v>12.654553626203825</v>
      </c>
      <c r="BT481" s="133">
        <f>+(BT480-BO480)*1000</f>
        <v>15.612849264137974</v>
      </c>
      <c r="BU481" s="133">
        <f t="shared" ref="BU481" si="9807">+(BU480-BP480)*1000</f>
        <v>14.73207857374781</v>
      </c>
      <c r="BV481" s="133">
        <f t="shared" ref="BV481" si="9808">+(BV480-BQ480)*1000</f>
        <v>15.537818330652154</v>
      </c>
      <c r="BW481" s="133">
        <f t="shared" ref="BW481" si="9809">+(BW480-BR480)*1000</f>
        <v>14.716809365017181</v>
      </c>
      <c r="BX481" s="247">
        <f t="shared" ref="BX481" si="9810">+(BX480-BS480)*1000</f>
        <v>15.146682770685205</v>
      </c>
      <c r="BY481" s="133">
        <f>+(BY480-BT480)*1000</f>
        <v>12.775409162784745</v>
      </c>
      <c r="BZ481" s="133">
        <f t="shared" ref="BZ481" si="9811">+(BZ480-BU480)*1000</f>
        <v>12.845763898964858</v>
      </c>
      <c r="CA481" s="133">
        <f t="shared" ref="CA481" si="9812">+(CA480-BV480)*1000</f>
        <v>11.58599968859364</v>
      </c>
      <c r="CB481" s="133">
        <f t="shared" ref="CB481" si="9813">+(CB480-BW480)*1000</f>
        <v>10.623084322604726</v>
      </c>
      <c r="CC481" s="247">
        <f t="shared" ref="CC481" si="9814">+(CC480-BX480)*1000</f>
        <v>11.90749689997106</v>
      </c>
      <c r="CD481" s="133">
        <f>+(CD480-BY480)*1000</f>
        <v>11.612566453390926</v>
      </c>
      <c r="CE481" s="133">
        <f t="shared" ref="CE481" si="9815">+(CE480-BZ480)*1000</f>
        <v>11.430641751562387</v>
      </c>
      <c r="CF481" s="133">
        <f t="shared" ref="CF481" si="9816">+(CF480-CA480)*1000</f>
        <v>10.789108272844516</v>
      </c>
      <c r="CG481" s="133">
        <f t="shared" ref="CG481" si="9817">+(CG480-CB480)*1000</f>
        <v>10.012615227882659</v>
      </c>
      <c r="CH481" s="247">
        <f t="shared" ref="CH481" si="9818">+(CH480-CC480)*1000</f>
        <v>10.932774175797411</v>
      </c>
      <c r="CI481" s="133">
        <f>+(CI480-CD480)*1000</f>
        <v>8.913788209505169</v>
      </c>
      <c r="CJ481" s="133">
        <f t="shared" ref="CJ481" si="9819">+(CJ480-CE480)*1000</f>
        <v>8.103814675749943</v>
      </c>
      <c r="CK481" s="133">
        <f t="shared" ref="CK481" si="9820">+(CK480-CF480)*1000</f>
        <v>7.1971768425549421</v>
      </c>
      <c r="CL481" s="133">
        <f t="shared" ref="CL481" si="9821">+(CL480-CG480)*1000</f>
        <v>6.1438882179523091</v>
      </c>
      <c r="CM481" s="247">
        <f t="shared" ref="CM481" si="9822">+(CM480-CH480)*1000</f>
        <v>7.5194061307782833</v>
      </c>
      <c r="CN481" s="133">
        <f>+(CN480-CI480)*1000</f>
        <v>6.7609252364939643</v>
      </c>
      <c r="CO481" s="133">
        <f t="shared" ref="CO481" si="9823">+(CO480-CJ480)*1000</f>
        <v>6.5004746421605253</v>
      </c>
      <c r="CP481" s="133">
        <f t="shared" ref="CP481" si="9824">+(CP480-CK480)*1000</f>
        <v>6.2339088740346327</v>
      </c>
      <c r="CQ481" s="133">
        <f t="shared" ref="CQ481" si="9825">+(CQ480-CL480)*1000</f>
        <v>5.6821570231747609</v>
      </c>
      <c r="CR481" s="247">
        <f t="shared" ref="CR481" si="9826">+(CR480-CM480)*1000</f>
        <v>6.2763077710149551</v>
      </c>
      <c r="CS481" s="133">
        <f>+(CS480-CN480)*1000</f>
        <v>6.296603276217061</v>
      </c>
      <c r="CT481" s="133">
        <f t="shared" ref="CT481" si="9827">+(CT480-CO480)*1000</f>
        <v>6.1724812445665966</v>
      </c>
      <c r="CU481" s="133">
        <f t="shared" ref="CU481" si="9828">+(CU480-CP480)*1000</f>
        <v>5.9802342859951452</v>
      </c>
      <c r="CV481" s="133">
        <f t="shared" ref="CV481" si="9829">+(CV480-CQ480)*1000</f>
        <v>5.551551220390194</v>
      </c>
      <c r="CW481" s="247">
        <f t="shared" ref="CW481" si="9830">+(CW480-CR480)*1000</f>
        <v>5.9903722126384285</v>
      </c>
      <c r="CX481" s="133">
        <f>+(CX480-CS480)*1000</f>
        <v>4.130378826011083</v>
      </c>
      <c r="CY481" s="133">
        <f t="shared" ref="CY481" si="9831">+(CY480-CT480)*1000</f>
        <v>3.6134183294109778</v>
      </c>
      <c r="CZ481" s="133">
        <f t="shared" ref="CZ481" si="9832">+(CZ480-CU480)*1000</f>
        <v>3.174423073340038</v>
      </c>
      <c r="DA481" s="133">
        <f t="shared" ref="DA481" si="9833">+(DA480-CV480)*1000</f>
        <v>2.6023013586681243</v>
      </c>
      <c r="DB481" s="247">
        <f t="shared" ref="DB481" si="9834">+(DB480-CW480)*1000</f>
        <v>3.3471113211076542</v>
      </c>
    </row>
    <row r="482" spans="1:106">
      <c r="A482" s="159" t="s">
        <v>497</v>
      </c>
      <c r="F482" s="217"/>
      <c r="G482" s="119" t="s">
        <v>326</v>
      </c>
      <c r="H482" s="119" t="s">
        <v>326</v>
      </c>
      <c r="I482" s="119" t="s">
        <v>326</v>
      </c>
      <c r="J482" s="119" t="s">
        <v>326</v>
      </c>
      <c r="K482" s="235" t="s">
        <v>326</v>
      </c>
      <c r="L482" s="160">
        <f t="shared" ref="L482:AQ482" si="9835">+L479/G479-1</f>
        <v>0.30851628895184113</v>
      </c>
      <c r="M482" s="160">
        <f t="shared" si="9835"/>
        <v>8.5559287005941842E-2</v>
      </c>
      <c r="N482" s="160">
        <f t="shared" si="9835"/>
        <v>0.35693052194953334</v>
      </c>
      <c r="O482" s="160">
        <f t="shared" si="9835"/>
        <v>-0.46445160678737341</v>
      </c>
      <c r="P482" s="248">
        <f t="shared" si="9835"/>
        <v>5.1477228744677417E-2</v>
      </c>
      <c r="Q482" s="160">
        <f t="shared" si="9835"/>
        <v>-0.55344699276097709</v>
      </c>
      <c r="R482" s="160">
        <f t="shared" si="9835"/>
        <v>-9.2951311217933541E-2</v>
      </c>
      <c r="S482" s="160">
        <f t="shared" si="9835"/>
        <v>0.12308946403097631</v>
      </c>
      <c r="T482" s="160">
        <f t="shared" si="9835"/>
        <v>0.50809806177537897</v>
      </c>
      <c r="U482" s="248">
        <f t="shared" si="9835"/>
        <v>-0.12462576687116578</v>
      </c>
      <c r="V482" s="160">
        <f t="shared" si="9835"/>
        <v>0.6474509506855548</v>
      </c>
      <c r="W482" s="160">
        <f t="shared" si="9835"/>
        <v>0.15825375170532086</v>
      </c>
      <c r="X482" s="160">
        <f t="shared" si="9835"/>
        <v>7.063146434403933E-2</v>
      </c>
      <c r="Y482" s="160">
        <f t="shared" si="9835"/>
        <v>0.4187793427230051</v>
      </c>
      <c r="Z482" s="248">
        <f t="shared" si="9835"/>
        <v>0.28392414112106401</v>
      </c>
      <c r="AA482" s="160">
        <f t="shared" si="9835"/>
        <v>8.1524737906934153E-2</v>
      </c>
      <c r="AB482" s="160">
        <f t="shared" si="9835"/>
        <v>0.38307511099030545</v>
      </c>
      <c r="AC482" s="160">
        <f t="shared" si="9835"/>
        <v>0.44184568450489392</v>
      </c>
      <c r="AD482" s="160">
        <f t="shared" si="9835"/>
        <v>0.60398742554599294</v>
      </c>
      <c r="AE482" s="248">
        <f t="shared" si="9835"/>
        <v>0.38492778305439934</v>
      </c>
      <c r="AF482" s="160">
        <f t="shared" si="9835"/>
        <v>1.0846902767739466</v>
      </c>
      <c r="AG482" s="160">
        <f t="shared" si="9835"/>
        <v>0.29489027186374051</v>
      </c>
      <c r="AH482" s="160">
        <f t="shared" si="9835"/>
        <v>0.36125069793411457</v>
      </c>
      <c r="AI482" s="160">
        <f t="shared" si="9835"/>
        <v>0.35375728505853998</v>
      </c>
      <c r="AJ482" s="248">
        <f t="shared" si="9835"/>
        <v>0.4771240284412499</v>
      </c>
      <c r="AK482" s="160">
        <f t="shared" si="9835"/>
        <v>0.74374923522453806</v>
      </c>
      <c r="AL482" s="160">
        <f t="shared" si="9835"/>
        <v>0.66731591328763273</v>
      </c>
      <c r="AM482" s="160">
        <f t="shared" si="9835"/>
        <v>0.65677216009671469</v>
      </c>
      <c r="AN482" s="160">
        <f t="shared" si="9835"/>
        <v>0.50308594940566875</v>
      </c>
      <c r="AO482" s="248">
        <f t="shared" si="9835"/>
        <v>0.63870106998959364</v>
      </c>
      <c r="AP482" s="160">
        <f t="shared" si="9835"/>
        <v>6.333111118908108E-2</v>
      </c>
      <c r="AQ482" s="160">
        <f t="shared" si="9835"/>
        <v>0.34968292016870461</v>
      </c>
      <c r="AR482" s="160">
        <f t="shared" ref="AR482:BW482" si="9836">+AR479/AM479-1</f>
        <v>0.22646426477294912</v>
      </c>
      <c r="AS482" s="160">
        <f t="shared" si="9836"/>
        <v>0.14009074088155526</v>
      </c>
      <c r="AT482" s="248">
        <f t="shared" si="9836"/>
        <v>0.18529446246434</v>
      </c>
      <c r="AU482" s="160">
        <f t="shared" si="9836"/>
        <v>2.9851074594689608E-2</v>
      </c>
      <c r="AV482" s="160">
        <f t="shared" si="9836"/>
        <v>0.32926047907557088</v>
      </c>
      <c r="AW482" s="160">
        <f t="shared" si="9836"/>
        <v>0.28547144754316145</v>
      </c>
      <c r="AX482" s="160">
        <f t="shared" si="9836"/>
        <v>0.7769897732325477</v>
      </c>
      <c r="AY482" s="248">
        <f t="shared" si="9836"/>
        <v>0.35380777325354562</v>
      </c>
      <c r="AZ482" s="160">
        <f t="shared" si="9836"/>
        <v>1.2278814935064939</v>
      </c>
      <c r="BA482" s="160">
        <f t="shared" si="9836"/>
        <v>1.0563358843177877</v>
      </c>
      <c r="BB482" s="160">
        <f t="shared" si="9836"/>
        <v>1.2459357824703483</v>
      </c>
      <c r="BC482" s="160">
        <f t="shared" si="9836"/>
        <v>0.87440103091493815</v>
      </c>
      <c r="BD482" s="248">
        <f t="shared" si="9836"/>
        <v>1.0764662905386215</v>
      </c>
      <c r="BE482" s="160">
        <f t="shared" si="9836"/>
        <v>0.51852100421378555</v>
      </c>
      <c r="BF482" s="160">
        <f t="shared" si="9836"/>
        <v>0.42534502327570634</v>
      </c>
      <c r="BG482" s="160">
        <f t="shared" si="9836"/>
        <v>0.41448479652029291</v>
      </c>
      <c r="BH482" s="160">
        <f t="shared" si="9836"/>
        <v>0.48655711224877995</v>
      </c>
      <c r="BI482" s="248">
        <f t="shared" si="9836"/>
        <v>0.45938359471362156</v>
      </c>
      <c r="BJ482" s="160">
        <f t="shared" si="9836"/>
        <v>0.21882299526422866</v>
      </c>
      <c r="BK482" s="160">
        <f t="shared" si="9836"/>
        <v>0.18537087584092737</v>
      </c>
      <c r="BL482" s="160">
        <f t="shared" si="9836"/>
        <v>0.14224621931896508</v>
      </c>
      <c r="BM482" s="160">
        <f t="shared" si="9836"/>
        <v>7.8681276068620631E-2</v>
      </c>
      <c r="BN482" s="248">
        <f t="shared" si="9836"/>
        <v>0.1495396144718486</v>
      </c>
      <c r="BO482" s="160">
        <f t="shared" si="9836"/>
        <v>0.28093057694488577</v>
      </c>
      <c r="BP482" s="160">
        <f t="shared" si="9836"/>
        <v>0.20112509180298965</v>
      </c>
      <c r="BQ482" s="160">
        <f t="shared" si="9836"/>
        <v>0.18488877333286657</v>
      </c>
      <c r="BR482" s="160">
        <f t="shared" si="9836"/>
        <v>0.1474341469304441</v>
      </c>
      <c r="BS482" s="248">
        <f t="shared" si="9836"/>
        <v>0.19989316360654397</v>
      </c>
      <c r="BT482" s="160">
        <f t="shared" si="9836"/>
        <v>0.17824763347458217</v>
      </c>
      <c r="BU482" s="160">
        <f t="shared" si="9836"/>
        <v>0.18761970391122862</v>
      </c>
      <c r="BV482" s="160">
        <f t="shared" si="9836"/>
        <v>0.18269457172993064</v>
      </c>
      <c r="BW482" s="160">
        <f t="shared" si="9836"/>
        <v>0.18185834776204346</v>
      </c>
      <c r="BX482" s="248">
        <f t="shared" ref="BX482:DB482" si="9837">+BX479/BS479-1</f>
        <v>0.18258302923683067</v>
      </c>
      <c r="BY482" s="160">
        <f t="shared" si="9837"/>
        <v>0.17720602273464436</v>
      </c>
      <c r="BZ482" s="160">
        <f t="shared" si="9837"/>
        <v>0.16995253888387318</v>
      </c>
      <c r="CA482" s="160">
        <f t="shared" si="9837"/>
        <v>0.17071115345133347</v>
      </c>
      <c r="CB482" s="160">
        <f t="shared" si="9837"/>
        <v>0.16216944918281739</v>
      </c>
      <c r="CC482" s="248">
        <f t="shared" si="9837"/>
        <v>0.16979736111389543</v>
      </c>
      <c r="CD482" s="160">
        <f t="shared" si="9837"/>
        <v>0.1599696171394378</v>
      </c>
      <c r="CE482" s="160">
        <f t="shared" si="9837"/>
        <v>0.16188620542937282</v>
      </c>
      <c r="CF482" s="160">
        <f t="shared" si="9837"/>
        <v>0.1560110691479708</v>
      </c>
      <c r="CG482" s="160">
        <f t="shared" si="9837"/>
        <v>0.1545083802108973</v>
      </c>
      <c r="CH482" s="248">
        <f t="shared" si="9837"/>
        <v>0.15797862456551193</v>
      </c>
      <c r="CI482" s="160">
        <f t="shared" si="9837"/>
        <v>0.13866672847797012</v>
      </c>
      <c r="CJ482" s="160">
        <f t="shared" si="9837"/>
        <v>0.13305840348235298</v>
      </c>
      <c r="CK482" s="160">
        <f t="shared" si="9837"/>
        <v>0.12526328446566892</v>
      </c>
      <c r="CL482" s="160">
        <f t="shared" si="9837"/>
        <v>0.11800934411015218</v>
      </c>
      <c r="CM482" s="248">
        <f t="shared" si="9837"/>
        <v>0.12845590581603594</v>
      </c>
      <c r="CN482" s="160">
        <f t="shared" si="9837"/>
        <v>0.11616688902545413</v>
      </c>
      <c r="CO482" s="160">
        <f t="shared" si="9837"/>
        <v>0.11559862752352057</v>
      </c>
      <c r="CP482" s="160">
        <f t="shared" si="9837"/>
        <v>0.11317590584374959</v>
      </c>
      <c r="CQ482" s="160">
        <f t="shared" si="9837"/>
        <v>0.11086940636443576</v>
      </c>
      <c r="CR482" s="248">
        <f t="shared" si="9837"/>
        <v>0.11388564632378384</v>
      </c>
      <c r="CS482" s="160">
        <f t="shared" si="9837"/>
        <v>0.1098957671873988</v>
      </c>
      <c r="CT482" s="160">
        <f t="shared" si="9837"/>
        <v>0.11006764454385265</v>
      </c>
      <c r="CU482" s="160">
        <f t="shared" si="9837"/>
        <v>0.10864788947467807</v>
      </c>
      <c r="CV482" s="160">
        <f t="shared" si="9837"/>
        <v>0.10716261008148398</v>
      </c>
      <c r="CW482" s="248">
        <f t="shared" si="9837"/>
        <v>0.10890807042826367</v>
      </c>
      <c r="CX482" s="160">
        <f t="shared" si="9837"/>
        <v>9.4101705309238559E-2</v>
      </c>
      <c r="CY482" s="160">
        <f t="shared" si="9837"/>
        <v>9.0735224301784045E-2</v>
      </c>
      <c r="CZ482" s="160">
        <f t="shared" si="9837"/>
        <v>8.6417684912480919E-2</v>
      </c>
      <c r="DA482" s="160">
        <f t="shared" si="9837"/>
        <v>8.23409071179384E-2</v>
      </c>
      <c r="DB482" s="248">
        <f t="shared" si="9837"/>
        <v>8.8276920267167824E-2</v>
      </c>
    </row>
    <row r="483" spans="1:106">
      <c r="A483" s="159"/>
      <c r="F483" s="217"/>
      <c r="G483" s="119"/>
      <c r="H483" s="119"/>
      <c r="I483" s="119"/>
      <c r="J483" s="119"/>
      <c r="K483" s="235"/>
      <c r="L483" s="133"/>
      <c r="M483" s="133"/>
      <c r="N483" s="133"/>
      <c r="O483" s="133"/>
      <c r="P483" s="247"/>
      <c r="Q483" s="133"/>
      <c r="R483" s="133"/>
      <c r="S483" s="133"/>
      <c r="T483" s="133"/>
      <c r="U483" s="247"/>
      <c r="V483" s="133"/>
      <c r="W483" s="133"/>
      <c r="X483" s="133"/>
      <c r="Y483" s="133"/>
      <c r="Z483" s="247"/>
      <c r="AA483" s="133"/>
      <c r="AB483" s="133"/>
      <c r="AC483" s="133"/>
      <c r="AD483" s="133"/>
      <c r="AE483" s="247"/>
      <c r="AF483" s="133"/>
      <c r="AG483" s="133"/>
      <c r="AH483" s="133"/>
      <c r="AI483" s="133"/>
      <c r="AJ483" s="247"/>
      <c r="AK483" s="133"/>
      <c r="AL483" s="133"/>
      <c r="AM483" s="133"/>
      <c r="AN483" s="133"/>
      <c r="AO483" s="247"/>
      <c r="AP483" s="133"/>
      <c r="AQ483" s="133"/>
      <c r="AR483" s="133"/>
      <c r="AS483" s="133"/>
      <c r="AT483" s="247"/>
      <c r="AU483" s="133"/>
      <c r="AV483" s="133"/>
      <c r="AW483" s="133"/>
      <c r="AX483" s="133"/>
      <c r="AY483" s="247"/>
      <c r="AZ483" s="133"/>
      <c r="BA483" s="133"/>
      <c r="BB483" s="133"/>
      <c r="BC483" s="133"/>
      <c r="BD483" s="247"/>
      <c r="BE483" s="133"/>
      <c r="BF483" s="133"/>
      <c r="BG483" s="133"/>
      <c r="BH483" s="133"/>
      <c r="BI483" s="247"/>
      <c r="BJ483" s="133"/>
      <c r="BK483" s="133"/>
      <c r="BL483" s="133"/>
      <c r="BM483" s="133"/>
      <c r="BN483" s="247"/>
      <c r="BO483" s="133"/>
      <c r="BP483" s="133"/>
      <c r="BQ483" s="133"/>
      <c r="BR483" s="133"/>
      <c r="BS483" s="247"/>
      <c r="BT483" s="133"/>
      <c r="BU483" s="133"/>
      <c r="BV483" s="133"/>
      <c r="BW483" s="133"/>
      <c r="BX483" s="247"/>
      <c r="BY483" s="133"/>
      <c r="BZ483" s="133"/>
      <c r="CA483" s="133"/>
      <c r="CB483" s="133"/>
      <c r="CC483" s="247"/>
      <c r="CD483" s="133"/>
      <c r="CE483" s="133"/>
      <c r="CF483" s="133"/>
      <c r="CG483" s="133"/>
      <c r="CH483" s="247"/>
      <c r="CI483" s="133"/>
      <c r="CJ483" s="133"/>
      <c r="CK483" s="133"/>
      <c r="CL483" s="133"/>
      <c r="CM483" s="247"/>
      <c r="CN483" s="133"/>
      <c r="CO483" s="133"/>
      <c r="CP483" s="133"/>
      <c r="CQ483" s="133"/>
      <c r="CR483" s="247"/>
      <c r="CS483" s="133"/>
      <c r="CT483" s="133"/>
      <c r="CU483" s="133"/>
      <c r="CV483" s="133"/>
      <c r="CW483" s="247"/>
      <c r="CX483" s="133"/>
      <c r="CY483" s="133"/>
      <c r="CZ483" s="133"/>
      <c r="DA483" s="133"/>
      <c r="DB483" s="247"/>
    </row>
    <row r="484" spans="1:106" s="51" customFormat="1">
      <c r="A484" s="229" t="s">
        <v>472</v>
      </c>
      <c r="F484" s="233"/>
      <c r="G484" s="230">
        <f t="shared" ref="G484:AL484" si="9838">+G479-G477</f>
        <v>22.592000000000002</v>
      </c>
      <c r="H484" s="230">
        <f t="shared" si="9838"/>
        <v>19.354999999999997</v>
      </c>
      <c r="I484" s="230">
        <f t="shared" si="9838"/>
        <v>14.465</v>
      </c>
      <c r="J484" s="230">
        <f t="shared" si="9838"/>
        <v>21.098000000000006</v>
      </c>
      <c r="K484" s="246">
        <f t="shared" si="9838"/>
        <v>77.510000000000019</v>
      </c>
      <c r="L484" s="230">
        <f t="shared" si="9838"/>
        <v>29.561999999999998</v>
      </c>
      <c r="M484" s="230">
        <f t="shared" si="9838"/>
        <v>21.011000000000003</v>
      </c>
      <c r="N484" s="230">
        <f t="shared" si="9838"/>
        <v>19.628</v>
      </c>
      <c r="O484" s="230">
        <f t="shared" si="9838"/>
        <v>11.298999999999999</v>
      </c>
      <c r="P484" s="246">
        <f t="shared" si="9838"/>
        <v>81.499999999999972</v>
      </c>
      <c r="Q484" s="230">
        <f t="shared" si="9838"/>
        <v>13.200999999999993</v>
      </c>
      <c r="R484" s="230">
        <f t="shared" si="9838"/>
        <v>19.058</v>
      </c>
      <c r="S484" s="230">
        <f t="shared" si="9838"/>
        <v>22.044000000000004</v>
      </c>
      <c r="T484" s="230">
        <f t="shared" si="9838"/>
        <v>17.040000000000006</v>
      </c>
      <c r="U484" s="246">
        <f t="shared" si="9838"/>
        <v>71.342999999999961</v>
      </c>
      <c r="V484" s="230">
        <f t="shared" si="9838"/>
        <v>21.747999999999998</v>
      </c>
      <c r="W484" s="230">
        <f t="shared" si="9838"/>
        <v>22.074000000000005</v>
      </c>
      <c r="X484" s="230">
        <f t="shared" si="9838"/>
        <v>23.601000000000006</v>
      </c>
      <c r="Y484" s="230">
        <f t="shared" si="9838"/>
        <v>24.176000000000016</v>
      </c>
      <c r="Z484" s="246">
        <f t="shared" si="9838"/>
        <v>91.599000000000018</v>
      </c>
      <c r="AA484" s="230">
        <f t="shared" si="9838"/>
        <v>23.521000000000001</v>
      </c>
      <c r="AB484" s="230">
        <f t="shared" si="9838"/>
        <v>30.530000000000008</v>
      </c>
      <c r="AC484" s="230">
        <f t="shared" si="9838"/>
        <v>34.029000000000011</v>
      </c>
      <c r="AD484" s="230">
        <f t="shared" si="9838"/>
        <v>38.777999999999949</v>
      </c>
      <c r="AE484" s="246">
        <f t="shared" si="9838"/>
        <v>126.85799999999995</v>
      </c>
      <c r="AF484" s="230">
        <f t="shared" si="9838"/>
        <v>49.033999999999999</v>
      </c>
      <c r="AG484" s="230">
        <f t="shared" si="9838"/>
        <v>39.533000000000008</v>
      </c>
      <c r="AH484" s="230">
        <f t="shared" si="9838"/>
        <v>46.322000000000003</v>
      </c>
      <c r="AI484" s="230">
        <f t="shared" si="9838"/>
        <v>52.495999999999995</v>
      </c>
      <c r="AJ484" s="246">
        <f t="shared" si="9838"/>
        <v>187.38499999999999</v>
      </c>
      <c r="AK484" s="230">
        <f t="shared" si="9838"/>
        <v>85.503</v>
      </c>
      <c r="AL484" s="230">
        <f t="shared" si="9838"/>
        <v>65.914000000000001</v>
      </c>
      <c r="AM484" s="230">
        <f t="shared" ref="AM484:BR484" si="9839">+AM479-AM477</f>
        <v>76.745000000000019</v>
      </c>
      <c r="AN484" s="230">
        <f t="shared" si="9839"/>
        <v>78.905999999999977</v>
      </c>
      <c r="AO484" s="246">
        <f t="shared" si="9839"/>
        <v>307.06799999999998</v>
      </c>
      <c r="AP484" s="230">
        <f t="shared" si="9839"/>
        <v>90.918000000000006</v>
      </c>
      <c r="AQ484" s="230">
        <f t="shared" si="9839"/>
        <v>88.962999999999994</v>
      </c>
      <c r="AR484" s="230">
        <f t="shared" si="9839"/>
        <v>94.125</v>
      </c>
      <c r="AS484" s="230">
        <f t="shared" si="9839"/>
        <v>89.95999999999998</v>
      </c>
      <c r="AT484" s="246">
        <f t="shared" si="9839"/>
        <v>363.96599999999995</v>
      </c>
      <c r="AU484" s="230">
        <f t="shared" si="9839"/>
        <v>102.83200000000001</v>
      </c>
      <c r="AV484" s="230">
        <f t="shared" si="9839"/>
        <v>114.85499999999999</v>
      </c>
      <c r="AW484" s="230">
        <f t="shared" si="9839"/>
        <v>118.79500000000006</v>
      </c>
      <c r="AX484" s="230">
        <f t="shared" si="9839"/>
        <v>150.95799999999994</v>
      </c>
      <c r="AY484" s="246">
        <f t="shared" si="9839"/>
        <v>487.43999999999988</v>
      </c>
      <c r="AZ484" s="230">
        <f t="shared" si="9839"/>
        <v>174.90100000000007</v>
      </c>
      <c r="BA484" s="230">
        <f t="shared" si="9839"/>
        <v>203.27199999999999</v>
      </c>
      <c r="BB484" s="230">
        <f t="shared" si="9839"/>
        <v>237.24699999999996</v>
      </c>
      <c r="BC484" s="230">
        <f t="shared" si="9839"/>
        <v>256.63800000000009</v>
      </c>
      <c r="BD484" s="246">
        <f t="shared" si="9839"/>
        <v>872.05800000000011</v>
      </c>
      <c r="BE484" s="230">
        <f t="shared" si="9839"/>
        <v>282.46499999999997</v>
      </c>
      <c r="BF484" s="230">
        <f t="shared" si="9839"/>
        <v>301.30400000000003</v>
      </c>
      <c r="BG484" s="230">
        <f t="shared" si="9839"/>
        <v>329.38200000000001</v>
      </c>
      <c r="BH484" s="230">
        <f t="shared" si="9839"/>
        <v>385.72900000000004</v>
      </c>
      <c r="BI484" s="246">
        <f t="shared" si="9839"/>
        <v>1298.8799999999999</v>
      </c>
      <c r="BJ484" s="230">
        <f t="shared" si="9839"/>
        <v>386.08046609487337</v>
      </c>
      <c r="BK484" s="230">
        <f t="shared" si="9839"/>
        <v>410.85428704996883</v>
      </c>
      <c r="BL484" s="230">
        <f t="shared" si="9839"/>
        <v>439.05888627426248</v>
      </c>
      <c r="BM484" s="230">
        <f t="shared" si="9839"/>
        <v>480.47592211796967</v>
      </c>
      <c r="BN484" s="246">
        <f t="shared" si="9839"/>
        <v>1716.4695615370747</v>
      </c>
      <c r="BO484" s="230">
        <f t="shared" si="9839"/>
        <v>494.54227418205653</v>
      </c>
      <c r="BP484" s="230">
        <f t="shared" si="9839"/>
        <v>493.48739325054567</v>
      </c>
      <c r="BQ484" s="230">
        <f t="shared" si="9839"/>
        <v>520.23594517840547</v>
      </c>
      <c r="BR484" s="230">
        <f t="shared" si="9839"/>
        <v>551.31447981605106</v>
      </c>
      <c r="BS484" s="246">
        <f t="shared" ref="BS484:DB484" si="9840">+BS479-BS477</f>
        <v>2059.5800924270579</v>
      </c>
      <c r="BT484" s="230">
        <f t="shared" si="9840"/>
        <v>582.69326420814605</v>
      </c>
      <c r="BU484" s="230">
        <f t="shared" si="9840"/>
        <v>586.0753518561371</v>
      </c>
      <c r="BV484" s="230">
        <f t="shared" si="9840"/>
        <v>615.28022838128993</v>
      </c>
      <c r="BW484" s="230">
        <f t="shared" si="9840"/>
        <v>651.57562021268859</v>
      </c>
      <c r="BX484" s="246">
        <f t="shared" si="9840"/>
        <v>2435.6244646582618</v>
      </c>
      <c r="BY484" s="230">
        <f t="shared" si="9840"/>
        <v>685.95002003273896</v>
      </c>
      <c r="BZ484" s="230">
        <f t="shared" si="9840"/>
        <v>685.68034588134697</v>
      </c>
      <c r="CA484" s="230">
        <f t="shared" si="9840"/>
        <v>720.31542586405976</v>
      </c>
      <c r="CB484" s="230">
        <f t="shared" si="9840"/>
        <v>757.24127964353295</v>
      </c>
      <c r="CC484" s="246">
        <f t="shared" si="9840"/>
        <v>2849.1870714216789</v>
      </c>
      <c r="CD484" s="230">
        <f t="shared" si="9840"/>
        <v>795.68118211416595</v>
      </c>
      <c r="CE484" s="230">
        <f t="shared" si="9840"/>
        <v>796.68253521357815</v>
      </c>
      <c r="CF484" s="230">
        <f t="shared" si="9840"/>
        <v>832.69260557688767</v>
      </c>
      <c r="CG484" s="230">
        <f t="shared" si="9840"/>
        <v>874.24140319008234</v>
      </c>
      <c r="CH484" s="246">
        <f t="shared" si="9840"/>
        <v>3299.2977260947146</v>
      </c>
      <c r="CI484" s="230">
        <f t="shared" si="9840"/>
        <v>906.01568854942138</v>
      </c>
      <c r="CJ484" s="230">
        <f t="shared" si="9840"/>
        <v>902.68784143137032</v>
      </c>
      <c r="CK484" s="230">
        <f t="shared" si="9840"/>
        <v>936.99841630172443</v>
      </c>
      <c r="CL484" s="230">
        <f t="shared" si="9840"/>
        <v>977.41005777448299</v>
      </c>
      <c r="CM484" s="246">
        <f t="shared" si="9840"/>
        <v>3723.1120040569986</v>
      </c>
      <c r="CN484" s="230">
        <f t="shared" si="9840"/>
        <v>1011.2647124964625</v>
      </c>
      <c r="CO484" s="230">
        <f t="shared" si="9840"/>
        <v>1007.0373169830061</v>
      </c>
      <c r="CP484" s="230">
        <f t="shared" si="9840"/>
        <v>1043.044060840831</v>
      </c>
      <c r="CQ484" s="230">
        <f t="shared" si="9840"/>
        <v>1085.7749306545688</v>
      </c>
      <c r="CR484" s="246">
        <f t="shared" si="9840"/>
        <v>4147.1210209748679</v>
      </c>
      <c r="CS484" s="230">
        <f t="shared" si="9840"/>
        <v>1122.3984239058054</v>
      </c>
      <c r="CT484" s="230">
        <f t="shared" si="9840"/>
        <v>1117.8795424310867</v>
      </c>
      <c r="CU484" s="230">
        <f t="shared" si="9840"/>
        <v>1156.368596680285</v>
      </c>
      <c r="CV484" s="230">
        <f t="shared" si="9840"/>
        <v>1202.1294061845547</v>
      </c>
      <c r="CW484" s="246">
        <f t="shared" si="9840"/>
        <v>4598.7759692017316</v>
      </c>
      <c r="CX484" s="230">
        <f t="shared" si="9840"/>
        <v>1228.0180296317433</v>
      </c>
      <c r="CY484" s="230">
        <f t="shared" si="9840"/>
        <v>1219.3105934559471</v>
      </c>
      <c r="CZ484" s="230">
        <f t="shared" si="9840"/>
        <v>1256.2992937108895</v>
      </c>
      <c r="DA484" s="230">
        <f t="shared" si="9840"/>
        <v>1301.1138319629395</v>
      </c>
      <c r="DB484" s="246">
        <f t="shared" si="9840"/>
        <v>5004.7417487615203</v>
      </c>
    </row>
    <row r="485" spans="1:106">
      <c r="A485" s="159" t="s">
        <v>392</v>
      </c>
      <c r="F485" s="217"/>
      <c r="G485" s="13">
        <f t="shared" ref="G485:AL485" si="9841">+(G484)/(G17-G477)</f>
        <v>0.4762727943501634</v>
      </c>
      <c r="H485" s="13">
        <f t="shared" si="9841"/>
        <v>0.42928116752057133</v>
      </c>
      <c r="I485" s="13">
        <f t="shared" si="9841"/>
        <v>0.32200975045079139</v>
      </c>
      <c r="J485" s="13">
        <f t="shared" si="9841"/>
        <v>0.39873752645902644</v>
      </c>
      <c r="K485" s="239">
        <f t="shared" si="9841"/>
        <v>0.40718657245672568</v>
      </c>
      <c r="L485" s="13">
        <f t="shared" si="9841"/>
        <v>0.47756130658137053</v>
      </c>
      <c r="M485" s="13">
        <f t="shared" si="9841"/>
        <v>0.40418205601723611</v>
      </c>
      <c r="N485" s="13">
        <f t="shared" si="9841"/>
        <v>0.3642301768449962</v>
      </c>
      <c r="O485" s="13">
        <f t="shared" si="9841"/>
        <v>0.22919328992474491</v>
      </c>
      <c r="P485" s="239">
        <f t="shared" si="9841"/>
        <v>0.37544800390650185</v>
      </c>
      <c r="Q485" s="13">
        <f t="shared" si="9841"/>
        <v>0.28146521396132268</v>
      </c>
      <c r="R485" s="13">
        <f t="shared" si="9841"/>
        <v>0.35544696644720886</v>
      </c>
      <c r="S485" s="13">
        <f t="shared" si="9841"/>
        <v>0.38908500423609155</v>
      </c>
      <c r="T485" s="13">
        <f t="shared" si="9841"/>
        <v>0.31693480889054226</v>
      </c>
      <c r="U485" s="239">
        <f t="shared" si="9841"/>
        <v>0.33821626157325091</v>
      </c>
      <c r="V485" s="13">
        <f t="shared" si="9841"/>
        <v>0.34886108437600255</v>
      </c>
      <c r="W485" s="13">
        <f t="shared" si="9841"/>
        <v>0.34999762165247594</v>
      </c>
      <c r="X485" s="13">
        <f t="shared" si="9841"/>
        <v>0.36153492647058832</v>
      </c>
      <c r="Y485" s="13">
        <f t="shared" si="9841"/>
        <v>0.36102441573956567</v>
      </c>
      <c r="Z485" s="239">
        <f t="shared" si="9841"/>
        <v>0.35551165516545452</v>
      </c>
      <c r="AA485" s="13">
        <f t="shared" si="9841"/>
        <v>0.35198431701185207</v>
      </c>
      <c r="AB485" s="13">
        <f t="shared" si="9841"/>
        <v>0.41059780781386601</v>
      </c>
      <c r="AC485" s="13">
        <f t="shared" si="9841"/>
        <v>0.43677880604294766</v>
      </c>
      <c r="AD485" s="13">
        <f t="shared" si="9841"/>
        <v>0.46585776069197443</v>
      </c>
      <c r="AE485" s="239">
        <f t="shared" si="9841"/>
        <v>0.41960387393823911</v>
      </c>
      <c r="AF485" s="13">
        <f t="shared" si="9841"/>
        <v>0.52157171424924476</v>
      </c>
      <c r="AG485" s="13">
        <f t="shared" si="9841"/>
        <v>0.45717688962901293</v>
      </c>
      <c r="AH485" s="13">
        <f t="shared" si="9841"/>
        <v>0.47198475693630726</v>
      </c>
      <c r="AI485" s="13">
        <f t="shared" si="9841"/>
        <v>0.46713769599031835</v>
      </c>
      <c r="AJ485" s="239">
        <f t="shared" si="9841"/>
        <v>0.47923939591565323</v>
      </c>
      <c r="AK485" s="13">
        <f t="shared" si="9841"/>
        <v>0.5613527140943827</v>
      </c>
      <c r="AL485" s="13">
        <f t="shared" si="9841"/>
        <v>0.46409812287890945</v>
      </c>
      <c r="AM485" s="13">
        <f t="shared" ref="AM485:BR485" si="9842">+(AM484)/(AM17-AM477)</f>
        <v>0.48537149940549984</v>
      </c>
      <c r="AN485" s="13">
        <f t="shared" si="9842"/>
        <v>0.45603023788057412</v>
      </c>
      <c r="AO485" s="239">
        <f t="shared" si="9842"/>
        <v>0.49092705512193718</v>
      </c>
      <c r="AP485" s="13">
        <f t="shared" si="9842"/>
        <v>0.46832841402543618</v>
      </c>
      <c r="AQ485" s="13">
        <f t="shared" si="9842"/>
        <v>0.44885469223007063</v>
      </c>
      <c r="AR485" s="13">
        <f t="shared" si="9842"/>
        <v>0.44685881397855076</v>
      </c>
      <c r="AS485" s="13">
        <f t="shared" si="9842"/>
        <v>0.4140813433248024</v>
      </c>
      <c r="AT485" s="239">
        <f t="shared" si="9842"/>
        <v>0.44374084089429444</v>
      </c>
      <c r="AU485" s="13">
        <f t="shared" si="9842"/>
        <v>0.40976107365434583</v>
      </c>
      <c r="AV485" s="13">
        <f t="shared" si="9842"/>
        <v>0.44516751678268546</v>
      </c>
      <c r="AW485" s="13">
        <f t="shared" si="9842"/>
        <v>0.44641984772985216</v>
      </c>
      <c r="AX485" s="13">
        <f t="shared" si="9842"/>
        <v>0.49952184775235337</v>
      </c>
      <c r="AY485" s="239">
        <f t="shared" si="9842"/>
        <v>0.45247667485711573</v>
      </c>
      <c r="AZ485" s="13">
        <f t="shared" si="9842"/>
        <v>0.52359141542505272</v>
      </c>
      <c r="BA485" s="13">
        <f t="shared" si="9842"/>
        <v>0.54430701752037081</v>
      </c>
      <c r="BB485" s="13">
        <f t="shared" si="9842"/>
        <v>0.58542212615173539</v>
      </c>
      <c r="BC485" s="13">
        <f t="shared" si="9842"/>
        <v>0.59261397355107037</v>
      </c>
      <c r="BD485" s="239">
        <f t="shared" si="9842"/>
        <v>0.56414270567359137</v>
      </c>
      <c r="BE485" s="13">
        <f t="shared" si="9842"/>
        <v>0.60416443864564839</v>
      </c>
      <c r="BF485" s="13">
        <f t="shared" si="9842"/>
        <v>0.60104528226610821</v>
      </c>
      <c r="BG485" s="13">
        <f t="shared" si="9842"/>
        <v>0.61316534588771421</v>
      </c>
      <c r="BH485" s="13">
        <f t="shared" si="9842"/>
        <v>0.63672664245625632</v>
      </c>
      <c r="BI485" s="239">
        <f t="shared" si="9842"/>
        <v>0.61505445794679747</v>
      </c>
      <c r="BJ485" s="13">
        <f t="shared" si="9842"/>
        <v>0.62621229989817107</v>
      </c>
      <c r="BK485" s="13">
        <f t="shared" si="9842"/>
        <v>0.63159007854922311</v>
      </c>
      <c r="BL485" s="13">
        <f t="shared" si="9842"/>
        <v>0.64893691282230437</v>
      </c>
      <c r="BM485" s="13">
        <f t="shared" si="9842"/>
        <v>0.67170600953693205</v>
      </c>
      <c r="BN485" s="239">
        <f t="shared" si="9842"/>
        <v>0.64554914661305851</v>
      </c>
      <c r="BO485" s="13">
        <f t="shared" si="9842"/>
        <v>0.64887916009890934</v>
      </c>
      <c r="BP485" s="13">
        <f t="shared" si="9842"/>
        <v>0.646713875920362</v>
      </c>
      <c r="BQ485" s="13">
        <f t="shared" si="9842"/>
        <v>0.65790158707391166</v>
      </c>
      <c r="BR485" s="13">
        <f t="shared" si="9842"/>
        <v>0.67801999667223711</v>
      </c>
      <c r="BS485" s="239">
        <f t="shared" ref="BS485:CX485" si="9843">+(BS484)/(BS17-BS477)</f>
        <v>0.65820370023926233</v>
      </c>
      <c r="BT485" s="13">
        <f t="shared" si="9843"/>
        <v>0.66449200936304731</v>
      </c>
      <c r="BU485" s="13">
        <f t="shared" si="9843"/>
        <v>0.66144595449410981</v>
      </c>
      <c r="BV485" s="13">
        <f t="shared" si="9843"/>
        <v>0.67343940540456382</v>
      </c>
      <c r="BW485" s="13">
        <f t="shared" si="9843"/>
        <v>0.69273680603725429</v>
      </c>
      <c r="BX485" s="239">
        <f t="shared" si="9843"/>
        <v>0.67335038300994754</v>
      </c>
      <c r="BY485" s="13">
        <f t="shared" si="9843"/>
        <v>0.67726741852583205</v>
      </c>
      <c r="BZ485" s="13">
        <f t="shared" si="9843"/>
        <v>0.67429171839307467</v>
      </c>
      <c r="CA485" s="13">
        <f t="shared" si="9843"/>
        <v>0.68502540509315746</v>
      </c>
      <c r="CB485" s="13">
        <f t="shared" si="9843"/>
        <v>0.70335989035985902</v>
      </c>
      <c r="CC485" s="239">
        <f t="shared" si="9843"/>
        <v>0.6852578799099186</v>
      </c>
      <c r="CD485" s="13">
        <f t="shared" si="9843"/>
        <v>0.68887998497922298</v>
      </c>
      <c r="CE485" s="13">
        <f t="shared" si="9843"/>
        <v>0.68572236014463706</v>
      </c>
      <c r="CF485" s="13">
        <f t="shared" si="9843"/>
        <v>0.69581451336600197</v>
      </c>
      <c r="CG485" s="13">
        <f t="shared" si="9843"/>
        <v>0.71337250558774168</v>
      </c>
      <c r="CH485" s="239">
        <f t="shared" si="9843"/>
        <v>0.69619065408571601</v>
      </c>
      <c r="CI485" s="13">
        <f t="shared" si="9843"/>
        <v>0.69779377318872815</v>
      </c>
      <c r="CJ485" s="13">
        <f t="shared" si="9843"/>
        <v>0.693826174820387</v>
      </c>
      <c r="CK485" s="13">
        <f t="shared" si="9843"/>
        <v>0.70301169020855692</v>
      </c>
      <c r="CL485" s="13">
        <f t="shared" si="9843"/>
        <v>0.71951639380569399</v>
      </c>
      <c r="CM485" s="239">
        <f t="shared" si="9843"/>
        <v>0.70371006021649429</v>
      </c>
      <c r="CN485" s="13">
        <f t="shared" si="9843"/>
        <v>0.70455469842522211</v>
      </c>
      <c r="CO485" s="13">
        <f t="shared" si="9843"/>
        <v>0.70032664946254752</v>
      </c>
      <c r="CP485" s="13">
        <f t="shared" si="9843"/>
        <v>0.70924559908259155</v>
      </c>
      <c r="CQ485" s="13">
        <f t="shared" si="9843"/>
        <v>0.72519855082886875</v>
      </c>
      <c r="CR485" s="239">
        <f t="shared" si="9843"/>
        <v>0.70998636798750925</v>
      </c>
      <c r="CS485" s="13">
        <f t="shared" si="9843"/>
        <v>0.71085130170143918</v>
      </c>
      <c r="CT485" s="13">
        <f t="shared" si="9843"/>
        <v>0.70649913070711412</v>
      </c>
      <c r="CU485" s="13">
        <f t="shared" si="9843"/>
        <v>0.71522583336858669</v>
      </c>
      <c r="CV485" s="13">
        <f t="shared" si="9843"/>
        <v>0.73075010204925894</v>
      </c>
      <c r="CW485" s="239">
        <f t="shared" si="9843"/>
        <v>0.71597674020014768</v>
      </c>
      <c r="CX485" s="13">
        <f t="shared" si="9843"/>
        <v>0.71498168052745026</v>
      </c>
      <c r="CY485" s="13">
        <f t="shared" ref="CY485:DB485" si="9844">+(CY484)/(CY17-CY477)</f>
        <v>0.7101125490365251</v>
      </c>
      <c r="CZ485" s="13">
        <f t="shared" si="9844"/>
        <v>0.71840025644192673</v>
      </c>
      <c r="DA485" s="13">
        <f t="shared" si="9844"/>
        <v>0.73335240340792707</v>
      </c>
      <c r="DB485" s="239">
        <f t="shared" si="9844"/>
        <v>0.71932385152125533</v>
      </c>
    </row>
    <row r="486" spans="1:106">
      <c r="A486" s="159" t="s">
        <v>470</v>
      </c>
      <c r="F486" s="217"/>
      <c r="G486" s="119" t="s">
        <v>326</v>
      </c>
      <c r="H486" s="119" t="s">
        <v>326</v>
      </c>
      <c r="I486" s="119" t="s">
        <v>326</v>
      </c>
      <c r="J486" s="119" t="s">
        <v>326</v>
      </c>
      <c r="K486" s="235" t="s">
        <v>326</v>
      </c>
      <c r="L486" s="133">
        <f>+(L485-G485)*1000</f>
        <v>1.2885122312071284</v>
      </c>
      <c r="M486" s="133">
        <f t="shared" ref="M486" si="9845">+(M485-H485)*1000</f>
        <v>-25.099111503335216</v>
      </c>
      <c r="N486" s="133">
        <f t="shared" ref="N486" si="9846">+(N485-I485)*1000</f>
        <v>42.220426394204814</v>
      </c>
      <c r="O486" s="133">
        <f t="shared" ref="O486" si="9847">+(O485-J485)*1000</f>
        <v>-169.54423653428151</v>
      </c>
      <c r="P486" s="247">
        <f t="shared" ref="P486" si="9848">+(P485-K485)*1000</f>
        <v>-31.738568550223832</v>
      </c>
      <c r="Q486" s="133">
        <f>+(Q485-L485)*1000</f>
        <v>-196.09609262004784</v>
      </c>
      <c r="R486" s="133">
        <f t="shared" ref="R486" si="9849">+(R485-M485)*1000</f>
        <v>-48.735089570027256</v>
      </c>
      <c r="S486" s="133">
        <f t="shared" ref="S486" si="9850">+(S485-N485)*1000</f>
        <v>24.854827391095348</v>
      </c>
      <c r="T486" s="133">
        <f t="shared" ref="T486" si="9851">+(T485-O485)*1000</f>
        <v>87.741518965797354</v>
      </c>
      <c r="U486" s="247">
        <f t="shared" ref="U486" si="9852">+(U485-P485)*1000</f>
        <v>-37.231742333250942</v>
      </c>
      <c r="V486" s="133">
        <f>+(V485-Q485)*1000</f>
        <v>67.395870414679877</v>
      </c>
      <c r="W486" s="133">
        <f t="shared" ref="W486" si="9853">+(W485-R485)*1000</f>
        <v>-5.4493447947329132</v>
      </c>
      <c r="X486" s="133">
        <f t="shared" ref="X486" si="9854">+(X485-S485)*1000</f>
        <v>-27.550077765503222</v>
      </c>
      <c r="Y486" s="133">
        <f t="shared" ref="Y486" si="9855">+(Y485-T485)*1000</f>
        <v>44.089606849023411</v>
      </c>
      <c r="Z486" s="247">
        <f t="shared" ref="Z486" si="9856">+(Z485-U485)*1000</f>
        <v>17.295393592203613</v>
      </c>
      <c r="AA486" s="133">
        <f>+(AA485-V485)*1000</f>
        <v>3.1232326358495155</v>
      </c>
      <c r="AB486" s="133">
        <f t="shared" ref="AB486" si="9857">+(AB485-W485)*1000</f>
        <v>60.60018616139007</v>
      </c>
      <c r="AC486" s="133">
        <f t="shared" ref="AC486" si="9858">+(AC485-X485)*1000</f>
        <v>75.243879572359333</v>
      </c>
      <c r="AD486" s="133">
        <f t="shared" ref="AD486" si="9859">+(AD485-Y485)*1000</f>
        <v>104.83334495240875</v>
      </c>
      <c r="AE486" s="247">
        <f t="shared" ref="AE486" si="9860">+(AE485-Z485)*1000</f>
        <v>64.092218772784591</v>
      </c>
      <c r="AF486" s="133">
        <f>+(AF485-AA485)*1000</f>
        <v>169.58739723739268</v>
      </c>
      <c r="AG486" s="133">
        <f t="shared" ref="AG486" si="9861">+(AG485-AB485)*1000</f>
        <v>46.579081815146914</v>
      </c>
      <c r="AH486" s="133">
        <f t="shared" ref="AH486" si="9862">+(AH485-AC485)*1000</f>
        <v>35.205950893359592</v>
      </c>
      <c r="AI486" s="133">
        <f t="shared" ref="AI486" si="9863">+(AI485-AD485)*1000</f>
        <v>1.279935298343915</v>
      </c>
      <c r="AJ486" s="247">
        <f t="shared" ref="AJ486" si="9864">+(AJ485-AE485)*1000</f>
        <v>59.635521977414122</v>
      </c>
      <c r="AK486" s="133">
        <f>+(AK485-AF485)*1000</f>
        <v>39.780999845137941</v>
      </c>
      <c r="AL486" s="133">
        <f t="shared" ref="AL486" si="9865">+(AL485-AG485)*1000</f>
        <v>6.9212332498965186</v>
      </c>
      <c r="AM486" s="133">
        <f t="shared" ref="AM486" si="9866">+(AM485-AH485)*1000</f>
        <v>13.38674246919258</v>
      </c>
      <c r="AN486" s="133">
        <f t="shared" ref="AN486" si="9867">+(AN485-AI485)*1000</f>
        <v>-11.107458109744229</v>
      </c>
      <c r="AO486" s="247">
        <f t="shared" ref="AO486" si="9868">+(AO485-AJ485)*1000</f>
        <v>11.687659206283952</v>
      </c>
      <c r="AP486" s="133">
        <f>+(AP485-AK485)*1000</f>
        <v>-93.024300068946516</v>
      </c>
      <c r="AQ486" s="133">
        <f t="shared" ref="AQ486" si="9869">+(AQ485-AL485)*1000</f>
        <v>-15.243430648838817</v>
      </c>
      <c r="AR486" s="133">
        <f t="shared" ref="AR486" si="9870">+(AR485-AM485)*1000</f>
        <v>-38.512685426949076</v>
      </c>
      <c r="AS486" s="133">
        <f t="shared" ref="AS486" si="9871">+(AS485-AN485)*1000</f>
        <v>-41.948894555771723</v>
      </c>
      <c r="AT486" s="247">
        <f t="shared" ref="AT486" si="9872">+(AT485-AO485)*1000</f>
        <v>-47.186214227642743</v>
      </c>
      <c r="AU486" s="133">
        <f>+(AU485-AP485)*1000</f>
        <v>-58.567340371090346</v>
      </c>
      <c r="AV486" s="133">
        <f t="shared" ref="AV486" si="9873">+(AV485-AQ485)*1000</f>
        <v>-3.6871754473851714</v>
      </c>
      <c r="AW486" s="133">
        <f t="shared" ref="AW486" si="9874">+(AW485-AR485)*1000</f>
        <v>-0.43896624869860235</v>
      </c>
      <c r="AX486" s="133">
        <f t="shared" ref="AX486" si="9875">+(AX485-AS485)*1000</f>
        <v>85.440504427550962</v>
      </c>
      <c r="AY486" s="247">
        <f t="shared" ref="AY486" si="9876">+(AY485-AT485)*1000</f>
        <v>8.7358339628212924</v>
      </c>
      <c r="AZ486" s="133">
        <f>+(AZ485-AU485)*1000</f>
        <v>113.83034177070689</v>
      </c>
      <c r="BA486" s="133">
        <f t="shared" ref="BA486" si="9877">+(BA485-AV485)*1000</f>
        <v>99.139500737685353</v>
      </c>
      <c r="BB486" s="133">
        <f t="shared" ref="BB486" si="9878">+(BB485-AW485)*1000</f>
        <v>139.00227842188323</v>
      </c>
      <c r="BC486" s="133">
        <f t="shared" ref="BC486" si="9879">+(BC485-AX485)*1000</f>
        <v>93.092125798717007</v>
      </c>
      <c r="BD486" s="247">
        <f t="shared" ref="BD486" si="9880">+(BD485-AY485)*1000</f>
        <v>111.66603081647564</v>
      </c>
      <c r="BE486" s="133">
        <f>+(BE485-AZ485)*1000</f>
        <v>80.573023220595672</v>
      </c>
      <c r="BF486" s="133">
        <f t="shared" ref="BF486" si="9881">+(BF485-BA485)*1000</f>
        <v>56.738264745737396</v>
      </c>
      <c r="BG486" s="133">
        <f t="shared" ref="BG486" si="9882">+(BG485-BB485)*1000</f>
        <v>27.743219735978819</v>
      </c>
      <c r="BH486" s="133">
        <f t="shared" ref="BH486" si="9883">+(BH485-BC485)*1000</f>
        <v>44.112668905185949</v>
      </c>
      <c r="BI486" s="247">
        <f t="shared" ref="BI486" si="9884">+(BI485-BD485)*1000</f>
        <v>50.911752273206105</v>
      </c>
      <c r="BJ486" s="133">
        <f>+(BJ485-BE485)*1000</f>
        <v>22.047861252522672</v>
      </c>
      <c r="BK486" s="133">
        <f t="shared" ref="BK486" si="9885">+(BK485-BF485)*1000</f>
        <v>30.544796283114906</v>
      </c>
      <c r="BL486" s="133">
        <f t="shared" ref="BL486" si="9886">+(BL485-BG485)*1000</f>
        <v>35.771566934590162</v>
      </c>
      <c r="BM486" s="133">
        <f t="shared" ref="BM486" si="9887">+(BM485-BH485)*1000</f>
        <v>34.979367080675729</v>
      </c>
      <c r="BN486" s="247">
        <f t="shared" ref="BN486" si="9888">+(BN485-BI485)*1000</f>
        <v>30.494688666261037</v>
      </c>
      <c r="BO486" s="133">
        <f>+(BO485-BJ485)*1000</f>
        <v>22.66686020073827</v>
      </c>
      <c r="BP486" s="133">
        <f t="shared" ref="BP486" si="9889">+(BP485-BK485)*1000</f>
        <v>15.123797371138892</v>
      </c>
      <c r="BQ486" s="133">
        <f t="shared" ref="BQ486" si="9890">+(BQ485-BL485)*1000</f>
        <v>8.9646742516072955</v>
      </c>
      <c r="BR486" s="133">
        <f t="shared" ref="BR486" si="9891">+(BR485-BM485)*1000</f>
        <v>6.3139871353050658</v>
      </c>
      <c r="BS486" s="247">
        <f t="shared" ref="BS486" si="9892">+(BS485-BN485)*1000</f>
        <v>12.654553626203825</v>
      </c>
      <c r="BT486" s="133">
        <f>+(BT485-BO485)*1000</f>
        <v>15.612849264137974</v>
      </c>
      <c r="BU486" s="133">
        <f t="shared" ref="BU486" si="9893">+(BU485-BP485)*1000</f>
        <v>14.73207857374781</v>
      </c>
      <c r="BV486" s="133">
        <f t="shared" ref="BV486" si="9894">+(BV485-BQ485)*1000</f>
        <v>15.537818330652154</v>
      </c>
      <c r="BW486" s="133">
        <f t="shared" ref="BW486" si="9895">+(BW485-BR485)*1000</f>
        <v>14.716809365017181</v>
      </c>
      <c r="BX486" s="247">
        <f t="shared" ref="BX486" si="9896">+(BX485-BS485)*1000</f>
        <v>15.146682770685205</v>
      </c>
      <c r="BY486" s="133">
        <f>+(BY485-BT485)*1000</f>
        <v>12.775409162784745</v>
      </c>
      <c r="BZ486" s="133">
        <f t="shared" ref="BZ486" si="9897">+(BZ485-BU485)*1000</f>
        <v>12.845763898964858</v>
      </c>
      <c r="CA486" s="133">
        <f t="shared" ref="CA486" si="9898">+(CA485-BV485)*1000</f>
        <v>11.58599968859364</v>
      </c>
      <c r="CB486" s="133">
        <f t="shared" ref="CB486" si="9899">+(CB485-BW485)*1000</f>
        <v>10.623084322604726</v>
      </c>
      <c r="CC486" s="247">
        <f t="shared" ref="CC486" si="9900">+(CC485-BX485)*1000</f>
        <v>11.90749689997106</v>
      </c>
      <c r="CD486" s="133">
        <f>+(CD485-BY485)*1000</f>
        <v>11.612566453390926</v>
      </c>
      <c r="CE486" s="133">
        <f t="shared" ref="CE486" si="9901">+(CE485-BZ485)*1000</f>
        <v>11.430641751562387</v>
      </c>
      <c r="CF486" s="133">
        <f t="shared" ref="CF486" si="9902">+(CF485-CA485)*1000</f>
        <v>10.789108272844516</v>
      </c>
      <c r="CG486" s="133">
        <f t="shared" ref="CG486" si="9903">+(CG485-CB485)*1000</f>
        <v>10.012615227882659</v>
      </c>
      <c r="CH486" s="247">
        <f t="shared" ref="CH486" si="9904">+(CH485-CC485)*1000</f>
        <v>10.932774175797411</v>
      </c>
      <c r="CI486" s="133">
        <f>+(CI485-CD485)*1000</f>
        <v>8.913788209505169</v>
      </c>
      <c r="CJ486" s="133">
        <f t="shared" ref="CJ486" si="9905">+(CJ485-CE485)*1000</f>
        <v>8.103814675749943</v>
      </c>
      <c r="CK486" s="133">
        <f t="shared" ref="CK486" si="9906">+(CK485-CF485)*1000</f>
        <v>7.1971768425549421</v>
      </c>
      <c r="CL486" s="133">
        <f t="shared" ref="CL486" si="9907">+(CL485-CG485)*1000</f>
        <v>6.1438882179523091</v>
      </c>
      <c r="CM486" s="247">
        <f t="shared" ref="CM486" si="9908">+(CM485-CH485)*1000</f>
        <v>7.5194061307782833</v>
      </c>
      <c r="CN486" s="133">
        <f>+(CN485-CI485)*1000</f>
        <v>6.7609252364939643</v>
      </c>
      <c r="CO486" s="133">
        <f t="shared" ref="CO486" si="9909">+(CO485-CJ485)*1000</f>
        <v>6.5004746421605253</v>
      </c>
      <c r="CP486" s="133">
        <f t="shared" ref="CP486" si="9910">+(CP485-CK485)*1000</f>
        <v>6.2339088740346327</v>
      </c>
      <c r="CQ486" s="133">
        <f t="shared" ref="CQ486" si="9911">+(CQ485-CL485)*1000</f>
        <v>5.6821570231747609</v>
      </c>
      <c r="CR486" s="247">
        <f t="shared" ref="CR486" si="9912">+(CR485-CM485)*1000</f>
        <v>6.2763077710149551</v>
      </c>
      <c r="CS486" s="133">
        <f>+(CS485-CN485)*1000</f>
        <v>6.296603276217061</v>
      </c>
      <c r="CT486" s="133">
        <f t="shared" ref="CT486" si="9913">+(CT485-CO485)*1000</f>
        <v>6.1724812445665966</v>
      </c>
      <c r="CU486" s="133">
        <f t="shared" ref="CU486" si="9914">+(CU485-CP485)*1000</f>
        <v>5.9802342859951452</v>
      </c>
      <c r="CV486" s="133">
        <f t="shared" ref="CV486" si="9915">+(CV485-CQ485)*1000</f>
        <v>5.551551220390194</v>
      </c>
      <c r="CW486" s="247">
        <f t="shared" ref="CW486" si="9916">+(CW485-CR485)*1000</f>
        <v>5.9903722126384285</v>
      </c>
      <c r="CX486" s="133">
        <f>+(CX485-CS485)*1000</f>
        <v>4.130378826011083</v>
      </c>
      <c r="CY486" s="133">
        <f t="shared" ref="CY486" si="9917">+(CY485-CT485)*1000</f>
        <v>3.6134183294109778</v>
      </c>
      <c r="CZ486" s="133">
        <f t="shared" ref="CZ486" si="9918">+(CZ485-CU485)*1000</f>
        <v>3.174423073340038</v>
      </c>
      <c r="DA486" s="133">
        <f t="shared" ref="DA486" si="9919">+(DA485-CV485)*1000</f>
        <v>2.6023013586681243</v>
      </c>
      <c r="DB486" s="247">
        <f t="shared" ref="DB486" si="9920">+(DB485-CW485)*1000</f>
        <v>3.3471113211076542</v>
      </c>
    </row>
    <row r="487" spans="1:106">
      <c r="A487" s="159" t="s">
        <v>393</v>
      </c>
      <c r="F487" s="217"/>
      <c r="G487" s="133">
        <f t="shared" ref="G487:AL487" si="9921">+(G485-G480)*10000</f>
        <v>0</v>
      </c>
      <c r="H487" s="133">
        <f t="shared" si="9921"/>
        <v>0</v>
      </c>
      <c r="I487" s="133">
        <f t="shared" si="9921"/>
        <v>0</v>
      </c>
      <c r="J487" s="133">
        <f t="shared" si="9921"/>
        <v>0</v>
      </c>
      <c r="K487" s="247">
        <f t="shared" si="9921"/>
        <v>0</v>
      </c>
      <c r="L487" s="133">
        <f t="shared" si="9921"/>
        <v>0</v>
      </c>
      <c r="M487" s="133">
        <f t="shared" si="9921"/>
        <v>0</v>
      </c>
      <c r="N487" s="133">
        <f t="shared" si="9921"/>
        <v>0</v>
      </c>
      <c r="O487" s="133">
        <f t="shared" si="9921"/>
        <v>0</v>
      </c>
      <c r="P487" s="247">
        <f t="shared" si="9921"/>
        <v>0</v>
      </c>
      <c r="Q487" s="133">
        <f t="shared" si="9921"/>
        <v>0</v>
      </c>
      <c r="R487" s="133">
        <f t="shared" si="9921"/>
        <v>0</v>
      </c>
      <c r="S487" s="133">
        <f t="shared" si="9921"/>
        <v>0</v>
      </c>
      <c r="T487" s="133">
        <f t="shared" si="9921"/>
        <v>0</v>
      </c>
      <c r="U487" s="247">
        <f t="shared" si="9921"/>
        <v>0</v>
      </c>
      <c r="V487" s="133">
        <f t="shared" si="9921"/>
        <v>0</v>
      </c>
      <c r="W487" s="133">
        <f t="shared" si="9921"/>
        <v>0</v>
      </c>
      <c r="X487" s="133">
        <f t="shared" si="9921"/>
        <v>0</v>
      </c>
      <c r="Y487" s="133">
        <f t="shared" si="9921"/>
        <v>0</v>
      </c>
      <c r="Z487" s="247">
        <f t="shared" si="9921"/>
        <v>0</v>
      </c>
      <c r="AA487" s="133">
        <f t="shared" si="9921"/>
        <v>0</v>
      </c>
      <c r="AB487" s="133">
        <f t="shared" si="9921"/>
        <v>0</v>
      </c>
      <c r="AC487" s="133">
        <f t="shared" si="9921"/>
        <v>0</v>
      </c>
      <c r="AD487" s="133">
        <f t="shared" si="9921"/>
        <v>0</v>
      </c>
      <c r="AE487" s="247">
        <f t="shared" si="9921"/>
        <v>0</v>
      </c>
      <c r="AF487" s="133">
        <f t="shared" si="9921"/>
        <v>0</v>
      </c>
      <c r="AG487" s="133">
        <f t="shared" si="9921"/>
        <v>0</v>
      </c>
      <c r="AH487" s="133">
        <f t="shared" si="9921"/>
        <v>0</v>
      </c>
      <c r="AI487" s="133">
        <f t="shared" si="9921"/>
        <v>0</v>
      </c>
      <c r="AJ487" s="247">
        <f t="shared" si="9921"/>
        <v>0</v>
      </c>
      <c r="AK487" s="133">
        <f t="shared" si="9921"/>
        <v>0</v>
      </c>
      <c r="AL487" s="133">
        <f t="shared" si="9921"/>
        <v>0</v>
      </c>
      <c r="AM487" s="133">
        <f t="shared" ref="AM487:BR487" si="9922">+(AM485-AM480)*10000</f>
        <v>0</v>
      </c>
      <c r="AN487" s="133">
        <f t="shared" si="9922"/>
        <v>0</v>
      </c>
      <c r="AO487" s="247">
        <f t="shared" si="9922"/>
        <v>0</v>
      </c>
      <c r="AP487" s="133">
        <f t="shared" si="9922"/>
        <v>0</v>
      </c>
      <c r="AQ487" s="133">
        <f t="shared" si="9922"/>
        <v>0</v>
      </c>
      <c r="AR487" s="133">
        <f t="shared" si="9922"/>
        <v>0</v>
      </c>
      <c r="AS487" s="133">
        <f t="shared" si="9922"/>
        <v>0</v>
      </c>
      <c r="AT487" s="247">
        <f t="shared" si="9922"/>
        <v>0</v>
      </c>
      <c r="AU487" s="133">
        <f t="shared" si="9922"/>
        <v>224.61482330862648</v>
      </c>
      <c r="AV487" s="133">
        <f t="shared" si="9922"/>
        <v>-72.165324284972357</v>
      </c>
      <c r="AW487" s="133">
        <f t="shared" si="9922"/>
        <v>-45.391319426115182</v>
      </c>
      <c r="AX487" s="133">
        <f t="shared" si="9922"/>
        <v>-143.17531235448044</v>
      </c>
      <c r="AY487" s="247">
        <f t="shared" si="9922"/>
        <v>-26.805388498835626</v>
      </c>
      <c r="AZ487" s="133">
        <f t="shared" si="9922"/>
        <v>-436.58360912097737</v>
      </c>
      <c r="BA487" s="133">
        <f t="shared" si="9922"/>
        <v>-439.87192485169248</v>
      </c>
      <c r="BB487" s="133">
        <f t="shared" si="9922"/>
        <v>-325.24562708956097</v>
      </c>
      <c r="BC487" s="133">
        <f t="shared" si="9922"/>
        <v>-367.96963282654917</v>
      </c>
      <c r="BD487" s="247">
        <f t="shared" si="9922"/>
        <v>-388.10542905739044</v>
      </c>
      <c r="BE487" s="133">
        <f t="shared" si="9922"/>
        <v>-270.55297121444056</v>
      </c>
      <c r="BF487" s="133">
        <f t="shared" si="9922"/>
        <v>-330.63755421414709</v>
      </c>
      <c r="BG487" s="133">
        <f t="shared" si="9922"/>
        <v>-359.27924266950794</v>
      </c>
      <c r="BH487" s="133">
        <f t="shared" si="9922"/>
        <v>-325.88158445321483</v>
      </c>
      <c r="BI487" s="247">
        <f t="shared" si="9922"/>
        <v>-324.33327777492639</v>
      </c>
      <c r="BJ487" s="133">
        <f t="shared" si="9922"/>
        <v>0</v>
      </c>
      <c r="BK487" s="133">
        <f t="shared" si="9922"/>
        <v>0</v>
      </c>
      <c r="BL487" s="133">
        <f t="shared" si="9922"/>
        <v>0</v>
      </c>
      <c r="BM487" s="133">
        <f t="shared" si="9922"/>
        <v>0</v>
      </c>
      <c r="BN487" s="247">
        <f t="shared" si="9922"/>
        <v>0</v>
      </c>
      <c r="BO487" s="133">
        <f t="shared" si="9922"/>
        <v>0</v>
      </c>
      <c r="BP487" s="133">
        <f t="shared" si="9922"/>
        <v>0</v>
      </c>
      <c r="BQ487" s="133">
        <f t="shared" si="9922"/>
        <v>0</v>
      </c>
      <c r="BR487" s="133">
        <f t="shared" si="9922"/>
        <v>0</v>
      </c>
      <c r="BS487" s="247">
        <f t="shared" ref="BS487:DB487" si="9923">+(BS485-BS480)*10000</f>
        <v>0</v>
      </c>
      <c r="BT487" s="133">
        <f t="shared" si="9923"/>
        <v>0</v>
      </c>
      <c r="BU487" s="133">
        <f t="shared" si="9923"/>
        <v>0</v>
      </c>
      <c r="BV487" s="133">
        <f t="shared" si="9923"/>
        <v>0</v>
      </c>
      <c r="BW487" s="133">
        <f t="shared" si="9923"/>
        <v>0</v>
      </c>
      <c r="BX487" s="247">
        <f t="shared" si="9923"/>
        <v>0</v>
      </c>
      <c r="BY487" s="133">
        <f t="shared" si="9923"/>
        <v>0</v>
      </c>
      <c r="BZ487" s="133">
        <f t="shared" si="9923"/>
        <v>0</v>
      </c>
      <c r="CA487" s="133">
        <f t="shared" si="9923"/>
        <v>0</v>
      </c>
      <c r="CB487" s="133">
        <f t="shared" si="9923"/>
        <v>0</v>
      </c>
      <c r="CC487" s="247">
        <f t="shared" si="9923"/>
        <v>0</v>
      </c>
      <c r="CD487" s="133">
        <f t="shared" si="9923"/>
        <v>0</v>
      </c>
      <c r="CE487" s="133">
        <f t="shared" si="9923"/>
        <v>0</v>
      </c>
      <c r="CF487" s="133">
        <f t="shared" si="9923"/>
        <v>0</v>
      </c>
      <c r="CG487" s="133">
        <f t="shared" si="9923"/>
        <v>0</v>
      </c>
      <c r="CH487" s="247">
        <f t="shared" si="9923"/>
        <v>0</v>
      </c>
      <c r="CI487" s="133">
        <f t="shared" si="9923"/>
        <v>0</v>
      </c>
      <c r="CJ487" s="133">
        <f t="shared" si="9923"/>
        <v>0</v>
      </c>
      <c r="CK487" s="133">
        <f t="shared" si="9923"/>
        <v>0</v>
      </c>
      <c r="CL487" s="133">
        <f t="shared" si="9923"/>
        <v>0</v>
      </c>
      <c r="CM487" s="247">
        <f t="shared" si="9923"/>
        <v>0</v>
      </c>
      <c r="CN487" s="133">
        <f t="shared" si="9923"/>
        <v>0</v>
      </c>
      <c r="CO487" s="133">
        <f t="shared" si="9923"/>
        <v>0</v>
      </c>
      <c r="CP487" s="133">
        <f t="shared" si="9923"/>
        <v>0</v>
      </c>
      <c r="CQ487" s="133">
        <f t="shared" si="9923"/>
        <v>0</v>
      </c>
      <c r="CR487" s="247">
        <f t="shared" si="9923"/>
        <v>0</v>
      </c>
      <c r="CS487" s="133">
        <f t="shared" si="9923"/>
        <v>0</v>
      </c>
      <c r="CT487" s="133">
        <f t="shared" si="9923"/>
        <v>0</v>
      </c>
      <c r="CU487" s="133">
        <f t="shared" si="9923"/>
        <v>0</v>
      </c>
      <c r="CV487" s="133">
        <f t="shared" si="9923"/>
        <v>0</v>
      </c>
      <c r="CW487" s="247">
        <f t="shared" si="9923"/>
        <v>0</v>
      </c>
      <c r="CX487" s="133">
        <f t="shared" si="9923"/>
        <v>0</v>
      </c>
      <c r="CY487" s="133">
        <f t="shared" si="9923"/>
        <v>0</v>
      </c>
      <c r="CZ487" s="133">
        <f t="shared" si="9923"/>
        <v>0</v>
      </c>
      <c r="DA487" s="133">
        <f t="shared" si="9923"/>
        <v>0</v>
      </c>
      <c r="DB487" s="247">
        <f t="shared" si="9923"/>
        <v>0</v>
      </c>
    </row>
    <row r="488" spans="1:106">
      <c r="A488" s="159" t="s">
        <v>471</v>
      </c>
      <c r="F488" s="217"/>
      <c r="G488" s="119" t="s">
        <v>326</v>
      </c>
      <c r="H488" s="119" t="s">
        <v>326</v>
      </c>
      <c r="I488" s="119" t="s">
        <v>326</v>
      </c>
      <c r="J488" s="119" t="s">
        <v>326</v>
      </c>
      <c r="K488" s="235" t="s">
        <v>326</v>
      </c>
      <c r="L488" s="160">
        <f>+L484/G484-1</f>
        <v>0.30851628895184113</v>
      </c>
      <c r="M488" s="160">
        <f t="shared" ref="M488:P488" si="9924">+M484/H484-1</f>
        <v>8.5559287005941842E-2</v>
      </c>
      <c r="N488" s="160">
        <f t="shared" si="9924"/>
        <v>0.35693052194953334</v>
      </c>
      <c r="O488" s="160">
        <f t="shared" si="9924"/>
        <v>-0.46445160678737341</v>
      </c>
      <c r="P488" s="248">
        <f t="shared" si="9924"/>
        <v>5.1477228744677417E-2</v>
      </c>
      <c r="Q488" s="160">
        <f>+Q484/L484-1</f>
        <v>-0.55344699276097709</v>
      </c>
      <c r="R488" s="160">
        <f t="shared" ref="R488" si="9925">+R484/M484-1</f>
        <v>-9.2951311217933541E-2</v>
      </c>
      <c r="S488" s="160">
        <f t="shared" ref="S488" si="9926">+S484/N484-1</f>
        <v>0.12308946403097631</v>
      </c>
      <c r="T488" s="160">
        <f t="shared" ref="T488" si="9927">+T484/O484-1</f>
        <v>0.50809806177537897</v>
      </c>
      <c r="U488" s="248">
        <f t="shared" ref="U488" si="9928">+U484/P484-1</f>
        <v>-0.12462576687116578</v>
      </c>
      <c r="V488" s="160">
        <f>+V484/Q484-1</f>
        <v>0.6474509506855548</v>
      </c>
      <c r="W488" s="160">
        <f t="shared" ref="W488" si="9929">+W484/R484-1</f>
        <v>0.15825375170532086</v>
      </c>
      <c r="X488" s="160">
        <f t="shared" ref="X488" si="9930">+X484/S484-1</f>
        <v>7.063146434403933E-2</v>
      </c>
      <c r="Y488" s="160">
        <f t="shared" ref="Y488" si="9931">+Y484/T484-1</f>
        <v>0.4187793427230051</v>
      </c>
      <c r="Z488" s="248">
        <f t="shared" ref="Z488" si="9932">+Z484/U484-1</f>
        <v>0.28392414112106401</v>
      </c>
      <c r="AA488" s="160">
        <f>+AA484/V484-1</f>
        <v>8.1524737906934153E-2</v>
      </c>
      <c r="AB488" s="160">
        <f t="shared" ref="AB488" si="9933">+AB484/W484-1</f>
        <v>0.38307511099030545</v>
      </c>
      <c r="AC488" s="160">
        <f t="shared" ref="AC488" si="9934">+AC484/X484-1</f>
        <v>0.44184568450489392</v>
      </c>
      <c r="AD488" s="160">
        <f t="shared" ref="AD488" si="9935">+AD484/Y484-1</f>
        <v>0.60398742554599294</v>
      </c>
      <c r="AE488" s="248">
        <f t="shared" ref="AE488" si="9936">+AE484/Z484-1</f>
        <v>0.38492778305439934</v>
      </c>
      <c r="AF488" s="160">
        <f>+AF484/AA484-1</f>
        <v>1.0846902767739466</v>
      </c>
      <c r="AG488" s="160">
        <f t="shared" ref="AG488" si="9937">+AG484/AB484-1</f>
        <v>0.29489027186374051</v>
      </c>
      <c r="AH488" s="160">
        <f t="shared" ref="AH488" si="9938">+AH484/AC484-1</f>
        <v>0.36125069793411457</v>
      </c>
      <c r="AI488" s="160">
        <f t="shared" ref="AI488" si="9939">+AI484/AD484-1</f>
        <v>0.35375728505853998</v>
      </c>
      <c r="AJ488" s="248">
        <f t="shared" ref="AJ488" si="9940">+AJ484/AE484-1</f>
        <v>0.4771240284412499</v>
      </c>
      <c r="AK488" s="160">
        <f>+AK484/AF484-1</f>
        <v>0.74374923522453806</v>
      </c>
      <c r="AL488" s="160">
        <f t="shared" ref="AL488" si="9941">+AL484/AG484-1</f>
        <v>0.66731591328763273</v>
      </c>
      <c r="AM488" s="160">
        <f t="shared" ref="AM488" si="9942">+AM484/AH484-1</f>
        <v>0.65677216009671469</v>
      </c>
      <c r="AN488" s="160">
        <f t="shared" ref="AN488" si="9943">+AN484/AI484-1</f>
        <v>0.50308594940566875</v>
      </c>
      <c r="AO488" s="248">
        <f t="shared" ref="AO488" si="9944">+AO484/AJ484-1</f>
        <v>0.63870106998959364</v>
      </c>
      <c r="AP488" s="160">
        <f>+AP484/AK484-1</f>
        <v>6.333111118908108E-2</v>
      </c>
      <c r="AQ488" s="160">
        <f t="shared" ref="AQ488" si="9945">+AQ484/AL484-1</f>
        <v>0.34968292016870461</v>
      </c>
      <c r="AR488" s="160">
        <f t="shared" ref="AR488" si="9946">+AR484/AM484-1</f>
        <v>0.22646426477294912</v>
      </c>
      <c r="AS488" s="160">
        <f t="shared" ref="AS488" si="9947">+AS484/AN484-1</f>
        <v>0.14009074088155526</v>
      </c>
      <c r="AT488" s="248">
        <f t="shared" ref="AT488" si="9948">+AT484/AO484-1</f>
        <v>0.18529446246434</v>
      </c>
      <c r="AU488" s="160">
        <f>+AU484/AP484-1</f>
        <v>0.13104115796651938</v>
      </c>
      <c r="AV488" s="160">
        <f t="shared" ref="AV488" si="9949">+AV484/AQ484-1</f>
        <v>0.29104234344615176</v>
      </c>
      <c r="AW488" s="160">
        <f t="shared" ref="AW488" si="9950">+AW484/AR484-1</f>
        <v>0.2620982735723778</v>
      </c>
      <c r="AX488" s="160">
        <f t="shared" ref="AX488" si="9951">+AX484/AS484-1</f>
        <v>0.67805691418408154</v>
      </c>
      <c r="AY488" s="248">
        <f t="shared" ref="AY488" si="9952">+AY484/AT484-1</f>
        <v>0.33924597352499952</v>
      </c>
      <c r="AZ488" s="160">
        <f>+AZ484/AU484-1</f>
        <v>0.70084215030340813</v>
      </c>
      <c r="BA488" s="160">
        <f t="shared" ref="BA488" si="9953">+BA484/AV484-1</f>
        <v>0.76981411344739037</v>
      </c>
      <c r="BB488" s="160">
        <f t="shared" ref="BB488" si="9954">+BB484/AW484-1</f>
        <v>0.99711267309230056</v>
      </c>
      <c r="BC488" s="160">
        <f t="shared" ref="BC488" si="9955">+BC484/AX484-1</f>
        <v>0.70006226897547785</v>
      </c>
      <c r="BD488" s="248">
        <f t="shared" ref="BD488" si="9956">+BD484/AY484-1</f>
        <v>0.78905711472181261</v>
      </c>
      <c r="BE488" s="160">
        <f>+BE484/AZ484-1</f>
        <v>0.61499934248517651</v>
      </c>
      <c r="BF488" s="160">
        <f t="shared" ref="BF488" si="9957">+BF484/BA484-1</f>
        <v>0.48227006178913001</v>
      </c>
      <c r="BG488" s="160">
        <f t="shared" ref="BG488" si="9958">+BG484/BB484-1</f>
        <v>0.38835053762534422</v>
      </c>
      <c r="BH488" s="160">
        <f t="shared" ref="BH488" si="9959">+BH484/BC484-1</f>
        <v>0.50300812818054963</v>
      </c>
      <c r="BI488" s="248">
        <f t="shared" ref="BI488" si="9960">+BI484/BD484-1</f>
        <v>0.4894422159993943</v>
      </c>
      <c r="BJ488" s="160">
        <f>+BJ484/BE484-1</f>
        <v>0.36682585840678805</v>
      </c>
      <c r="BK488" s="160">
        <f t="shared" ref="BK488" si="9961">+BK484/BF484-1</f>
        <v>0.36358723100247192</v>
      </c>
      <c r="BL488" s="160">
        <f t="shared" ref="BL488" si="9962">+BL484/BG484-1</f>
        <v>0.33297777739604006</v>
      </c>
      <c r="BM488" s="160">
        <f t="shared" ref="BM488" si="9963">+BM484/BH484-1</f>
        <v>0.24563079809391986</v>
      </c>
      <c r="BN488" s="248">
        <f t="shared" ref="BN488" si="9964">+BN484/BI484-1</f>
        <v>0.32149972402152227</v>
      </c>
      <c r="BO488" s="160">
        <f>+BO484/BJ484-1</f>
        <v>0.28093057694488577</v>
      </c>
      <c r="BP488" s="160">
        <f t="shared" ref="BP488" si="9965">+BP484/BK484-1</f>
        <v>0.20112509180298965</v>
      </c>
      <c r="BQ488" s="160">
        <f t="shared" ref="BQ488" si="9966">+BQ484/BL484-1</f>
        <v>0.18488877333286657</v>
      </c>
      <c r="BR488" s="160">
        <f t="shared" ref="BR488" si="9967">+BR484/BM484-1</f>
        <v>0.1474341469304441</v>
      </c>
      <c r="BS488" s="248">
        <f t="shared" ref="BS488" si="9968">+BS484/BN484-1</f>
        <v>0.19989316360654397</v>
      </c>
      <c r="BT488" s="160">
        <f>+BT484/BO484-1</f>
        <v>0.17824763347458217</v>
      </c>
      <c r="BU488" s="160">
        <f t="shared" ref="BU488" si="9969">+BU484/BP484-1</f>
        <v>0.18761970391122862</v>
      </c>
      <c r="BV488" s="160">
        <f t="shared" ref="BV488" si="9970">+BV484/BQ484-1</f>
        <v>0.18269457172993064</v>
      </c>
      <c r="BW488" s="160">
        <f t="shared" ref="BW488" si="9971">+BW484/BR484-1</f>
        <v>0.18185834776204346</v>
      </c>
      <c r="BX488" s="248">
        <f t="shared" ref="BX488" si="9972">+BX484/BS484-1</f>
        <v>0.18258302923683067</v>
      </c>
      <c r="BY488" s="160">
        <f>+BY484/BT484-1</f>
        <v>0.17720602273464436</v>
      </c>
      <c r="BZ488" s="160">
        <f t="shared" ref="BZ488" si="9973">+BZ484/BU484-1</f>
        <v>0.16995253888387318</v>
      </c>
      <c r="CA488" s="160">
        <f t="shared" ref="CA488" si="9974">+CA484/BV484-1</f>
        <v>0.17071115345133347</v>
      </c>
      <c r="CB488" s="160">
        <f t="shared" ref="CB488" si="9975">+CB484/BW484-1</f>
        <v>0.16216944918281739</v>
      </c>
      <c r="CC488" s="248">
        <f t="shared" ref="CC488" si="9976">+CC484/BX484-1</f>
        <v>0.16979736111389543</v>
      </c>
      <c r="CD488" s="160">
        <f>+CD484/BY484-1</f>
        <v>0.1599696171394378</v>
      </c>
      <c r="CE488" s="160">
        <f t="shared" ref="CE488" si="9977">+CE484/BZ484-1</f>
        <v>0.16188620542937282</v>
      </c>
      <c r="CF488" s="160">
        <f t="shared" ref="CF488" si="9978">+CF484/CA484-1</f>
        <v>0.1560110691479708</v>
      </c>
      <c r="CG488" s="160">
        <f t="shared" ref="CG488" si="9979">+CG484/CB484-1</f>
        <v>0.1545083802108973</v>
      </c>
      <c r="CH488" s="248">
        <f t="shared" ref="CH488" si="9980">+CH484/CC484-1</f>
        <v>0.15797862456551193</v>
      </c>
      <c r="CI488" s="160">
        <f>+CI484/CD484-1</f>
        <v>0.13866672847797012</v>
      </c>
      <c r="CJ488" s="160">
        <f t="shared" ref="CJ488" si="9981">+CJ484/CE484-1</f>
        <v>0.13305840348235298</v>
      </c>
      <c r="CK488" s="160">
        <f t="shared" ref="CK488" si="9982">+CK484/CF484-1</f>
        <v>0.12526328446566892</v>
      </c>
      <c r="CL488" s="160">
        <f t="shared" ref="CL488" si="9983">+CL484/CG484-1</f>
        <v>0.11800934411015218</v>
      </c>
      <c r="CM488" s="248">
        <f t="shared" ref="CM488" si="9984">+CM484/CH484-1</f>
        <v>0.12845590581603594</v>
      </c>
      <c r="CN488" s="160">
        <f>+CN484/CI484-1</f>
        <v>0.11616688902545413</v>
      </c>
      <c r="CO488" s="160">
        <f t="shared" ref="CO488" si="9985">+CO484/CJ484-1</f>
        <v>0.11559862752352057</v>
      </c>
      <c r="CP488" s="160">
        <f t="shared" ref="CP488" si="9986">+CP484/CK484-1</f>
        <v>0.11317590584374959</v>
      </c>
      <c r="CQ488" s="160">
        <f t="shared" ref="CQ488" si="9987">+CQ484/CL484-1</f>
        <v>0.11086940636443576</v>
      </c>
      <c r="CR488" s="248">
        <f t="shared" ref="CR488" si="9988">+CR484/CM484-1</f>
        <v>0.11388564632378384</v>
      </c>
      <c r="CS488" s="160">
        <f>+CS484/CN484-1</f>
        <v>0.1098957671873988</v>
      </c>
      <c r="CT488" s="160">
        <f t="shared" ref="CT488" si="9989">+CT484/CO484-1</f>
        <v>0.11006764454385265</v>
      </c>
      <c r="CU488" s="160">
        <f t="shared" ref="CU488" si="9990">+CU484/CP484-1</f>
        <v>0.10864788947467807</v>
      </c>
      <c r="CV488" s="160">
        <f t="shared" ref="CV488" si="9991">+CV484/CQ484-1</f>
        <v>0.10716261008148398</v>
      </c>
      <c r="CW488" s="248">
        <f t="shared" ref="CW488" si="9992">+CW484/CR484-1</f>
        <v>0.10890807042826367</v>
      </c>
      <c r="CX488" s="160">
        <f>+CX484/CS484-1</f>
        <v>9.4101705309238559E-2</v>
      </c>
      <c r="CY488" s="160">
        <f t="shared" ref="CY488" si="9993">+CY484/CT484-1</f>
        <v>9.0735224301784045E-2</v>
      </c>
      <c r="CZ488" s="160">
        <f t="shared" ref="CZ488" si="9994">+CZ484/CU484-1</f>
        <v>8.6417684912480919E-2</v>
      </c>
      <c r="DA488" s="160">
        <f t="shared" ref="DA488" si="9995">+DA484/CV484-1</f>
        <v>8.23409071179384E-2</v>
      </c>
      <c r="DB488" s="248">
        <f t="shared" ref="DB488" si="9996">+DB484/CW484-1</f>
        <v>8.8276920267167824E-2</v>
      </c>
    </row>
    <row r="489" spans="1:106">
      <c r="F489" s="217"/>
      <c r="K489" s="217"/>
      <c r="P489" s="217"/>
      <c r="U489" s="217"/>
      <c r="Z489" s="217"/>
      <c r="AE489" s="217"/>
      <c r="AJ489" s="217"/>
      <c r="AO489" s="217"/>
      <c r="AT489" s="217"/>
      <c r="AY489" s="217"/>
      <c r="BD489" s="217"/>
      <c r="BI489" s="217"/>
      <c r="BN489" s="217"/>
      <c r="BS489" s="217"/>
      <c r="BX489" s="217"/>
      <c r="CC489" s="217"/>
      <c r="CH489" s="217"/>
      <c r="CM489" s="217"/>
      <c r="CR489" s="217"/>
      <c r="CW489" s="217"/>
      <c r="DB489" s="217"/>
    </row>
    <row r="490" spans="1:106" s="51" customFormat="1">
      <c r="A490" s="51" t="s">
        <v>399</v>
      </c>
      <c r="F490" s="233"/>
      <c r="G490" s="225">
        <f t="shared" ref="G490:AL490" si="9997">+G479/G468*1000000</f>
        <v>353</v>
      </c>
      <c r="H490" s="225">
        <f t="shared" si="9997"/>
        <v>280.50724637681157</v>
      </c>
      <c r="I490" s="225">
        <f t="shared" si="9997"/>
        <v>172.20238095238096</v>
      </c>
      <c r="J490" s="225">
        <f t="shared" si="9997"/>
        <v>219.7708333333334</v>
      </c>
      <c r="K490" s="236">
        <f t="shared" si="9997"/>
        <v>247.63578274760388</v>
      </c>
      <c r="L490" s="225">
        <f t="shared" si="9997"/>
        <v>281.54285714285709</v>
      </c>
      <c r="M490" s="225">
        <f t="shared" si="9997"/>
        <v>203.99029126213594</v>
      </c>
      <c r="N490" s="225">
        <f t="shared" si="9997"/>
        <v>180.07339449541283</v>
      </c>
      <c r="O490" s="225">
        <f t="shared" si="9997"/>
        <v>96.572649572649567</v>
      </c>
      <c r="P490" s="236">
        <f t="shared" si="9997"/>
        <v>187.78801843317967</v>
      </c>
      <c r="Q490" s="225">
        <f t="shared" si="9997"/>
        <v>108.82934872217636</v>
      </c>
      <c r="R490" s="225">
        <f t="shared" si="9997"/>
        <v>151.61495624502786</v>
      </c>
      <c r="S490" s="225">
        <f t="shared" si="9997"/>
        <v>169.04907975460125</v>
      </c>
      <c r="T490" s="225">
        <f t="shared" si="9997"/>
        <v>123.65747460087087</v>
      </c>
      <c r="U490" s="236">
        <f t="shared" si="9997"/>
        <v>138.47631987577631</v>
      </c>
      <c r="V490" s="225">
        <f t="shared" si="9997"/>
        <v>132.3233245109671</v>
      </c>
      <c r="W490" s="225">
        <f t="shared" si="9997"/>
        <v>135.58385081722534</v>
      </c>
      <c r="X490" s="225">
        <f t="shared" si="9997"/>
        <v>141.17794846026851</v>
      </c>
      <c r="Y490" s="225">
        <f t="shared" si="9997"/>
        <v>138.78300803673949</v>
      </c>
      <c r="Z490" s="236">
        <f t="shared" si="9997"/>
        <v>137.01472176433813</v>
      </c>
      <c r="AA490" s="225">
        <f t="shared" si="9997"/>
        <v>117.48751248751249</v>
      </c>
      <c r="AB490" s="225">
        <f t="shared" si="9997"/>
        <v>157.20906282183321</v>
      </c>
      <c r="AC490" s="225">
        <f t="shared" si="9997"/>
        <v>169.97502497502504</v>
      </c>
      <c r="AD490" s="225">
        <f t="shared" si="9997"/>
        <v>185.18624641833784</v>
      </c>
      <c r="AE490" s="236">
        <f t="shared" si="9997"/>
        <v>157.78358208955217</v>
      </c>
      <c r="AF490" s="225">
        <f t="shared" si="9997"/>
        <v>208.21231422505309</v>
      </c>
      <c r="AG490" s="225">
        <f t="shared" si="9997"/>
        <v>168.87227680478432</v>
      </c>
      <c r="AH490" s="225">
        <f t="shared" si="9997"/>
        <v>176.80152671755727</v>
      </c>
      <c r="AI490" s="225">
        <f t="shared" si="9997"/>
        <v>177.95254237288134</v>
      </c>
      <c r="AJ490" s="236">
        <f t="shared" si="9997"/>
        <v>182.52970972141048</v>
      </c>
      <c r="AK490" s="225">
        <f t="shared" si="9997"/>
        <v>245.55715106260772</v>
      </c>
      <c r="AL490" s="225">
        <f t="shared" si="9997"/>
        <v>175.44317274421081</v>
      </c>
      <c r="AM490" s="225">
        <f t="shared" ref="AM490:BR490" si="9998">+AM479/AM468*1000000</f>
        <v>188.42376626565189</v>
      </c>
      <c r="AN490" s="225">
        <f t="shared" si="9998"/>
        <v>179.82224247948949</v>
      </c>
      <c r="AO490" s="236">
        <f t="shared" si="9998"/>
        <v>195.58471337579616</v>
      </c>
      <c r="AP490" s="225">
        <f t="shared" si="9998"/>
        <v>185.81238503985284</v>
      </c>
      <c r="AQ490" s="225">
        <f t="shared" si="9998"/>
        <v>177.96159231846366</v>
      </c>
      <c r="AR490" s="225">
        <f t="shared" si="9998"/>
        <v>181.8840579710145</v>
      </c>
      <c r="AS490" s="225">
        <f t="shared" si="9998"/>
        <v>160.7289619438985</v>
      </c>
      <c r="AT490" s="236">
        <f t="shared" si="9998"/>
        <v>176.1353077816492</v>
      </c>
      <c r="AU490" s="225">
        <f t="shared" si="9998"/>
        <v>149.52411370169276</v>
      </c>
      <c r="AV490" s="225">
        <f t="shared" si="9998"/>
        <v>191.599157485418</v>
      </c>
      <c r="AW490" s="225">
        <f t="shared" si="9998"/>
        <v>193.28274760383394</v>
      </c>
      <c r="AX490" s="225">
        <f t="shared" si="9998"/>
        <v>255.03828972559023</v>
      </c>
      <c r="AY490" s="236">
        <f t="shared" si="9998"/>
        <v>197.39604198381537</v>
      </c>
      <c r="AZ490" s="225">
        <f t="shared" si="9998"/>
        <v>283.5023104104377</v>
      </c>
      <c r="BA490" s="225">
        <f t="shared" si="9998"/>
        <v>319.83690648428257</v>
      </c>
      <c r="BB490" s="225">
        <f t="shared" si="9998"/>
        <v>350.27971126579007</v>
      </c>
      <c r="BC490" s="225">
        <f t="shared" si="9998"/>
        <v>377.94904137235125</v>
      </c>
      <c r="BD490" s="236">
        <f t="shared" si="9998"/>
        <v>333.85257937155353</v>
      </c>
      <c r="BE490" s="225">
        <f t="shared" si="9998"/>
        <v>370.44205356098701</v>
      </c>
      <c r="BF490" s="225">
        <f t="shared" si="9998"/>
        <v>406.28765678115116</v>
      </c>
      <c r="BG490" s="225">
        <f t="shared" si="9998"/>
        <v>430.14995523724264</v>
      </c>
      <c r="BH490" s="225">
        <f t="shared" si="9998"/>
        <v>482.27479428323954</v>
      </c>
      <c r="BI490" s="236">
        <f t="shared" si="9998"/>
        <v>423.54910081125541</v>
      </c>
      <c r="BJ490" s="225">
        <f t="shared" si="9998"/>
        <v>397.02521684728356</v>
      </c>
      <c r="BK490" s="225">
        <f t="shared" si="9998"/>
        <v>422.00213539182022</v>
      </c>
      <c r="BL490" s="225">
        <f t="shared" si="9998"/>
        <v>438.45189921193605</v>
      </c>
      <c r="BM490" s="225">
        <f t="shared" si="9998"/>
        <v>463.14693981168153</v>
      </c>
      <c r="BN490" s="236">
        <f t="shared" si="9998"/>
        <v>430.75245554621148</v>
      </c>
      <c r="BO490" s="225">
        <f t="shared" si="9998"/>
        <v>429.1951439171882</v>
      </c>
      <c r="BP490" s="225">
        <f t="shared" si="9998"/>
        <v>441.59316391437977</v>
      </c>
      <c r="BQ490" s="225">
        <f t="shared" si="9998"/>
        <v>447.03404089373731</v>
      </c>
      <c r="BR490" s="225">
        <f t="shared" si="9998"/>
        <v>467.13475017943563</v>
      </c>
      <c r="BS490" s="236">
        <f t="shared" ref="BS490:DB490" si="9999">+BS479/BS468*1000000</f>
        <v>446.40281984376918</v>
      </c>
      <c r="BT490" s="225">
        <f t="shared" si="9999"/>
        <v>455.37550871133749</v>
      </c>
      <c r="BU490" s="225">
        <f t="shared" si="9999"/>
        <v>466.59308048095346</v>
      </c>
      <c r="BV490" s="225">
        <f t="shared" si="9999"/>
        <v>474.57041653097104</v>
      </c>
      <c r="BW490" s="225">
        <f t="shared" si="9999"/>
        <v>495.13256443508038</v>
      </c>
      <c r="BX490" s="236">
        <f t="shared" si="9999"/>
        <v>473.109165334556</v>
      </c>
      <c r="BY490" s="225">
        <f t="shared" si="9999"/>
        <v>482.5031424415838</v>
      </c>
      <c r="BZ490" s="225">
        <f t="shared" si="9999"/>
        <v>494.41422957630056</v>
      </c>
      <c r="CA490" s="225">
        <f t="shared" si="9999"/>
        <v>500.49191618351517</v>
      </c>
      <c r="CB490" s="225">
        <f t="shared" si="9999"/>
        <v>520.72867534527563</v>
      </c>
      <c r="CC490" s="236">
        <f t="shared" si="9999"/>
        <v>499.68966277131318</v>
      </c>
      <c r="CD490" s="225">
        <f t="shared" si="9999"/>
        <v>509.09448249864812</v>
      </c>
      <c r="CE490" s="225">
        <f t="shared" si="9999"/>
        <v>521.0828325855914</v>
      </c>
      <c r="CF490" s="225">
        <f t="shared" si="9999"/>
        <v>526.40609501356403</v>
      </c>
      <c r="CG490" s="225">
        <f t="shared" si="9999"/>
        <v>546.59076274644451</v>
      </c>
      <c r="CH490" s="236">
        <f t="shared" si="9999"/>
        <v>525.9419898045652</v>
      </c>
      <c r="CI490" s="225">
        <f t="shared" si="9999"/>
        <v>530.89233582903512</v>
      </c>
      <c r="CJ490" s="225">
        <f t="shared" si="9999"/>
        <v>541.19597342257873</v>
      </c>
      <c r="CK490" s="225">
        <f t="shared" si="9999"/>
        <v>544.73980027671223</v>
      </c>
      <c r="CL490" s="225">
        <f t="shared" si="9999"/>
        <v>563.37423225724285</v>
      </c>
      <c r="CM490" s="236">
        <f t="shared" si="9999"/>
        <v>545.1477925852131</v>
      </c>
      <c r="CN490" s="225">
        <f t="shared" si="9999"/>
        <v>548.30272230422258</v>
      </c>
      <c r="CO490" s="225">
        <f t="shared" si="9999"/>
        <v>558.11599146955689</v>
      </c>
      <c r="CP490" s="225">
        <f t="shared" si="9999"/>
        <v>561.35328410073441</v>
      </c>
      <c r="CQ490" s="225">
        <f t="shared" si="9999"/>
        <v>579.56436829983863</v>
      </c>
      <c r="CR490" s="236">
        <f t="shared" si="9999"/>
        <v>561.92320761663825</v>
      </c>
      <c r="CS490" s="225">
        <f t="shared" si="9999"/>
        <v>565.24964218355433</v>
      </c>
      <c r="CT490" s="225">
        <f t="shared" si="9999"/>
        <v>574.87599866029109</v>
      </c>
      <c r="CU490" s="225">
        <f t="shared" si="9999"/>
        <v>577.97428706903077</v>
      </c>
      <c r="CV490" s="225">
        <f t="shared" si="9999"/>
        <v>596.04233243651151</v>
      </c>
      <c r="CW490" s="236">
        <f t="shared" si="9999"/>
        <v>578.6221203989744</v>
      </c>
      <c r="CX490" s="225">
        <f t="shared" si="9999"/>
        <v>576.77298928405378</v>
      </c>
      <c r="CY490" s="225">
        <f t="shared" si="9999"/>
        <v>585.01864711370592</v>
      </c>
      <c r="CZ490" s="225">
        <f t="shared" si="9999"/>
        <v>587.0838570752511</v>
      </c>
      <c r="DA490" s="225">
        <f t="shared" si="9999"/>
        <v>604.0026086168117</v>
      </c>
      <c r="DB490" s="236">
        <f t="shared" si="9999"/>
        <v>588.2814214803401</v>
      </c>
    </row>
    <row r="491" spans="1:106">
      <c r="A491" s="117" t="s">
        <v>281</v>
      </c>
      <c r="F491" s="217"/>
      <c r="G491" s="119" t="s">
        <v>326</v>
      </c>
      <c r="H491" s="119" t="s">
        <v>326</v>
      </c>
      <c r="I491" s="119" t="s">
        <v>326</v>
      </c>
      <c r="J491" s="119" t="s">
        <v>326</v>
      </c>
      <c r="K491" s="235" t="s">
        <v>326</v>
      </c>
      <c r="L491" s="160">
        <f>+L490/G490-1</f>
        <v>-0.2024281667341159</v>
      </c>
      <c r="M491" s="160">
        <f t="shared" ref="M491:P491" si="10000">+M490/H490-1</f>
        <v>-0.27278067181155352</v>
      </c>
      <c r="N491" s="160">
        <f t="shared" si="10000"/>
        <v>4.5707925172117303E-2</v>
      </c>
      <c r="O491" s="160">
        <f t="shared" si="10000"/>
        <v>-0.56057567736399871</v>
      </c>
      <c r="P491" s="248">
        <f t="shared" si="10000"/>
        <v>-0.24167656083621181</v>
      </c>
      <c r="Q491" s="160">
        <f>+Q490/L490-1</f>
        <v>-0.61345370354412698</v>
      </c>
      <c r="R491" s="160">
        <f t="shared" ref="R491" si="10001">+R490/M490-1</f>
        <v>-0.25675405772034321</v>
      </c>
      <c r="S491" s="160">
        <f t="shared" ref="S491" si="10002">+S490/N490-1</f>
        <v>-6.1221230219505873E-2</v>
      </c>
      <c r="T491" s="160">
        <f t="shared" ref="T491" si="10003">+T490/O490-1</f>
        <v>0.28046061848852921</v>
      </c>
      <c r="U491" s="248">
        <f t="shared" ref="U491" si="10004">+U490/P490-1</f>
        <v>-0.26259235796212343</v>
      </c>
      <c r="V491" s="160">
        <f>+V490/Q490-1</f>
        <v>0.2158790442527323</v>
      </c>
      <c r="W491" s="160">
        <f t="shared" ref="W491" si="10005">+W490/R490-1</f>
        <v>-0.1057356465670467</v>
      </c>
      <c r="X491" s="160">
        <f t="shared" ref="X491" si="10006">+X490/S490-1</f>
        <v>-0.16487005628656271</v>
      </c>
      <c r="Y491" s="160">
        <f t="shared" ref="Y491" si="10007">+Y490/T490-1</f>
        <v>0.12231798752715339</v>
      </c>
      <c r="Z491" s="248">
        <f t="shared" ref="Z491" si="10008">+Z490/U490-1</f>
        <v>-1.0554859579958054E-2</v>
      </c>
      <c r="AA491" s="160">
        <f>+AA490/V490-1</f>
        <v>-0.11211789061591326</v>
      </c>
      <c r="AB491" s="160">
        <f t="shared" ref="AB491" si="10009">+AB490/W490-1</f>
        <v>0.15949695980946776</v>
      </c>
      <c r="AC491" s="160">
        <f t="shared" ref="AC491" si="10010">+AC490/X490-1</f>
        <v>0.20397715669356709</v>
      </c>
      <c r="AD491" s="160">
        <f t="shared" ref="AD491" si="10011">+AD490/Y490-1</f>
        <v>0.33435821170062985</v>
      </c>
      <c r="AE491" s="248">
        <f t="shared" ref="AE491" si="10012">+AE490/Z490-1</f>
        <v>0.15158123198568374</v>
      </c>
      <c r="AF491" s="160">
        <f>+AF490/AA490-1</f>
        <v>0.77220803995814924</v>
      </c>
      <c r="AG491" s="160">
        <f t="shared" ref="AG491" si="10013">+AG490/AB490-1</f>
        <v>7.4189196052705686E-2</v>
      </c>
      <c r="AH491" s="160">
        <f t="shared" ref="AH491" si="10014">+AH490/AC490-1</f>
        <v>4.0161792848892208E-2</v>
      </c>
      <c r="AI491" s="160">
        <f t="shared" ref="AI491" si="10015">+AI490/AD490-1</f>
        <v>-3.9061777995734515E-2</v>
      </c>
      <c r="AJ491" s="248">
        <f t="shared" ref="AJ491" si="10016">+AJ490/AE490-1</f>
        <v>0.15683588434323492</v>
      </c>
      <c r="AK491" s="160">
        <f>+AK490/AF490-1</f>
        <v>0.17935940521360916</v>
      </c>
      <c r="AL491" s="160">
        <f t="shared" ref="AL491" si="10017">+AL490/AG490-1</f>
        <v>3.8910447965490702E-2</v>
      </c>
      <c r="AM491" s="160">
        <f t="shared" ref="AM491" si="10018">+AM490/AH490-1</f>
        <v>6.5736081378195976E-2</v>
      </c>
      <c r="AN491" s="160">
        <f t="shared" ref="AN491" si="10019">+AN490/AI490-1</f>
        <v>1.0506734445470123E-2</v>
      </c>
      <c r="AO491" s="248">
        <f t="shared" ref="AO491" si="10020">+AO490/AJ490-1</f>
        <v>7.1522623217399106E-2</v>
      </c>
      <c r="AP491" s="160">
        <f>+AP490/AK490-1</f>
        <v>-0.24330289614543632</v>
      </c>
      <c r="AQ491" s="160">
        <f t="shared" ref="AQ491" si="10021">+AQ490/AL490-1</f>
        <v>1.4354617138192083E-2</v>
      </c>
      <c r="AR491" s="160">
        <f t="shared" ref="AR491" si="10022">+AR490/AM490-1</f>
        <v>-3.4707449194160023E-2</v>
      </c>
      <c r="AS491" s="160">
        <f t="shared" ref="AS491" si="10023">+AS490/AN490-1</f>
        <v>-0.10617863659312765</v>
      </c>
      <c r="AT491" s="248">
        <f t="shared" ref="AT491" si="10024">+AT490/AO490-1</f>
        <v>-9.9442360593779644E-2</v>
      </c>
      <c r="AU491" s="160">
        <f>+AU490/AP490-1</f>
        <v>-0.19529522389143772</v>
      </c>
      <c r="AV491" s="160">
        <f t="shared" ref="AV491" si="10025">+AV490/AQ490-1</f>
        <v>7.663206981509707E-2</v>
      </c>
      <c r="AW491" s="160">
        <f t="shared" ref="AW491" si="10026">+AW490/AR490-1</f>
        <v>6.267008642745342E-2</v>
      </c>
      <c r="AX491" s="160">
        <f t="shared" ref="AX491" si="10027">+AX490/AS490-1</f>
        <v>0.58676001288809321</v>
      </c>
      <c r="AY491" s="248">
        <f t="shared" ref="AY491" si="10028">+AY490/AT490-1</f>
        <v>0.12070682743815686</v>
      </c>
      <c r="AZ491" s="160">
        <f>+AZ490/AU490-1</f>
        <v>0.89603070295428999</v>
      </c>
      <c r="BA491" s="160">
        <f t="shared" ref="BA491" si="10029">+BA490/AV490-1</f>
        <v>0.66930225937253573</v>
      </c>
      <c r="BB491" s="160">
        <f t="shared" ref="BB491" si="10030">+BB490/AW490-1</f>
        <v>0.81226578992838139</v>
      </c>
      <c r="BC491" s="160">
        <f t="shared" ref="BC491" si="10031">+BC490/AX490-1</f>
        <v>0.48193058296857094</v>
      </c>
      <c r="BD491" s="248">
        <f t="shared" ref="BD491" si="10032">+BD490/AY490-1</f>
        <v>0.69128304709841304</v>
      </c>
      <c r="BE491" s="160">
        <f>+BE490/AZ490-1</f>
        <v>0.30666326149047296</v>
      </c>
      <c r="BF491" s="160">
        <f t="shared" ref="BF491" si="10033">+BF490/BA490-1</f>
        <v>0.27029635587448064</v>
      </c>
      <c r="BG491" s="160">
        <f t="shared" ref="BG491" si="10034">+BG490/BB490-1</f>
        <v>0.22801847038993217</v>
      </c>
      <c r="BH491" s="160">
        <f t="shared" ref="BH491" si="10035">+BH490/BC490-1</f>
        <v>0.27603126742186324</v>
      </c>
      <c r="BI491" s="248">
        <f t="shared" ref="BI491" si="10036">+BI490/BD490-1</f>
        <v>0.26867104519170493</v>
      </c>
      <c r="BJ491" s="160">
        <f>+BJ490/BE490-1</f>
        <v>7.1760651985264046E-2</v>
      </c>
      <c r="BK491" s="160">
        <f t="shared" ref="BK491" si="10037">+BK490/BF490-1</f>
        <v>3.8678208280232607E-2</v>
      </c>
      <c r="BL491" s="160">
        <f t="shared" ref="BL491" si="10038">+BL490/BG490-1</f>
        <v>1.9300115863349676E-2</v>
      </c>
      <c r="BM491" s="160">
        <f t="shared" ref="BM491" si="10039">+BM490/BH490-1</f>
        <v>-3.9661733721717662E-2</v>
      </c>
      <c r="BN491" s="248">
        <f t="shared" ref="BN491" si="10040">+BN490/BI490-1</f>
        <v>1.7007130274055537E-2</v>
      </c>
      <c r="BO491" s="160">
        <f>+BO490/BJ490-1</f>
        <v>8.1027415148491322E-2</v>
      </c>
      <c r="BP491" s="160">
        <f t="shared" ref="BP491" si="10041">+BP490/BK490-1</f>
        <v>4.6424003291759774E-2</v>
      </c>
      <c r="BQ491" s="160">
        <f t="shared" ref="BQ491" si="10042">+BQ490/BL490-1</f>
        <v>1.9573735904044653E-2</v>
      </c>
      <c r="BR491" s="160">
        <f t="shared" ref="BR491" si="10043">+BR490/BM490-1</f>
        <v>8.6102487676493755E-3</v>
      </c>
      <c r="BS491" s="248">
        <f t="shared" ref="BS491" si="10044">+BS490/BN490-1</f>
        <v>3.6332617715927773E-2</v>
      </c>
      <c r="BT491" s="160">
        <f>+BT490/BO490-1</f>
        <v>6.0998744196417709E-2</v>
      </c>
      <c r="BU491" s="160">
        <f t="shared" ref="BU491" si="10045">+BU490/BP490-1</f>
        <v>5.6613006290606727E-2</v>
      </c>
      <c r="BV491" s="160">
        <f t="shared" ref="BV491" si="10046">+BV490/BQ490-1</f>
        <v>6.1597939123788858E-2</v>
      </c>
      <c r="BW491" s="160">
        <f t="shared" ref="BW491" si="10047">+BW490/BR490-1</f>
        <v>5.9935199093816616E-2</v>
      </c>
      <c r="BX491" s="248">
        <f t="shared" ref="BX491" si="10048">+BX490/BS490-1</f>
        <v>5.9825664856089977E-2</v>
      </c>
      <c r="BY491" s="160">
        <f>+BY490/BT490-1</f>
        <v>5.9572008619906969E-2</v>
      </c>
      <c r="BZ491" s="160">
        <f t="shared" ref="BZ491" si="10049">+BZ490/BU490-1</f>
        <v>5.9626150192089611E-2</v>
      </c>
      <c r="CA491" s="160">
        <f t="shared" ref="CA491" si="10050">+CA490/BV490-1</f>
        <v>5.4620976676182043E-2</v>
      </c>
      <c r="CB491" s="160">
        <f t="shared" ref="CB491" si="10051">+CB490/BW490-1</f>
        <v>5.1695470564330659E-2</v>
      </c>
      <c r="CC491" s="248">
        <f t="shared" ref="CC491" si="10052">+CC490/BX490-1</f>
        <v>5.6182588257323252E-2</v>
      </c>
      <c r="CD491" s="160">
        <f>+CD490/BY490-1</f>
        <v>5.511122668031887E-2</v>
      </c>
      <c r="CE491" s="160">
        <f t="shared" ref="CE491" si="10053">+CE490/BZ490-1</f>
        <v>5.3939796660272377E-2</v>
      </c>
      <c r="CF491" s="160">
        <f t="shared" ref="CF491" si="10054">+CF490/CA490-1</f>
        <v>5.1777417361016598E-2</v>
      </c>
      <c r="CG491" s="160">
        <f t="shared" ref="CG491" si="10055">+CG490/CB490-1</f>
        <v>4.9665187698796798E-2</v>
      </c>
      <c r="CH491" s="248">
        <f t="shared" ref="CH491" si="10056">+CH490/CC490-1</f>
        <v>5.2537262603462365E-2</v>
      </c>
      <c r="CI491" s="160">
        <f>+CI490/CD490-1</f>
        <v>4.2816911358776855E-2</v>
      </c>
      <c r="CJ491" s="160">
        <f t="shared" ref="CJ491" si="10057">+CJ490/CE490-1</f>
        <v>3.8598740121962516E-2</v>
      </c>
      <c r="CK491" s="160">
        <f t="shared" ref="CK491" si="10058">+CK490/CF490-1</f>
        <v>3.4828064182417462E-2</v>
      </c>
      <c r="CL491" s="160">
        <f t="shared" ref="CL491" si="10059">+CL490/CG490-1</f>
        <v>3.0705732066284463E-2</v>
      </c>
      <c r="CM491" s="248">
        <f t="shared" ref="CM491" si="10060">+CM490/CH490-1</f>
        <v>3.6516960335843507E-2</v>
      </c>
      <c r="CN491" s="160">
        <f>+CN490/CI490-1</f>
        <v>3.279457114030393E-2</v>
      </c>
      <c r="CO491" s="160">
        <f t="shared" ref="CO491" si="10061">+CO490/CJ490-1</f>
        <v>3.1264124047291508E-2</v>
      </c>
      <c r="CP491" s="160">
        <f t="shared" ref="CP491" si="10062">+CP490/CK490-1</f>
        <v>3.0498017247102105E-2</v>
      </c>
      <c r="CQ491" s="160">
        <f t="shared" ref="CQ491" si="10063">+CQ490/CL490-1</f>
        <v>2.8737800054730256E-2</v>
      </c>
      <c r="CR491" s="248">
        <f t="shared" ref="CR491" si="10064">+CR490/CM490-1</f>
        <v>3.0772233254164671E-2</v>
      </c>
      <c r="CS491" s="160">
        <f>+CS490/CN490-1</f>
        <v>3.0907962317080928E-2</v>
      </c>
      <c r="CT491" s="160">
        <f t="shared" ref="CT491" si="10065">+CT490/CO490-1</f>
        <v>3.0029612924374227E-2</v>
      </c>
      <c r="CU491" s="160">
        <f t="shared" ref="CU491" si="10066">+CU490/CP490-1</f>
        <v>2.9608810421270615E-2</v>
      </c>
      <c r="CV491" s="160">
        <f t="shared" ref="CV491" si="10067">+CV490/CQ490-1</f>
        <v>2.8431637688512978E-2</v>
      </c>
      <c r="CW491" s="248">
        <f t="shared" ref="CW491" si="10068">+CW490/CR490-1</f>
        <v>2.9717428566731652E-2</v>
      </c>
      <c r="CX491" s="160">
        <f>+CX490/CS490-1</f>
        <v>2.0386297027955358E-2</v>
      </c>
      <c r="CY491" s="160">
        <f t="shared" ref="CY491" si="10069">+CY490/CT490-1</f>
        <v>1.7643193448763972E-2</v>
      </c>
      <c r="CZ491" s="160">
        <f t="shared" ref="CZ491" si="10070">+CZ490/CU490-1</f>
        <v>1.576120289436389E-2</v>
      </c>
      <c r="DA491" s="160">
        <f t="shared" ref="DA491" si="10071">+DA490/CV490-1</f>
        <v>1.3355219498856874E-2</v>
      </c>
      <c r="DB491" s="248">
        <f t="shared" ref="DB491" si="10072">+DB490/CW490-1</f>
        <v>1.6693625668346979E-2</v>
      </c>
    </row>
    <row r="492" spans="1:106">
      <c r="A492" s="117" t="s">
        <v>288</v>
      </c>
      <c r="F492" s="217"/>
      <c r="G492" s="119" t="s">
        <v>326</v>
      </c>
      <c r="H492" s="160">
        <f>+H490/G490-1</f>
        <v>-0.2053619082809871</v>
      </c>
      <c r="I492" s="160">
        <f t="shared" ref="I492:J492" si="10073">+I490/H490-1</f>
        <v>-0.38610362770786422</v>
      </c>
      <c r="J492" s="160">
        <f t="shared" si="10073"/>
        <v>0.27623574144486729</v>
      </c>
      <c r="K492" s="235" t="s">
        <v>326</v>
      </c>
      <c r="L492" s="160">
        <f>+L490/J490-1</f>
        <v>0.28107471256584859</v>
      </c>
      <c r="M492" s="160">
        <f>+M490/L490-1</f>
        <v>-0.27545563282172125</v>
      </c>
      <c r="N492" s="160">
        <f t="shared" ref="N492:O492" si="10074">+N490/M490-1</f>
        <v>-0.11724526995252393</v>
      </c>
      <c r="O492" s="160">
        <f t="shared" si="10074"/>
        <v>-0.46370395336158532</v>
      </c>
      <c r="P492" s="235" t="s">
        <v>326</v>
      </c>
      <c r="Q492" s="160">
        <f>+Q490/O490-1</f>
        <v>0.12691687764356452</v>
      </c>
      <c r="R492" s="160">
        <f>+R490/Q490-1</f>
        <v>0.39314401882598959</v>
      </c>
      <c r="S492" s="160">
        <f t="shared" ref="S492:T492" si="10075">+S490/R490-1</f>
        <v>0.11498947030923379</v>
      </c>
      <c r="T492" s="160">
        <f t="shared" si="10075"/>
        <v>-0.26851140047389044</v>
      </c>
      <c r="U492" s="235" t="s">
        <v>326</v>
      </c>
      <c r="V492" s="160">
        <f>+V490/T490-1</f>
        <v>7.00794669959659E-2</v>
      </c>
      <c r="W492" s="160">
        <f>+W490/V490-1</f>
        <v>2.4640601483588043E-2</v>
      </c>
      <c r="X492" s="160">
        <f t="shared" ref="X492:Y492" si="10076">+X490/W490-1</f>
        <v>4.125932114573394E-2</v>
      </c>
      <c r="Y492" s="160">
        <f t="shared" si="10076"/>
        <v>-1.696398374993402E-2</v>
      </c>
      <c r="Z492" s="235" t="s">
        <v>326</v>
      </c>
      <c r="AA492" s="160">
        <f>+AA490/Y490-1</f>
        <v>-0.1534445451966967</v>
      </c>
      <c r="AB492" s="160">
        <f>+AB490/AA490-1</f>
        <v>0.33809167879473701</v>
      </c>
      <c r="AC492" s="160">
        <f t="shared" ref="AC492:AD492" si="10077">+AC490/AB490-1</f>
        <v>8.1203729123807689E-2</v>
      </c>
      <c r="AD492" s="160">
        <f t="shared" si="10077"/>
        <v>8.9490920478157543E-2</v>
      </c>
      <c r="AE492" s="235" t="s">
        <v>326</v>
      </c>
      <c r="AF492" s="160">
        <f>+AF490/AD490-1</f>
        <v>0.12434005360581213</v>
      </c>
      <c r="AG492" s="160">
        <f>+AG490/AF490-1</f>
        <v>-0.18894193442250873</v>
      </c>
      <c r="AH492" s="160">
        <f t="shared" ref="AH492:AI492" si="10078">+AH490/AG490-1</f>
        <v>4.6954124518254314E-2</v>
      </c>
      <c r="AI492" s="160">
        <f t="shared" si="10078"/>
        <v>6.5102133261714101E-3</v>
      </c>
      <c r="AJ492" s="235" t="s">
        <v>326</v>
      </c>
      <c r="AK492" s="160">
        <f>+AK490/AI490-1</f>
        <v>0.37990246044402021</v>
      </c>
      <c r="AL492" s="160">
        <f>+AL490/AK490-1</f>
        <v>-0.28553018315691614</v>
      </c>
      <c r="AM492" s="160">
        <f t="shared" ref="AM492:AN492" si="10079">+AM490/AL490-1</f>
        <v>7.3987453135986536E-2</v>
      </c>
      <c r="AN492" s="160">
        <f t="shared" si="10079"/>
        <v>-4.5649887785574883E-2</v>
      </c>
      <c r="AO492" s="235" t="s">
        <v>326</v>
      </c>
      <c r="AP492" s="160">
        <f>+AP490/AN490-1</f>
        <v>3.3311466244486443E-2</v>
      </c>
      <c r="AQ492" s="160">
        <f>+AQ490/AP490-1</f>
        <v>-4.2251181048590269E-2</v>
      </c>
      <c r="AR492" s="160">
        <f t="shared" ref="AR492:AS492" si="10080">+AR490/AQ490-1</f>
        <v>2.2041079771479843E-2</v>
      </c>
      <c r="AS492" s="160">
        <f t="shared" si="10080"/>
        <v>-0.11631088652358601</v>
      </c>
      <c r="AT492" s="235" t="s">
        <v>326</v>
      </c>
      <c r="AU492" s="160">
        <f>+AU490/AS490-1</f>
        <v>-6.9712689652762894E-2</v>
      </c>
      <c r="AV492" s="160">
        <f>+AV490/AU490-1</f>
        <v>0.28139303248215097</v>
      </c>
      <c r="AW492" s="160">
        <f t="shared" ref="AW492:AX492" si="10081">+AW490/AV490-1</f>
        <v>8.7870434322971924E-3</v>
      </c>
      <c r="AX492" s="160">
        <f t="shared" si="10081"/>
        <v>0.31950881745708015</v>
      </c>
      <c r="AY492" s="235" t="s">
        <v>326</v>
      </c>
      <c r="AZ492" s="160">
        <f>+AZ490/AX490-1</f>
        <v>0.11160685211414134</v>
      </c>
      <c r="BA492" s="160">
        <f>+BA490/AZ490-1</f>
        <v>0.12816331556960447</v>
      </c>
      <c r="BB492" s="160">
        <f t="shared" ref="BB492:BC492" si="10082">+BB490/BA490-1</f>
        <v>9.5182276229911933E-2</v>
      </c>
      <c r="BC492" s="160">
        <f t="shared" si="10082"/>
        <v>7.8992100360519846E-2</v>
      </c>
      <c r="BD492" s="235" t="s">
        <v>326</v>
      </c>
      <c r="BE492" s="160">
        <f>+BE490/BC490-1</f>
        <v>-1.9862433792942058E-2</v>
      </c>
      <c r="BF492" s="160">
        <f>+BF490/BE490-1</f>
        <v>9.6764400465841671E-2</v>
      </c>
      <c r="BG492" s="160">
        <f t="shared" ref="BG492:BH492" si="10083">+BG490/BF490-1</f>
        <v>5.8732521300653318E-2</v>
      </c>
      <c r="BH492" s="160">
        <f t="shared" si="10083"/>
        <v>0.12117829703654914</v>
      </c>
      <c r="BI492" s="235" t="s">
        <v>326</v>
      </c>
      <c r="BJ492" s="160">
        <f>+BJ490/BH490-1</f>
        <v>-0.17676556694747969</v>
      </c>
      <c r="BK492" s="160">
        <f>+BK490/BJ490-1</f>
        <v>6.2910156545910478E-2</v>
      </c>
      <c r="BL492" s="160">
        <f t="shared" ref="BL492:BM492" si="10084">+BL490/BK490-1</f>
        <v>3.8980285739176557E-2</v>
      </c>
      <c r="BM492" s="160">
        <f t="shared" si="10084"/>
        <v>5.6323260645311013E-2</v>
      </c>
      <c r="BN492" s="235" t="s">
        <v>326</v>
      </c>
      <c r="BO492" s="160">
        <f>+BO490/BM490-1</f>
        <v>-7.3306747764107727E-2</v>
      </c>
      <c r="BP492" s="160">
        <f>+BP490/BO490-1</f>
        <v>2.8886673516473227E-2</v>
      </c>
      <c r="BQ492" s="160">
        <f t="shared" ref="BQ492:BR492" si="10085">+BQ490/BP490-1</f>
        <v>1.232101722573864E-2</v>
      </c>
      <c r="BR492" s="160">
        <f t="shared" si="10085"/>
        <v>4.4964605481747633E-2</v>
      </c>
      <c r="BS492" s="235" t="s">
        <v>326</v>
      </c>
      <c r="BT492" s="160">
        <f>+BT490/BR490-1</f>
        <v>-2.5173125021380249E-2</v>
      </c>
      <c r="BU492" s="160">
        <f>+BU490/BT490-1</f>
        <v>2.4633673869199679E-2</v>
      </c>
      <c r="BV492" s="160">
        <f t="shared" ref="BV492:BW492" si="10086">+BV490/BU490-1</f>
        <v>1.7096987468812719E-2</v>
      </c>
      <c r="BW492" s="160">
        <f t="shared" si="10086"/>
        <v>4.3327917602650201E-2</v>
      </c>
      <c r="BX492" s="235" t="s">
        <v>326</v>
      </c>
      <c r="BY492" s="160">
        <f>+BY490/BW490-1</f>
        <v>-2.5507152832708657E-2</v>
      </c>
      <c r="BZ492" s="160">
        <f>+BZ490/BY490-1</f>
        <v>2.4686030176806151E-2</v>
      </c>
      <c r="CA492" s="160">
        <f t="shared" ref="CA492:CB492" si="10087">+CA490/BZ490-1</f>
        <v>1.2292701632845349E-2</v>
      </c>
      <c r="CB492" s="160">
        <f t="shared" si="10087"/>
        <v>4.0433738303058409E-2</v>
      </c>
      <c r="CC492" s="235" t="s">
        <v>326</v>
      </c>
      <c r="CD492" s="160">
        <f>+CD490/CB490-1</f>
        <v>-2.2342139769647495E-2</v>
      </c>
      <c r="CE492" s="160">
        <f>+CE490/CD490-1</f>
        <v>2.3548379522999596E-2</v>
      </c>
      <c r="CF492" s="160">
        <f t="shared" ref="CF492:CG492" si="10088">+CF490/CE490-1</f>
        <v>1.0215770113858547E-2</v>
      </c>
      <c r="CG492" s="160">
        <f t="shared" si="10088"/>
        <v>3.8344289559109956E-2</v>
      </c>
      <c r="CH492" s="235" t="s">
        <v>326</v>
      </c>
      <c r="CI492" s="160">
        <f>+CI490/CG490-1</f>
        <v>-2.872062242422424E-2</v>
      </c>
      <c r="CJ492" s="160">
        <f>+CJ490/CI490-1</f>
        <v>1.9408149069346736E-2</v>
      </c>
      <c r="CK492" s="160">
        <f t="shared" ref="CK492:CL492" si="10089">+CK490/CJ490-1</f>
        <v>6.5481397278734921E-3</v>
      </c>
      <c r="CL492" s="160">
        <f t="shared" si="10089"/>
        <v>3.4207950238012375E-2</v>
      </c>
      <c r="CM492" s="235" t="s">
        <v>326</v>
      </c>
      <c r="CN492" s="160">
        <f>+CN490/CL490-1</f>
        <v>-2.6752217425056957E-2</v>
      </c>
      <c r="CO492" s="160">
        <f>+CO490/CN490-1</f>
        <v>1.7897538651813427E-2</v>
      </c>
      <c r="CP492" s="160">
        <f t="shared" ref="CP492:CQ492" si="10090">+CP490/CO490-1</f>
        <v>5.800393969457085E-3</v>
      </c>
      <c r="CQ492" s="160">
        <f t="shared" si="10090"/>
        <v>3.2441396024390778E-2</v>
      </c>
      <c r="CR492" s="235" t="s">
        <v>326</v>
      </c>
      <c r="CS492" s="160">
        <f>+CS490/CQ490-1</f>
        <v>-2.4699113505332937E-2</v>
      </c>
      <c r="CT492" s="160">
        <f>+CT490/CS490-1</f>
        <v>1.7030274339582485E-2</v>
      </c>
      <c r="CU492" s="160">
        <f t="shared" ref="CU492:CV492" si="10091">+CU490/CT490-1</f>
        <v>5.3894899351512038E-3</v>
      </c>
      <c r="CV492" s="160">
        <f t="shared" si="10091"/>
        <v>3.1260984738794795E-2</v>
      </c>
      <c r="CW492" s="235" t="s">
        <v>326</v>
      </c>
      <c r="CX492" s="160">
        <f>+CX490/CV490-1</f>
        <v>-3.2328816434376684E-2</v>
      </c>
      <c r="CY492" s="160">
        <f>+CY490/CX490-1</f>
        <v>1.4296192753213699E-2</v>
      </c>
      <c r="CZ492" s="160">
        <f t="shared" ref="CZ492:DA492" si="10092">+CZ490/CY490-1</f>
        <v>3.5301609132192269E-3</v>
      </c>
      <c r="DA492" s="160">
        <f t="shared" si="10092"/>
        <v>2.8818287775526308E-2</v>
      </c>
      <c r="DB492" s="235" t="s">
        <v>326</v>
      </c>
    </row>
    <row r="493" spans="1:106">
      <c r="A493" s="117"/>
      <c r="F493" s="217"/>
      <c r="G493" s="119"/>
      <c r="H493" s="119"/>
      <c r="I493" s="119"/>
      <c r="J493" s="119"/>
      <c r="K493" s="235"/>
      <c r="L493" s="119"/>
      <c r="M493" s="119"/>
      <c r="N493" s="119"/>
      <c r="O493" s="119"/>
      <c r="P493" s="235"/>
      <c r="Q493" s="119"/>
      <c r="R493" s="119"/>
      <c r="S493" s="119"/>
      <c r="T493" s="119"/>
      <c r="U493" s="235"/>
      <c r="V493" s="119"/>
      <c r="W493" s="119"/>
      <c r="X493" s="119"/>
      <c r="Y493" s="119"/>
      <c r="Z493" s="235"/>
      <c r="AA493" s="119"/>
      <c r="AB493" s="119"/>
      <c r="AC493" s="119"/>
      <c r="AD493" s="119"/>
      <c r="AE493" s="235"/>
      <c r="AF493" s="119"/>
      <c r="AG493" s="119"/>
      <c r="AH493" s="119"/>
      <c r="AI493" s="119"/>
      <c r="AJ493" s="235"/>
      <c r="AK493" s="119"/>
      <c r="AL493" s="119"/>
      <c r="AM493" s="119"/>
      <c r="AN493" s="119"/>
      <c r="AO493" s="235"/>
      <c r="AP493" s="119"/>
      <c r="AQ493" s="119"/>
      <c r="AR493" s="119"/>
      <c r="AS493" s="119"/>
      <c r="AT493" s="235"/>
      <c r="AU493" s="119"/>
      <c r="AV493" s="119"/>
      <c r="AW493" s="119"/>
      <c r="AX493" s="119"/>
      <c r="AY493" s="235"/>
      <c r="AZ493" s="119"/>
      <c r="BA493" s="119"/>
      <c r="BB493" s="119"/>
      <c r="BC493" s="119"/>
      <c r="BD493" s="235"/>
      <c r="BE493" s="119"/>
      <c r="BF493" s="119"/>
      <c r="BG493" s="119"/>
      <c r="BH493" s="119"/>
      <c r="BI493" s="235"/>
      <c r="BJ493" s="119"/>
      <c r="BK493" s="119"/>
      <c r="BL493" s="119"/>
      <c r="BM493" s="119"/>
      <c r="BN493" s="235"/>
      <c r="BO493" s="119"/>
      <c r="BP493" s="119"/>
      <c r="BQ493" s="119"/>
      <c r="BR493" s="119"/>
      <c r="BS493" s="235"/>
      <c r="BT493" s="119"/>
      <c r="BU493" s="119"/>
      <c r="BV493" s="119"/>
      <c r="BW493" s="119"/>
      <c r="BX493" s="235"/>
      <c r="BY493" s="119"/>
      <c r="BZ493" s="119"/>
      <c r="CA493" s="119"/>
      <c r="CB493" s="119"/>
      <c r="CC493" s="235"/>
      <c r="CD493" s="119"/>
      <c r="CE493" s="119"/>
      <c r="CF493" s="119"/>
      <c r="CG493" s="119"/>
      <c r="CH493" s="235"/>
      <c r="CI493" s="119"/>
      <c r="CJ493" s="119"/>
      <c r="CK493" s="119"/>
      <c r="CL493" s="119"/>
      <c r="CM493" s="235"/>
      <c r="CN493" s="119"/>
      <c r="CO493" s="119"/>
      <c r="CP493" s="119"/>
      <c r="CQ493" s="119"/>
      <c r="CR493" s="235"/>
      <c r="CS493" s="119"/>
      <c r="CT493" s="119"/>
      <c r="CU493" s="119"/>
      <c r="CV493" s="119"/>
      <c r="CW493" s="235"/>
      <c r="CX493" s="119"/>
      <c r="CY493" s="119"/>
      <c r="CZ493" s="119"/>
      <c r="DA493" s="119"/>
      <c r="DB493" s="235"/>
    </row>
    <row r="494" spans="1:106" s="51" customFormat="1">
      <c r="A494" s="51" t="s">
        <v>473</v>
      </c>
      <c r="F494" s="233"/>
      <c r="G494" s="225">
        <f t="shared" ref="G494:AL494" si="10093">+G484/G468*1000000</f>
        <v>353</v>
      </c>
      <c r="H494" s="225">
        <f t="shared" si="10093"/>
        <v>280.50724637681157</v>
      </c>
      <c r="I494" s="225">
        <f t="shared" si="10093"/>
        <v>172.20238095238096</v>
      </c>
      <c r="J494" s="225">
        <f t="shared" si="10093"/>
        <v>219.7708333333334</v>
      </c>
      <c r="K494" s="236">
        <f t="shared" si="10093"/>
        <v>247.63578274760388</v>
      </c>
      <c r="L494" s="225">
        <f t="shared" si="10093"/>
        <v>281.54285714285709</v>
      </c>
      <c r="M494" s="225">
        <f t="shared" si="10093"/>
        <v>203.99029126213594</v>
      </c>
      <c r="N494" s="225">
        <f t="shared" si="10093"/>
        <v>180.07339449541283</v>
      </c>
      <c r="O494" s="225">
        <f t="shared" si="10093"/>
        <v>96.572649572649567</v>
      </c>
      <c r="P494" s="236">
        <f t="shared" si="10093"/>
        <v>187.78801843317967</v>
      </c>
      <c r="Q494" s="225">
        <f t="shared" si="10093"/>
        <v>108.82934872217636</v>
      </c>
      <c r="R494" s="225">
        <f t="shared" si="10093"/>
        <v>151.61495624502786</v>
      </c>
      <c r="S494" s="225">
        <f t="shared" si="10093"/>
        <v>169.04907975460125</v>
      </c>
      <c r="T494" s="225">
        <f t="shared" si="10093"/>
        <v>123.65747460087087</v>
      </c>
      <c r="U494" s="236">
        <f t="shared" si="10093"/>
        <v>138.47631987577631</v>
      </c>
      <c r="V494" s="225">
        <f t="shared" si="10093"/>
        <v>132.3233245109671</v>
      </c>
      <c r="W494" s="225">
        <f t="shared" si="10093"/>
        <v>135.58385081722534</v>
      </c>
      <c r="X494" s="225">
        <f t="shared" si="10093"/>
        <v>141.17794846026851</v>
      </c>
      <c r="Y494" s="225">
        <f t="shared" si="10093"/>
        <v>138.78300803673949</v>
      </c>
      <c r="Z494" s="236">
        <f t="shared" si="10093"/>
        <v>137.01472176433813</v>
      </c>
      <c r="AA494" s="225">
        <f t="shared" si="10093"/>
        <v>117.48751248751249</v>
      </c>
      <c r="AB494" s="225">
        <f t="shared" si="10093"/>
        <v>157.20906282183321</v>
      </c>
      <c r="AC494" s="225">
        <f t="shared" si="10093"/>
        <v>169.97502497502504</v>
      </c>
      <c r="AD494" s="225">
        <f t="shared" si="10093"/>
        <v>185.18624641833784</v>
      </c>
      <c r="AE494" s="236">
        <f t="shared" si="10093"/>
        <v>157.78358208955217</v>
      </c>
      <c r="AF494" s="225">
        <f t="shared" si="10093"/>
        <v>208.21231422505309</v>
      </c>
      <c r="AG494" s="225">
        <f t="shared" si="10093"/>
        <v>168.87227680478432</v>
      </c>
      <c r="AH494" s="225">
        <f t="shared" si="10093"/>
        <v>176.80152671755727</v>
      </c>
      <c r="AI494" s="225">
        <f t="shared" si="10093"/>
        <v>177.95254237288134</v>
      </c>
      <c r="AJ494" s="236">
        <f t="shared" si="10093"/>
        <v>182.52970972141048</v>
      </c>
      <c r="AK494" s="225">
        <f t="shared" si="10093"/>
        <v>245.55715106260772</v>
      </c>
      <c r="AL494" s="225">
        <f t="shared" si="10093"/>
        <v>175.44317274421081</v>
      </c>
      <c r="AM494" s="225">
        <f t="shared" ref="AM494:BR494" si="10094">+AM484/AM468*1000000</f>
        <v>188.42376626565189</v>
      </c>
      <c r="AN494" s="225">
        <f t="shared" si="10094"/>
        <v>179.82224247948949</v>
      </c>
      <c r="AO494" s="236">
        <f t="shared" si="10094"/>
        <v>195.58471337579616</v>
      </c>
      <c r="AP494" s="225">
        <f t="shared" si="10094"/>
        <v>185.81238503985284</v>
      </c>
      <c r="AQ494" s="225">
        <f t="shared" si="10094"/>
        <v>177.96159231846366</v>
      </c>
      <c r="AR494" s="225">
        <f t="shared" si="10094"/>
        <v>181.8840579710145</v>
      </c>
      <c r="AS494" s="225">
        <f t="shared" si="10094"/>
        <v>160.7289619438985</v>
      </c>
      <c r="AT494" s="236">
        <f t="shared" si="10094"/>
        <v>176.1353077816492</v>
      </c>
      <c r="AU494" s="225">
        <f t="shared" si="10094"/>
        <v>164.2159054615139</v>
      </c>
      <c r="AV494" s="225">
        <f t="shared" si="10094"/>
        <v>186.09040829552816</v>
      </c>
      <c r="AW494" s="225">
        <f t="shared" si="10094"/>
        <v>189.76837060702886</v>
      </c>
      <c r="AX494" s="225">
        <f t="shared" si="10094"/>
        <v>240.83918315252063</v>
      </c>
      <c r="AY494" s="236">
        <f t="shared" si="10094"/>
        <v>195.27281467831097</v>
      </c>
      <c r="AZ494" s="225">
        <f t="shared" si="10094"/>
        <v>237.70182114705094</v>
      </c>
      <c r="BA494" s="225">
        <f t="shared" si="10094"/>
        <v>267.35762199131921</v>
      </c>
      <c r="BB494" s="225">
        <f t="shared" si="10094"/>
        <v>305.80948698118067</v>
      </c>
      <c r="BC494" s="225">
        <f t="shared" si="10094"/>
        <v>323.71089808274485</v>
      </c>
      <c r="BD494" s="236">
        <f t="shared" si="10094"/>
        <v>284.54922178353507</v>
      </c>
      <c r="BE494" s="225">
        <f t="shared" si="10094"/>
        <v>330.32978598994265</v>
      </c>
      <c r="BF494" s="225">
        <f t="shared" si="10094"/>
        <v>353.18719962489746</v>
      </c>
      <c r="BG494" s="225">
        <f t="shared" si="10094"/>
        <v>368.60116383169208</v>
      </c>
      <c r="BH494" s="225">
        <f t="shared" si="10094"/>
        <v>417.63642269380694</v>
      </c>
      <c r="BI494" s="236">
        <f t="shared" si="10094"/>
        <v>368.43478754183923</v>
      </c>
      <c r="BJ494" s="225">
        <f t="shared" si="10094"/>
        <v>397.02521684728356</v>
      </c>
      <c r="BK494" s="225">
        <f t="shared" si="10094"/>
        <v>422.00213539182022</v>
      </c>
      <c r="BL494" s="225">
        <f t="shared" si="10094"/>
        <v>438.45189921193605</v>
      </c>
      <c r="BM494" s="225">
        <f t="shared" si="10094"/>
        <v>463.14693981168153</v>
      </c>
      <c r="BN494" s="236">
        <f t="shared" si="10094"/>
        <v>430.75245554621148</v>
      </c>
      <c r="BO494" s="225">
        <f t="shared" si="10094"/>
        <v>429.1951439171882</v>
      </c>
      <c r="BP494" s="225">
        <f t="shared" si="10094"/>
        <v>441.59316391437977</v>
      </c>
      <c r="BQ494" s="225">
        <f t="shared" si="10094"/>
        <v>447.03404089373731</v>
      </c>
      <c r="BR494" s="225">
        <f t="shared" si="10094"/>
        <v>467.13475017943563</v>
      </c>
      <c r="BS494" s="236">
        <f t="shared" ref="BS494:DB494" si="10095">+BS484/BS468*1000000</f>
        <v>446.40281984376918</v>
      </c>
      <c r="BT494" s="225">
        <f t="shared" si="10095"/>
        <v>455.37550871133749</v>
      </c>
      <c r="BU494" s="225">
        <f t="shared" si="10095"/>
        <v>466.59308048095346</v>
      </c>
      <c r="BV494" s="225">
        <f t="shared" si="10095"/>
        <v>474.57041653097104</v>
      </c>
      <c r="BW494" s="225">
        <f t="shared" si="10095"/>
        <v>495.13256443508038</v>
      </c>
      <c r="BX494" s="236">
        <f t="shared" si="10095"/>
        <v>473.109165334556</v>
      </c>
      <c r="BY494" s="225">
        <f t="shared" si="10095"/>
        <v>482.5031424415838</v>
      </c>
      <c r="BZ494" s="225">
        <f t="shared" si="10095"/>
        <v>494.41422957630056</v>
      </c>
      <c r="CA494" s="225">
        <f t="shared" si="10095"/>
        <v>500.49191618351517</v>
      </c>
      <c r="CB494" s="225">
        <f t="shared" si="10095"/>
        <v>520.72867534527563</v>
      </c>
      <c r="CC494" s="236">
        <f t="shared" si="10095"/>
        <v>499.68966277131318</v>
      </c>
      <c r="CD494" s="225">
        <f t="shared" si="10095"/>
        <v>509.09448249864812</v>
      </c>
      <c r="CE494" s="225">
        <f t="shared" si="10095"/>
        <v>521.0828325855914</v>
      </c>
      <c r="CF494" s="225">
        <f t="shared" si="10095"/>
        <v>526.40609501356403</v>
      </c>
      <c r="CG494" s="225">
        <f t="shared" si="10095"/>
        <v>546.59076274644451</v>
      </c>
      <c r="CH494" s="236">
        <f t="shared" si="10095"/>
        <v>525.9419898045652</v>
      </c>
      <c r="CI494" s="225">
        <f t="shared" si="10095"/>
        <v>530.89233582903512</v>
      </c>
      <c r="CJ494" s="225">
        <f t="shared" si="10095"/>
        <v>541.19597342257873</v>
      </c>
      <c r="CK494" s="225">
        <f t="shared" si="10095"/>
        <v>544.73980027671223</v>
      </c>
      <c r="CL494" s="225">
        <f t="shared" si="10095"/>
        <v>563.37423225724285</v>
      </c>
      <c r="CM494" s="236">
        <f t="shared" si="10095"/>
        <v>545.1477925852131</v>
      </c>
      <c r="CN494" s="225">
        <f t="shared" si="10095"/>
        <v>548.30272230422258</v>
      </c>
      <c r="CO494" s="225">
        <f t="shared" si="10095"/>
        <v>558.11599146955689</v>
      </c>
      <c r="CP494" s="225">
        <f t="shared" si="10095"/>
        <v>561.35328410073441</v>
      </c>
      <c r="CQ494" s="225">
        <f t="shared" si="10095"/>
        <v>579.56436829983863</v>
      </c>
      <c r="CR494" s="236">
        <f t="shared" si="10095"/>
        <v>561.92320761663825</v>
      </c>
      <c r="CS494" s="225">
        <f t="shared" si="10095"/>
        <v>565.24964218355433</v>
      </c>
      <c r="CT494" s="225">
        <f t="shared" si="10095"/>
        <v>574.87599866029109</v>
      </c>
      <c r="CU494" s="225">
        <f t="shared" si="10095"/>
        <v>577.97428706903077</v>
      </c>
      <c r="CV494" s="225">
        <f t="shared" si="10095"/>
        <v>596.04233243651151</v>
      </c>
      <c r="CW494" s="236">
        <f t="shared" si="10095"/>
        <v>578.6221203989744</v>
      </c>
      <c r="CX494" s="225">
        <f t="shared" si="10095"/>
        <v>576.77298928405378</v>
      </c>
      <c r="CY494" s="225">
        <f t="shared" si="10095"/>
        <v>585.01864711370592</v>
      </c>
      <c r="CZ494" s="225">
        <f t="shared" si="10095"/>
        <v>587.0838570752511</v>
      </c>
      <c r="DA494" s="225">
        <f t="shared" si="10095"/>
        <v>604.0026086168117</v>
      </c>
      <c r="DB494" s="236">
        <f t="shared" si="10095"/>
        <v>588.2814214803401</v>
      </c>
    </row>
    <row r="495" spans="1:106">
      <c r="A495" s="117" t="s">
        <v>281</v>
      </c>
      <c r="F495" s="217"/>
      <c r="G495" s="119" t="s">
        <v>326</v>
      </c>
      <c r="H495" s="119" t="s">
        <v>326</v>
      </c>
      <c r="I495" s="119" t="s">
        <v>326</v>
      </c>
      <c r="J495" s="119" t="s">
        <v>326</v>
      </c>
      <c r="K495" s="235" t="s">
        <v>326</v>
      </c>
      <c r="L495" s="160">
        <f>+L494/G494-1</f>
        <v>-0.2024281667341159</v>
      </c>
      <c r="M495" s="160">
        <f t="shared" ref="M495" si="10096">+M494/H494-1</f>
        <v>-0.27278067181155352</v>
      </c>
      <c r="N495" s="160">
        <f t="shared" ref="N495" si="10097">+N494/I494-1</f>
        <v>4.5707925172117303E-2</v>
      </c>
      <c r="O495" s="160">
        <f t="shared" ref="O495" si="10098">+O494/J494-1</f>
        <v>-0.56057567736399871</v>
      </c>
      <c r="P495" s="248">
        <f t="shared" ref="P495" si="10099">+P494/K494-1</f>
        <v>-0.24167656083621181</v>
      </c>
      <c r="Q495" s="160">
        <f>+Q494/L494-1</f>
        <v>-0.61345370354412698</v>
      </c>
      <c r="R495" s="160">
        <f t="shared" ref="R495" si="10100">+R494/M494-1</f>
        <v>-0.25675405772034321</v>
      </c>
      <c r="S495" s="160">
        <f t="shared" ref="S495" si="10101">+S494/N494-1</f>
        <v>-6.1221230219505873E-2</v>
      </c>
      <c r="T495" s="160">
        <f t="shared" ref="T495" si="10102">+T494/O494-1</f>
        <v>0.28046061848852921</v>
      </c>
      <c r="U495" s="248">
        <f t="shared" ref="U495" si="10103">+U494/P494-1</f>
        <v>-0.26259235796212343</v>
      </c>
      <c r="V495" s="160">
        <f>+V494/Q494-1</f>
        <v>0.2158790442527323</v>
      </c>
      <c r="W495" s="160">
        <f t="shared" ref="W495" si="10104">+W494/R494-1</f>
        <v>-0.1057356465670467</v>
      </c>
      <c r="X495" s="160">
        <f t="shared" ref="X495" si="10105">+X494/S494-1</f>
        <v>-0.16487005628656271</v>
      </c>
      <c r="Y495" s="160">
        <f t="shared" ref="Y495" si="10106">+Y494/T494-1</f>
        <v>0.12231798752715339</v>
      </c>
      <c r="Z495" s="248">
        <f t="shared" ref="Z495" si="10107">+Z494/U494-1</f>
        <v>-1.0554859579958054E-2</v>
      </c>
      <c r="AA495" s="160">
        <f>+AA494/V494-1</f>
        <v>-0.11211789061591326</v>
      </c>
      <c r="AB495" s="160">
        <f t="shared" ref="AB495" si="10108">+AB494/W494-1</f>
        <v>0.15949695980946776</v>
      </c>
      <c r="AC495" s="160">
        <f t="shared" ref="AC495" si="10109">+AC494/X494-1</f>
        <v>0.20397715669356709</v>
      </c>
      <c r="AD495" s="160">
        <f t="shared" ref="AD495" si="10110">+AD494/Y494-1</f>
        <v>0.33435821170062985</v>
      </c>
      <c r="AE495" s="248">
        <f t="shared" ref="AE495" si="10111">+AE494/Z494-1</f>
        <v>0.15158123198568374</v>
      </c>
      <c r="AF495" s="160">
        <f>+AF494/AA494-1</f>
        <v>0.77220803995814924</v>
      </c>
      <c r="AG495" s="160">
        <f t="shared" ref="AG495" si="10112">+AG494/AB494-1</f>
        <v>7.4189196052705686E-2</v>
      </c>
      <c r="AH495" s="160">
        <f t="shared" ref="AH495" si="10113">+AH494/AC494-1</f>
        <v>4.0161792848892208E-2</v>
      </c>
      <c r="AI495" s="160">
        <f t="shared" ref="AI495" si="10114">+AI494/AD494-1</f>
        <v>-3.9061777995734515E-2</v>
      </c>
      <c r="AJ495" s="248">
        <f t="shared" ref="AJ495" si="10115">+AJ494/AE494-1</f>
        <v>0.15683588434323492</v>
      </c>
      <c r="AK495" s="160">
        <f>+AK494/AF494-1</f>
        <v>0.17935940521360916</v>
      </c>
      <c r="AL495" s="160">
        <f t="shared" ref="AL495" si="10116">+AL494/AG494-1</f>
        <v>3.8910447965490702E-2</v>
      </c>
      <c r="AM495" s="160">
        <f t="shared" ref="AM495" si="10117">+AM494/AH494-1</f>
        <v>6.5736081378195976E-2</v>
      </c>
      <c r="AN495" s="160">
        <f t="shared" ref="AN495" si="10118">+AN494/AI494-1</f>
        <v>1.0506734445470123E-2</v>
      </c>
      <c r="AO495" s="248">
        <f t="shared" ref="AO495" si="10119">+AO494/AJ494-1</f>
        <v>7.1522623217399106E-2</v>
      </c>
      <c r="AP495" s="160">
        <f>+AP494/AK494-1</f>
        <v>-0.24330289614543632</v>
      </c>
      <c r="AQ495" s="160">
        <f t="shared" ref="AQ495" si="10120">+AQ494/AL494-1</f>
        <v>1.4354617138192083E-2</v>
      </c>
      <c r="AR495" s="160">
        <f t="shared" ref="AR495" si="10121">+AR494/AM494-1</f>
        <v>-3.4707449194160023E-2</v>
      </c>
      <c r="AS495" s="160">
        <f t="shared" ref="AS495" si="10122">+AS494/AN494-1</f>
        <v>-0.10617863659312765</v>
      </c>
      <c r="AT495" s="248">
        <f t="shared" ref="AT495" si="10123">+AT494/AO494-1</f>
        <v>-9.9442360593779644E-2</v>
      </c>
      <c r="AU495" s="160">
        <f>+AU494/AP494-1</f>
        <v>-0.11622734175500171</v>
      </c>
      <c r="AV495" s="160">
        <f t="shared" ref="AV495" si="10124">+AV494/AQ494-1</f>
        <v>4.5677361452902243E-2</v>
      </c>
      <c r="AW495" s="160">
        <f t="shared" ref="AW495" si="10125">+AW494/AR494-1</f>
        <v>4.3348013696015153E-2</v>
      </c>
      <c r="AX495" s="160">
        <f t="shared" ref="AX495" si="10126">+AX494/AS494-1</f>
        <v>0.49841808370904639</v>
      </c>
      <c r="AY495" s="248">
        <f t="shared" ref="AY495" si="10127">+AY494/AT494-1</f>
        <v>0.10865230337795806</v>
      </c>
      <c r="AZ495" s="160">
        <f>+AZ494/AU494-1</f>
        <v>0.44749572508833135</v>
      </c>
      <c r="BA495" s="160">
        <f t="shared" ref="BA495" si="10128">+BA494/AV494-1</f>
        <v>0.43670823467016873</v>
      </c>
      <c r="BB495" s="160">
        <f t="shared" ref="BB495" si="10129">+BB494/AW494-1</f>
        <v>0.61148818426885798</v>
      </c>
      <c r="BC495" s="160">
        <f t="shared" ref="BC495" si="10130">+BC494/AX494-1</f>
        <v>0.34409564857950259</v>
      </c>
      <c r="BD495" s="248">
        <f t="shared" ref="BD495" si="10131">+BD494/AY494-1</f>
        <v>0.45718809990165044</v>
      </c>
      <c r="BE495" s="160">
        <f>+BE494/AZ494-1</f>
        <v>0.38968134276762112</v>
      </c>
      <c r="BF495" s="160">
        <f t="shared" ref="BF495" si="10132">+BF494/BA494-1</f>
        <v>0.32102910324496015</v>
      </c>
      <c r="BG495" s="160">
        <f t="shared" ref="BG495" si="10133">+BG494/BB494-1</f>
        <v>0.20532939468413414</v>
      </c>
      <c r="BH495" s="160">
        <f t="shared" ref="BH495" si="10134">+BH494/BC494-1</f>
        <v>0.2901524946097227</v>
      </c>
      <c r="BI495" s="248">
        <f t="shared" ref="BI495" si="10135">+BI494/BD494-1</f>
        <v>0.29480159964070585</v>
      </c>
      <c r="BJ495" s="160">
        <f>+BJ494/BE494-1</f>
        <v>0.20190559158165522</v>
      </c>
      <c r="BK495" s="160">
        <f t="shared" ref="BK495" si="10136">+BK494/BF494-1</f>
        <v>0.19483983519223713</v>
      </c>
      <c r="BL495" s="160">
        <f t="shared" ref="BL495" si="10137">+BL494/BG494-1</f>
        <v>0.18950221061195216</v>
      </c>
      <c r="BM495" s="160">
        <f t="shared" ref="BM495" si="10138">+BM494/BH494-1</f>
        <v>0.10897161896064067</v>
      </c>
      <c r="BN495" s="248">
        <f t="shared" ref="BN495" si="10139">+BN494/BI494-1</f>
        <v>0.16914165033152706</v>
      </c>
      <c r="BO495" s="160">
        <f>+BO494/BJ494-1</f>
        <v>8.1027415148491322E-2</v>
      </c>
      <c r="BP495" s="160">
        <f t="shared" ref="BP495" si="10140">+BP494/BK494-1</f>
        <v>4.6424003291759774E-2</v>
      </c>
      <c r="BQ495" s="160">
        <f t="shared" ref="BQ495" si="10141">+BQ494/BL494-1</f>
        <v>1.9573735904044653E-2</v>
      </c>
      <c r="BR495" s="160">
        <f t="shared" ref="BR495" si="10142">+BR494/BM494-1</f>
        <v>8.6102487676493755E-3</v>
      </c>
      <c r="BS495" s="248">
        <f t="shared" ref="BS495" si="10143">+BS494/BN494-1</f>
        <v>3.6332617715927773E-2</v>
      </c>
      <c r="BT495" s="160">
        <f>+BT494/BO494-1</f>
        <v>6.0998744196417709E-2</v>
      </c>
      <c r="BU495" s="160">
        <f t="shared" ref="BU495" si="10144">+BU494/BP494-1</f>
        <v>5.6613006290606727E-2</v>
      </c>
      <c r="BV495" s="160">
        <f t="shared" ref="BV495" si="10145">+BV494/BQ494-1</f>
        <v>6.1597939123788858E-2</v>
      </c>
      <c r="BW495" s="160">
        <f t="shared" ref="BW495" si="10146">+BW494/BR494-1</f>
        <v>5.9935199093816616E-2</v>
      </c>
      <c r="BX495" s="248">
        <f t="shared" ref="BX495" si="10147">+BX494/BS494-1</f>
        <v>5.9825664856089977E-2</v>
      </c>
      <c r="BY495" s="160">
        <f>+BY494/BT494-1</f>
        <v>5.9572008619906969E-2</v>
      </c>
      <c r="BZ495" s="160">
        <f t="shared" ref="BZ495" si="10148">+BZ494/BU494-1</f>
        <v>5.9626150192089611E-2</v>
      </c>
      <c r="CA495" s="160">
        <f t="shared" ref="CA495" si="10149">+CA494/BV494-1</f>
        <v>5.4620976676182043E-2</v>
      </c>
      <c r="CB495" s="160">
        <f t="shared" ref="CB495" si="10150">+CB494/BW494-1</f>
        <v>5.1695470564330659E-2</v>
      </c>
      <c r="CC495" s="248">
        <f t="shared" ref="CC495" si="10151">+CC494/BX494-1</f>
        <v>5.6182588257323252E-2</v>
      </c>
      <c r="CD495" s="160">
        <f>+CD494/BY494-1</f>
        <v>5.511122668031887E-2</v>
      </c>
      <c r="CE495" s="160">
        <f t="shared" ref="CE495" si="10152">+CE494/BZ494-1</f>
        <v>5.3939796660272377E-2</v>
      </c>
      <c r="CF495" s="160">
        <f t="shared" ref="CF495" si="10153">+CF494/CA494-1</f>
        <v>5.1777417361016598E-2</v>
      </c>
      <c r="CG495" s="160">
        <f t="shared" ref="CG495" si="10154">+CG494/CB494-1</f>
        <v>4.9665187698796798E-2</v>
      </c>
      <c r="CH495" s="248">
        <f t="shared" ref="CH495" si="10155">+CH494/CC494-1</f>
        <v>5.2537262603462365E-2</v>
      </c>
      <c r="CI495" s="160">
        <f>+CI494/CD494-1</f>
        <v>4.2816911358776855E-2</v>
      </c>
      <c r="CJ495" s="160">
        <f t="shared" ref="CJ495" si="10156">+CJ494/CE494-1</f>
        <v>3.8598740121962516E-2</v>
      </c>
      <c r="CK495" s="160">
        <f t="shared" ref="CK495" si="10157">+CK494/CF494-1</f>
        <v>3.4828064182417462E-2</v>
      </c>
      <c r="CL495" s="160">
        <f t="shared" ref="CL495" si="10158">+CL494/CG494-1</f>
        <v>3.0705732066284463E-2</v>
      </c>
      <c r="CM495" s="248">
        <f t="shared" ref="CM495" si="10159">+CM494/CH494-1</f>
        <v>3.6516960335843507E-2</v>
      </c>
      <c r="CN495" s="160">
        <f>+CN494/CI494-1</f>
        <v>3.279457114030393E-2</v>
      </c>
      <c r="CO495" s="160">
        <f t="shared" ref="CO495" si="10160">+CO494/CJ494-1</f>
        <v>3.1264124047291508E-2</v>
      </c>
      <c r="CP495" s="160">
        <f t="shared" ref="CP495" si="10161">+CP494/CK494-1</f>
        <v>3.0498017247102105E-2</v>
      </c>
      <c r="CQ495" s="160">
        <f t="shared" ref="CQ495" si="10162">+CQ494/CL494-1</f>
        <v>2.8737800054730256E-2</v>
      </c>
      <c r="CR495" s="248">
        <f t="shared" ref="CR495" si="10163">+CR494/CM494-1</f>
        <v>3.0772233254164671E-2</v>
      </c>
      <c r="CS495" s="160">
        <f>+CS494/CN494-1</f>
        <v>3.0907962317080928E-2</v>
      </c>
      <c r="CT495" s="160">
        <f t="shared" ref="CT495" si="10164">+CT494/CO494-1</f>
        <v>3.0029612924374227E-2</v>
      </c>
      <c r="CU495" s="160">
        <f t="shared" ref="CU495" si="10165">+CU494/CP494-1</f>
        <v>2.9608810421270615E-2</v>
      </c>
      <c r="CV495" s="160">
        <f t="shared" ref="CV495" si="10166">+CV494/CQ494-1</f>
        <v>2.8431637688512978E-2</v>
      </c>
      <c r="CW495" s="248">
        <f t="shared" ref="CW495" si="10167">+CW494/CR494-1</f>
        <v>2.9717428566731652E-2</v>
      </c>
      <c r="CX495" s="160">
        <f>+CX494/CS494-1</f>
        <v>2.0386297027955358E-2</v>
      </c>
      <c r="CY495" s="160">
        <f t="shared" ref="CY495" si="10168">+CY494/CT494-1</f>
        <v>1.7643193448763972E-2</v>
      </c>
      <c r="CZ495" s="160">
        <f t="shared" ref="CZ495" si="10169">+CZ494/CU494-1</f>
        <v>1.576120289436389E-2</v>
      </c>
      <c r="DA495" s="160">
        <f t="shared" ref="DA495" si="10170">+DA494/CV494-1</f>
        <v>1.3355219498856874E-2</v>
      </c>
      <c r="DB495" s="248">
        <f t="shared" ref="DB495" si="10171">+DB494/CW494-1</f>
        <v>1.6693625668346979E-2</v>
      </c>
    </row>
    <row r="496" spans="1:106">
      <c r="A496" s="117" t="s">
        <v>288</v>
      </c>
      <c r="F496" s="217"/>
      <c r="G496" s="119" t="s">
        <v>326</v>
      </c>
      <c r="H496" s="160">
        <f>+H494/G494-1</f>
        <v>-0.2053619082809871</v>
      </c>
      <c r="I496" s="160">
        <f t="shared" ref="I496:J496" si="10172">+I494/H494-1</f>
        <v>-0.38610362770786422</v>
      </c>
      <c r="J496" s="160">
        <f t="shared" si="10172"/>
        <v>0.27623574144486729</v>
      </c>
      <c r="K496" s="235" t="s">
        <v>326</v>
      </c>
      <c r="L496" s="160">
        <f>+L494/J494-1</f>
        <v>0.28107471256584859</v>
      </c>
      <c r="M496" s="160">
        <f>+M494/L494-1</f>
        <v>-0.27545563282172125</v>
      </c>
      <c r="N496" s="160">
        <f t="shared" ref="N496:O496" si="10173">+N494/M494-1</f>
        <v>-0.11724526995252393</v>
      </c>
      <c r="O496" s="160">
        <f t="shared" si="10173"/>
        <v>-0.46370395336158532</v>
      </c>
      <c r="P496" s="235" t="s">
        <v>326</v>
      </c>
      <c r="Q496" s="160">
        <f>+Q494/O494-1</f>
        <v>0.12691687764356452</v>
      </c>
      <c r="R496" s="160">
        <f>+R494/Q494-1</f>
        <v>0.39314401882598959</v>
      </c>
      <c r="S496" s="160">
        <f t="shared" ref="S496:T496" si="10174">+S494/R494-1</f>
        <v>0.11498947030923379</v>
      </c>
      <c r="T496" s="160">
        <f t="shared" si="10174"/>
        <v>-0.26851140047389044</v>
      </c>
      <c r="U496" s="235" t="s">
        <v>326</v>
      </c>
      <c r="V496" s="160">
        <f>+V494/T494-1</f>
        <v>7.00794669959659E-2</v>
      </c>
      <c r="W496" s="160">
        <f>+W494/V494-1</f>
        <v>2.4640601483588043E-2</v>
      </c>
      <c r="X496" s="160">
        <f t="shared" ref="X496:Y496" si="10175">+X494/W494-1</f>
        <v>4.125932114573394E-2</v>
      </c>
      <c r="Y496" s="160">
        <f t="shared" si="10175"/>
        <v>-1.696398374993402E-2</v>
      </c>
      <c r="Z496" s="235" t="s">
        <v>326</v>
      </c>
      <c r="AA496" s="160">
        <f>+AA494/Y494-1</f>
        <v>-0.1534445451966967</v>
      </c>
      <c r="AB496" s="160">
        <f>+AB494/AA494-1</f>
        <v>0.33809167879473701</v>
      </c>
      <c r="AC496" s="160">
        <f t="shared" ref="AC496:AD496" si="10176">+AC494/AB494-1</f>
        <v>8.1203729123807689E-2</v>
      </c>
      <c r="AD496" s="160">
        <f t="shared" si="10176"/>
        <v>8.9490920478157543E-2</v>
      </c>
      <c r="AE496" s="235" t="s">
        <v>326</v>
      </c>
      <c r="AF496" s="160">
        <f>+AF494/AD494-1</f>
        <v>0.12434005360581213</v>
      </c>
      <c r="AG496" s="160">
        <f>+AG494/AF494-1</f>
        <v>-0.18894193442250873</v>
      </c>
      <c r="AH496" s="160">
        <f t="shared" ref="AH496:AI496" si="10177">+AH494/AG494-1</f>
        <v>4.6954124518254314E-2</v>
      </c>
      <c r="AI496" s="160">
        <f t="shared" si="10177"/>
        <v>6.5102133261714101E-3</v>
      </c>
      <c r="AJ496" s="235" t="s">
        <v>326</v>
      </c>
      <c r="AK496" s="160">
        <f>+AK494/AI494-1</f>
        <v>0.37990246044402021</v>
      </c>
      <c r="AL496" s="160">
        <f>+AL494/AK494-1</f>
        <v>-0.28553018315691614</v>
      </c>
      <c r="AM496" s="160">
        <f t="shared" ref="AM496:AN496" si="10178">+AM494/AL494-1</f>
        <v>7.3987453135986536E-2</v>
      </c>
      <c r="AN496" s="160">
        <f t="shared" si="10178"/>
        <v>-4.5649887785574883E-2</v>
      </c>
      <c r="AO496" s="235" t="s">
        <v>326</v>
      </c>
      <c r="AP496" s="160">
        <f>+AP494/AN494-1</f>
        <v>3.3311466244486443E-2</v>
      </c>
      <c r="AQ496" s="160">
        <f>+AQ494/AP494-1</f>
        <v>-4.2251181048590269E-2</v>
      </c>
      <c r="AR496" s="160">
        <f t="shared" ref="AR496:AS496" si="10179">+AR494/AQ494-1</f>
        <v>2.2041079771479843E-2</v>
      </c>
      <c r="AS496" s="160">
        <f t="shared" si="10179"/>
        <v>-0.11631088652358601</v>
      </c>
      <c r="AT496" s="235" t="s">
        <v>326</v>
      </c>
      <c r="AU496" s="160">
        <f>+AU494/AS494-1</f>
        <v>2.169455632291406E-2</v>
      </c>
      <c r="AV496" s="160">
        <f>+AV494/AU494-1</f>
        <v>0.13320574990916967</v>
      </c>
      <c r="AW496" s="160">
        <f t="shared" ref="AW496:AX496" si="10180">+AW494/AV494-1</f>
        <v>1.9764384124837608E-2</v>
      </c>
      <c r="AX496" s="160">
        <f t="shared" si="10180"/>
        <v>0.26912183722781124</v>
      </c>
      <c r="AY496" s="235" t="s">
        <v>326</v>
      </c>
      <c r="AZ496" s="160">
        <f>+AZ494/AX494-1</f>
        <v>-1.3026792253662656E-2</v>
      </c>
      <c r="BA496" s="160">
        <f>+BA494/AZ494-1</f>
        <v>0.12476051172499059</v>
      </c>
      <c r="BB496" s="160">
        <f t="shared" ref="BB496:BC496" si="10181">+BB494/BA494-1</f>
        <v>0.14382183946530591</v>
      </c>
      <c r="BC496" s="160">
        <f t="shared" si="10181"/>
        <v>5.8537788602568197E-2</v>
      </c>
      <c r="BD496" s="235" t="s">
        <v>326</v>
      </c>
      <c r="BE496" s="160">
        <f>+BE494/BC494-1</f>
        <v>2.0446910951715802E-2</v>
      </c>
      <c r="BF496" s="160">
        <f>+BF494/BE494-1</f>
        <v>6.91957389384521E-2</v>
      </c>
      <c r="BG496" s="160">
        <f t="shared" ref="BG496:BH496" si="10182">+BG494/BF494-1</f>
        <v>4.364247691639167E-2</v>
      </c>
      <c r="BH496" s="160">
        <f t="shared" si="10182"/>
        <v>0.13303066748998371</v>
      </c>
      <c r="BI496" s="235" t="s">
        <v>326</v>
      </c>
      <c r="BJ496" s="160">
        <f>+BJ494/BH494-1</f>
        <v>-4.9352031399892082E-2</v>
      </c>
      <c r="BK496" s="160">
        <f>+BK494/BJ494-1</f>
        <v>6.2910156545910478E-2</v>
      </c>
      <c r="BL496" s="160">
        <f t="shared" ref="BL496:BM496" si="10183">+BL494/BK494-1</f>
        <v>3.8980285739176557E-2</v>
      </c>
      <c r="BM496" s="160">
        <f t="shared" si="10183"/>
        <v>5.6323260645311013E-2</v>
      </c>
      <c r="BN496" s="235" t="s">
        <v>326</v>
      </c>
      <c r="BO496" s="160">
        <f>+BO494/BM494-1</f>
        <v>-7.3306747764107727E-2</v>
      </c>
      <c r="BP496" s="160">
        <f>+BP494/BO494-1</f>
        <v>2.8886673516473227E-2</v>
      </c>
      <c r="BQ496" s="160">
        <f t="shared" ref="BQ496:BR496" si="10184">+BQ494/BP494-1</f>
        <v>1.232101722573864E-2</v>
      </c>
      <c r="BR496" s="160">
        <f t="shared" si="10184"/>
        <v>4.4964605481747633E-2</v>
      </c>
      <c r="BS496" s="235" t="s">
        <v>326</v>
      </c>
      <c r="BT496" s="160">
        <f>+BT494/BR494-1</f>
        <v>-2.5173125021380249E-2</v>
      </c>
      <c r="BU496" s="160">
        <f>+BU494/BT494-1</f>
        <v>2.4633673869199679E-2</v>
      </c>
      <c r="BV496" s="160">
        <f t="shared" ref="BV496:BW496" si="10185">+BV494/BU494-1</f>
        <v>1.7096987468812719E-2</v>
      </c>
      <c r="BW496" s="160">
        <f t="shared" si="10185"/>
        <v>4.3327917602650201E-2</v>
      </c>
      <c r="BX496" s="235" t="s">
        <v>326</v>
      </c>
      <c r="BY496" s="160">
        <f>+BY494/BW494-1</f>
        <v>-2.5507152832708657E-2</v>
      </c>
      <c r="BZ496" s="160">
        <f>+BZ494/BY494-1</f>
        <v>2.4686030176806151E-2</v>
      </c>
      <c r="CA496" s="160">
        <f t="shared" ref="CA496:CB496" si="10186">+CA494/BZ494-1</f>
        <v>1.2292701632845349E-2</v>
      </c>
      <c r="CB496" s="160">
        <f t="shared" si="10186"/>
        <v>4.0433738303058409E-2</v>
      </c>
      <c r="CC496" s="235" t="s">
        <v>326</v>
      </c>
      <c r="CD496" s="160">
        <f>+CD494/CB494-1</f>
        <v>-2.2342139769647495E-2</v>
      </c>
      <c r="CE496" s="160">
        <f>+CE494/CD494-1</f>
        <v>2.3548379522999596E-2</v>
      </c>
      <c r="CF496" s="160">
        <f t="shared" ref="CF496:CG496" si="10187">+CF494/CE494-1</f>
        <v>1.0215770113858547E-2</v>
      </c>
      <c r="CG496" s="160">
        <f t="shared" si="10187"/>
        <v>3.8344289559109956E-2</v>
      </c>
      <c r="CH496" s="235" t="s">
        <v>326</v>
      </c>
      <c r="CI496" s="160">
        <f>+CI494/CG494-1</f>
        <v>-2.872062242422424E-2</v>
      </c>
      <c r="CJ496" s="160">
        <f>+CJ494/CI494-1</f>
        <v>1.9408149069346736E-2</v>
      </c>
      <c r="CK496" s="160">
        <f t="shared" ref="CK496:CL496" si="10188">+CK494/CJ494-1</f>
        <v>6.5481397278734921E-3</v>
      </c>
      <c r="CL496" s="160">
        <f t="shared" si="10188"/>
        <v>3.4207950238012375E-2</v>
      </c>
      <c r="CM496" s="235" t="s">
        <v>326</v>
      </c>
      <c r="CN496" s="160">
        <f>+CN494/CL494-1</f>
        <v>-2.6752217425056957E-2</v>
      </c>
      <c r="CO496" s="160">
        <f>+CO494/CN494-1</f>
        <v>1.7897538651813427E-2</v>
      </c>
      <c r="CP496" s="160">
        <f t="shared" ref="CP496:CQ496" si="10189">+CP494/CO494-1</f>
        <v>5.800393969457085E-3</v>
      </c>
      <c r="CQ496" s="160">
        <f t="shared" si="10189"/>
        <v>3.2441396024390778E-2</v>
      </c>
      <c r="CR496" s="235" t="s">
        <v>326</v>
      </c>
      <c r="CS496" s="160">
        <f>+CS494/CQ494-1</f>
        <v>-2.4699113505332937E-2</v>
      </c>
      <c r="CT496" s="160">
        <f>+CT494/CS494-1</f>
        <v>1.7030274339582485E-2</v>
      </c>
      <c r="CU496" s="160">
        <f t="shared" ref="CU496:CV496" si="10190">+CU494/CT494-1</f>
        <v>5.3894899351512038E-3</v>
      </c>
      <c r="CV496" s="160">
        <f t="shared" si="10190"/>
        <v>3.1260984738794795E-2</v>
      </c>
      <c r="CW496" s="235" t="s">
        <v>326</v>
      </c>
      <c r="CX496" s="160">
        <f>+CX494/CV494-1</f>
        <v>-3.2328816434376684E-2</v>
      </c>
      <c r="CY496" s="160">
        <f>+CY494/CX494-1</f>
        <v>1.4296192753213699E-2</v>
      </c>
      <c r="CZ496" s="160">
        <f t="shared" ref="CZ496:DA496" si="10191">+CZ494/CY494-1</f>
        <v>3.5301609132192269E-3</v>
      </c>
      <c r="DA496" s="160">
        <f t="shared" si="10191"/>
        <v>2.8818287775526308E-2</v>
      </c>
      <c r="DB496" s="235" t="s">
        <v>326</v>
      </c>
    </row>
    <row r="497" spans="1:106">
      <c r="A497" s="117"/>
      <c r="F497" s="217"/>
      <c r="G497" s="119"/>
      <c r="H497" s="119"/>
      <c r="I497" s="119"/>
      <c r="J497" s="119"/>
      <c r="K497" s="235"/>
      <c r="L497" s="119"/>
      <c r="M497" s="119"/>
      <c r="N497" s="119"/>
      <c r="O497" s="119"/>
      <c r="P497" s="235"/>
      <c r="U497" s="217"/>
      <c r="Z497" s="217"/>
      <c r="AE497" s="217"/>
      <c r="AJ497" s="217"/>
      <c r="AO497" s="217"/>
      <c r="AT497" s="217"/>
      <c r="AU497" s="21"/>
      <c r="AV497" s="21"/>
      <c r="AW497" s="21"/>
      <c r="AX497" s="21"/>
      <c r="AY497" s="253"/>
      <c r="AZ497" s="21"/>
      <c r="BA497" s="21"/>
      <c r="BB497" s="21"/>
      <c r="BC497" s="21"/>
      <c r="BD497" s="253"/>
      <c r="BE497" s="21"/>
      <c r="BF497" s="132"/>
      <c r="BG497" s="132"/>
      <c r="BH497" s="132"/>
      <c r="BI497" s="215"/>
      <c r="BJ497" s="132"/>
      <c r="BK497" s="132"/>
      <c r="BL497" s="132"/>
      <c r="BM497" s="132"/>
      <c r="BN497" s="215"/>
      <c r="BO497" s="132"/>
      <c r="BP497" s="132"/>
      <c r="BQ497" s="132"/>
      <c r="BR497" s="132"/>
      <c r="BS497" s="215"/>
      <c r="BT497" s="132"/>
      <c r="BU497" s="132"/>
      <c r="BV497" s="132"/>
      <c r="BW497" s="132"/>
      <c r="BX497" s="215"/>
      <c r="BY497" s="132"/>
      <c r="BZ497" s="132"/>
      <c r="CA497" s="132"/>
      <c r="CB497" s="132"/>
      <c r="CC497" s="215"/>
      <c r="CD497" s="132"/>
      <c r="CE497" s="132"/>
      <c r="CF497" s="132"/>
      <c r="CG497" s="132"/>
      <c r="CH497" s="215"/>
      <c r="CI497" s="132"/>
      <c r="CJ497" s="132"/>
      <c r="CK497" s="132"/>
      <c r="CL497" s="132"/>
      <c r="CM497" s="215"/>
      <c r="CN497" s="132"/>
      <c r="CO497" s="132"/>
      <c r="CP497" s="132"/>
      <c r="CQ497" s="132"/>
      <c r="CR497" s="215"/>
      <c r="CS497" s="132"/>
      <c r="CT497" s="132"/>
      <c r="CU497" s="132"/>
      <c r="CV497" s="132"/>
      <c r="CW497" s="215"/>
      <c r="CX497" s="132"/>
      <c r="CY497" s="132"/>
      <c r="CZ497" s="132"/>
      <c r="DA497" s="132"/>
      <c r="DB497" s="215"/>
    </row>
    <row r="498" spans="1:106">
      <c r="F498" s="220"/>
      <c r="K498" s="220"/>
      <c r="P498" s="220"/>
      <c r="U498" s="220"/>
      <c r="Z498" s="220"/>
      <c r="AE498" s="220"/>
      <c r="AJ498" s="220"/>
      <c r="AO498" s="220"/>
      <c r="AT498" s="220"/>
      <c r="AU498" s="21"/>
      <c r="AV498" s="21"/>
      <c r="AW498" s="21"/>
      <c r="AX498" s="21"/>
      <c r="AY498" s="254"/>
      <c r="AZ498" s="21"/>
      <c r="BA498" s="21"/>
      <c r="BB498" s="21"/>
      <c r="BC498" s="21"/>
      <c r="BD498" s="254"/>
      <c r="BE498" s="21"/>
      <c r="BF498" s="132"/>
      <c r="BG498" s="132"/>
      <c r="BH498" s="132"/>
      <c r="BI498" s="255"/>
      <c r="BJ498" s="132"/>
      <c r="BK498" s="132"/>
      <c r="BL498" s="132"/>
      <c r="BM498" s="132"/>
      <c r="BN498" s="255"/>
      <c r="BO498" s="132"/>
      <c r="BP498" s="132"/>
      <c r="BQ498" s="132"/>
      <c r="BR498" s="132"/>
      <c r="BS498" s="255"/>
      <c r="BT498" s="132"/>
      <c r="BU498" s="132"/>
      <c r="BV498" s="132"/>
      <c r="BW498" s="132"/>
      <c r="BX498" s="255"/>
      <c r="BY498" s="132"/>
      <c r="BZ498" s="132"/>
      <c r="CA498" s="132"/>
      <c r="CB498" s="132"/>
      <c r="CC498" s="255"/>
      <c r="CD498" s="132"/>
      <c r="CE498" s="132"/>
      <c r="CF498" s="132"/>
      <c r="CG498" s="132"/>
      <c r="CH498" s="255"/>
      <c r="CI498" s="132"/>
      <c r="CJ498" s="132"/>
      <c r="CK498" s="132"/>
      <c r="CL498" s="132"/>
      <c r="CM498" s="255"/>
      <c r="CN498" s="132"/>
      <c r="CO498" s="132"/>
      <c r="CP498" s="132"/>
      <c r="CQ498" s="132"/>
      <c r="CR498" s="255"/>
      <c r="CS498" s="132"/>
      <c r="CT498" s="132"/>
      <c r="CU498" s="132"/>
      <c r="CV498" s="132"/>
      <c r="CW498" s="255"/>
      <c r="CX498" s="132"/>
      <c r="CY498" s="132"/>
      <c r="CZ498" s="132"/>
      <c r="DA498" s="132"/>
      <c r="DB498" s="255"/>
    </row>
    <row r="501" spans="1:106">
      <c r="A501" s="109" t="s">
        <v>268</v>
      </c>
      <c r="AT501" s="12">
        <v>785.84900000000005</v>
      </c>
      <c r="AY501" s="12">
        <v>1047.636</v>
      </c>
      <c r="AZ501" s="12">
        <f>764.285-BA501</f>
        <v>359.41299999999995</v>
      </c>
      <c r="BA501" s="12">
        <v>404.87200000000001</v>
      </c>
      <c r="BD501" s="12">
        <v>1657.7449999999999</v>
      </c>
      <c r="BE501" s="12">
        <v>492.30500000000001</v>
      </c>
      <c r="BF501" s="12">
        <v>537.80100000000004</v>
      </c>
      <c r="BG501" s="12">
        <v>582.37099999999998</v>
      </c>
    </row>
    <row r="502" spans="1:106">
      <c r="A502" s="109" t="s">
        <v>269</v>
      </c>
      <c r="AT502" s="12">
        <v>3.7050000000000001</v>
      </c>
      <c r="AY502" s="12">
        <v>4.9080000000000004</v>
      </c>
      <c r="AZ502" s="12">
        <f>3.082-BA502</f>
        <v>1.4809999999999999</v>
      </c>
      <c r="BA502" s="12">
        <v>1.601</v>
      </c>
      <c r="BD502" s="12">
        <v>6.62</v>
      </c>
      <c r="BE502" s="12">
        <v>1.6919999999999999</v>
      </c>
      <c r="BF502" s="12">
        <v>1.571</v>
      </c>
      <c r="BG502" s="12">
        <v>1.5229999999999999</v>
      </c>
    </row>
    <row r="503" spans="1:106">
      <c r="A503" s="109" t="s">
        <v>270</v>
      </c>
      <c r="AT503" s="12">
        <v>16.64</v>
      </c>
      <c r="AY503" s="12">
        <v>22.811</v>
      </c>
      <c r="AZ503" s="12">
        <f>10.617-BA503</f>
        <v>5.1780000000000008</v>
      </c>
      <c r="BA503" s="12">
        <v>5.4390000000000001</v>
      </c>
      <c r="BD503" s="12">
        <v>23.884</v>
      </c>
      <c r="BE503" s="12">
        <v>6.0490000000000004</v>
      </c>
      <c r="BF503" s="12">
        <v>5.4080000000000004</v>
      </c>
      <c r="BG503" s="12">
        <v>6.0060000000000002</v>
      </c>
    </row>
    <row r="504" spans="1:106">
      <c r="A504" s="109" t="s">
        <v>271</v>
      </c>
      <c r="AT504" s="12">
        <v>14.028</v>
      </c>
      <c r="AY504" s="12">
        <v>7.2160000000000002</v>
      </c>
      <c r="AZ504" s="12">
        <f>3.108-BA504</f>
        <v>1.669</v>
      </c>
      <c r="BA504" s="12">
        <v>1.4390000000000001</v>
      </c>
      <c r="BD504" s="12">
        <v>8.6620000000000008</v>
      </c>
      <c r="BE504" s="12">
        <v>1.784</v>
      </c>
      <c r="BF504" s="54">
        <v>1.82</v>
      </c>
      <c r="BG504" s="54">
        <v>2.2829999999999999</v>
      </c>
    </row>
    <row r="505" spans="1:106">
      <c r="A505" s="114" t="s">
        <v>3</v>
      </c>
      <c r="AT505" s="115">
        <f>SUM(AT501:AT504)</f>
        <v>820.22200000000009</v>
      </c>
      <c r="AY505" s="115">
        <f>SUM(AY501:AY504)</f>
        <v>1082.5709999999997</v>
      </c>
      <c r="AZ505" s="115">
        <f>SUM(AZ501:AZ504)</f>
        <v>367.74099999999993</v>
      </c>
      <c r="BA505" s="115">
        <f>SUM(BA501:BA504)</f>
        <v>413.35100000000006</v>
      </c>
      <c r="BD505" s="115">
        <f>SUM(BD501:BD504)</f>
        <v>1696.9109999999998</v>
      </c>
      <c r="BE505" s="115">
        <f>SUM(BE501:BE504)</f>
        <v>501.83</v>
      </c>
      <c r="BF505" s="115">
        <f>SUM(BF501:BF504)</f>
        <v>546.60000000000014</v>
      </c>
      <c r="BG505" s="115">
        <f>SUM(BG501:BG504)</f>
        <v>592.18299999999999</v>
      </c>
    </row>
    <row r="507" spans="1:106" s="64" customFormat="1"/>
    <row r="509" spans="1:106">
      <c r="A509" s="109" t="s">
        <v>272</v>
      </c>
      <c r="AT509" s="12">
        <v>690.75400000000002</v>
      </c>
      <c r="AY509" s="12">
        <v>954.15499999999997</v>
      </c>
      <c r="AZ509" s="12">
        <f>725.156-BA509</f>
        <v>341.02799999999996</v>
      </c>
      <c r="BA509" s="12">
        <v>384.12799999999999</v>
      </c>
      <c r="BD509" s="12">
        <v>1571.817</v>
      </c>
      <c r="BE509" s="12">
        <f>989.635-BF509</f>
        <v>472.64800000000002</v>
      </c>
      <c r="BF509" s="12">
        <v>516.98699999999997</v>
      </c>
      <c r="BG509" s="12">
        <v>559.505</v>
      </c>
    </row>
    <row r="510" spans="1:106">
      <c r="A510" s="109" t="s">
        <v>275</v>
      </c>
      <c r="AT510" s="12">
        <v>94.91</v>
      </c>
      <c r="AY510" s="12">
        <v>98.891000000000005</v>
      </c>
      <c r="AZ510" s="12">
        <f>42.53-BA510</f>
        <v>20.276</v>
      </c>
      <c r="BA510" s="12">
        <v>22.254000000000001</v>
      </c>
      <c r="BD510" s="12">
        <v>97.21</v>
      </c>
      <c r="BE510" s="12">
        <f>43.001-BF510</f>
        <v>20.831999999999997</v>
      </c>
      <c r="BF510" s="12">
        <v>22.169</v>
      </c>
      <c r="BG510" s="12">
        <v>25.097999999999999</v>
      </c>
    </row>
    <row r="511" spans="1:106">
      <c r="A511" s="109" t="s">
        <v>273</v>
      </c>
      <c r="AT511" s="12">
        <v>34.558</v>
      </c>
      <c r="AY511" s="12">
        <v>29.524999999999999</v>
      </c>
      <c r="AZ511" s="12">
        <f>13.406-BA511</f>
        <v>6.4370000000000003</v>
      </c>
      <c r="BA511" s="12">
        <v>6.9690000000000003</v>
      </c>
      <c r="BD511" s="12">
        <v>27.884</v>
      </c>
      <c r="BE511" s="54">
        <f>15.795-BF511</f>
        <v>8.3509999999999991</v>
      </c>
      <c r="BF511" s="54">
        <v>7.444</v>
      </c>
      <c r="BG511" s="54">
        <v>7.58</v>
      </c>
    </row>
    <row r="512" spans="1:106">
      <c r="A512" s="114" t="s">
        <v>3</v>
      </c>
      <c r="AT512" s="115">
        <f>SUM(AT509:AT511)</f>
        <v>820.22199999999998</v>
      </c>
      <c r="AY512" s="115">
        <f>SUM(AY509:AY511)</f>
        <v>1082.5710000000001</v>
      </c>
      <c r="AZ512" s="12">
        <f>SUM(AZ509:AZ511)</f>
        <v>367.74099999999999</v>
      </c>
      <c r="BA512" s="12">
        <f>SUM(BA509:BA511)</f>
        <v>413.351</v>
      </c>
      <c r="BD512" s="115">
        <f>SUM(BD509:BD511)</f>
        <v>1696.9110000000001</v>
      </c>
      <c r="BE512" s="12">
        <f>SUM(BE509:BE511)</f>
        <v>501.83100000000002</v>
      </c>
      <c r="BF512" s="12">
        <f>SUM(BF509:BF511)</f>
        <v>546.59999999999991</v>
      </c>
      <c r="BG512" s="12">
        <f>SUM(BG509:BG511)</f>
        <v>592.18299999999999</v>
      </c>
    </row>
    <row r="514" spans="1:64">
      <c r="A514" s="109" t="s">
        <v>485</v>
      </c>
      <c r="BA514" s="12">
        <f>BA515*BA17</f>
        <v>42.575153</v>
      </c>
      <c r="BF514" s="12">
        <f>BF515*BF17</f>
        <v>77.070599999999999</v>
      </c>
      <c r="BG514" s="12">
        <f>BG515*BG17</f>
        <v>80.536888000000005</v>
      </c>
    </row>
    <row r="515" spans="1:64">
      <c r="A515" s="109" t="s">
        <v>499</v>
      </c>
      <c r="AY515" s="160"/>
      <c r="AZ515" s="160"/>
      <c r="BA515" s="287">
        <v>0.10299999999999999</v>
      </c>
      <c r="BB515" s="160"/>
      <c r="BC515" s="160"/>
      <c r="BD515" s="160"/>
      <c r="BE515" s="160"/>
      <c r="BF515" s="287">
        <v>0.14099999999999999</v>
      </c>
      <c r="BG515" s="287">
        <v>0.13600000000000001</v>
      </c>
      <c r="BH515" s="160"/>
      <c r="BI515" s="160"/>
      <c r="BJ515" s="160"/>
      <c r="BK515" s="160"/>
      <c r="BL515" s="160"/>
    </row>
    <row r="517" spans="1:64">
      <c r="A517" s="109" t="s">
        <v>272</v>
      </c>
      <c r="BE517" s="116">
        <f>BE509/AZ509-1</f>
        <v>0.3859507137243865</v>
      </c>
      <c r="BF517" s="116">
        <f>BF509/BA509-1</f>
        <v>0.34587168860379869</v>
      </c>
      <c r="BG517" s="116"/>
    </row>
    <row r="518" spans="1:64">
      <c r="A518" s="109" t="s">
        <v>275</v>
      </c>
      <c r="BE518" s="116">
        <f t="shared" ref="BE518:BF519" si="10192">BE510/AZ510-1</f>
        <v>2.7421582166107683E-2</v>
      </c>
      <c r="BF518" s="116">
        <f t="shared" si="10192"/>
        <v>-3.8195380605734464E-3</v>
      </c>
      <c r="BG518" s="116"/>
    </row>
    <row r="519" spans="1:64">
      <c r="A519" s="109" t="s">
        <v>273</v>
      </c>
      <c r="BE519" s="116">
        <f t="shared" si="10192"/>
        <v>0.29734348298896984</v>
      </c>
      <c r="BF519" s="116">
        <f t="shared" si="10192"/>
        <v>6.8158989812024728E-2</v>
      </c>
      <c r="BG519" s="116"/>
    </row>
    <row r="521" spans="1:64">
      <c r="A521" s="109" t="s">
        <v>272</v>
      </c>
      <c r="AT521" s="116">
        <f t="shared" ref="AT521:AU521" si="10193">AT509/AT$17</f>
        <v>0.84215492878757214</v>
      </c>
      <c r="AU521" s="116">
        <f t="shared" si="10193"/>
        <v>0</v>
      </c>
      <c r="AV521" s="116">
        <f>AV509/AV$17</f>
        <v>0</v>
      </c>
      <c r="AY521" s="116">
        <f t="shared" ref="AY521:AZ521" si="10194">AY509/AY$17</f>
        <v>0.88137868093640048</v>
      </c>
      <c r="AZ521" s="116">
        <f t="shared" si="10194"/>
        <v>0.92735920117691506</v>
      </c>
      <c r="BA521" s="116">
        <f t="shared" ref="BA521" si="10195">BA509/BA$17</f>
        <v>0.92930221530853918</v>
      </c>
      <c r="BD521" s="116">
        <f t="shared" ref="BD521:BE521" si="10196">BD509/BD$17</f>
        <v>0.9262813429814527</v>
      </c>
      <c r="BE521" s="116">
        <f t="shared" si="10196"/>
        <v>0.94184883327023106</v>
      </c>
      <c r="BF521" s="116">
        <f t="shared" ref="BF521:BG524" si="10197">BF509/BF$17</f>
        <v>0.94582327113062559</v>
      </c>
      <c r="BG521" s="116">
        <f t="shared" si="10197"/>
        <v>0.94481773370731681</v>
      </c>
    </row>
    <row r="522" spans="1:64">
      <c r="A522" s="109" t="s">
        <v>275</v>
      </c>
      <c r="AT522" s="116">
        <f t="shared" ref="AT522:AU522" si="10198">AT510/AT$17</f>
        <v>0.11571257537593481</v>
      </c>
      <c r="AU522" s="116">
        <f t="shared" si="10198"/>
        <v>0</v>
      </c>
      <c r="AV522" s="116">
        <f>AV510/AV$17</f>
        <v>0</v>
      </c>
      <c r="AY522" s="116">
        <f t="shared" ref="AY522:AZ522" si="10199">AY510/AY$17</f>
        <v>9.1348281082718835E-2</v>
      </c>
      <c r="AZ522" s="116">
        <f t="shared" si="10199"/>
        <v>5.5136631487922201E-2</v>
      </c>
      <c r="BA522" s="116">
        <f t="shared" ref="BA522" si="10200">BA510/BA$17</f>
        <v>5.383802143940622E-2</v>
      </c>
      <c r="BD522" s="116">
        <f t="shared" ref="BD522:BE522" si="10201">BD510/BD$17</f>
        <v>5.7286445782955026E-2</v>
      </c>
      <c r="BE522" s="116">
        <f t="shared" si="10201"/>
        <v>4.1512065839029146E-2</v>
      </c>
      <c r="BF522" s="116">
        <f t="shared" si="10197"/>
        <v>4.0557994877424078E-2</v>
      </c>
      <c r="BG522" s="116">
        <f t="shared" si="10197"/>
        <v>4.2382169025453283E-2</v>
      </c>
    </row>
    <row r="523" spans="1:64">
      <c r="A523" s="109" t="s">
        <v>273</v>
      </c>
      <c r="AT523" s="288">
        <f t="shared" ref="AT523:AU523" si="10202">AT511/AT$17</f>
        <v>4.2132495836493047E-2</v>
      </c>
      <c r="AU523" s="288">
        <f t="shared" si="10202"/>
        <v>0</v>
      </c>
      <c r="AV523" s="288">
        <f>AV511/AV$17</f>
        <v>0</v>
      </c>
      <c r="AY523" s="288">
        <f t="shared" ref="AY523:AZ523" si="10203">AY511/AY$17</f>
        <v>2.72730379808807E-2</v>
      </c>
      <c r="AZ523" s="288">
        <f t="shared" si="10203"/>
        <v>1.7504167335162517E-2</v>
      </c>
      <c r="BA523" s="288">
        <f t="shared" ref="BA523" si="10204">BA511/BA$17</f>
        <v>1.6859763252054551E-2</v>
      </c>
      <c r="BD523" s="288">
        <f t="shared" ref="BD523:BE523" si="10205">BD511/BD$17</f>
        <v>1.6432211235592201E-2</v>
      </c>
      <c r="BE523" s="288">
        <f t="shared" si="10205"/>
        <v>1.6641093597433394E-2</v>
      </c>
      <c r="BF523" s="288">
        <f t="shared" si="10197"/>
        <v>1.3618733991950236E-2</v>
      </c>
      <c r="BG523" s="288">
        <f t="shared" si="10197"/>
        <v>1.2800097267229894E-2</v>
      </c>
    </row>
    <row r="524" spans="1:64">
      <c r="A524" s="114" t="s">
        <v>3</v>
      </c>
      <c r="AT524" s="116">
        <f t="shared" ref="AT524:AU524" si="10206">AT512/AT$17</f>
        <v>1</v>
      </c>
      <c r="AU524" s="116">
        <f t="shared" si="10206"/>
        <v>0</v>
      </c>
      <c r="AV524" s="116">
        <f>AV512/AV$17</f>
        <v>0</v>
      </c>
      <c r="AY524" s="116">
        <f t="shared" ref="AY524:AZ524" si="10207">AY512/AY$17</f>
        <v>1.0000000000000002</v>
      </c>
      <c r="AZ524" s="116">
        <f t="shared" si="10207"/>
        <v>0.99999999999999989</v>
      </c>
      <c r="BA524" s="116">
        <f t="shared" ref="BA524" si="10208">BA512/BA$17</f>
        <v>1</v>
      </c>
      <c r="BD524" s="116">
        <f t="shared" ref="BD524:BE524" si="10209">BD512/BD$17</f>
        <v>1</v>
      </c>
      <c r="BE524" s="116">
        <f t="shared" si="10209"/>
        <v>1.0000019927066937</v>
      </c>
      <c r="BF524" s="116">
        <f t="shared" si="10197"/>
        <v>0.99999999999999978</v>
      </c>
      <c r="BG524" s="116">
        <f t="shared" si="10197"/>
        <v>1</v>
      </c>
    </row>
    <row r="525" spans="1:64" s="64" customFormat="1"/>
    <row r="527" spans="1:64">
      <c r="A527" s="12" t="s">
        <v>500</v>
      </c>
      <c r="AZ527" s="12">
        <f>73.7-BA527</f>
        <v>33.800000000000004</v>
      </c>
      <c r="BA527" s="12">
        <v>39.9</v>
      </c>
      <c r="BE527" s="12">
        <f>79.6-BF527</f>
        <v>34.299999999999997</v>
      </c>
      <c r="BF527" s="12">
        <v>45.3</v>
      </c>
      <c r="BG527" s="12">
        <v>55.1</v>
      </c>
    </row>
    <row r="530" spans="1:56">
      <c r="E530" s="19"/>
      <c r="G530" s="19"/>
      <c r="H530" s="65"/>
      <c r="I530" s="65"/>
      <c r="J530" s="65"/>
      <c r="K530" s="65"/>
    </row>
    <row r="531" spans="1:56">
      <c r="E531" s="19"/>
      <c r="G531" s="19"/>
      <c r="H531" s="65"/>
      <c r="I531" s="65"/>
      <c r="J531" s="65"/>
      <c r="K531" s="65"/>
      <c r="AT531" s="65">
        <v>3018</v>
      </c>
      <c r="AY531" s="65">
        <v>3293</v>
      </c>
      <c r="BD531" s="65">
        <v>4434</v>
      </c>
    </row>
    <row r="532" spans="1:56">
      <c r="E532" s="19"/>
      <c r="G532" s="19"/>
      <c r="H532" s="65"/>
      <c r="I532" s="65"/>
      <c r="J532" s="65"/>
      <c r="K532" s="65"/>
      <c r="AT532" s="65">
        <v>2958</v>
      </c>
      <c r="AY532" s="65">
        <v>3282</v>
      </c>
      <c r="BD532" s="65">
        <v>4424</v>
      </c>
    </row>
    <row r="533" spans="1:56">
      <c r="A533" s="12" t="s">
        <v>274</v>
      </c>
      <c r="AT533" s="116">
        <v>0.107</v>
      </c>
      <c r="AY533" s="116">
        <f>AY532/AT532-1</f>
        <v>0.1095334685598377</v>
      </c>
      <c r="BD533" s="116">
        <f>BD532/AY532-1</f>
        <v>0.34795856185252894</v>
      </c>
    </row>
    <row r="536" spans="1:56">
      <c r="A536" s="1" t="s">
        <v>198</v>
      </c>
    </row>
  </sheetData>
  <sortState xmlns:xlrd2="http://schemas.microsoft.com/office/spreadsheetml/2017/richdata2" ref="AK458:AS458">
    <sortCondition ref="AO458"/>
  </sortState>
  <printOptions horizontalCentered="1"/>
  <pageMargins left="0.25" right="0.25" top="0.25" bottom="0.25" header="0.25" footer="0.25"/>
  <pageSetup scale="1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B96"/>
  <sheetViews>
    <sheetView zoomScaleNormal="100" workbookViewId="0">
      <pane xSplit="1" ySplit="6" topLeftCell="AY21" activePane="bottomRight" state="frozen"/>
      <selection pane="topRight" activeCell="B1" sqref="B1"/>
      <selection pane="bottomLeft" activeCell="A7" sqref="A7"/>
      <selection pane="bottomRight" activeCell="BG33" sqref="BG33"/>
    </sheetView>
  </sheetViews>
  <sheetFormatPr defaultColWidth="8" defaultRowHeight="12.75" outlineLevelRow="1" outlineLevelCol="1"/>
  <cols>
    <col min="1" max="1" width="24.69140625" style="12" customWidth="1"/>
    <col min="2" max="2" width="8" style="12" hidden="1" customWidth="1" outlineLevel="1" collapsed="1"/>
    <col min="3" max="5" width="8" style="12" hidden="1" customWidth="1" outlineLevel="1"/>
    <col min="6" max="6" width="8" style="12" customWidth="1" collapsed="1"/>
    <col min="7" max="7" width="8" style="12" hidden="1" customWidth="1" outlineLevel="1" collapsed="1"/>
    <col min="8" max="10" width="8" style="12" hidden="1" customWidth="1" outlineLevel="1"/>
    <col min="11" max="11" width="8" style="12" customWidth="1" collapsed="1"/>
    <col min="12" max="12" width="8" style="12" hidden="1" customWidth="1" outlineLevel="1" collapsed="1"/>
    <col min="13" max="15" width="8" style="12" hidden="1" customWidth="1" outlineLevel="1"/>
    <col min="16" max="16" width="8.3828125" style="12" customWidth="1" collapsed="1"/>
    <col min="17" max="20" width="8" style="12" hidden="1" customWidth="1" outlineLevel="1"/>
    <col min="21" max="21" width="8.3828125" style="12" customWidth="1" collapsed="1"/>
    <col min="22" max="22" width="7.921875" style="12" hidden="1" customWidth="1" outlineLevel="1"/>
    <col min="23" max="23" width="8" style="12" hidden="1" customWidth="1" outlineLevel="1"/>
    <col min="24" max="24" width="8.07421875" style="12" hidden="1" customWidth="1" outlineLevel="1"/>
    <col min="25" max="25" width="8" style="12" hidden="1" customWidth="1" outlineLevel="1"/>
    <col min="26" max="26" width="8" style="12" customWidth="1" collapsed="1"/>
    <col min="27" max="27" width="8" style="12" hidden="1" customWidth="1" outlineLevel="1" collapsed="1"/>
    <col min="28" max="28" width="7.921875" style="12" hidden="1" customWidth="1" outlineLevel="1"/>
    <col min="29" max="30" width="8" style="12" hidden="1" customWidth="1" outlineLevel="1"/>
    <col min="31" max="31" width="8" style="12" customWidth="1" collapsed="1"/>
    <col min="32" max="32" width="8" style="12" hidden="1" customWidth="1" outlineLevel="1" collapsed="1"/>
    <col min="33" max="35" width="8.3828125" style="12" hidden="1" customWidth="1" outlineLevel="1"/>
    <col min="36" max="36" width="8.3828125" style="12" customWidth="1" collapsed="1"/>
    <col min="37" max="37" width="8.3828125" style="12" hidden="1" customWidth="1" outlineLevel="1" collapsed="1"/>
    <col min="38" max="40" width="9.07421875" style="12" hidden="1" customWidth="1" outlineLevel="1"/>
    <col min="41" max="41" width="8.3828125" style="12" customWidth="1" collapsed="1"/>
    <col min="42" max="45" width="9.07421875" style="12" hidden="1" customWidth="1" outlineLevel="1"/>
    <col min="46" max="46" width="8.3828125" style="12" customWidth="1" collapsed="1"/>
    <col min="47" max="50" width="8.3046875" style="12" hidden="1" customWidth="1" outlineLevel="1"/>
    <col min="51" max="51" width="8.3828125" style="12" customWidth="1" collapsed="1"/>
    <col min="52" max="55" width="8.3046875" style="12" customWidth="1" outlineLevel="1"/>
    <col min="56" max="56" width="8" style="12" customWidth="1"/>
    <col min="57" max="59" width="8.3828125" style="12" bestFit="1" customWidth="1" outlineLevel="1"/>
    <col min="60" max="60" width="8" style="12" outlineLevel="1"/>
    <col min="61" max="61" width="8" style="12" customWidth="1"/>
    <col min="62" max="65" width="8" style="12" outlineLevel="1"/>
    <col min="66" max="66" width="8" style="12" customWidth="1"/>
    <col min="67" max="70" width="0" style="12" hidden="1" customWidth="1" outlineLevel="1"/>
    <col min="71" max="71" width="8" style="12" customWidth="1" collapsed="1"/>
    <col min="72" max="75" width="0" style="12" hidden="1" customWidth="1" outlineLevel="1"/>
    <col min="76" max="76" width="8" style="12" customWidth="1" collapsed="1"/>
    <col min="77" max="80" width="0" style="12" hidden="1" customWidth="1" outlineLevel="1"/>
    <col min="81" max="81" width="8" style="12" customWidth="1" collapsed="1"/>
    <col min="82" max="85" width="0" style="12" hidden="1" customWidth="1" outlineLevel="1"/>
    <col min="86" max="86" width="8" style="12" customWidth="1" collapsed="1"/>
    <col min="87" max="90" width="0" style="12" hidden="1" customWidth="1" outlineLevel="1"/>
    <col min="91" max="91" width="8" style="12" customWidth="1" collapsed="1"/>
    <col min="92" max="94" width="0" style="12" hidden="1" customWidth="1" outlineLevel="1"/>
    <col min="95" max="95" width="8" style="12" hidden="1" customWidth="1" outlineLevel="1"/>
    <col min="96" max="96" width="7.921875" style="12" customWidth="1" collapsed="1"/>
    <col min="97" max="100" width="0" style="12" hidden="1" customWidth="1" outlineLevel="1"/>
    <col min="101" max="101" width="7.921875" style="12" customWidth="1" collapsed="1"/>
    <col min="102" max="105" width="0" style="12" hidden="1" customWidth="1" outlineLevel="1"/>
    <col min="106" max="106" width="7.921875" style="12" customWidth="1" collapsed="1"/>
    <col min="107" max="16384" width="8" style="12"/>
  </cols>
  <sheetData>
    <row r="1" spans="1:106" s="1" customFormat="1" ht="12.75" customHeight="1">
      <c r="A1" s="137" t="str">
        <f>+IS!A1</f>
        <v>Natera Inc. (NASDAQ: NTRA)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106" s="1" customFormat="1">
      <c r="A2" s="138" t="s">
        <v>467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106" s="1" customFormat="1">
      <c r="A3" s="138" t="str">
        <f>+IS!A3</f>
        <v>$ millions except per share data, FY ending Dec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X3" s="324"/>
    </row>
    <row r="4" spans="1:106" s="1" customFormat="1"/>
    <row r="5" spans="1:106" s="1" customFormat="1">
      <c r="B5" s="139" t="str">
        <f>+IS!B5</f>
        <v>Mar</v>
      </c>
      <c r="C5" s="139" t="str">
        <f>+IS!C5</f>
        <v>Jun</v>
      </c>
      <c r="D5" s="139" t="str">
        <f>+IS!D5</f>
        <v>Sep</v>
      </c>
      <c r="E5" s="139" t="str">
        <f>+IS!E5</f>
        <v>Dec</v>
      </c>
      <c r="F5" s="140">
        <f>+IS!F5</f>
        <v>41974</v>
      </c>
      <c r="G5" s="139" t="str">
        <f>+IS!G5</f>
        <v>Mar</v>
      </c>
      <c r="H5" s="139" t="str">
        <f>+IS!H5</f>
        <v>Jun</v>
      </c>
      <c r="I5" s="139" t="str">
        <f>+IS!I5</f>
        <v>Sep</v>
      </c>
      <c r="J5" s="139" t="str">
        <f>+IS!J5</f>
        <v>Dec</v>
      </c>
      <c r="K5" s="140">
        <f>+IS!K5</f>
        <v>42339</v>
      </c>
      <c r="L5" s="139" t="str">
        <f>+IS!L5</f>
        <v>Mar</v>
      </c>
      <c r="M5" s="139" t="str">
        <f>+IS!M5</f>
        <v>Jun</v>
      </c>
      <c r="N5" s="139" t="str">
        <f>+IS!N5</f>
        <v>Sep</v>
      </c>
      <c r="O5" s="139" t="str">
        <f>+IS!O5</f>
        <v>Dec</v>
      </c>
      <c r="P5" s="140">
        <f>+IS!P5</f>
        <v>42705</v>
      </c>
      <c r="Q5" s="139" t="str">
        <f>+IS!Q5</f>
        <v>Mar</v>
      </c>
      <c r="R5" s="139" t="str">
        <f>+IS!R5</f>
        <v>Jun</v>
      </c>
      <c r="S5" s="139" t="str">
        <f>+IS!S5</f>
        <v>Sep</v>
      </c>
      <c r="T5" s="139" t="str">
        <f>+IS!T5</f>
        <v>Dec</v>
      </c>
      <c r="U5" s="140">
        <f>+IS!U5</f>
        <v>43070</v>
      </c>
      <c r="V5" s="139" t="str">
        <f>+IS!V5</f>
        <v>Mar</v>
      </c>
      <c r="W5" s="139" t="str">
        <f>+IS!W5</f>
        <v>Jun</v>
      </c>
      <c r="X5" s="139" t="str">
        <f>+IS!X5</f>
        <v>Sep</v>
      </c>
      <c r="Y5" s="139" t="str">
        <f>+IS!Y5</f>
        <v>Dec</v>
      </c>
      <c r="Z5" s="140">
        <f>+IS!Z5</f>
        <v>43435</v>
      </c>
      <c r="AA5" s="139" t="str">
        <f>+IS!AA5</f>
        <v>Mar</v>
      </c>
      <c r="AB5" s="139" t="str">
        <f>+IS!AB5</f>
        <v>Jun</v>
      </c>
      <c r="AC5" s="139" t="str">
        <f>+IS!AC5</f>
        <v>Sep</v>
      </c>
      <c r="AD5" s="139" t="str">
        <f>+IS!AD5</f>
        <v>Dec</v>
      </c>
      <c r="AE5" s="140">
        <f>+IS!AE5</f>
        <v>43800</v>
      </c>
      <c r="AF5" s="139" t="str">
        <f>+IS!AF5</f>
        <v>Mar</v>
      </c>
      <c r="AG5" s="139" t="str">
        <f>+IS!AG5</f>
        <v>Jun</v>
      </c>
      <c r="AH5" s="139" t="str">
        <f>+IS!AH5</f>
        <v>Sep</v>
      </c>
      <c r="AI5" s="139" t="str">
        <f>+IS!AI5</f>
        <v>Dec</v>
      </c>
      <c r="AJ5" s="140">
        <f>+IS!AJ5</f>
        <v>44166</v>
      </c>
      <c r="AK5" s="139" t="str">
        <f>+IS!AK5</f>
        <v>Mar</v>
      </c>
      <c r="AL5" s="139" t="str">
        <f>+IS!AL5</f>
        <v>Jun</v>
      </c>
      <c r="AM5" s="139" t="str">
        <f>+IS!AM5</f>
        <v>Sep</v>
      </c>
      <c r="AN5" s="139" t="str">
        <f>+IS!AN5</f>
        <v>Dec</v>
      </c>
      <c r="AO5" s="140">
        <f>+IS!AO5</f>
        <v>44531</v>
      </c>
      <c r="AP5" s="139" t="str">
        <f>+IS!AP5</f>
        <v>Mar</v>
      </c>
      <c r="AQ5" s="139" t="str">
        <f>+IS!AQ5</f>
        <v>Jun</v>
      </c>
      <c r="AR5" s="139" t="str">
        <f>+IS!AR5</f>
        <v>Sep</v>
      </c>
      <c r="AS5" s="139" t="str">
        <f>+IS!AS5</f>
        <v>Dec</v>
      </c>
      <c r="AT5" s="140">
        <f>+IS!AT5</f>
        <v>44896</v>
      </c>
      <c r="AU5" s="139" t="str">
        <f>+IS!AU5</f>
        <v>Mar</v>
      </c>
      <c r="AV5" s="139" t="str">
        <f>+IS!AV5</f>
        <v>Jun</v>
      </c>
      <c r="AW5" s="139" t="str">
        <f>+IS!AW5</f>
        <v>Sep</v>
      </c>
      <c r="AX5" s="139" t="str">
        <f>+IS!AX5</f>
        <v>Dec</v>
      </c>
      <c r="AY5" s="140">
        <f>+IS!AY5</f>
        <v>45261</v>
      </c>
      <c r="AZ5" s="139" t="str">
        <f>+IS!AZ5</f>
        <v>Mar</v>
      </c>
      <c r="BA5" s="139" t="str">
        <f>+IS!BA5</f>
        <v>Jun</v>
      </c>
      <c r="BB5" s="139" t="str">
        <f>+IS!BB5</f>
        <v>Sep</v>
      </c>
      <c r="BC5" s="139" t="str">
        <f>+IS!BC5</f>
        <v>Dec</v>
      </c>
      <c r="BD5" s="140">
        <f>+IS!BD5</f>
        <v>45627</v>
      </c>
      <c r="BE5" s="139" t="str">
        <f>+IS!BE5</f>
        <v>Mar</v>
      </c>
      <c r="BF5" s="139" t="str">
        <f>+IS!BF5</f>
        <v>Jun</v>
      </c>
      <c r="BG5" s="139" t="str">
        <f>+IS!BG5</f>
        <v>Sep</v>
      </c>
      <c r="BH5" s="139" t="str">
        <f>+IS!BH5</f>
        <v>Dec</v>
      </c>
      <c r="BI5" s="140">
        <f>+IS!BI5</f>
        <v>45992</v>
      </c>
      <c r="BJ5" s="139" t="str">
        <f>+IS!BJ5</f>
        <v>Mar</v>
      </c>
      <c r="BK5" s="139" t="str">
        <f>+IS!BK5</f>
        <v>Jun</v>
      </c>
      <c r="BL5" s="139" t="str">
        <f>+IS!BL5</f>
        <v>Sep</v>
      </c>
      <c r="BM5" s="139" t="str">
        <f>+IS!BM5</f>
        <v>Dec</v>
      </c>
      <c r="BN5" s="140">
        <f>+IS!BN5</f>
        <v>46357</v>
      </c>
      <c r="BO5" s="139" t="str">
        <f>+IS!BO5</f>
        <v>Mar</v>
      </c>
      <c r="BP5" s="139" t="str">
        <f>+IS!BP5</f>
        <v>Jun</v>
      </c>
      <c r="BQ5" s="139" t="str">
        <f>+IS!BQ5</f>
        <v>Sep</v>
      </c>
      <c r="BR5" s="139" t="str">
        <f>+IS!BR5</f>
        <v>Dec</v>
      </c>
      <c r="BS5" s="140">
        <f>+IS!BS5</f>
        <v>46722</v>
      </c>
      <c r="BT5" s="139" t="str">
        <f>+IS!BT5</f>
        <v>Mar</v>
      </c>
      <c r="BU5" s="139" t="str">
        <f>+IS!BU5</f>
        <v>Jun</v>
      </c>
      <c r="BV5" s="139" t="str">
        <f>+IS!BV5</f>
        <v>Sep</v>
      </c>
      <c r="BW5" s="139" t="str">
        <f>+IS!BW5</f>
        <v>Dec</v>
      </c>
      <c r="BX5" s="140">
        <f>+IS!BX5</f>
        <v>47088</v>
      </c>
      <c r="BY5" s="139" t="str">
        <f>+IS!BY5</f>
        <v>Mar</v>
      </c>
      <c r="BZ5" s="139" t="str">
        <f>+IS!BZ5</f>
        <v>Jun</v>
      </c>
      <c r="CA5" s="139" t="str">
        <f>+IS!CA5</f>
        <v>Sep</v>
      </c>
      <c r="CB5" s="139" t="str">
        <f>+IS!CB5</f>
        <v>Dec</v>
      </c>
      <c r="CC5" s="140">
        <f>+IS!CC5</f>
        <v>47453</v>
      </c>
      <c r="CD5" s="139" t="str">
        <f>+IS!CD5</f>
        <v>Mar</v>
      </c>
      <c r="CE5" s="139" t="str">
        <f>+IS!CE5</f>
        <v>Jun</v>
      </c>
      <c r="CF5" s="139" t="str">
        <f>+IS!CF5</f>
        <v>Sep</v>
      </c>
      <c r="CG5" s="139" t="str">
        <f>+IS!CG5</f>
        <v>Dec</v>
      </c>
      <c r="CH5" s="140">
        <f>+IS!CH5</f>
        <v>47818</v>
      </c>
      <c r="CI5" s="139" t="str">
        <f>+IS!CI5</f>
        <v>Mar</v>
      </c>
      <c r="CJ5" s="139" t="str">
        <f>+IS!CJ5</f>
        <v>Jun</v>
      </c>
      <c r="CK5" s="139" t="str">
        <f>+IS!CK5</f>
        <v>Sep</v>
      </c>
      <c r="CL5" s="139" t="str">
        <f>+IS!CL5</f>
        <v>Dec</v>
      </c>
      <c r="CM5" s="140">
        <f>+IS!CM5</f>
        <v>48183</v>
      </c>
      <c r="CN5" s="139" t="str">
        <f>+IS!CN5</f>
        <v>Mar</v>
      </c>
      <c r="CO5" s="139" t="str">
        <f>+IS!CO5</f>
        <v>Jun</v>
      </c>
      <c r="CP5" s="139" t="str">
        <f>+IS!CP5</f>
        <v>Sep</v>
      </c>
      <c r="CQ5" s="139" t="str">
        <f>+IS!CQ5</f>
        <v>Dec</v>
      </c>
      <c r="CR5" s="140">
        <f>+IS!CR5</f>
        <v>48549</v>
      </c>
      <c r="CS5" s="139" t="str">
        <f>+IS!CS5</f>
        <v>Mar</v>
      </c>
      <c r="CT5" s="139" t="str">
        <f>+IS!CT5</f>
        <v>Jun</v>
      </c>
      <c r="CU5" s="139" t="str">
        <f>+IS!CU5</f>
        <v>Sep</v>
      </c>
      <c r="CV5" s="139" t="str">
        <f>+IS!CV5</f>
        <v>Dec</v>
      </c>
      <c r="CW5" s="140">
        <f>+IS!CW5</f>
        <v>48914</v>
      </c>
      <c r="CX5" s="139" t="str">
        <f>+IS!CX5</f>
        <v>Mar</v>
      </c>
      <c r="CY5" s="139" t="str">
        <f>+IS!CY5</f>
        <v>Jun</v>
      </c>
      <c r="CZ5" s="139" t="str">
        <f>+IS!CZ5</f>
        <v>Sep</v>
      </c>
      <c r="DA5" s="139" t="str">
        <f>+IS!DA5</f>
        <v>Dec</v>
      </c>
      <c r="DB5" s="140">
        <f>+IS!DB5</f>
        <v>49279</v>
      </c>
    </row>
    <row r="6" spans="1:106" s="4" customFormat="1">
      <c r="A6" s="153"/>
      <c r="B6" s="142" t="str">
        <f>+IS!B6</f>
        <v>1Q14A</v>
      </c>
      <c r="C6" s="142" t="str">
        <f>+IS!C6</f>
        <v>2Q14A</v>
      </c>
      <c r="D6" s="142" t="str">
        <f>+IS!D6</f>
        <v>3Q14A</v>
      </c>
      <c r="E6" s="142" t="str">
        <f>+IS!E6</f>
        <v>4Q14A</v>
      </c>
      <c r="F6" s="143" t="str">
        <f>+IS!F6</f>
        <v>FY14A</v>
      </c>
      <c r="G6" s="142" t="str">
        <f>+IS!G6</f>
        <v>1Q15A</v>
      </c>
      <c r="H6" s="142" t="str">
        <f>+IS!H6</f>
        <v>2Q15A</v>
      </c>
      <c r="I6" s="142" t="str">
        <f>+IS!I6</f>
        <v>3Q15A</v>
      </c>
      <c r="J6" s="142" t="str">
        <f>+IS!J6</f>
        <v>4Q15A</v>
      </c>
      <c r="K6" s="143" t="str">
        <f>+IS!K6</f>
        <v>FY15A</v>
      </c>
      <c r="L6" s="142" t="str">
        <f>+IS!L6</f>
        <v>1Q16A</v>
      </c>
      <c r="M6" s="142" t="str">
        <f>+IS!M6</f>
        <v>2Q16A</v>
      </c>
      <c r="N6" s="142" t="str">
        <f>+IS!N6</f>
        <v>3Q16A</v>
      </c>
      <c r="O6" s="142" t="str">
        <f>+IS!O6</f>
        <v>4Q16A</v>
      </c>
      <c r="P6" s="143" t="str">
        <f>+IS!P6</f>
        <v>FY16A</v>
      </c>
      <c r="Q6" s="142" t="str">
        <f>+IS!Q6</f>
        <v>1Q17A</v>
      </c>
      <c r="R6" s="142" t="str">
        <f>+IS!R6</f>
        <v>2Q17A</v>
      </c>
      <c r="S6" s="142" t="str">
        <f>+IS!S6</f>
        <v>3Q17A</v>
      </c>
      <c r="T6" s="142" t="str">
        <f>+IS!T6</f>
        <v>4Q17A</v>
      </c>
      <c r="U6" s="143" t="str">
        <f>+IS!U6</f>
        <v>FY17A</v>
      </c>
      <c r="V6" s="142" t="str">
        <f>+IS!V6</f>
        <v>1Q18A</v>
      </c>
      <c r="W6" s="142" t="str">
        <f>+IS!W6</f>
        <v>2Q18A</v>
      </c>
      <c r="X6" s="142" t="str">
        <f>+IS!X6</f>
        <v>3Q18A</v>
      </c>
      <c r="Y6" s="142" t="str">
        <f>+IS!Y6</f>
        <v>4Q18A</v>
      </c>
      <c r="Z6" s="143" t="str">
        <f>+IS!Z6</f>
        <v>FY18A</v>
      </c>
      <c r="AA6" s="142" t="str">
        <f>+IS!AA6</f>
        <v>1Q19A</v>
      </c>
      <c r="AB6" s="142" t="str">
        <f>+IS!AB6</f>
        <v>2Q19A</v>
      </c>
      <c r="AC6" s="142" t="str">
        <f>+IS!AC6</f>
        <v>3Q19A</v>
      </c>
      <c r="AD6" s="142" t="str">
        <f>+IS!AD6</f>
        <v>4Q19A</v>
      </c>
      <c r="AE6" s="143" t="str">
        <f>+IS!AE6</f>
        <v>FY19A</v>
      </c>
      <c r="AF6" s="142" t="str">
        <f>+IS!AF6</f>
        <v>1Q20A</v>
      </c>
      <c r="AG6" s="142" t="str">
        <f>+IS!AG6</f>
        <v>2Q20A</v>
      </c>
      <c r="AH6" s="142" t="str">
        <f>+IS!AH6</f>
        <v>3Q20A</v>
      </c>
      <c r="AI6" s="142" t="str">
        <f>+IS!AI6</f>
        <v>4Q20A</v>
      </c>
      <c r="AJ6" s="143" t="str">
        <f>+IS!AJ6</f>
        <v>FY20A</v>
      </c>
      <c r="AK6" s="142" t="str">
        <f>+IS!AK6</f>
        <v>1Q21A</v>
      </c>
      <c r="AL6" s="142" t="str">
        <f>+IS!AL6</f>
        <v>2Q21A</v>
      </c>
      <c r="AM6" s="142" t="str">
        <f>+IS!AM6</f>
        <v>3Q21A</v>
      </c>
      <c r="AN6" s="142" t="str">
        <f>+IS!AN6</f>
        <v>4Q21A</v>
      </c>
      <c r="AO6" s="143" t="str">
        <f>+IS!AO6</f>
        <v>FY21A</v>
      </c>
      <c r="AP6" s="142" t="str">
        <f>+IS!AP6</f>
        <v>1Q22A</v>
      </c>
      <c r="AQ6" s="142" t="str">
        <f>+IS!AQ6</f>
        <v>2Q22A</v>
      </c>
      <c r="AR6" s="142" t="str">
        <f>+IS!AR6</f>
        <v>3Q22A</v>
      </c>
      <c r="AS6" s="142" t="str">
        <f>+IS!AS6</f>
        <v>4Q22A</v>
      </c>
      <c r="AT6" s="143" t="str">
        <f>+IS!AT6</f>
        <v>FY22A</v>
      </c>
      <c r="AU6" s="142" t="str">
        <f>+IS!AU6</f>
        <v>1Q23A</v>
      </c>
      <c r="AV6" s="142" t="str">
        <f>+IS!AV6</f>
        <v>2Q23A</v>
      </c>
      <c r="AW6" s="142" t="str">
        <f>+IS!AW6</f>
        <v>3Q23A</v>
      </c>
      <c r="AX6" s="142" t="str">
        <f>+IS!AX6</f>
        <v>4Q23A</v>
      </c>
      <c r="AY6" s="143" t="str">
        <f>+IS!AY6</f>
        <v>FY23A</v>
      </c>
      <c r="AZ6" s="142" t="str">
        <f>+IS!AZ6</f>
        <v>1Q24A</v>
      </c>
      <c r="BA6" s="142" t="str">
        <f>+IS!BA6</f>
        <v>2Q24A</v>
      </c>
      <c r="BB6" s="142" t="str">
        <f>+IS!BB6</f>
        <v>3Q24A</v>
      </c>
      <c r="BC6" s="142" t="str">
        <f>+IS!BC6</f>
        <v>4Q24A</v>
      </c>
      <c r="BD6" s="143" t="str">
        <f>+IS!BD6</f>
        <v>FY24A</v>
      </c>
      <c r="BE6" s="142" t="str">
        <f>+IS!BE6</f>
        <v>1Q25A</v>
      </c>
      <c r="BF6" s="142" t="str">
        <f>+IS!BF6</f>
        <v>2Q25A</v>
      </c>
      <c r="BG6" s="142" t="str">
        <f>+IS!BG6</f>
        <v>3Q25A</v>
      </c>
      <c r="BH6" s="142" t="str">
        <f>+IS!BH6</f>
        <v>4Q25</v>
      </c>
      <c r="BI6" s="143" t="str">
        <f>+IS!BI6</f>
        <v>FY25</v>
      </c>
      <c r="BJ6" s="142" t="str">
        <f>+IS!BJ6</f>
        <v>1Q26E</v>
      </c>
      <c r="BK6" s="142" t="str">
        <f>+IS!BK6</f>
        <v>2Q26E</v>
      </c>
      <c r="BL6" s="142" t="str">
        <f>+IS!BL6</f>
        <v>3Q26E</v>
      </c>
      <c r="BM6" s="142" t="str">
        <f>+IS!BM6</f>
        <v>4Q26E</v>
      </c>
      <c r="BN6" s="143" t="str">
        <f>+IS!BN6</f>
        <v>FY26E</v>
      </c>
      <c r="BO6" s="142" t="str">
        <f>+IS!BO6</f>
        <v>1Q27E</v>
      </c>
      <c r="BP6" s="142" t="str">
        <f>+IS!BP6</f>
        <v>2Q27E</v>
      </c>
      <c r="BQ6" s="142" t="str">
        <f>+IS!BQ6</f>
        <v>3Q27E</v>
      </c>
      <c r="BR6" s="142" t="str">
        <f>+IS!BR6</f>
        <v>4Q27E</v>
      </c>
      <c r="BS6" s="143" t="str">
        <f>+IS!BS6</f>
        <v>FY27E</v>
      </c>
      <c r="BT6" s="142" t="str">
        <f>+IS!BT6</f>
        <v>1Q28E</v>
      </c>
      <c r="BU6" s="142" t="str">
        <f>+IS!BU6</f>
        <v>2Q28E</v>
      </c>
      <c r="BV6" s="142" t="str">
        <f>+IS!BV6</f>
        <v>3Q28E</v>
      </c>
      <c r="BW6" s="142" t="str">
        <f>+IS!BW6</f>
        <v>4Q28E</v>
      </c>
      <c r="BX6" s="143" t="str">
        <f>+IS!BX6</f>
        <v>FY28E</v>
      </c>
      <c r="BY6" s="142" t="str">
        <f>+IS!BY6</f>
        <v>1Q29E</v>
      </c>
      <c r="BZ6" s="142" t="str">
        <f>+IS!BZ6</f>
        <v>2Q29E</v>
      </c>
      <c r="CA6" s="142" t="str">
        <f>+IS!CA6</f>
        <v>3Q29E</v>
      </c>
      <c r="CB6" s="142" t="str">
        <f>+IS!CB6</f>
        <v>4Q29E</v>
      </c>
      <c r="CC6" s="143" t="str">
        <f>+IS!CC6</f>
        <v>FY29E</v>
      </c>
      <c r="CD6" s="142" t="str">
        <f>+IS!CD6</f>
        <v>1Q30E</v>
      </c>
      <c r="CE6" s="142" t="str">
        <f>+IS!CE6</f>
        <v>2Q30E</v>
      </c>
      <c r="CF6" s="142" t="str">
        <f>+IS!CF6</f>
        <v>3Q30E</v>
      </c>
      <c r="CG6" s="142" t="str">
        <f>+IS!CG6</f>
        <v>4Q30E</v>
      </c>
      <c r="CH6" s="143" t="str">
        <f>+IS!CH6</f>
        <v>FY30E</v>
      </c>
      <c r="CI6" s="142" t="str">
        <f>+IS!CI6</f>
        <v>1Q31E</v>
      </c>
      <c r="CJ6" s="142" t="str">
        <f>+IS!CJ6</f>
        <v>2Q31E</v>
      </c>
      <c r="CK6" s="142" t="str">
        <f>+IS!CK6</f>
        <v>3Q31E</v>
      </c>
      <c r="CL6" s="142" t="str">
        <f>+IS!CL6</f>
        <v>4Q31E</v>
      </c>
      <c r="CM6" s="143" t="str">
        <f>+IS!CM6</f>
        <v>FY31E</v>
      </c>
      <c r="CN6" s="142" t="str">
        <f>+IS!CN6</f>
        <v>1Q32E</v>
      </c>
      <c r="CO6" s="142" t="str">
        <f>+IS!CO6</f>
        <v>2Q32E</v>
      </c>
      <c r="CP6" s="142" t="str">
        <f>+IS!CP6</f>
        <v>3Q32E</v>
      </c>
      <c r="CQ6" s="142" t="str">
        <f>+IS!CQ6</f>
        <v>4Q32E</v>
      </c>
      <c r="CR6" s="143" t="str">
        <f>+IS!CR6</f>
        <v>FY32E</v>
      </c>
      <c r="CS6" s="142" t="str">
        <f>+IS!CS6</f>
        <v>1Q33E</v>
      </c>
      <c r="CT6" s="142" t="str">
        <f>+IS!CT6</f>
        <v>2Q33E</v>
      </c>
      <c r="CU6" s="142" t="str">
        <f>+IS!CU6</f>
        <v>3Q33E</v>
      </c>
      <c r="CV6" s="142" t="str">
        <f>+IS!CV6</f>
        <v>4Q33E</v>
      </c>
      <c r="CW6" s="143" t="str">
        <f>+IS!CW6</f>
        <v>FY33E</v>
      </c>
      <c r="CX6" s="142" t="str">
        <f>+IS!CX6</f>
        <v>1Q34E</v>
      </c>
      <c r="CY6" s="142" t="str">
        <f>+IS!CY6</f>
        <v>2Q34E</v>
      </c>
      <c r="CZ6" s="142" t="str">
        <f>+IS!CZ6</f>
        <v>3Q34E</v>
      </c>
      <c r="DA6" s="142" t="str">
        <f>+IS!DA6</f>
        <v>4Q34E</v>
      </c>
      <c r="DB6" s="143" t="str">
        <f>+IS!DB6</f>
        <v>FY34E</v>
      </c>
    </row>
    <row r="7" spans="1:106" s="11" customFormat="1">
      <c r="A7" s="10" t="s">
        <v>16</v>
      </c>
      <c r="F7" s="214"/>
      <c r="K7" s="214"/>
      <c r="P7" s="214"/>
      <c r="U7" s="214" t="s">
        <v>208</v>
      </c>
      <c r="Z7" s="214"/>
      <c r="AE7" s="214"/>
      <c r="AJ7" s="214"/>
      <c r="AO7" s="214"/>
      <c r="AT7" s="214"/>
      <c r="AY7" s="214"/>
      <c r="BD7" s="214"/>
      <c r="BI7" s="214"/>
      <c r="BJ7" s="283"/>
      <c r="BN7" s="214"/>
      <c r="BS7" s="214"/>
      <c r="BX7" s="214"/>
      <c r="CC7" s="214"/>
      <c r="CH7" s="214"/>
      <c r="CM7" s="214"/>
      <c r="CR7" s="214"/>
      <c r="CW7" s="214"/>
      <c r="DB7" s="214"/>
    </row>
    <row r="8" spans="1:106" s="11" customFormat="1">
      <c r="A8" s="11" t="s">
        <v>17</v>
      </c>
      <c r="F8" s="214"/>
      <c r="K8" s="214"/>
      <c r="P8" s="214"/>
      <c r="U8" s="214"/>
      <c r="Z8" s="214"/>
      <c r="AE8" s="214"/>
      <c r="AJ8" s="214"/>
      <c r="AO8" s="214"/>
      <c r="AT8" s="214"/>
      <c r="AY8" s="214"/>
      <c r="BD8" s="214"/>
      <c r="BI8" s="214"/>
      <c r="BJ8" s="283"/>
      <c r="BN8" s="214"/>
      <c r="BS8" s="214"/>
      <c r="BX8" s="214"/>
      <c r="CC8" s="214"/>
      <c r="CH8" s="214"/>
      <c r="CM8" s="214"/>
      <c r="CR8" s="214"/>
      <c r="CW8" s="214"/>
      <c r="DB8" s="214"/>
    </row>
    <row r="9" spans="1:106" s="11" customFormat="1">
      <c r="A9" s="11" t="s">
        <v>18</v>
      </c>
      <c r="E9" s="19">
        <v>87.176000000000002</v>
      </c>
      <c r="F9" s="215">
        <f>E9</f>
        <v>87.176000000000002</v>
      </c>
      <c r="G9" s="19"/>
      <c r="H9" s="19">
        <v>62.243000000000002</v>
      </c>
      <c r="I9" s="19">
        <f>196.192+26.389</f>
        <v>222.58100000000002</v>
      </c>
      <c r="J9" s="19">
        <f>28.947+201.586</f>
        <v>230.53300000000002</v>
      </c>
      <c r="K9" s="215">
        <f>J9</f>
        <v>230.53300000000002</v>
      </c>
      <c r="L9" s="19">
        <f>33.985+196.597</f>
        <v>230.58199999999999</v>
      </c>
      <c r="M9" s="19">
        <f>16.557+198.647</f>
        <v>215.20399999999998</v>
      </c>
      <c r="N9" s="19">
        <f>25.322+157.717</f>
        <v>183.03900000000002</v>
      </c>
      <c r="O9" s="19">
        <f>15.256+130.86</f>
        <v>146.11600000000001</v>
      </c>
      <c r="P9" s="215">
        <f>O9</f>
        <v>146.11600000000001</v>
      </c>
      <c r="Q9" s="19">
        <f>9.086+106.692</f>
        <v>115.77799999999999</v>
      </c>
      <c r="R9" s="19">
        <f>7.138+94.988</f>
        <v>102.126</v>
      </c>
      <c r="S9" s="19">
        <f>11.211+135.017</f>
        <v>146.22800000000001</v>
      </c>
      <c r="T9" s="19">
        <f>12.62+106.247</f>
        <v>118.867</v>
      </c>
      <c r="U9" s="215">
        <f>T9</f>
        <v>118.867</v>
      </c>
      <c r="V9" s="19">
        <f>33.674+80.023</f>
        <v>113.697</v>
      </c>
      <c r="W9" s="19">
        <f>12.306+70.901</f>
        <v>83.206999999999994</v>
      </c>
      <c r="X9" s="19">
        <f>130.891+34.535</f>
        <v>165.42599999999999</v>
      </c>
      <c r="Y9" s="19">
        <f>46.407+107.461</f>
        <v>153.86799999999999</v>
      </c>
      <c r="Z9" s="215">
        <f>Y9</f>
        <v>153.86799999999999</v>
      </c>
      <c r="AA9" s="19">
        <f>34.281+93.805</f>
        <v>128.08600000000001</v>
      </c>
      <c r="AB9" s="19">
        <f>29.928+208.053</f>
        <v>237.98099999999999</v>
      </c>
      <c r="AC9" s="19">
        <f>51.609+186.7</f>
        <v>238.309</v>
      </c>
      <c r="AD9" s="19">
        <f>61.926+379.065</f>
        <v>440.99099999999999</v>
      </c>
      <c r="AE9" s="215">
        <f>AD9</f>
        <v>440.99099999999999</v>
      </c>
      <c r="AF9" s="19">
        <f>74.144+331.681</f>
        <v>405.82499999999999</v>
      </c>
      <c r="AG9" s="19">
        <f>77.322+493.852</f>
        <v>571.17399999999998</v>
      </c>
      <c r="AH9" s="19">
        <f>209.351+600.205</f>
        <v>809.55600000000004</v>
      </c>
      <c r="AI9" s="19">
        <f>48.668+688.606</f>
        <v>737.274</v>
      </c>
      <c r="AJ9" s="215">
        <f>AI9</f>
        <v>737.274</v>
      </c>
      <c r="AK9" s="19">
        <f>65.126+588.446</f>
        <v>653.572</v>
      </c>
      <c r="AL9" s="19">
        <f>62.811+517.432</f>
        <v>580.24300000000005</v>
      </c>
      <c r="AM9" s="19">
        <f>95.103+928.596</f>
        <v>1023.699</v>
      </c>
      <c r="AN9" s="19">
        <f>84.386+829.896</f>
        <v>914.28199999999993</v>
      </c>
      <c r="AO9" s="215">
        <f>AN9</f>
        <v>914.28199999999993</v>
      </c>
      <c r="AP9" s="19">
        <f>158.298+593.66</f>
        <v>751.95799999999997</v>
      </c>
      <c r="AQ9" s="19">
        <f>91.298+547.353</f>
        <v>638.65099999999995</v>
      </c>
      <c r="AR9" s="19">
        <f>57.042+464.112</f>
        <v>521.154</v>
      </c>
      <c r="AS9" s="19">
        <f>466.005+432.301</f>
        <v>898.30600000000004</v>
      </c>
      <c r="AT9" s="215">
        <f>AS9</f>
        <v>898.30600000000004</v>
      </c>
      <c r="AU9" s="19">
        <f>403.154+408.858</f>
        <v>812.01199999999994</v>
      </c>
      <c r="AV9" s="19">
        <f>381.113+354.828</f>
        <v>735.94100000000003</v>
      </c>
      <c r="AW9" s="19">
        <f>668.71+267.847</f>
        <v>936.55700000000002</v>
      </c>
      <c r="AX9" s="19">
        <f>642.095+236.882</f>
        <v>878.97700000000009</v>
      </c>
      <c r="AY9" s="215">
        <f>AX9</f>
        <v>878.97700000000009</v>
      </c>
      <c r="AZ9" s="19">
        <f>813.817+69.121</f>
        <v>882.93799999999999</v>
      </c>
      <c r="BA9" s="19">
        <f>796.798+90.299</f>
        <v>887.09699999999998</v>
      </c>
      <c r="BB9" s="19">
        <f>892.844+29.49</f>
        <v>922.33400000000006</v>
      </c>
      <c r="BC9" s="19">
        <f>945.587+22.689</f>
        <v>968.27599999999995</v>
      </c>
      <c r="BD9" s="215">
        <f>BC9</f>
        <v>968.27599999999995</v>
      </c>
      <c r="BE9" s="19">
        <f>973.768+17.832</f>
        <v>991.6</v>
      </c>
      <c r="BF9" s="19">
        <f>1000.021+15.975</f>
        <v>1015.996</v>
      </c>
      <c r="BG9" s="19">
        <f>1041.438+1</f>
        <v>1042.4380000000001</v>
      </c>
      <c r="BH9" s="19">
        <v>1076.1400000000001</v>
      </c>
      <c r="BI9" s="215">
        <f>BH9</f>
        <v>1076.1400000000001</v>
      </c>
      <c r="BJ9" s="275">
        <f>+BI9+CF!BJ45</f>
        <v>1147.5565141845364</v>
      </c>
      <c r="BK9" s="19">
        <f>+BJ9+CF!BK45</f>
        <v>1084.656040602805</v>
      </c>
      <c r="BL9" s="19">
        <f>+BK9+CF!BL45</f>
        <v>1039.8347087584852</v>
      </c>
      <c r="BM9" s="19">
        <f>+BL9+CF!BM45</f>
        <v>1021.2941273747446</v>
      </c>
      <c r="BN9" s="215">
        <f>BM9</f>
        <v>1021.2941273747446</v>
      </c>
      <c r="BO9" s="19">
        <f>+BN9+CF!BO45</f>
        <v>1043.5940794916285</v>
      </c>
      <c r="BP9" s="19">
        <f>+BO9+CF!BP45</f>
        <v>1036.432867935082</v>
      </c>
      <c r="BQ9" s="19">
        <f>+BP9+CF!BQ45</f>
        <v>1046.5546495924916</v>
      </c>
      <c r="BR9" s="19">
        <f>+BQ9+CF!BR45</f>
        <v>1072.2226320507193</v>
      </c>
      <c r="BS9" s="215">
        <f>BR9</f>
        <v>1072.2226320507193</v>
      </c>
      <c r="BT9" s="19">
        <f>+BS9+CF!BT45</f>
        <v>1142.2862309273496</v>
      </c>
      <c r="BU9" s="19">
        <f>+BT9+CF!BU45</f>
        <v>1187.1286250025123</v>
      </c>
      <c r="BV9" s="19">
        <f>+BU9+CF!BV45</f>
        <v>1251.761452594174</v>
      </c>
      <c r="BW9" s="19">
        <f>+BV9+CF!BW45</f>
        <v>1337.0015492015202</v>
      </c>
      <c r="BX9" s="215">
        <f>BW9</f>
        <v>1337.0015492015202</v>
      </c>
      <c r="BY9" s="19">
        <f>+BX9+CF!BY45</f>
        <v>1473.9492922781501</v>
      </c>
      <c r="BZ9" s="19">
        <f>+BY9+CF!BZ45</f>
        <v>1578.1892040489399</v>
      </c>
      <c r="CA9" s="19">
        <f>+BZ9+CF!CA45</f>
        <v>1708.1710112431301</v>
      </c>
      <c r="CB9" s="19">
        <f>+CA9+CF!CB45</f>
        <v>1858.231761541105</v>
      </c>
      <c r="CC9" s="215">
        <f>CB9</f>
        <v>1858.231761541105</v>
      </c>
      <c r="CD9" s="19">
        <f>+CC9+CF!CD45</f>
        <v>2069.2989885867519</v>
      </c>
      <c r="CE9" s="19">
        <f>+CD9+CF!CE45</f>
        <v>2245.7025088737487</v>
      </c>
      <c r="CF9" s="19">
        <f>+CE9+CF!CF45</f>
        <v>2449.4133524690637</v>
      </c>
      <c r="CG9" s="19">
        <f>+CF9+CF!CG45</f>
        <v>2677.1625854552799</v>
      </c>
      <c r="CH9" s="215">
        <f>CG9</f>
        <v>2677.1625854552799</v>
      </c>
      <c r="CI9" s="19">
        <f>+CH9+CF!CI45</f>
        <v>2965.2208557485278</v>
      </c>
      <c r="CJ9" s="19">
        <f>+CI9+CF!CJ45</f>
        <v>3210.3985508776486</v>
      </c>
      <c r="CK9" s="19">
        <f>+CJ9+CF!CK45</f>
        <v>3481.6062950828186</v>
      </c>
      <c r="CL9" s="19">
        <f>+CK9+CF!CL45</f>
        <v>3774.5894819201135</v>
      </c>
      <c r="CM9" s="215">
        <f>CL9</f>
        <v>3774.5894819201135</v>
      </c>
      <c r="CN9" s="19">
        <f>+CM9+CF!CN45</f>
        <v>4132.9641586468169</v>
      </c>
      <c r="CO9" s="19">
        <f>+CN9+CF!CO45</f>
        <v>4444.2258706940793</v>
      </c>
      <c r="CP9" s="19">
        <f>+CO9+CF!CP45</f>
        <v>4783.7264940918203</v>
      </c>
      <c r="CQ9" s="19">
        <f>+CP9+CF!CQ45</f>
        <v>5146.5614967570509</v>
      </c>
      <c r="CR9" s="215">
        <f>CQ9</f>
        <v>5146.5614967570509</v>
      </c>
      <c r="CS9" s="19">
        <f>+CR9+CF!CS45</f>
        <v>5580.3112403151481</v>
      </c>
      <c r="CT9" s="19">
        <f>+CS9+CF!CT45</f>
        <v>5963.098928008706</v>
      </c>
      <c r="CU9" s="19">
        <f>+CT9+CF!CU45</f>
        <v>6376.9682955229255</v>
      </c>
      <c r="CV9" s="19">
        <f>+CU9+CF!CV45</f>
        <v>6816.2597125661041</v>
      </c>
      <c r="CW9" s="215">
        <f>CV9</f>
        <v>6816.2597125661041</v>
      </c>
      <c r="CX9" s="19">
        <f>+CW9+CF!CX45</f>
        <v>7318.0164519462869</v>
      </c>
      <c r="CY9" s="19">
        <f>+CX9+CF!CY45</f>
        <v>7760.6601932648473</v>
      </c>
      <c r="CZ9" s="19">
        <f>+CY9+CF!CZ45</f>
        <v>8232.9221675274093</v>
      </c>
      <c r="DA9" s="19">
        <f>+CZ9+CF!DA45</f>
        <v>8728.344963671585</v>
      </c>
      <c r="DB9" s="215">
        <f>DA9</f>
        <v>8728.344963671585</v>
      </c>
    </row>
    <row r="10" spans="1:106" s="11" customFormat="1" ht="12.75" customHeight="1">
      <c r="A10" s="11" t="s">
        <v>19</v>
      </c>
      <c r="E10" s="19">
        <v>5.9420000000000002</v>
      </c>
      <c r="F10" s="215">
        <f>E10</f>
        <v>5.9420000000000002</v>
      </c>
      <c r="G10" s="19"/>
      <c r="H10" s="19">
        <v>5.2729999999999997</v>
      </c>
      <c r="I10" s="19">
        <v>5.82</v>
      </c>
      <c r="J10" s="19">
        <v>5.8620000000000001</v>
      </c>
      <c r="K10" s="215">
        <f>J10</f>
        <v>5.8620000000000001</v>
      </c>
      <c r="L10" s="19">
        <v>6.1050000000000004</v>
      </c>
      <c r="M10" s="19">
        <v>6.1710000000000003</v>
      </c>
      <c r="N10" s="19">
        <v>9.4079999999999995</v>
      </c>
      <c r="O10" s="19">
        <v>13.396000000000001</v>
      </c>
      <c r="P10" s="215">
        <f>O10</f>
        <v>13.396000000000001</v>
      </c>
      <c r="Q10" s="19">
        <v>7.4779999999999998</v>
      </c>
      <c r="R10" s="19">
        <v>7.1070000000000002</v>
      </c>
      <c r="S10" s="19">
        <v>7.3419999999999996</v>
      </c>
      <c r="T10" s="19">
        <v>8.2520000000000007</v>
      </c>
      <c r="U10" s="215">
        <f>T10</f>
        <v>8.2520000000000007</v>
      </c>
      <c r="V10" s="19">
        <v>50.326000000000001</v>
      </c>
      <c r="W10" s="19">
        <v>57.002000000000002</v>
      </c>
      <c r="X10" s="19">
        <v>60.396999999999998</v>
      </c>
      <c r="Y10" s="19">
        <v>62.222999999999999</v>
      </c>
      <c r="Z10" s="215">
        <f>Y10</f>
        <v>62.222999999999999</v>
      </c>
      <c r="AA10" s="19">
        <v>60.292999999999999</v>
      </c>
      <c r="AB10" s="19">
        <v>62.973999999999997</v>
      </c>
      <c r="AC10" s="19">
        <v>58.905000000000001</v>
      </c>
      <c r="AD10" s="19">
        <v>53.350999999999999</v>
      </c>
      <c r="AE10" s="215">
        <f>AD10</f>
        <v>53.350999999999999</v>
      </c>
      <c r="AF10" s="19">
        <v>61.576999999999998</v>
      </c>
      <c r="AG10" s="19">
        <v>58.706000000000003</v>
      </c>
      <c r="AH10" s="19">
        <v>70.674000000000007</v>
      </c>
      <c r="AI10" s="19">
        <v>78.564999999999998</v>
      </c>
      <c r="AJ10" s="215">
        <f>AI10</f>
        <v>78.564999999999998</v>
      </c>
      <c r="AK10" s="19">
        <v>87.561999999999998</v>
      </c>
      <c r="AL10" s="19">
        <v>100.13</v>
      </c>
      <c r="AM10" s="19">
        <v>110.416</v>
      </c>
      <c r="AN10" s="19">
        <f>122.074</f>
        <v>122.074</v>
      </c>
      <c r="AO10" s="215">
        <f>AN10</f>
        <v>122.074</v>
      </c>
      <c r="AP10" s="19">
        <v>167.86199999999999</v>
      </c>
      <c r="AQ10" s="19">
        <v>208.31200000000001</v>
      </c>
      <c r="AR10" s="19">
        <v>236.36199999999999</v>
      </c>
      <c r="AS10" s="19">
        <v>244.38499999999999</v>
      </c>
      <c r="AT10" s="215">
        <f>AS10</f>
        <v>244.38499999999999</v>
      </c>
      <c r="AU10" s="19">
        <v>246.785</v>
      </c>
      <c r="AV10" s="19">
        <v>260.065</v>
      </c>
      <c r="AW10" s="19">
        <v>255.14699999999999</v>
      </c>
      <c r="AX10" s="19">
        <v>278.28899999999999</v>
      </c>
      <c r="AY10" s="215">
        <f>AX10</f>
        <v>278.28899999999999</v>
      </c>
      <c r="AZ10" s="19">
        <v>288.74799999999999</v>
      </c>
      <c r="BA10" s="19">
        <v>335.93599999999998</v>
      </c>
      <c r="BB10" s="19">
        <v>306.87599999999998</v>
      </c>
      <c r="BC10" s="19">
        <v>314.16500000000002</v>
      </c>
      <c r="BD10" s="215">
        <f>BC10</f>
        <v>314.16500000000002</v>
      </c>
      <c r="BE10" s="19">
        <v>318.233</v>
      </c>
      <c r="BF10" s="19">
        <v>309.22399999999999</v>
      </c>
      <c r="BG10" s="19">
        <v>286.37900000000002</v>
      </c>
      <c r="BH10" s="19">
        <v>296.52800000000002</v>
      </c>
      <c r="BI10" s="215">
        <f>BH10</f>
        <v>296.52800000000002</v>
      </c>
      <c r="BJ10" s="275">
        <f>BJ65/365*BJ61</f>
        <v>245.39777306005064</v>
      </c>
      <c r="BK10" s="19">
        <f>BK65/365*BK61</f>
        <v>255.93089484754685</v>
      </c>
      <c r="BL10" s="19">
        <f>BL65/365*BL61</f>
        <v>264.48638678508149</v>
      </c>
      <c r="BM10" s="19">
        <f>BM65/365*BM61</f>
        <v>269.53530220448266</v>
      </c>
      <c r="BN10" s="215">
        <f>BM10</f>
        <v>269.53530220448266</v>
      </c>
      <c r="BO10" s="19">
        <f>BO65/365*BO61</f>
        <v>284.29633805099928</v>
      </c>
      <c r="BP10" s="19">
        <f>BP65/365*BP61</f>
        <v>295.7066620977663</v>
      </c>
      <c r="BQ10" s="19">
        <f>BQ65/365*BQ61</f>
        <v>307.2799206113998</v>
      </c>
      <c r="BR10" s="19">
        <f>BR65/365*BR61</f>
        <v>317.1956519830847</v>
      </c>
      <c r="BS10" s="215">
        <f>BR10</f>
        <v>317.1956519830847</v>
      </c>
      <c r="BT10" s="19">
        <f>BT65/365*BT61</f>
        <v>328.82803024541755</v>
      </c>
      <c r="BU10" s="19">
        <f>BU65/365*BU61</f>
        <v>341.2947627810027</v>
      </c>
      <c r="BV10" s="19">
        <f>BV65/365*BV61</f>
        <v>353.75192138945368</v>
      </c>
      <c r="BW10" s="19">
        <f>BW65/365*BW61</f>
        <v>366.67227726455985</v>
      </c>
      <c r="BX10" s="215">
        <f>BW10</f>
        <v>366.67227726455985</v>
      </c>
      <c r="BY10" s="19">
        <f>BY65/365*BY61</f>
        <v>380.45044027055286</v>
      </c>
      <c r="BZ10" s="19">
        <f>BZ65/365*BZ61</f>
        <v>393.71347077857934</v>
      </c>
      <c r="CA10" s="19">
        <f>CA65/365*CA61</f>
        <v>407.69012229783323</v>
      </c>
      <c r="CB10" s="19">
        <f>CB65/365*CB61</f>
        <v>421.47884993075036</v>
      </c>
      <c r="CC10" s="215">
        <f>CB10</f>
        <v>421.47884993075036</v>
      </c>
      <c r="CD10" s="19">
        <f>CD65/365*CD61</f>
        <v>435.89526136786463</v>
      </c>
      <c r="CE10" s="19">
        <f>CE65/365*CE61</f>
        <v>450.58631444361907</v>
      </c>
      <c r="CF10" s="19">
        <f>CF65/365*CF61</f>
        <v>465.30521686740292</v>
      </c>
      <c r="CG10" s="19">
        <f>CG65/365*CG61</f>
        <v>480.39909265206927</v>
      </c>
      <c r="CH10" s="215">
        <f>CG10</f>
        <v>480.39909265206927</v>
      </c>
      <c r="CI10" s="19">
        <f>CI65/365*CI61</f>
        <v>494.93191854288773</v>
      </c>
      <c r="CJ10" s="19">
        <f>CJ65/365*CJ61</f>
        <v>509.04400154568947</v>
      </c>
      <c r="CK10" s="19">
        <f>CK65/365*CK61</f>
        <v>522.84230583725389</v>
      </c>
      <c r="CL10" s="19">
        <f>CL65/365*CL61</f>
        <v>536.31655304146921</v>
      </c>
      <c r="CM10" s="215">
        <f>CL10</f>
        <v>536.31655304146921</v>
      </c>
      <c r="CN10" s="19">
        <f>CN65/365*CN61</f>
        <v>550.19654730548586</v>
      </c>
      <c r="CO10" s="19">
        <f>CO65/365*CO61</f>
        <v>564.07660773575481</v>
      </c>
      <c r="CP10" s="19">
        <f>CP65/365*CP61</f>
        <v>578.04577942017147</v>
      </c>
      <c r="CQ10" s="19">
        <f>CQ65/365*CQ61</f>
        <v>592.11431198190041</v>
      </c>
      <c r="CR10" s="215">
        <f>CQ10</f>
        <v>592.11431198190041</v>
      </c>
      <c r="CS10" s="19">
        <f>CS65/365*CS61</f>
        <v>606.67356189827694</v>
      </c>
      <c r="CT10" s="19">
        <f>CT65/365*CT61</f>
        <v>621.30391028388817</v>
      </c>
      <c r="CU10" s="19">
        <f>CU65/365*CU61</f>
        <v>636.11904716842014</v>
      </c>
      <c r="CV10" s="19">
        <f>CV65/365*CV61</f>
        <v>651.10675229247136</v>
      </c>
      <c r="CW10" s="215">
        <f>CV10</f>
        <v>651.10675229247136</v>
      </c>
      <c r="CX10" s="19">
        <f>CX65/365*CX61</f>
        <v>665.15682578456381</v>
      </c>
      <c r="CY10" s="19">
        <f>CY65/365*CY61</f>
        <v>678.82011851996231</v>
      </c>
      <c r="CZ10" s="19">
        <f>CZ65/365*CZ61</f>
        <v>692.19663586311924</v>
      </c>
      <c r="DA10" s="19">
        <f>DA65/365*DA61</f>
        <v>705.28731171359289</v>
      </c>
      <c r="DB10" s="215">
        <f>DA10</f>
        <v>705.28731171359289</v>
      </c>
    </row>
    <row r="11" spans="1:106" s="11" customFormat="1" ht="12.75" customHeight="1">
      <c r="A11" s="11" t="s">
        <v>20</v>
      </c>
      <c r="E11" s="19">
        <v>11.542</v>
      </c>
      <c r="F11" s="215">
        <f>E11</f>
        <v>11.542</v>
      </c>
      <c r="G11" s="19"/>
      <c r="H11" s="19">
        <v>14.632999999999999</v>
      </c>
      <c r="I11" s="19">
        <v>12.724</v>
      </c>
      <c r="J11" s="19">
        <v>8.093</v>
      </c>
      <c r="K11" s="215">
        <f>J11</f>
        <v>8.093</v>
      </c>
      <c r="L11" s="19">
        <v>6.6890000000000001</v>
      </c>
      <c r="M11" s="19">
        <v>8.8930000000000007</v>
      </c>
      <c r="N11" s="19">
        <v>9.2490000000000006</v>
      </c>
      <c r="O11" s="19">
        <v>6.4139999999999997</v>
      </c>
      <c r="P11" s="215">
        <f>O11</f>
        <v>6.4139999999999997</v>
      </c>
      <c r="Q11" s="19">
        <v>8.2230000000000008</v>
      </c>
      <c r="R11" s="19">
        <v>7.359</v>
      </c>
      <c r="S11" s="19">
        <v>9.1880000000000006</v>
      </c>
      <c r="T11" s="19">
        <v>8.9979999999999993</v>
      </c>
      <c r="U11" s="215">
        <f>T11</f>
        <v>8.9979999999999993</v>
      </c>
      <c r="V11" s="19">
        <v>11.911</v>
      </c>
      <c r="W11" s="19">
        <v>12.324</v>
      </c>
      <c r="X11" s="19">
        <v>12.244</v>
      </c>
      <c r="Y11" s="19">
        <v>13.632999999999999</v>
      </c>
      <c r="Z11" s="215">
        <f>Y11</f>
        <v>13.632999999999999</v>
      </c>
      <c r="AA11" s="19">
        <v>13.747999999999999</v>
      </c>
      <c r="AB11" s="19">
        <v>15.236000000000001</v>
      </c>
      <c r="AC11" s="19">
        <v>12.513999999999999</v>
      </c>
      <c r="AD11" s="19">
        <v>12.394</v>
      </c>
      <c r="AE11" s="215">
        <f>AD11</f>
        <v>12.394</v>
      </c>
      <c r="AF11" s="19">
        <v>14.161</v>
      </c>
      <c r="AG11" s="19">
        <v>18.033000000000001</v>
      </c>
      <c r="AH11" s="19">
        <v>20.376999999999999</v>
      </c>
      <c r="AI11" s="19">
        <v>20.030999999999999</v>
      </c>
      <c r="AJ11" s="215">
        <f>AI11</f>
        <v>20.030999999999999</v>
      </c>
      <c r="AK11" s="19">
        <v>23.675999999999998</v>
      </c>
      <c r="AL11" s="19">
        <v>28.408999999999999</v>
      </c>
      <c r="AM11" s="19">
        <v>28.021999999999998</v>
      </c>
      <c r="AN11" s="19">
        <v>26.908999999999999</v>
      </c>
      <c r="AO11" s="215">
        <f>AN11</f>
        <v>26.908999999999999</v>
      </c>
      <c r="AP11" s="19">
        <v>25.047999999999998</v>
      </c>
      <c r="AQ11" s="19">
        <v>30.465</v>
      </c>
      <c r="AR11" s="19">
        <v>40.427999999999997</v>
      </c>
      <c r="AS11" s="19">
        <v>35.405999999999999</v>
      </c>
      <c r="AT11" s="215">
        <f>AS11</f>
        <v>35.405999999999999</v>
      </c>
      <c r="AU11" s="19">
        <v>40.683</v>
      </c>
      <c r="AV11" s="19">
        <v>42.688000000000002</v>
      </c>
      <c r="AW11" s="19">
        <v>42.076000000000001</v>
      </c>
      <c r="AX11" s="19">
        <v>40.759</v>
      </c>
      <c r="AY11" s="215">
        <f>AX11</f>
        <v>40.759</v>
      </c>
      <c r="AZ11" s="19">
        <v>43.024000000000001</v>
      </c>
      <c r="BA11" s="19">
        <v>40.984999999999999</v>
      </c>
      <c r="BB11" s="19">
        <v>48.723999999999997</v>
      </c>
      <c r="BC11" s="19">
        <v>44.744</v>
      </c>
      <c r="BD11" s="215">
        <f>BC11</f>
        <v>44.744</v>
      </c>
      <c r="BE11" s="19">
        <v>50.366999999999997</v>
      </c>
      <c r="BF11" s="19">
        <v>54.271999999999998</v>
      </c>
      <c r="BG11" s="19">
        <v>64.644000000000005</v>
      </c>
      <c r="BH11" s="19">
        <v>68.442999999999998</v>
      </c>
      <c r="BI11" s="215">
        <f>BH11</f>
        <v>68.442999999999998</v>
      </c>
      <c r="BJ11" s="275">
        <f>BJ69/365*BJ62</f>
        <v>56.43750596918148</v>
      </c>
      <c r="BK11" s="19">
        <f>BK69/365*BK62</f>
        <v>59.04512477392749</v>
      </c>
      <c r="BL11" s="19">
        <f>BL69/365*BL62</f>
        <v>60.999440535590438</v>
      </c>
      <c r="BM11" s="19">
        <f>BM69/365*BM62</f>
        <v>61.969957546563933</v>
      </c>
      <c r="BN11" s="215">
        <f>BM11</f>
        <v>61.969957546563933</v>
      </c>
      <c r="BO11" s="19">
        <f>BO69/365*BO62</f>
        <v>64.412948174780652</v>
      </c>
      <c r="BP11" s="19">
        <f>BP69/365*BP62</f>
        <v>66.38082972558162</v>
      </c>
      <c r="BQ11" s="19">
        <f>BQ69/365*BQ62</f>
        <v>68.55013859433771</v>
      </c>
      <c r="BR11" s="19">
        <f>BR69/365*BR62</f>
        <v>70.324086582494886</v>
      </c>
      <c r="BS11" s="215">
        <f>BR11</f>
        <v>70.324086582494886</v>
      </c>
      <c r="BT11" s="19">
        <f>BT69/365*BT62</f>
        <v>72.073183541759462</v>
      </c>
      <c r="BU11" s="19">
        <f>BU69/365*BU62</f>
        <v>74.071737393663255</v>
      </c>
      <c r="BV11" s="19">
        <f>BV69/365*BV62</f>
        <v>75.90256937632671</v>
      </c>
      <c r="BW11" s="19">
        <f>BW69/365*BW62</f>
        <v>77.690827413625144</v>
      </c>
      <c r="BX11" s="215">
        <f>BW11</f>
        <v>77.690827413625144</v>
      </c>
      <c r="BY11" s="19">
        <f>BY69/365*BY62</f>
        <v>79.838528913829535</v>
      </c>
      <c r="BZ11" s="19">
        <f>BZ69/365*BZ62</f>
        <v>81.892206259695953</v>
      </c>
      <c r="CA11" s="19">
        <f>CA69/365*CA62</f>
        <v>84.05171843622054</v>
      </c>
      <c r="CB11" s="19">
        <f>CB69/365*CB62</f>
        <v>86.047879005621795</v>
      </c>
      <c r="CC11" s="215">
        <f>CB11</f>
        <v>86.047879005621795</v>
      </c>
      <c r="CD11" s="19">
        <f>CD69/365*CD62</f>
        <v>88.183865104164084</v>
      </c>
      <c r="CE11" s="19">
        <f>CE69/365*CE62</f>
        <v>90.414422735899564</v>
      </c>
      <c r="CF11" s="19">
        <f>CF69/365*CF62</f>
        <v>92.572634483204723</v>
      </c>
      <c r="CG11" s="19">
        <f>CG69/365*CG62</f>
        <v>94.67009780525882</v>
      </c>
      <c r="CH11" s="215">
        <f>CG11</f>
        <v>94.67009780525882</v>
      </c>
      <c r="CI11" s="19">
        <f>CI69/365*CI62</f>
        <v>96.841924024367515</v>
      </c>
      <c r="CJ11" s="19">
        <f>CJ69/365*CJ62</f>
        <v>99.025495678061972</v>
      </c>
      <c r="CK11" s="19">
        <f>CK69/365*CK62</f>
        <v>101.11728284358952</v>
      </c>
      <c r="CL11" s="19">
        <f>CL69/365*CL62</f>
        <v>103.07364272792705</v>
      </c>
      <c r="CM11" s="215">
        <f>CL11</f>
        <v>103.07364272792705</v>
      </c>
      <c r="CN11" s="19">
        <f>CN69/365*CN62</f>
        <v>105.15639848415171</v>
      </c>
      <c r="CO11" s="19">
        <f>CO69/365*CO62</f>
        <v>107.29834554666952</v>
      </c>
      <c r="CP11" s="19">
        <f>CP69/365*CP62</f>
        <v>109.38656558404553</v>
      </c>
      <c r="CQ11" s="19">
        <f>CQ69/365*CQ62</f>
        <v>111.38673871423647</v>
      </c>
      <c r="CR11" s="215">
        <f>CQ11</f>
        <v>111.38673871423647</v>
      </c>
      <c r="CS11" s="19">
        <f>CS69/365*CS62</f>
        <v>113.52315437776575</v>
      </c>
      <c r="CT11" s="19">
        <f>CT69/365*CT62</f>
        <v>115.72485416747757</v>
      </c>
      <c r="CU11" s="19">
        <f>CU69/365*CU62</f>
        <v>117.88319635800438</v>
      </c>
      <c r="CV11" s="19">
        <f>CV69/365*CV62</f>
        <v>119.95424579273684</v>
      </c>
      <c r="CW11" s="215">
        <f>CV11</f>
        <v>119.95424579273684</v>
      </c>
      <c r="CX11" s="19">
        <f>CX69/365*CX62</f>
        <v>122.12295618933791</v>
      </c>
      <c r="CY11" s="19">
        <f>CY69/365*CY62</f>
        <v>124.31619358674732</v>
      </c>
      <c r="CZ11" s="19">
        <f>CZ69/365*CZ62</f>
        <v>126.42206792683459</v>
      </c>
      <c r="DA11" s="19">
        <f>DA69/365*DA62</f>
        <v>128.40475214445345</v>
      </c>
      <c r="DB11" s="215">
        <f>DA11</f>
        <v>128.40475214445345</v>
      </c>
    </row>
    <row r="12" spans="1:106" s="11" customFormat="1" ht="12.75" customHeight="1">
      <c r="A12" s="11" t="s">
        <v>21</v>
      </c>
      <c r="E12" s="19">
        <f>1.314+0.503</f>
        <v>1.8170000000000002</v>
      </c>
      <c r="F12" s="215">
        <f>E12</f>
        <v>1.8170000000000002</v>
      </c>
      <c r="G12" s="19"/>
      <c r="H12" s="19">
        <f>3.537+0.145</f>
        <v>3.6819999999999999</v>
      </c>
      <c r="I12" s="19">
        <f>0.186+4.982</f>
        <v>5.1680000000000001</v>
      </c>
      <c r="J12" s="19">
        <f>5.337+0.901</f>
        <v>6.2379999999999995</v>
      </c>
      <c r="K12" s="215">
        <f>J12</f>
        <v>6.2379999999999995</v>
      </c>
      <c r="L12" s="19">
        <f>3.927+1.322</f>
        <v>5.2490000000000006</v>
      </c>
      <c r="M12" s="19">
        <f>5.633+1.274</f>
        <v>6.907</v>
      </c>
      <c r="N12" s="19">
        <f>9.394+1.188</f>
        <v>10.582000000000001</v>
      </c>
      <c r="O12" s="19">
        <f>7.097+1.092</f>
        <v>8.1890000000000001</v>
      </c>
      <c r="P12" s="215">
        <f>O12</f>
        <v>8.1890000000000001</v>
      </c>
      <c r="Q12" s="19">
        <f>7.907+0.775</f>
        <v>8.6820000000000004</v>
      </c>
      <c r="R12" s="19">
        <f>5.748+0.764</f>
        <v>6.5120000000000005</v>
      </c>
      <c r="S12" s="19">
        <f>6.437+0.045</f>
        <v>6.4820000000000002</v>
      </c>
      <c r="T12" s="19">
        <f>8.612+0.059</f>
        <v>8.6709999999999994</v>
      </c>
      <c r="U12" s="215">
        <f>T12</f>
        <v>8.6709999999999994</v>
      </c>
      <c r="V12" s="19">
        <f>5.915+5.674</f>
        <v>11.589</v>
      </c>
      <c r="W12" s="19">
        <f>7.225+5.612</f>
        <v>12.837</v>
      </c>
      <c r="X12" s="19">
        <f>6.399+4.222</f>
        <v>10.621</v>
      </c>
      <c r="Y12" s="19">
        <f>6.197+4.597</f>
        <v>10.794</v>
      </c>
      <c r="Z12" s="215">
        <f>Y12</f>
        <v>10.794</v>
      </c>
      <c r="AA12" s="19">
        <f>5.555+0.399</f>
        <v>5.9539999999999997</v>
      </c>
      <c r="AB12" s="19">
        <f>5.721+0.055</f>
        <v>5.7759999999999998</v>
      </c>
      <c r="AC12" s="19">
        <f>13.954+0.055</f>
        <v>14.009</v>
      </c>
      <c r="AD12" s="19">
        <f>16.376+0.055</f>
        <v>16.431000000000001</v>
      </c>
      <c r="AE12" s="215">
        <f>AD12</f>
        <v>16.431000000000001</v>
      </c>
      <c r="AF12" s="19">
        <f>15.59+0.055</f>
        <v>15.645</v>
      </c>
      <c r="AG12" s="19">
        <f>15.536+0.055</f>
        <v>15.590999999999999</v>
      </c>
      <c r="AH12" s="19">
        <f>15.227+0.178</f>
        <v>15.405000000000001</v>
      </c>
      <c r="AI12" s="19">
        <f>26.606+0.187</f>
        <v>26.793000000000003</v>
      </c>
      <c r="AJ12" s="215">
        <f>AI12</f>
        <v>26.793000000000003</v>
      </c>
      <c r="AK12" s="19">
        <f>26.43+0.163</f>
        <v>26.593</v>
      </c>
      <c r="AL12" s="19">
        <f>30.878+0.228</f>
        <v>31.106000000000002</v>
      </c>
      <c r="AM12" s="19">
        <f>28.858+0.228</f>
        <v>29.086000000000002</v>
      </c>
      <c r="AN12" s="19">
        <f>29.645+0.228</f>
        <v>29.873000000000001</v>
      </c>
      <c r="AO12" s="215">
        <f>AN12</f>
        <v>29.873000000000001</v>
      </c>
      <c r="AP12" s="19">
        <f>35.13+0.228</f>
        <v>35.358000000000004</v>
      </c>
      <c r="AQ12" s="19">
        <f>24.041+0.086</f>
        <v>24.126999999999999</v>
      </c>
      <c r="AR12" s="19">
        <f>31.599+0.086</f>
        <v>31.684999999999999</v>
      </c>
      <c r="AS12" s="19">
        <f>33.634+0.086</f>
        <v>33.72</v>
      </c>
      <c r="AT12" s="215">
        <f>AS12</f>
        <v>33.72</v>
      </c>
      <c r="AU12" s="19">
        <v>29.988</v>
      </c>
      <c r="AV12" s="19">
        <v>26.818000000000001</v>
      </c>
      <c r="AW12" s="19">
        <v>33.496000000000002</v>
      </c>
      <c r="AX12" s="19">
        <v>60.524000000000001</v>
      </c>
      <c r="AY12" s="215">
        <f>AX12</f>
        <v>60.524000000000001</v>
      </c>
      <c r="AZ12" s="19">
        <v>46.734000000000002</v>
      </c>
      <c r="BA12" s="19">
        <v>37.798000000000002</v>
      </c>
      <c r="BB12" s="19">
        <v>44.631</v>
      </c>
      <c r="BC12" s="19">
        <v>48.634999999999998</v>
      </c>
      <c r="BD12" s="215">
        <f>BC12</f>
        <v>48.634999999999998</v>
      </c>
      <c r="BE12" s="19">
        <f>56.185</f>
        <v>56.185000000000002</v>
      </c>
      <c r="BF12" s="19">
        <v>52.103999999999999</v>
      </c>
      <c r="BG12" s="19">
        <v>53.862000000000002</v>
      </c>
      <c r="BH12" s="19">
        <v>55.828000000000003</v>
      </c>
      <c r="BI12" s="215">
        <f>BH12</f>
        <v>55.828000000000003</v>
      </c>
      <c r="BJ12" s="275">
        <f>BH12</f>
        <v>55.828000000000003</v>
      </c>
      <c r="BK12" s="19">
        <f>BJ12</f>
        <v>55.828000000000003</v>
      </c>
      <c r="BL12" s="19">
        <f>BK12</f>
        <v>55.828000000000003</v>
      </c>
      <c r="BM12" s="19">
        <f>BL12</f>
        <v>55.828000000000003</v>
      </c>
      <c r="BN12" s="215">
        <f>BM12</f>
        <v>55.828000000000003</v>
      </c>
      <c r="BO12" s="19">
        <f>BM12</f>
        <v>55.828000000000003</v>
      </c>
      <c r="BP12" s="19">
        <f>BO12</f>
        <v>55.828000000000003</v>
      </c>
      <c r="BQ12" s="19">
        <f>BP12</f>
        <v>55.828000000000003</v>
      </c>
      <c r="BR12" s="19">
        <f>BQ12</f>
        <v>55.828000000000003</v>
      </c>
      <c r="BS12" s="215">
        <f>BR12</f>
        <v>55.828000000000003</v>
      </c>
      <c r="BT12" s="19">
        <f>BR12</f>
        <v>55.828000000000003</v>
      </c>
      <c r="BU12" s="19">
        <f>BT12</f>
        <v>55.828000000000003</v>
      </c>
      <c r="BV12" s="19">
        <f>BU12</f>
        <v>55.828000000000003</v>
      </c>
      <c r="BW12" s="19">
        <f>BV12</f>
        <v>55.828000000000003</v>
      </c>
      <c r="BX12" s="215">
        <f>BW12</f>
        <v>55.828000000000003</v>
      </c>
      <c r="BY12" s="19">
        <f>BW12</f>
        <v>55.828000000000003</v>
      </c>
      <c r="BZ12" s="19">
        <f>BY12</f>
        <v>55.828000000000003</v>
      </c>
      <c r="CA12" s="19">
        <f>BZ12</f>
        <v>55.828000000000003</v>
      </c>
      <c r="CB12" s="19">
        <f>CA12</f>
        <v>55.828000000000003</v>
      </c>
      <c r="CC12" s="215">
        <f>CB12</f>
        <v>55.828000000000003</v>
      </c>
      <c r="CD12" s="19">
        <f>CB12</f>
        <v>55.828000000000003</v>
      </c>
      <c r="CE12" s="19">
        <f>CD12</f>
        <v>55.828000000000003</v>
      </c>
      <c r="CF12" s="19">
        <f>CE12</f>
        <v>55.828000000000003</v>
      </c>
      <c r="CG12" s="19">
        <f>CF12</f>
        <v>55.828000000000003</v>
      </c>
      <c r="CH12" s="215">
        <f>CG12</f>
        <v>55.828000000000003</v>
      </c>
      <c r="CI12" s="19">
        <f>CG12</f>
        <v>55.828000000000003</v>
      </c>
      <c r="CJ12" s="19">
        <f>CI12</f>
        <v>55.828000000000003</v>
      </c>
      <c r="CK12" s="19">
        <f>CJ12</f>
        <v>55.828000000000003</v>
      </c>
      <c r="CL12" s="19">
        <f>CK12</f>
        <v>55.828000000000003</v>
      </c>
      <c r="CM12" s="215">
        <f>CL12</f>
        <v>55.828000000000003</v>
      </c>
      <c r="CN12" s="19">
        <f>CL12</f>
        <v>55.828000000000003</v>
      </c>
      <c r="CO12" s="19">
        <f>CN12</f>
        <v>55.828000000000003</v>
      </c>
      <c r="CP12" s="19">
        <f>CO12</f>
        <v>55.828000000000003</v>
      </c>
      <c r="CQ12" s="19">
        <f>CP12</f>
        <v>55.828000000000003</v>
      </c>
      <c r="CR12" s="215">
        <f>CQ12</f>
        <v>55.828000000000003</v>
      </c>
      <c r="CS12" s="19">
        <f>CQ12</f>
        <v>55.828000000000003</v>
      </c>
      <c r="CT12" s="19">
        <f>CS12</f>
        <v>55.828000000000003</v>
      </c>
      <c r="CU12" s="19">
        <f>CT12</f>
        <v>55.828000000000003</v>
      </c>
      <c r="CV12" s="19">
        <f>CU12</f>
        <v>55.828000000000003</v>
      </c>
      <c r="CW12" s="215">
        <f>CV12</f>
        <v>55.828000000000003</v>
      </c>
      <c r="CX12" s="19">
        <f>CV12</f>
        <v>55.828000000000003</v>
      </c>
      <c r="CY12" s="19">
        <f>CX12</f>
        <v>55.828000000000003</v>
      </c>
      <c r="CZ12" s="19">
        <f>CY12</f>
        <v>55.828000000000003</v>
      </c>
      <c r="DA12" s="19">
        <f>CZ12</f>
        <v>55.828000000000003</v>
      </c>
      <c r="DB12" s="215">
        <f>DA12</f>
        <v>55.828000000000003</v>
      </c>
    </row>
    <row r="13" spans="1:106" s="10" customFormat="1" ht="12.75" customHeight="1">
      <c r="A13" s="10" t="s">
        <v>22</v>
      </c>
      <c r="E13" s="135">
        <f>SUM(E9,E10,E11,E12)</f>
        <v>106.477</v>
      </c>
      <c r="F13" s="216">
        <f>E13</f>
        <v>106.477</v>
      </c>
      <c r="G13" s="135"/>
      <c r="H13" s="135">
        <f>SUM(H9,H10,H11,H12)</f>
        <v>85.831000000000003</v>
      </c>
      <c r="I13" s="135">
        <f>SUM(I9,I10,I11,I12)</f>
        <v>246.29300000000001</v>
      </c>
      <c r="J13" s="135">
        <f>SUM(J9,J10,J11,J12)</f>
        <v>250.726</v>
      </c>
      <c r="K13" s="216">
        <f>J13</f>
        <v>250.726</v>
      </c>
      <c r="L13" s="135">
        <f>SUM(L9,L10,L11,L12)</f>
        <v>248.62499999999997</v>
      </c>
      <c r="M13" s="135">
        <f>SUM(M9,M10,M11,M12)</f>
        <v>237.17499999999998</v>
      </c>
      <c r="N13" s="135">
        <f>SUM(N9,N10,N11,N12)</f>
        <v>212.27799999999999</v>
      </c>
      <c r="O13" s="135">
        <f>SUM(O9,O10,O11,O12)</f>
        <v>174.11499999999998</v>
      </c>
      <c r="P13" s="216">
        <f>O13</f>
        <v>174.11499999999998</v>
      </c>
      <c r="Q13" s="135">
        <f>SUM(Q9,Q10,Q11,Q12)</f>
        <v>140.16099999999997</v>
      </c>
      <c r="R13" s="135">
        <f>SUM(R9,R10,R11,R12)</f>
        <v>123.104</v>
      </c>
      <c r="S13" s="135">
        <f>SUM(S9,S10,S11,S12)</f>
        <v>169.24</v>
      </c>
      <c r="T13" s="135">
        <f>SUM(T9,T10,T11,T12)</f>
        <v>144.78799999999998</v>
      </c>
      <c r="U13" s="216">
        <f>T13</f>
        <v>144.78799999999998</v>
      </c>
      <c r="V13" s="135">
        <f>SUM(V9,V10,V11,V12)</f>
        <v>187.523</v>
      </c>
      <c r="W13" s="135">
        <f>SUM(W9,W10,W11,W12)</f>
        <v>165.37</v>
      </c>
      <c r="X13" s="135">
        <f>SUM(X9,X10,X11,X12)</f>
        <v>248.68799999999999</v>
      </c>
      <c r="Y13" s="135">
        <f>SUM(Y9,Y10,Y11,Y12)</f>
        <v>240.51800000000003</v>
      </c>
      <c r="Z13" s="216">
        <f>Y13</f>
        <v>240.51800000000003</v>
      </c>
      <c r="AA13" s="135">
        <f>SUM(AA9,AA10,AA11,AA12)</f>
        <v>208.08100000000002</v>
      </c>
      <c r="AB13" s="135">
        <f>SUM(AB9,AB10,AB11,AB12)</f>
        <v>321.96699999999998</v>
      </c>
      <c r="AC13" s="135">
        <f>SUM(AC9,AC10,AC11,AC12)</f>
        <v>323.73700000000002</v>
      </c>
      <c r="AD13" s="135">
        <f>SUM(AD9,AD10,AD11,AD12)</f>
        <v>523.16700000000003</v>
      </c>
      <c r="AE13" s="216">
        <f>AD13</f>
        <v>523.16700000000003</v>
      </c>
      <c r="AF13" s="135">
        <f>SUM(AF9,AF10,AF11,AF12)</f>
        <v>497.20799999999997</v>
      </c>
      <c r="AG13" s="135">
        <f>SUM(AG9,AG10,AG11,AG12)</f>
        <v>663.50400000000002</v>
      </c>
      <c r="AH13" s="135">
        <f>SUM(AH9,AH10,AH11,AH12)</f>
        <v>916.01199999999994</v>
      </c>
      <c r="AI13" s="135">
        <f>SUM(AI9,AI10,AI11,AI12)</f>
        <v>862.6629999999999</v>
      </c>
      <c r="AJ13" s="216">
        <f>AI13</f>
        <v>862.6629999999999</v>
      </c>
      <c r="AK13" s="135">
        <f>SUM(AK9,AK10,AK11,AK12)</f>
        <v>791.40300000000002</v>
      </c>
      <c r="AL13" s="135">
        <f>SUM(AL9,AL10,AL11,AL12)</f>
        <v>739.88800000000003</v>
      </c>
      <c r="AM13" s="135">
        <f>SUM(AM9,AM10,AM11,AM12)</f>
        <v>1191.223</v>
      </c>
      <c r="AN13" s="135">
        <f>SUM(AN9,AN10,AN11,AN12)</f>
        <v>1093.1380000000001</v>
      </c>
      <c r="AO13" s="216">
        <f>AN13</f>
        <v>1093.1380000000001</v>
      </c>
      <c r="AP13" s="135">
        <f>SUM(AP9,AP10,AP11,AP12)</f>
        <v>980.22599999999989</v>
      </c>
      <c r="AQ13" s="135">
        <f>SUM(AQ9,AQ10,AQ11,AQ12)</f>
        <v>901.55499999999995</v>
      </c>
      <c r="AR13" s="135">
        <f>SUM(AR9,AR10,AR11,AR12)</f>
        <v>829.62899999999991</v>
      </c>
      <c r="AS13" s="135">
        <f>SUM(AS9,AS10,AS11,AS12)</f>
        <v>1211.817</v>
      </c>
      <c r="AT13" s="216">
        <f>AS13</f>
        <v>1211.817</v>
      </c>
      <c r="AU13" s="135">
        <f>SUM(AU9,AU10,AU11,AU12)</f>
        <v>1129.4680000000001</v>
      </c>
      <c r="AV13" s="135">
        <f>SUM(AV9,AV10,AV11,AV12)</f>
        <v>1065.5120000000002</v>
      </c>
      <c r="AW13" s="135">
        <f>SUM(AW9,AW10,AW11,AW12)</f>
        <v>1267.2760000000001</v>
      </c>
      <c r="AX13" s="135">
        <f>SUM(AX9,AX10,AX11,AX12)</f>
        <v>1258.549</v>
      </c>
      <c r="AY13" s="216">
        <f>AX13</f>
        <v>1258.549</v>
      </c>
      <c r="AZ13" s="135">
        <f>SUM(AZ9,AZ10,AZ11,AZ12)</f>
        <v>1261.444</v>
      </c>
      <c r="BA13" s="135">
        <f>SUM(BA9,BA10,BA11,BA12)</f>
        <v>1301.8159999999998</v>
      </c>
      <c r="BB13" s="135">
        <f>SUM(BB9,BB10,BB11,BB12)</f>
        <v>1322.5650000000001</v>
      </c>
      <c r="BC13" s="135">
        <f>SUM(BC9,BC10,BC11,BC12)</f>
        <v>1375.82</v>
      </c>
      <c r="BD13" s="216">
        <f>BC13</f>
        <v>1375.82</v>
      </c>
      <c r="BE13" s="135">
        <f>SUM(BE9,BE10,BE11,BE12)</f>
        <v>1416.385</v>
      </c>
      <c r="BF13" s="135">
        <f>SUM(BF9,BF10,BF11,BF12)</f>
        <v>1431.596</v>
      </c>
      <c r="BG13" s="135">
        <f>SUM(BG9,BG10,BG11,BG12)</f>
        <v>1447.3230000000001</v>
      </c>
      <c r="BH13" s="135">
        <f>SUM(BH9,BH10,BH11,BH12)</f>
        <v>1496.9390000000001</v>
      </c>
      <c r="BI13" s="216">
        <f>BH13</f>
        <v>1496.9390000000001</v>
      </c>
      <c r="BJ13" s="273">
        <f>SUM(BJ9,BJ10,BJ11,BJ12)</f>
        <v>1505.2197932137685</v>
      </c>
      <c r="BK13" s="135">
        <f>SUM(BK9,BK10,BK11,BK12)</f>
        <v>1455.4600602242792</v>
      </c>
      <c r="BL13" s="135">
        <f>SUM(BL9,BL10,BL11,BL12)</f>
        <v>1421.1485360791571</v>
      </c>
      <c r="BM13" s="135">
        <f>SUM(BM9,BM10,BM11,BM12)</f>
        <v>1408.6273871257913</v>
      </c>
      <c r="BN13" s="216">
        <f>BM13</f>
        <v>1408.6273871257913</v>
      </c>
      <c r="BO13" s="135">
        <f>SUM(BO9,BO10,BO11,BO12)</f>
        <v>1448.1313657174085</v>
      </c>
      <c r="BP13" s="135">
        <f>SUM(BP9,BP10,BP11,BP12)</f>
        <v>1454.3483597584298</v>
      </c>
      <c r="BQ13" s="135">
        <f>SUM(BQ9,BQ10,BQ11,BQ12)</f>
        <v>1478.2127087982292</v>
      </c>
      <c r="BR13" s="135">
        <f>SUM(BR9,BR10,BR11,BR12)</f>
        <v>1515.5703706162988</v>
      </c>
      <c r="BS13" s="216">
        <f>BR13</f>
        <v>1515.5703706162988</v>
      </c>
      <c r="BT13" s="135">
        <f>SUM(BT9,BT10,BT11,BT12)</f>
        <v>1599.0154447145264</v>
      </c>
      <c r="BU13" s="135">
        <f>SUM(BU9,BU10,BU11,BU12)</f>
        <v>1658.3231251771781</v>
      </c>
      <c r="BV13" s="135">
        <f>SUM(BV9,BV10,BV11,BV12)</f>
        <v>1737.2439433599543</v>
      </c>
      <c r="BW13" s="135">
        <f>SUM(BW9,BW10,BW11,BW12)</f>
        <v>1837.1926538797052</v>
      </c>
      <c r="BX13" s="216">
        <f>BW13</f>
        <v>1837.1926538797052</v>
      </c>
      <c r="BY13" s="135">
        <f>SUM(BY9,BY10,BY11,BY12)</f>
        <v>1990.0662614625326</v>
      </c>
      <c r="BZ13" s="135">
        <f>SUM(BZ9,BZ10,BZ11,BZ12)</f>
        <v>2109.6228810872149</v>
      </c>
      <c r="CA13" s="135">
        <f>SUM(CA9,CA10,CA11,CA12)</f>
        <v>2255.7408519771839</v>
      </c>
      <c r="CB13" s="135">
        <f>SUM(CB9,CB10,CB11,CB12)</f>
        <v>2421.5864904774771</v>
      </c>
      <c r="CC13" s="216">
        <f>CB13</f>
        <v>2421.5864904774771</v>
      </c>
      <c r="CD13" s="135">
        <f>SUM(CD9,CD10,CD11,CD12)</f>
        <v>2649.2061150587806</v>
      </c>
      <c r="CE13" s="135">
        <f>SUM(CE9,CE10,CE11,CE12)</f>
        <v>2842.5312460532673</v>
      </c>
      <c r="CF13" s="135">
        <f>SUM(CF9,CF10,CF11,CF12)</f>
        <v>3063.1192038196714</v>
      </c>
      <c r="CG13" s="135">
        <f>SUM(CG9,CG10,CG11,CG12)</f>
        <v>3308.0597759126081</v>
      </c>
      <c r="CH13" s="216">
        <f>CG13</f>
        <v>3308.0597759126081</v>
      </c>
      <c r="CI13" s="135">
        <f>SUM(CI9,CI10,CI11,CI12)</f>
        <v>3612.8226983157829</v>
      </c>
      <c r="CJ13" s="135">
        <f>SUM(CJ9,CJ10,CJ11,CJ12)</f>
        <v>3874.2960481013997</v>
      </c>
      <c r="CK13" s="135">
        <f>SUM(CK9,CK10,CK11,CK12)</f>
        <v>4161.3938837636624</v>
      </c>
      <c r="CL13" s="135">
        <f>SUM(CL9,CL10,CL11,CL12)</f>
        <v>4469.8076776895105</v>
      </c>
      <c r="CM13" s="216">
        <f>CL13</f>
        <v>4469.8076776895105</v>
      </c>
      <c r="CN13" s="135">
        <f>SUM(CN9,CN10,CN11,CN12)</f>
        <v>4844.1451044364549</v>
      </c>
      <c r="CO13" s="135">
        <f>SUM(CO9,CO10,CO11,CO12)</f>
        <v>5171.4288239765037</v>
      </c>
      <c r="CP13" s="135">
        <f>SUM(CP9,CP10,CP11,CP12)</f>
        <v>5526.9868390960373</v>
      </c>
      <c r="CQ13" s="135">
        <f>SUM(CQ9,CQ10,CQ11,CQ12)</f>
        <v>5905.8905474531884</v>
      </c>
      <c r="CR13" s="216">
        <f>CQ13</f>
        <v>5905.8905474531884</v>
      </c>
      <c r="CS13" s="135">
        <f>SUM(CS9,CS10,CS11,CS12)</f>
        <v>6356.3359565911906</v>
      </c>
      <c r="CT13" s="135">
        <f>SUM(CT9,CT10,CT11,CT12)</f>
        <v>6755.955692460072</v>
      </c>
      <c r="CU13" s="135">
        <f>SUM(CU9,CU10,CU11,CU12)</f>
        <v>7186.7985390493504</v>
      </c>
      <c r="CV13" s="135">
        <f>SUM(CV9,CV10,CV11,CV12)</f>
        <v>7643.1487106513123</v>
      </c>
      <c r="CW13" s="216">
        <f>CV13</f>
        <v>7643.1487106513123</v>
      </c>
      <c r="CX13" s="135">
        <f>SUM(CX9,CX10,CX11,CX12)</f>
        <v>8161.124233920189</v>
      </c>
      <c r="CY13" s="135">
        <f>SUM(CY9,CY10,CY11,CY12)</f>
        <v>8619.6245053715556</v>
      </c>
      <c r="CZ13" s="135">
        <f>SUM(CZ9,CZ10,CZ11,CZ12)</f>
        <v>9107.3688713173633</v>
      </c>
      <c r="DA13" s="135">
        <f>SUM(DA9,DA10,DA11,DA12)</f>
        <v>9617.8650275296313</v>
      </c>
      <c r="DB13" s="216">
        <f>DA13</f>
        <v>9617.8650275296313</v>
      </c>
    </row>
    <row r="14" spans="1:106" s="11" customFormat="1" ht="12.75" customHeight="1">
      <c r="E14" s="19"/>
      <c r="F14" s="215"/>
      <c r="G14" s="19"/>
      <c r="H14" s="19"/>
      <c r="I14" s="19"/>
      <c r="J14" s="19"/>
      <c r="K14" s="215"/>
      <c r="L14" s="19"/>
      <c r="M14" s="19"/>
      <c r="N14" s="19"/>
      <c r="O14" s="19"/>
      <c r="P14" s="215"/>
      <c r="Q14" s="19"/>
      <c r="R14" s="19"/>
      <c r="S14" s="19"/>
      <c r="T14" s="19"/>
      <c r="U14" s="215"/>
      <c r="V14" s="19"/>
      <c r="W14" s="19"/>
      <c r="X14" s="19"/>
      <c r="Y14" s="19"/>
      <c r="Z14" s="215"/>
      <c r="AA14" s="19"/>
      <c r="AB14" s="19"/>
      <c r="AC14" s="19"/>
      <c r="AD14" s="19"/>
      <c r="AE14" s="215"/>
      <c r="AF14" s="19"/>
      <c r="AG14" s="19"/>
      <c r="AH14" s="19"/>
      <c r="AI14" s="19"/>
      <c r="AJ14" s="215"/>
      <c r="AK14" s="19"/>
      <c r="AL14" s="19"/>
      <c r="AM14" s="19"/>
      <c r="AN14" s="19"/>
      <c r="AO14" s="215"/>
      <c r="AP14" s="19"/>
      <c r="AQ14" s="19"/>
      <c r="AR14" s="19"/>
      <c r="AS14" s="19"/>
      <c r="AT14" s="215"/>
      <c r="AU14" s="19"/>
      <c r="AV14" s="19"/>
      <c r="AW14" s="19"/>
      <c r="AX14" s="19"/>
      <c r="AY14" s="215"/>
      <c r="AZ14" s="19"/>
      <c r="BA14" s="19"/>
      <c r="BB14" s="19"/>
      <c r="BC14" s="19"/>
      <c r="BD14" s="215"/>
      <c r="BE14" s="19"/>
      <c r="BF14" s="19"/>
      <c r="BG14" s="19"/>
      <c r="BH14" s="19"/>
      <c r="BI14" s="215"/>
      <c r="BJ14" s="275"/>
      <c r="BK14" s="19"/>
      <c r="BL14" s="19"/>
      <c r="BM14" s="19"/>
      <c r="BN14" s="215"/>
      <c r="BO14" s="19"/>
      <c r="BP14" s="19"/>
      <c r="BQ14" s="19"/>
      <c r="BR14" s="19"/>
      <c r="BS14" s="215"/>
      <c r="BT14" s="19"/>
      <c r="BU14" s="19"/>
      <c r="BV14" s="19"/>
      <c r="BW14" s="19"/>
      <c r="BX14" s="215"/>
      <c r="BY14" s="19"/>
      <c r="BZ14" s="19"/>
      <c r="CA14" s="19"/>
      <c r="CB14" s="19"/>
      <c r="CC14" s="215"/>
      <c r="CD14" s="19"/>
      <c r="CE14" s="19"/>
      <c r="CF14" s="19"/>
      <c r="CG14" s="19"/>
      <c r="CH14" s="215"/>
      <c r="CI14" s="19"/>
      <c r="CJ14" s="19"/>
      <c r="CK14" s="19"/>
      <c r="CL14" s="19"/>
      <c r="CM14" s="215"/>
      <c r="CN14" s="19"/>
      <c r="CO14" s="19"/>
      <c r="CP14" s="19"/>
      <c r="CQ14" s="19"/>
      <c r="CR14" s="215"/>
      <c r="CS14" s="19"/>
      <c r="CT14" s="19"/>
      <c r="CU14" s="19"/>
      <c r="CV14" s="19"/>
      <c r="CW14" s="215"/>
      <c r="CX14" s="19"/>
      <c r="CY14" s="19"/>
      <c r="CZ14" s="19"/>
      <c r="DA14" s="19"/>
      <c r="DB14" s="215"/>
    </row>
    <row r="15" spans="1:106" s="11" customFormat="1" ht="12.75" customHeight="1">
      <c r="A15" s="11" t="s">
        <v>23</v>
      </c>
      <c r="E15" s="19">
        <v>14.574</v>
      </c>
      <c r="F15" s="215">
        <f>E15</f>
        <v>14.574</v>
      </c>
      <c r="G15" s="19"/>
      <c r="H15" s="19">
        <v>15.047000000000001</v>
      </c>
      <c r="I15" s="19">
        <v>13.992000000000001</v>
      </c>
      <c r="J15" s="19">
        <v>12.71</v>
      </c>
      <c r="K15" s="215">
        <f>J15</f>
        <v>12.71</v>
      </c>
      <c r="L15" s="19">
        <v>15.098000000000001</v>
      </c>
      <c r="M15" s="19">
        <v>19.096</v>
      </c>
      <c r="N15" s="19">
        <v>25.616</v>
      </c>
      <c r="O15" s="19">
        <v>32.289000000000001</v>
      </c>
      <c r="P15" s="215">
        <f>O15</f>
        <v>32.289000000000001</v>
      </c>
      <c r="Q15" s="19">
        <v>31.751999999999999</v>
      </c>
      <c r="R15" s="19">
        <v>31.268000000000001</v>
      </c>
      <c r="S15" s="19">
        <v>30.417000000000002</v>
      </c>
      <c r="T15" s="19">
        <v>29.667000000000002</v>
      </c>
      <c r="U15" s="215">
        <f>T15</f>
        <v>29.667000000000002</v>
      </c>
      <c r="V15" s="19">
        <v>26.878</v>
      </c>
      <c r="W15" s="19">
        <v>25.312999999999999</v>
      </c>
      <c r="X15" s="19">
        <v>24.832999999999998</v>
      </c>
      <c r="Y15" s="19">
        <v>24.335999999999999</v>
      </c>
      <c r="Z15" s="215">
        <f>Y15</f>
        <v>24.335999999999999</v>
      </c>
      <c r="AA15" s="19">
        <v>23.302</v>
      </c>
      <c r="AB15" s="19">
        <v>22.039000000000001</v>
      </c>
      <c r="AC15" s="19">
        <v>19.027000000000001</v>
      </c>
      <c r="AD15" s="19">
        <v>23.283000000000001</v>
      </c>
      <c r="AE15" s="215">
        <f>AD15</f>
        <v>23.283000000000001</v>
      </c>
      <c r="AF15" s="19">
        <v>26.718</v>
      </c>
      <c r="AG15" s="19">
        <v>25.925000000000001</v>
      </c>
      <c r="AH15" s="19">
        <v>28.248999999999999</v>
      </c>
      <c r="AI15" s="19">
        <v>33.347999999999999</v>
      </c>
      <c r="AJ15" s="215">
        <f>AI15</f>
        <v>33.347999999999999</v>
      </c>
      <c r="AK15" s="19">
        <v>40.177</v>
      </c>
      <c r="AL15" s="19">
        <v>48.884</v>
      </c>
      <c r="AM15" s="19">
        <v>59.292999999999999</v>
      </c>
      <c r="AN15" s="19">
        <v>65.516000000000005</v>
      </c>
      <c r="AO15" s="215">
        <f>AN15</f>
        <v>65.516000000000005</v>
      </c>
      <c r="AP15" s="19">
        <v>78.361000000000004</v>
      </c>
      <c r="AQ15" s="19">
        <v>81.772000000000006</v>
      </c>
      <c r="AR15" s="19">
        <v>87.486000000000004</v>
      </c>
      <c r="AS15" s="19">
        <v>92.453000000000003</v>
      </c>
      <c r="AT15" s="215">
        <f>AS15</f>
        <v>92.453000000000003</v>
      </c>
      <c r="AU15" s="19">
        <v>100.587</v>
      </c>
      <c r="AV15" s="19">
        <v>102.92100000000001</v>
      </c>
      <c r="AW15" s="19">
        <v>104.83</v>
      </c>
      <c r="AX15" s="19">
        <v>111.21</v>
      </c>
      <c r="AY15" s="215">
        <f>AX15</f>
        <v>111.21</v>
      </c>
      <c r="AZ15" s="19">
        <v>125.791</v>
      </c>
      <c r="BA15" s="19">
        <v>133.28</v>
      </c>
      <c r="BB15" s="19">
        <v>142.16999999999999</v>
      </c>
      <c r="BC15" s="19">
        <v>162.04599999999999</v>
      </c>
      <c r="BD15" s="215">
        <f>BC15</f>
        <v>162.04599999999999</v>
      </c>
      <c r="BE15" s="19">
        <v>180.453</v>
      </c>
      <c r="BF15" s="19">
        <v>189.22399999999999</v>
      </c>
      <c r="BG15" s="19">
        <v>206.49600000000001</v>
      </c>
      <c r="BH15" s="19">
        <v>241.184</v>
      </c>
      <c r="BI15" s="215">
        <f>BH15</f>
        <v>241.184</v>
      </c>
      <c r="BJ15" s="275">
        <f>'Other Accts'!BJ40</f>
        <v>252.47786666666642</v>
      </c>
      <c r="BK15" s="19">
        <f>'Other Accts'!BK40</f>
        <v>263.39527111111084</v>
      </c>
      <c r="BL15" s="19">
        <f>'Other Accts'!BL40</f>
        <v>273.94876207407384</v>
      </c>
      <c r="BM15" s="19">
        <f>'Other Accts'!BM40</f>
        <v>284.15047000493803</v>
      </c>
      <c r="BN15" s="215">
        <f>BM15</f>
        <v>284.15047000493803</v>
      </c>
      <c r="BO15" s="19">
        <f>'Other Accts'!BO40</f>
        <v>294.9787876714401</v>
      </c>
      <c r="BP15" s="19">
        <f>'Other Accts'!BP40</f>
        <v>305.44616141572544</v>
      </c>
      <c r="BQ15" s="19">
        <f>'Other Accts'!BQ40</f>
        <v>315.5646227018679</v>
      </c>
      <c r="BR15" s="19">
        <f>'Other Accts'!BR40</f>
        <v>325.34580194513899</v>
      </c>
      <c r="BS15" s="215">
        <f>BR15</f>
        <v>325.34580194513899</v>
      </c>
      <c r="BT15" s="19">
        <f>'Other Accts'!BT40</f>
        <v>335.81594188030101</v>
      </c>
      <c r="BU15" s="19">
        <f>'Other Accts'!BU40</f>
        <v>345.93707715095763</v>
      </c>
      <c r="BV15" s="19">
        <f>'Other Accts'!BV40</f>
        <v>355.72084124592573</v>
      </c>
      <c r="BW15" s="19">
        <f>'Other Accts'!BW40</f>
        <v>365.17847987106154</v>
      </c>
      <c r="BX15" s="215">
        <f>BW15</f>
        <v>365.17847987106154</v>
      </c>
      <c r="BY15" s="19">
        <f>'Other Accts'!BY40</f>
        <v>375.3866138753595</v>
      </c>
      <c r="BZ15" s="19">
        <f>'Other Accts'!BZ40</f>
        <v>385.25447674618084</v>
      </c>
      <c r="CA15" s="19">
        <f>'Other Accts'!CA40</f>
        <v>394.79341085464148</v>
      </c>
      <c r="CB15" s="19">
        <f>'Other Accts'!CB40</f>
        <v>404.01438049282012</v>
      </c>
      <c r="CC15" s="215">
        <f>CB15</f>
        <v>404.01438049282012</v>
      </c>
      <c r="CD15" s="19">
        <f>'Other Accts'!CD40</f>
        <v>414.04702197639278</v>
      </c>
      <c r="CE15" s="19">
        <f>'Other Accts'!CE40</f>
        <v>423.74524207717974</v>
      </c>
      <c r="CF15" s="19">
        <f>'Other Accts'!CF40</f>
        <v>433.12018817460711</v>
      </c>
      <c r="CG15" s="19">
        <f>'Other Accts'!CG40</f>
        <v>442.18263606878691</v>
      </c>
      <c r="CH15" s="215">
        <f>CG15</f>
        <v>442.18263606878691</v>
      </c>
      <c r="CI15" s="19">
        <f>'Other Accts'!CI40</f>
        <v>452.117991741494</v>
      </c>
      <c r="CJ15" s="19">
        <f>'Other Accts'!CJ40</f>
        <v>461.72216889177753</v>
      </c>
      <c r="CK15" s="19">
        <f>'Other Accts'!CK40</f>
        <v>471.00620680371827</v>
      </c>
      <c r="CL15" s="19">
        <f>'Other Accts'!CL40</f>
        <v>479.98077678526101</v>
      </c>
      <c r="CM15" s="215">
        <f>CL15</f>
        <v>479.98077678526101</v>
      </c>
      <c r="CN15" s="19">
        <f>'Other Accts'!CN40</f>
        <v>489.88993327783567</v>
      </c>
      <c r="CO15" s="19">
        <f>'Other Accts'!CO40</f>
        <v>499.46878455399121</v>
      </c>
      <c r="CP15" s="19">
        <f>'Other Accts'!CP40</f>
        <v>508.72834078760826</v>
      </c>
      <c r="CQ15" s="19">
        <f>'Other Accts'!CQ40</f>
        <v>517.67924514677134</v>
      </c>
      <c r="CR15" s="215">
        <f>CQ15</f>
        <v>517.67924514677134</v>
      </c>
      <c r="CS15" s="19">
        <f>'Other Accts'!CS40</f>
        <v>527.62721181323309</v>
      </c>
      <c r="CT15" s="19">
        <f>'Other Accts'!CT40</f>
        <v>537.24357959081283</v>
      </c>
      <c r="CU15" s="19">
        <f>'Other Accts'!CU40</f>
        <v>546.53940177580648</v>
      </c>
      <c r="CV15" s="19">
        <f>'Other Accts'!CV40</f>
        <v>555.52536322130038</v>
      </c>
      <c r="CW15" s="215">
        <f>CV15</f>
        <v>555.52536322130038</v>
      </c>
      <c r="CX15" s="19">
        <f>'Other Accts'!CX40</f>
        <v>565.57198969384558</v>
      </c>
      <c r="CY15" s="19">
        <f>'Other Accts'!CY40</f>
        <v>575.283728617306</v>
      </c>
      <c r="CZ15" s="19">
        <f>'Other Accts'!CZ40</f>
        <v>584.67174290998435</v>
      </c>
      <c r="DA15" s="19">
        <f>'Other Accts'!DA40</f>
        <v>593.74682339290678</v>
      </c>
      <c r="DB15" s="215">
        <f>DA15</f>
        <v>593.74682339290678</v>
      </c>
    </row>
    <row r="16" spans="1:106" s="11" customFormat="1" ht="12.75" customHeight="1">
      <c r="A16" s="11" t="s">
        <v>24</v>
      </c>
      <c r="E16" s="19">
        <v>0</v>
      </c>
      <c r="F16" s="215">
        <f>E16</f>
        <v>0</v>
      </c>
      <c r="G16" s="19"/>
      <c r="H16" s="19">
        <v>0</v>
      </c>
      <c r="I16" s="19">
        <v>0</v>
      </c>
      <c r="J16" s="19">
        <v>0</v>
      </c>
      <c r="K16" s="215">
        <f>J16</f>
        <v>0</v>
      </c>
      <c r="L16" s="19">
        <v>0</v>
      </c>
      <c r="M16" s="19">
        <v>0</v>
      </c>
      <c r="N16" s="19">
        <v>0</v>
      </c>
      <c r="O16" s="19">
        <v>0</v>
      </c>
      <c r="P16" s="215">
        <f>O16</f>
        <v>0</v>
      </c>
      <c r="Q16" s="19">
        <v>0</v>
      </c>
      <c r="R16" s="19">
        <v>0</v>
      </c>
      <c r="S16" s="19">
        <v>0</v>
      </c>
      <c r="T16" s="19">
        <v>0</v>
      </c>
      <c r="U16" s="215">
        <f>T16</f>
        <v>0</v>
      </c>
      <c r="V16" s="19">
        <v>0</v>
      </c>
      <c r="W16" s="19">
        <v>0</v>
      </c>
      <c r="X16" s="19">
        <v>0</v>
      </c>
      <c r="Y16" s="19">
        <v>0</v>
      </c>
      <c r="Z16" s="215">
        <f>Y16</f>
        <v>0</v>
      </c>
      <c r="AA16" s="19">
        <v>27.26</v>
      </c>
      <c r="AB16" s="19">
        <v>26.228999999999999</v>
      </c>
      <c r="AC16" s="19">
        <v>24.806999999999999</v>
      </c>
      <c r="AD16" s="19">
        <v>23.73</v>
      </c>
      <c r="AE16" s="215">
        <f>AD16</f>
        <v>23.73</v>
      </c>
      <c r="AF16" s="19">
        <v>22.62</v>
      </c>
      <c r="AG16" s="19">
        <v>21.475000000000001</v>
      </c>
      <c r="AH16" s="19">
        <v>20.295999999999999</v>
      </c>
      <c r="AI16" s="19">
        <v>21.399000000000001</v>
      </c>
      <c r="AJ16" s="215">
        <f>AI16</f>
        <v>21.399000000000001</v>
      </c>
      <c r="AK16" s="19">
        <v>49.526000000000003</v>
      </c>
      <c r="AL16" s="19">
        <v>48.337000000000003</v>
      </c>
      <c r="AM16" s="19">
        <v>47.655999999999999</v>
      </c>
      <c r="AN16" s="19">
        <v>59.012999999999998</v>
      </c>
      <c r="AO16" s="215">
        <f>AN16</f>
        <v>59.012999999999998</v>
      </c>
      <c r="AP16" s="19">
        <v>64.400999999999996</v>
      </c>
      <c r="AQ16" s="19">
        <v>62.146999999999998</v>
      </c>
      <c r="AR16" s="19">
        <v>73.790999999999997</v>
      </c>
      <c r="AS16" s="19">
        <v>71.873999999999995</v>
      </c>
      <c r="AT16" s="215">
        <f>AS16</f>
        <v>71.873999999999995</v>
      </c>
      <c r="AU16" s="19">
        <v>69.537000000000006</v>
      </c>
      <c r="AV16" s="19">
        <v>61.942</v>
      </c>
      <c r="AW16" s="19">
        <v>58.206000000000003</v>
      </c>
      <c r="AX16" s="19">
        <v>56.536999999999999</v>
      </c>
      <c r="AY16" s="215">
        <f>AX16</f>
        <v>56.536999999999999</v>
      </c>
      <c r="AZ16" s="19">
        <v>0</v>
      </c>
      <c r="BA16" s="19">
        <v>0</v>
      </c>
      <c r="BB16" s="19">
        <v>0</v>
      </c>
      <c r="BC16" s="19">
        <v>0</v>
      </c>
      <c r="BD16" s="215">
        <f>BC16</f>
        <v>0</v>
      </c>
      <c r="BE16" s="19">
        <v>0</v>
      </c>
      <c r="BF16" s="19">
        <v>0</v>
      </c>
      <c r="BG16" s="19">
        <v>0</v>
      </c>
      <c r="BH16" s="19">
        <v>373.71300000000002</v>
      </c>
      <c r="BI16" s="215">
        <f>BH16</f>
        <v>373.71300000000002</v>
      </c>
      <c r="BJ16" s="275">
        <f>'Other Accts'!BJ48</f>
        <v>369.04158750000005</v>
      </c>
      <c r="BK16" s="19">
        <f>'Other Accts'!BK48</f>
        <v>364.42856765625004</v>
      </c>
      <c r="BL16" s="19">
        <f>'Other Accts'!BL48</f>
        <v>359.87321056054691</v>
      </c>
      <c r="BM16" s="19">
        <f>'Other Accts'!BM48</f>
        <v>355.3747954285401</v>
      </c>
      <c r="BN16" s="215">
        <f>BM16</f>
        <v>355.3747954285401</v>
      </c>
      <c r="BO16" s="19">
        <f>'Other Accts'!BO48</f>
        <v>350.93261048568337</v>
      </c>
      <c r="BP16" s="19">
        <f>'Other Accts'!BP48</f>
        <v>346.54595285461232</v>
      </c>
      <c r="BQ16" s="19">
        <f>'Other Accts'!BQ48</f>
        <v>342.21412844392967</v>
      </c>
      <c r="BR16" s="19">
        <f>'Other Accts'!BR48</f>
        <v>337.93645183838055</v>
      </c>
      <c r="BS16" s="215">
        <f>BR16</f>
        <v>337.93645183838055</v>
      </c>
      <c r="BT16" s="19">
        <f>'Other Accts'!BT48</f>
        <v>333.71224619040078</v>
      </c>
      <c r="BU16" s="19">
        <f>'Other Accts'!BU48</f>
        <v>329.54084311302074</v>
      </c>
      <c r="BV16" s="19">
        <f>'Other Accts'!BV48</f>
        <v>325.42158257410796</v>
      </c>
      <c r="BW16" s="19">
        <f>'Other Accts'!BW48</f>
        <v>321.3538127919316</v>
      </c>
      <c r="BX16" s="215">
        <f>BW16</f>
        <v>321.3538127919316</v>
      </c>
      <c r="BY16" s="19">
        <f>'Other Accts'!BY48</f>
        <v>317.33689013203247</v>
      </c>
      <c r="BZ16" s="19">
        <f>'Other Accts'!BZ48</f>
        <v>313.37017900538206</v>
      </c>
      <c r="CA16" s="19">
        <f>'Other Accts'!CA48</f>
        <v>309.45305176781477</v>
      </c>
      <c r="CB16" s="19">
        <f>'Other Accts'!CB48</f>
        <v>305.58488862071709</v>
      </c>
      <c r="CC16" s="215">
        <f>CB16</f>
        <v>305.58488862071709</v>
      </c>
      <c r="CD16" s="19">
        <f>'Other Accts'!CD48</f>
        <v>301.76507751295816</v>
      </c>
      <c r="CE16" s="19">
        <f>'Other Accts'!CE48</f>
        <v>297.99301404404616</v>
      </c>
      <c r="CF16" s="19">
        <f>'Other Accts'!CF48</f>
        <v>294.26810136849559</v>
      </c>
      <c r="CG16" s="19">
        <f>'Other Accts'!CG48</f>
        <v>290.58975010138937</v>
      </c>
      <c r="CH16" s="215">
        <f>CG16</f>
        <v>290.58975010138937</v>
      </c>
      <c r="CI16" s="19">
        <f>'Other Accts'!CI48</f>
        <v>286.957378225122</v>
      </c>
      <c r="CJ16" s="19">
        <f>'Other Accts'!CJ48</f>
        <v>283.370410997308</v>
      </c>
      <c r="CK16" s="19">
        <f>'Other Accts'!CK48</f>
        <v>279.82828085984164</v>
      </c>
      <c r="CL16" s="19">
        <f>'Other Accts'!CL48</f>
        <v>276.33042734909361</v>
      </c>
      <c r="CM16" s="215">
        <f>CL16</f>
        <v>276.33042734909361</v>
      </c>
      <c r="CN16" s="19">
        <f>'Other Accts'!CN48</f>
        <v>272.87629700722994</v>
      </c>
      <c r="CO16" s="19">
        <f>'Other Accts'!CO48</f>
        <v>269.46534329463958</v>
      </c>
      <c r="CP16" s="19">
        <f>'Other Accts'!CP48</f>
        <v>266.09702650345656</v>
      </c>
      <c r="CQ16" s="19">
        <f>'Other Accts'!CQ48</f>
        <v>262.77081367216334</v>
      </c>
      <c r="CR16" s="215">
        <f>CQ16</f>
        <v>262.77081367216334</v>
      </c>
      <c r="CS16" s="19">
        <f>'Other Accts'!CS48</f>
        <v>259.48617850126129</v>
      </c>
      <c r="CT16" s="19">
        <f>'Other Accts'!CT48</f>
        <v>256.24260126999553</v>
      </c>
      <c r="CU16" s="19">
        <f>'Other Accts'!CU48</f>
        <v>253.03956875412058</v>
      </c>
      <c r="CV16" s="19">
        <f>'Other Accts'!CV48</f>
        <v>249.87657414469408</v>
      </c>
      <c r="CW16" s="215">
        <f>CV16</f>
        <v>249.87657414469408</v>
      </c>
      <c r="CX16" s="19">
        <f>'Other Accts'!CX48</f>
        <v>246.7531169678854</v>
      </c>
      <c r="CY16" s="19">
        <f>'Other Accts'!CY48</f>
        <v>243.66870300578682</v>
      </c>
      <c r="CZ16" s="19">
        <f>'Other Accts'!CZ48</f>
        <v>240.62284421821448</v>
      </c>
      <c r="DA16" s="19">
        <f>'Other Accts'!DA48</f>
        <v>237.6150586654868</v>
      </c>
      <c r="DB16" s="215">
        <f>DA16</f>
        <v>237.6150586654868</v>
      </c>
    </row>
    <row r="17" spans="1:106" s="11" customFormat="1" ht="12.75" customHeight="1">
      <c r="A17" s="11" t="s">
        <v>25</v>
      </c>
      <c r="E17" s="19">
        <v>0</v>
      </c>
      <c r="F17" s="215">
        <f>E17</f>
        <v>0</v>
      </c>
      <c r="G17" s="19"/>
      <c r="H17" s="19">
        <v>0</v>
      </c>
      <c r="I17" s="19">
        <v>0</v>
      </c>
      <c r="J17" s="19">
        <v>0</v>
      </c>
      <c r="K17" s="215">
        <f>J17</f>
        <v>0</v>
      </c>
      <c r="L17" s="19">
        <v>0</v>
      </c>
      <c r="M17" s="19">
        <v>0</v>
      </c>
      <c r="N17" s="19">
        <v>0</v>
      </c>
      <c r="O17" s="19">
        <v>0</v>
      </c>
      <c r="P17" s="215">
        <f>O17</f>
        <v>0</v>
      </c>
      <c r="Q17" s="19">
        <v>0</v>
      </c>
      <c r="R17" s="19">
        <v>0</v>
      </c>
      <c r="S17" s="19">
        <v>0</v>
      </c>
      <c r="T17" s="19">
        <v>0</v>
      </c>
      <c r="U17" s="215">
        <f>T17</f>
        <v>0</v>
      </c>
      <c r="V17" s="19">
        <v>0</v>
      </c>
      <c r="W17" s="19">
        <v>0</v>
      </c>
      <c r="X17" s="19">
        <v>0</v>
      </c>
      <c r="Y17" s="19">
        <v>0</v>
      </c>
      <c r="Z17" s="215">
        <f>Y17</f>
        <v>0</v>
      </c>
      <c r="AA17" s="19">
        <v>0</v>
      </c>
      <c r="AB17" s="19">
        <v>0</v>
      </c>
      <c r="AC17" s="19">
        <v>0</v>
      </c>
      <c r="AD17" s="19">
        <v>0</v>
      </c>
      <c r="AE17" s="215">
        <f>AD17</f>
        <v>0</v>
      </c>
      <c r="AF17" s="19">
        <v>0</v>
      </c>
      <c r="AG17" s="19">
        <v>0</v>
      </c>
      <c r="AH17" s="19">
        <v>0</v>
      </c>
      <c r="AI17" s="19">
        <v>0</v>
      </c>
      <c r="AJ17" s="215">
        <f>AI17</f>
        <v>0</v>
      </c>
      <c r="AK17" s="19">
        <v>0</v>
      </c>
      <c r="AL17" s="19">
        <v>0</v>
      </c>
      <c r="AM17" s="19">
        <v>0</v>
      </c>
      <c r="AN17" s="19">
        <v>0</v>
      </c>
      <c r="AO17" s="215">
        <f>AN17</f>
        <v>0</v>
      </c>
      <c r="AP17" s="19">
        <v>0</v>
      </c>
      <c r="AQ17" s="19">
        <v>0</v>
      </c>
      <c r="AR17" s="19">
        <v>0</v>
      </c>
      <c r="AS17" s="19">
        <v>0</v>
      </c>
      <c r="AT17" s="215">
        <f>AS17</f>
        <v>0</v>
      </c>
      <c r="AU17" s="19">
        <v>0</v>
      </c>
      <c r="AV17" s="19">
        <v>0</v>
      </c>
      <c r="AW17" s="19">
        <v>0</v>
      </c>
      <c r="AX17" s="19">
        <v>0</v>
      </c>
      <c r="AY17" s="215">
        <f>AX17</f>
        <v>0</v>
      </c>
      <c r="AZ17" s="19">
        <v>0</v>
      </c>
      <c r="BA17" s="19">
        <v>0</v>
      </c>
      <c r="BB17" s="19">
        <v>0</v>
      </c>
      <c r="BC17" s="19">
        <v>0</v>
      </c>
      <c r="BD17" s="215">
        <f>BC17</f>
        <v>0</v>
      </c>
      <c r="BE17" s="19">
        <v>0</v>
      </c>
      <c r="BF17" s="19">
        <v>0</v>
      </c>
      <c r="BG17" s="19">
        <v>0</v>
      </c>
      <c r="BH17" s="19">
        <v>141.07</v>
      </c>
      <c r="BI17" s="215">
        <f>BH17</f>
        <v>141.07</v>
      </c>
      <c r="BJ17" s="275">
        <f>'Other Accts'!BJ55</f>
        <v>141.07</v>
      </c>
      <c r="BK17" s="19">
        <f>'Other Accts'!BK55</f>
        <v>141.07</v>
      </c>
      <c r="BL17" s="19">
        <f>'Other Accts'!BL55</f>
        <v>141.07</v>
      </c>
      <c r="BM17" s="19">
        <f>'Other Accts'!BM55</f>
        <v>141.07</v>
      </c>
      <c r="BN17" s="215">
        <f>BM17</f>
        <v>141.07</v>
      </c>
      <c r="BO17" s="19">
        <f>'Other Accts'!BO55</f>
        <v>141.07</v>
      </c>
      <c r="BP17" s="19">
        <f>'Other Accts'!BP55</f>
        <v>141.07</v>
      </c>
      <c r="BQ17" s="19">
        <f>'Other Accts'!BQ55</f>
        <v>141.07</v>
      </c>
      <c r="BR17" s="19">
        <f>'Other Accts'!BR55</f>
        <v>141.07</v>
      </c>
      <c r="BS17" s="215">
        <f>BR17</f>
        <v>141.07</v>
      </c>
      <c r="BT17" s="19">
        <f>'Other Accts'!BT55</f>
        <v>141.07</v>
      </c>
      <c r="BU17" s="19">
        <f>'Other Accts'!BU55</f>
        <v>141.07</v>
      </c>
      <c r="BV17" s="19">
        <f>'Other Accts'!BV55</f>
        <v>141.07</v>
      </c>
      <c r="BW17" s="19">
        <f>'Other Accts'!BW55</f>
        <v>141.07</v>
      </c>
      <c r="BX17" s="215">
        <f>BW17</f>
        <v>141.07</v>
      </c>
      <c r="BY17" s="19">
        <f>'Other Accts'!BY55</f>
        <v>141.07</v>
      </c>
      <c r="BZ17" s="19">
        <f>'Other Accts'!BZ55</f>
        <v>141.07</v>
      </c>
      <c r="CA17" s="19">
        <f>'Other Accts'!CA55</f>
        <v>141.07</v>
      </c>
      <c r="CB17" s="19">
        <f>'Other Accts'!CB55</f>
        <v>141.07</v>
      </c>
      <c r="CC17" s="215">
        <f>CB17</f>
        <v>141.07</v>
      </c>
      <c r="CD17" s="19">
        <f>'Other Accts'!CD55</f>
        <v>141.07</v>
      </c>
      <c r="CE17" s="19">
        <f>'Other Accts'!CE55</f>
        <v>141.07</v>
      </c>
      <c r="CF17" s="19">
        <f>'Other Accts'!CF55</f>
        <v>141.07</v>
      </c>
      <c r="CG17" s="19">
        <f>'Other Accts'!CG55</f>
        <v>141.07</v>
      </c>
      <c r="CH17" s="215">
        <f>CG17</f>
        <v>141.07</v>
      </c>
      <c r="CI17" s="19">
        <f>'Other Accts'!CI55</f>
        <v>141.07</v>
      </c>
      <c r="CJ17" s="19">
        <f>'Other Accts'!CJ55</f>
        <v>141.07</v>
      </c>
      <c r="CK17" s="19">
        <f>'Other Accts'!CK55</f>
        <v>141.07</v>
      </c>
      <c r="CL17" s="19">
        <f>'Other Accts'!CL55</f>
        <v>141.07</v>
      </c>
      <c r="CM17" s="215">
        <f>CL17</f>
        <v>141.07</v>
      </c>
      <c r="CN17" s="19">
        <f>'Other Accts'!CN55</f>
        <v>141.07</v>
      </c>
      <c r="CO17" s="19">
        <f>'Other Accts'!CO55</f>
        <v>141.07</v>
      </c>
      <c r="CP17" s="19">
        <f>'Other Accts'!CP55</f>
        <v>141.07</v>
      </c>
      <c r="CQ17" s="19">
        <f>'Other Accts'!CQ55</f>
        <v>141.07</v>
      </c>
      <c r="CR17" s="215">
        <f>CQ17</f>
        <v>141.07</v>
      </c>
      <c r="CS17" s="19">
        <f>'Other Accts'!CS55</f>
        <v>141.07</v>
      </c>
      <c r="CT17" s="19">
        <f>'Other Accts'!CT55</f>
        <v>141.07</v>
      </c>
      <c r="CU17" s="19">
        <f>'Other Accts'!CU55</f>
        <v>141.07</v>
      </c>
      <c r="CV17" s="19">
        <f>'Other Accts'!CV55</f>
        <v>141.07</v>
      </c>
      <c r="CW17" s="215">
        <f>CV17</f>
        <v>141.07</v>
      </c>
      <c r="CX17" s="19">
        <f>'Other Accts'!CX55</f>
        <v>141.07</v>
      </c>
      <c r="CY17" s="19">
        <f>'Other Accts'!CY55</f>
        <v>141.07</v>
      </c>
      <c r="CZ17" s="19">
        <f>'Other Accts'!CZ55</f>
        <v>141.07</v>
      </c>
      <c r="DA17" s="19">
        <f>'Other Accts'!DA55</f>
        <v>141.07</v>
      </c>
      <c r="DB17" s="215">
        <f>DA17</f>
        <v>141.07</v>
      </c>
    </row>
    <row r="18" spans="1:106" s="11" customFormat="1" ht="12.75" customHeight="1">
      <c r="A18" s="11" t="s">
        <v>26</v>
      </c>
      <c r="E18" s="19">
        <f>1.764+0.808</f>
        <v>2.5720000000000001</v>
      </c>
      <c r="F18" s="215">
        <f>E18</f>
        <v>2.5720000000000001</v>
      </c>
      <c r="G18" s="19"/>
      <c r="H18" s="19">
        <f>1.428+4.446</f>
        <v>5.8739999999999997</v>
      </c>
      <c r="I18" s="19">
        <f>0.654+1.428</f>
        <v>2.0819999999999999</v>
      </c>
      <c r="J18" s="19">
        <f>1.121+0.683</f>
        <v>1.804</v>
      </c>
      <c r="K18" s="215">
        <f>J18</f>
        <v>1.804</v>
      </c>
      <c r="L18" s="19">
        <f>1.683+0.342</f>
        <v>2.0249999999999999</v>
      </c>
      <c r="M18" s="19">
        <f>4.654+0.342</f>
        <v>4.9959999999999996</v>
      </c>
      <c r="N18" s="19">
        <f>0.342+4.149</f>
        <v>4.4909999999999997</v>
      </c>
      <c r="O18" s="19">
        <f>0.342+3.934</f>
        <v>4.2759999999999998</v>
      </c>
      <c r="P18" s="215">
        <f>O18</f>
        <v>4.2759999999999998</v>
      </c>
      <c r="Q18" s="19">
        <f>3.769+0.342</f>
        <v>4.1109999999999998</v>
      </c>
      <c r="R18" s="19">
        <f>3.711+0.342</f>
        <v>4.0529999999999999</v>
      </c>
      <c r="S18" s="19">
        <f>4.057+0.342</f>
        <v>4.399</v>
      </c>
      <c r="T18" s="19">
        <f>3.979+0.342</f>
        <v>4.3209999999999997</v>
      </c>
      <c r="U18" s="215">
        <f>T18</f>
        <v>4.3209999999999997</v>
      </c>
      <c r="V18" s="19">
        <f>3.912+0.342</f>
        <v>4.2539999999999996</v>
      </c>
      <c r="W18" s="19">
        <f>3.336+0.342</f>
        <v>3.6779999999999999</v>
      </c>
      <c r="X18" s="19">
        <f>3.446+0.342</f>
        <v>3.7880000000000003</v>
      </c>
      <c r="Y18" s="19">
        <f>3.317</f>
        <v>3.3170000000000002</v>
      </c>
      <c r="Z18" s="215">
        <f>Y18</f>
        <v>3.3170000000000002</v>
      </c>
      <c r="AA18" s="19">
        <v>2.802</v>
      </c>
      <c r="AB18" s="19">
        <v>13.090999999999999</v>
      </c>
      <c r="AC18" s="19">
        <f>12.679</f>
        <v>12.679</v>
      </c>
      <c r="AD18" s="19">
        <f>12.476</f>
        <v>12.476000000000001</v>
      </c>
      <c r="AE18" s="215">
        <f>AD18</f>
        <v>12.476000000000001</v>
      </c>
      <c r="AF18" s="19">
        <v>12.093</v>
      </c>
      <c r="AG18" s="19">
        <v>12.356999999999999</v>
      </c>
      <c r="AH18" s="19">
        <v>12.156000000000001</v>
      </c>
      <c r="AI18" s="19">
        <v>14.743</v>
      </c>
      <c r="AJ18" s="215">
        <f>AI18</f>
        <v>14.743</v>
      </c>
      <c r="AK18" s="19">
        <v>12.406000000000001</v>
      </c>
      <c r="AL18" s="19">
        <v>12.847</v>
      </c>
      <c r="AM18" s="19">
        <v>13.202</v>
      </c>
      <c r="AN18" s="19">
        <v>18.82</v>
      </c>
      <c r="AO18" s="215">
        <f>AN18</f>
        <v>18.82</v>
      </c>
      <c r="AP18" s="19">
        <v>21.675999999999998</v>
      </c>
      <c r="AQ18" s="19">
        <v>21.501999999999999</v>
      </c>
      <c r="AR18" s="19">
        <v>18.206</v>
      </c>
      <c r="AS18" s="19">
        <f>18.33</f>
        <v>18.329999999999998</v>
      </c>
      <c r="AT18" s="215">
        <f>AS18</f>
        <v>18.329999999999998</v>
      </c>
      <c r="AU18" s="19">
        <f>19.288</f>
        <v>19.288</v>
      </c>
      <c r="AV18" s="19">
        <v>17.518000000000001</v>
      </c>
      <c r="AW18" s="19">
        <v>16.207999999999998</v>
      </c>
      <c r="AX18" s="19">
        <v>15.403</v>
      </c>
      <c r="AY18" s="215">
        <f>AX18</f>
        <v>15.403</v>
      </c>
      <c r="AZ18" s="19">
        <f>26.417+54.553</f>
        <v>80.97</v>
      </c>
      <c r="BA18" s="19">
        <f>29.311+52.582</f>
        <v>81.893000000000001</v>
      </c>
      <c r="BB18" s="19">
        <f>38.356+87.856</f>
        <v>126.21199999999999</v>
      </c>
      <c r="BC18" s="19">
        <f>36.72+86.149</f>
        <v>122.869</v>
      </c>
      <c r="BD18" s="215">
        <f>BC18</f>
        <v>122.869</v>
      </c>
      <c r="BE18" s="19">
        <f>40.897+94.631</f>
        <v>135.52799999999999</v>
      </c>
      <c r="BF18" s="19">
        <f>95.128+41.118</f>
        <v>136.24600000000001</v>
      </c>
      <c r="BG18" s="19">
        <f>96.988+70.675</f>
        <v>167.66300000000001</v>
      </c>
      <c r="BH18" s="19">
        <f>36.897+108.541</f>
        <v>145.43799999999999</v>
      </c>
      <c r="BI18" s="215">
        <f>BH18</f>
        <v>145.43799999999999</v>
      </c>
      <c r="BJ18" s="275">
        <f>BH18</f>
        <v>145.43799999999999</v>
      </c>
      <c r="BK18" s="19">
        <f>BJ18</f>
        <v>145.43799999999999</v>
      </c>
      <c r="BL18" s="19">
        <f>BK18</f>
        <v>145.43799999999999</v>
      </c>
      <c r="BM18" s="19">
        <f>BL18</f>
        <v>145.43799999999999</v>
      </c>
      <c r="BN18" s="215">
        <f>BM18</f>
        <v>145.43799999999999</v>
      </c>
      <c r="BO18" s="19">
        <f>BM18</f>
        <v>145.43799999999999</v>
      </c>
      <c r="BP18" s="19">
        <f>BO18</f>
        <v>145.43799999999999</v>
      </c>
      <c r="BQ18" s="19">
        <f>BP18</f>
        <v>145.43799999999999</v>
      </c>
      <c r="BR18" s="19">
        <f>BQ18</f>
        <v>145.43799999999999</v>
      </c>
      <c r="BS18" s="215">
        <f>BR18</f>
        <v>145.43799999999999</v>
      </c>
      <c r="BT18" s="19">
        <f>BR18</f>
        <v>145.43799999999999</v>
      </c>
      <c r="BU18" s="19">
        <f>BT18</f>
        <v>145.43799999999999</v>
      </c>
      <c r="BV18" s="19">
        <f>BU18</f>
        <v>145.43799999999999</v>
      </c>
      <c r="BW18" s="19">
        <f>BV18</f>
        <v>145.43799999999999</v>
      </c>
      <c r="BX18" s="215">
        <f>BW18</f>
        <v>145.43799999999999</v>
      </c>
      <c r="BY18" s="19">
        <f>BW18</f>
        <v>145.43799999999999</v>
      </c>
      <c r="BZ18" s="19">
        <f>BY18</f>
        <v>145.43799999999999</v>
      </c>
      <c r="CA18" s="19">
        <f>BZ18</f>
        <v>145.43799999999999</v>
      </c>
      <c r="CB18" s="19">
        <f>CA18</f>
        <v>145.43799999999999</v>
      </c>
      <c r="CC18" s="215">
        <f>CB18</f>
        <v>145.43799999999999</v>
      </c>
      <c r="CD18" s="19">
        <f>CB18</f>
        <v>145.43799999999999</v>
      </c>
      <c r="CE18" s="19">
        <f>CD18</f>
        <v>145.43799999999999</v>
      </c>
      <c r="CF18" s="19">
        <f>CE18</f>
        <v>145.43799999999999</v>
      </c>
      <c r="CG18" s="19">
        <f>CF18</f>
        <v>145.43799999999999</v>
      </c>
      <c r="CH18" s="215">
        <f>CG18</f>
        <v>145.43799999999999</v>
      </c>
      <c r="CI18" s="19">
        <f>CG18</f>
        <v>145.43799999999999</v>
      </c>
      <c r="CJ18" s="19">
        <f>CI18</f>
        <v>145.43799999999999</v>
      </c>
      <c r="CK18" s="19">
        <f>CJ18</f>
        <v>145.43799999999999</v>
      </c>
      <c r="CL18" s="19">
        <f>CK18</f>
        <v>145.43799999999999</v>
      </c>
      <c r="CM18" s="215">
        <f>CL18</f>
        <v>145.43799999999999</v>
      </c>
      <c r="CN18" s="19">
        <f>CL18</f>
        <v>145.43799999999999</v>
      </c>
      <c r="CO18" s="19">
        <f>CN18</f>
        <v>145.43799999999999</v>
      </c>
      <c r="CP18" s="19">
        <f>CO18</f>
        <v>145.43799999999999</v>
      </c>
      <c r="CQ18" s="19">
        <f>CP18</f>
        <v>145.43799999999999</v>
      </c>
      <c r="CR18" s="215">
        <f>CQ18</f>
        <v>145.43799999999999</v>
      </c>
      <c r="CS18" s="19">
        <f>CQ18</f>
        <v>145.43799999999999</v>
      </c>
      <c r="CT18" s="19">
        <f>CS18</f>
        <v>145.43799999999999</v>
      </c>
      <c r="CU18" s="19">
        <f>CT18</f>
        <v>145.43799999999999</v>
      </c>
      <c r="CV18" s="19">
        <f>CU18</f>
        <v>145.43799999999999</v>
      </c>
      <c r="CW18" s="215">
        <f>CV18</f>
        <v>145.43799999999999</v>
      </c>
      <c r="CX18" s="19">
        <f>CV18</f>
        <v>145.43799999999999</v>
      </c>
      <c r="CY18" s="19">
        <f>CX18</f>
        <v>145.43799999999999</v>
      </c>
      <c r="CZ18" s="19">
        <f>CY18</f>
        <v>145.43799999999999</v>
      </c>
      <c r="DA18" s="19">
        <f>CZ18</f>
        <v>145.43799999999999</v>
      </c>
      <c r="DB18" s="215">
        <f>DA18</f>
        <v>145.43799999999999</v>
      </c>
    </row>
    <row r="19" spans="1:106" s="10" customFormat="1" ht="12.75" customHeight="1">
      <c r="A19" s="10" t="s">
        <v>27</v>
      </c>
      <c r="E19" s="135">
        <f>SUM(E15:E18)</f>
        <v>17.146000000000001</v>
      </c>
      <c r="F19" s="216">
        <f>E19</f>
        <v>17.146000000000001</v>
      </c>
      <c r="G19" s="135"/>
      <c r="H19" s="135">
        <f>SUM(H15:H18)</f>
        <v>20.920999999999999</v>
      </c>
      <c r="I19" s="135">
        <f>SUM(I15:I18)</f>
        <v>16.074000000000002</v>
      </c>
      <c r="J19" s="135">
        <f>SUM(J15:J18)</f>
        <v>14.514000000000001</v>
      </c>
      <c r="K19" s="216">
        <f>J19</f>
        <v>14.514000000000001</v>
      </c>
      <c r="L19" s="135">
        <f>SUM(L15:L18)</f>
        <v>17.123000000000001</v>
      </c>
      <c r="M19" s="135">
        <f>SUM(M15:M18)</f>
        <v>24.091999999999999</v>
      </c>
      <c r="N19" s="135">
        <f>SUM(N15:N18)</f>
        <v>30.106999999999999</v>
      </c>
      <c r="O19" s="135">
        <f>SUM(O15:O18)</f>
        <v>36.564999999999998</v>
      </c>
      <c r="P19" s="216">
        <f>O19</f>
        <v>36.564999999999998</v>
      </c>
      <c r="Q19" s="135">
        <f>SUM(Q15:Q18)</f>
        <v>35.863</v>
      </c>
      <c r="R19" s="135">
        <f>SUM(R15:R18)</f>
        <v>35.320999999999998</v>
      </c>
      <c r="S19" s="135">
        <f>SUM(S15:S18)</f>
        <v>34.816000000000003</v>
      </c>
      <c r="T19" s="135">
        <f>SUM(T15:T18)</f>
        <v>33.988</v>
      </c>
      <c r="U19" s="216">
        <f>T19</f>
        <v>33.988</v>
      </c>
      <c r="V19" s="135">
        <f>SUM(V15:V18)</f>
        <v>31.131999999999998</v>
      </c>
      <c r="W19" s="135">
        <f>SUM(W15:W18)</f>
        <v>28.991</v>
      </c>
      <c r="X19" s="135">
        <f>SUM(X15:X18)</f>
        <v>28.620999999999999</v>
      </c>
      <c r="Y19" s="135">
        <f>SUM(Y15:Y18)</f>
        <v>27.652999999999999</v>
      </c>
      <c r="Z19" s="216">
        <f>Y19</f>
        <v>27.652999999999999</v>
      </c>
      <c r="AA19" s="135">
        <f>SUM(AA15:AA18)</f>
        <v>53.363999999999997</v>
      </c>
      <c r="AB19" s="135">
        <f>SUM(AB15:AB18)</f>
        <v>61.359000000000002</v>
      </c>
      <c r="AC19" s="135">
        <f>SUM(AC15:AC18)</f>
        <v>56.513000000000005</v>
      </c>
      <c r="AD19" s="135">
        <f>SUM(AD15:AD18)</f>
        <v>59.489000000000004</v>
      </c>
      <c r="AE19" s="216">
        <f>AD19</f>
        <v>59.489000000000004</v>
      </c>
      <c r="AF19" s="135">
        <f>SUM(AF15:AF18)</f>
        <v>61.430999999999997</v>
      </c>
      <c r="AG19" s="135">
        <f>SUM(AG15:AG18)</f>
        <v>59.757000000000005</v>
      </c>
      <c r="AH19" s="135">
        <f>SUM(AH15:AH18)</f>
        <v>60.701000000000001</v>
      </c>
      <c r="AI19" s="135">
        <f>SUM(AI15:AI18)</f>
        <v>69.489999999999995</v>
      </c>
      <c r="AJ19" s="216">
        <f>AI19</f>
        <v>69.489999999999995</v>
      </c>
      <c r="AK19" s="135">
        <f>SUM(AK15:AK18)</f>
        <v>102.10900000000001</v>
      </c>
      <c r="AL19" s="135">
        <f>SUM(AL15:AL18)</f>
        <v>110.068</v>
      </c>
      <c r="AM19" s="135">
        <f>SUM(AM15:AM18)</f>
        <v>120.151</v>
      </c>
      <c r="AN19" s="135">
        <f>SUM(AN15:AN18)</f>
        <v>143.34899999999999</v>
      </c>
      <c r="AO19" s="216">
        <f>AN19</f>
        <v>143.34899999999999</v>
      </c>
      <c r="AP19" s="135">
        <f>SUM(AP15:AP18)</f>
        <v>164.43799999999999</v>
      </c>
      <c r="AQ19" s="135">
        <f>SUM(AQ15:AQ18)</f>
        <v>165.42100000000002</v>
      </c>
      <c r="AR19" s="135">
        <f>SUM(AR15:AR18)</f>
        <v>179.48299999999998</v>
      </c>
      <c r="AS19" s="135">
        <f>SUM(AS15:AS18)</f>
        <v>182.65699999999998</v>
      </c>
      <c r="AT19" s="216">
        <f>AS19</f>
        <v>182.65699999999998</v>
      </c>
      <c r="AU19" s="135">
        <f>SUM(AU15:AU18)</f>
        <v>189.41200000000003</v>
      </c>
      <c r="AV19" s="135">
        <f>SUM(AV15:AV18)</f>
        <v>182.381</v>
      </c>
      <c r="AW19" s="135">
        <f>SUM(AW15:AW18)</f>
        <v>179.244</v>
      </c>
      <c r="AX19" s="135">
        <f>SUM(AX15:AX18)</f>
        <v>183.14999999999998</v>
      </c>
      <c r="AY19" s="216">
        <f>AX19</f>
        <v>183.14999999999998</v>
      </c>
      <c r="AZ19" s="135">
        <f>SUM(AZ15:AZ18)</f>
        <v>206.761</v>
      </c>
      <c r="BA19" s="135">
        <f>SUM(BA15:BA18)</f>
        <v>215.173</v>
      </c>
      <c r="BB19" s="135">
        <f>SUM(BB15:BB18)</f>
        <v>268.38199999999995</v>
      </c>
      <c r="BC19" s="135">
        <f>SUM(BC15:BC18)</f>
        <v>284.91499999999996</v>
      </c>
      <c r="BD19" s="216">
        <f>BC19</f>
        <v>284.91499999999996</v>
      </c>
      <c r="BE19" s="135">
        <f>SUM(BE15:BE18)</f>
        <v>315.98099999999999</v>
      </c>
      <c r="BF19" s="135">
        <f>SUM(BF15:BF18)</f>
        <v>325.47000000000003</v>
      </c>
      <c r="BG19" s="135">
        <f>SUM(BG15:BG18)</f>
        <v>374.15899999999999</v>
      </c>
      <c r="BH19" s="135">
        <f>SUM(BH15:BH18)</f>
        <v>901.40500000000009</v>
      </c>
      <c r="BI19" s="216">
        <f>BH19</f>
        <v>901.40500000000009</v>
      </c>
      <c r="BJ19" s="273">
        <f>SUM(BJ15:BJ18)</f>
        <v>908.02745416666642</v>
      </c>
      <c r="BK19" s="135">
        <f>SUM(BK15:BK18)</f>
        <v>914.33183876736086</v>
      </c>
      <c r="BL19" s="135">
        <f>SUM(BL15:BL18)</f>
        <v>920.32997263462073</v>
      </c>
      <c r="BM19" s="135">
        <f>SUM(BM15:BM18)</f>
        <v>926.03326543347805</v>
      </c>
      <c r="BN19" s="216">
        <f>BM19</f>
        <v>926.03326543347805</v>
      </c>
      <c r="BO19" s="135">
        <f>SUM(BO15:BO18)</f>
        <v>932.41939815712351</v>
      </c>
      <c r="BP19" s="135">
        <f>SUM(BP15:BP18)</f>
        <v>938.5001142703378</v>
      </c>
      <c r="BQ19" s="135">
        <f>SUM(BQ15:BQ18)</f>
        <v>944.28675114579744</v>
      </c>
      <c r="BR19" s="135">
        <f>SUM(BR15:BR18)</f>
        <v>949.79025378351946</v>
      </c>
      <c r="BS19" s="216">
        <f>BR19</f>
        <v>949.79025378351946</v>
      </c>
      <c r="BT19" s="135">
        <f>SUM(BT15:BT18)</f>
        <v>956.03618807070177</v>
      </c>
      <c r="BU19" s="135">
        <f>SUM(BU15:BU18)</f>
        <v>961.9859202639783</v>
      </c>
      <c r="BV19" s="135">
        <f>SUM(BV15:BV18)</f>
        <v>967.65042382003355</v>
      </c>
      <c r="BW19" s="135">
        <f>SUM(BW15:BW18)</f>
        <v>973.04029266299301</v>
      </c>
      <c r="BX19" s="216">
        <f>BW19</f>
        <v>973.04029266299301</v>
      </c>
      <c r="BY19" s="135">
        <f>SUM(BY15:BY18)</f>
        <v>979.23150400739189</v>
      </c>
      <c r="BZ19" s="135">
        <f>SUM(BZ15:BZ18)</f>
        <v>985.13265575156277</v>
      </c>
      <c r="CA19" s="135">
        <f>SUM(CA15:CA18)</f>
        <v>990.75446262245612</v>
      </c>
      <c r="CB19" s="135">
        <f>SUM(CB15:CB18)</f>
        <v>996.1072691135372</v>
      </c>
      <c r="CC19" s="216">
        <f>CB19</f>
        <v>996.1072691135372</v>
      </c>
      <c r="CD19" s="135">
        <f>SUM(CD15:CD18)</f>
        <v>1002.3200994893508</v>
      </c>
      <c r="CE19" s="135">
        <f>SUM(CE15:CE18)</f>
        <v>1008.2462561212259</v>
      </c>
      <c r="CF19" s="135">
        <f>SUM(CF15:CF18)</f>
        <v>1013.8962895431026</v>
      </c>
      <c r="CG19" s="135">
        <f>SUM(CG15:CG18)</f>
        <v>1019.2803861701763</v>
      </c>
      <c r="CH19" s="216">
        <f>CG19</f>
        <v>1019.2803861701763</v>
      </c>
      <c r="CI19" s="135">
        <f>SUM(CI15:CI18)</f>
        <v>1025.5833699666159</v>
      </c>
      <c r="CJ19" s="135">
        <f>SUM(CJ15:CJ18)</f>
        <v>1031.6005798890856</v>
      </c>
      <c r="CK19" s="135">
        <f>SUM(CK15:CK18)</f>
        <v>1037.34248766356</v>
      </c>
      <c r="CL19" s="135">
        <f>SUM(CL15:CL18)</f>
        <v>1042.8192041343545</v>
      </c>
      <c r="CM19" s="216">
        <f>CL19</f>
        <v>1042.8192041343545</v>
      </c>
      <c r="CN19" s="135">
        <f>SUM(CN15:CN18)</f>
        <v>1049.2742302850656</v>
      </c>
      <c r="CO19" s="135">
        <f>SUM(CO15:CO18)</f>
        <v>1055.4421278486307</v>
      </c>
      <c r="CP19" s="135">
        <f>SUM(CP15:CP18)</f>
        <v>1061.3333672910649</v>
      </c>
      <c r="CQ19" s="135">
        <f>SUM(CQ15:CQ18)</f>
        <v>1066.9580588189347</v>
      </c>
      <c r="CR19" s="216">
        <f>CQ19</f>
        <v>1066.9580588189347</v>
      </c>
      <c r="CS19" s="135">
        <f>SUM(CS15:CS18)</f>
        <v>1073.6213903144944</v>
      </c>
      <c r="CT19" s="135">
        <f>SUM(CT15:CT18)</f>
        <v>1079.9941808608082</v>
      </c>
      <c r="CU19" s="135">
        <f>SUM(CU15:CU18)</f>
        <v>1086.0869705299269</v>
      </c>
      <c r="CV19" s="135">
        <f>SUM(CV15:CV18)</f>
        <v>1091.9099373659942</v>
      </c>
      <c r="CW19" s="216">
        <f>CV19</f>
        <v>1091.9099373659942</v>
      </c>
      <c r="CX19" s="135">
        <f>SUM(CX15:CX18)</f>
        <v>1098.8331066617311</v>
      </c>
      <c r="CY19" s="135">
        <f>SUM(CY15:CY18)</f>
        <v>1105.460431623093</v>
      </c>
      <c r="CZ19" s="135">
        <f>SUM(CZ15:CZ18)</f>
        <v>1111.8025871281989</v>
      </c>
      <c r="DA19" s="135">
        <f>SUM(DA15:DA18)</f>
        <v>1117.8698820583936</v>
      </c>
      <c r="DB19" s="216">
        <f>DA19</f>
        <v>1117.8698820583936</v>
      </c>
    </row>
    <row r="20" spans="1:106" s="11" customFormat="1" ht="12.75" customHeight="1">
      <c r="E20" s="19"/>
      <c r="F20" s="215"/>
      <c r="G20" s="19"/>
      <c r="H20" s="19"/>
      <c r="I20" s="19"/>
      <c r="J20" s="19"/>
      <c r="K20" s="215"/>
      <c r="L20" s="19"/>
      <c r="M20" s="19"/>
      <c r="N20" s="19"/>
      <c r="O20" s="19"/>
      <c r="P20" s="215"/>
      <c r="Q20" s="19"/>
      <c r="R20" s="19"/>
      <c r="S20" s="19"/>
      <c r="T20" s="19"/>
      <c r="U20" s="215"/>
      <c r="V20" s="19"/>
      <c r="W20" s="19"/>
      <c r="X20" s="19"/>
      <c r="Y20" s="19"/>
      <c r="Z20" s="215"/>
      <c r="AA20" s="19"/>
      <c r="AB20" s="19"/>
      <c r="AC20" s="19"/>
      <c r="AD20" s="19"/>
      <c r="AE20" s="215"/>
      <c r="AF20" s="19"/>
      <c r="AG20" s="19"/>
      <c r="AH20" s="19"/>
      <c r="AI20" s="19"/>
      <c r="AJ20" s="215"/>
      <c r="AK20" s="19"/>
      <c r="AL20" s="19"/>
      <c r="AM20" s="19"/>
      <c r="AN20" s="19"/>
      <c r="AO20" s="215"/>
      <c r="AP20" s="19"/>
      <c r="AQ20" s="19"/>
      <c r="AR20" s="19"/>
      <c r="AS20" s="19"/>
      <c r="AT20" s="215"/>
      <c r="AU20" s="19"/>
      <c r="AV20" s="19"/>
      <c r="AW20" s="19"/>
      <c r="AX20" s="19"/>
      <c r="AY20" s="215"/>
      <c r="AZ20" s="19"/>
      <c r="BA20" s="19"/>
      <c r="BB20" s="19"/>
      <c r="BC20" s="19"/>
      <c r="BD20" s="215"/>
      <c r="BE20" s="19"/>
      <c r="BF20" s="19"/>
      <c r="BG20" s="19"/>
      <c r="BH20" s="19"/>
      <c r="BI20" s="215"/>
      <c r="BJ20" s="275"/>
      <c r="BK20" s="19"/>
      <c r="BL20" s="19"/>
      <c r="BM20" s="19"/>
      <c r="BN20" s="215"/>
      <c r="BO20" s="19"/>
      <c r="BP20" s="19"/>
      <c r="BQ20" s="19"/>
      <c r="BR20" s="19"/>
      <c r="BS20" s="215"/>
      <c r="BT20" s="19"/>
      <c r="BU20" s="19"/>
      <c r="BV20" s="19"/>
      <c r="BW20" s="19"/>
      <c r="BX20" s="215"/>
      <c r="BY20" s="19"/>
      <c r="BZ20" s="19"/>
      <c r="CA20" s="19"/>
      <c r="CB20" s="19"/>
      <c r="CC20" s="215"/>
      <c r="CD20" s="19"/>
      <c r="CE20" s="19"/>
      <c r="CF20" s="19"/>
      <c r="CG20" s="19"/>
      <c r="CH20" s="215"/>
      <c r="CI20" s="19"/>
      <c r="CJ20" s="19"/>
      <c r="CK20" s="19"/>
      <c r="CL20" s="19"/>
      <c r="CM20" s="215"/>
      <c r="CN20" s="19"/>
      <c r="CO20" s="19"/>
      <c r="CP20" s="19"/>
      <c r="CQ20" s="19"/>
      <c r="CR20" s="215"/>
      <c r="CS20" s="19"/>
      <c r="CT20" s="19"/>
      <c r="CU20" s="19"/>
      <c r="CV20" s="19"/>
      <c r="CW20" s="215"/>
      <c r="CX20" s="19"/>
      <c r="CY20" s="19"/>
      <c r="CZ20" s="19"/>
      <c r="DA20" s="19"/>
      <c r="DB20" s="215"/>
    </row>
    <row r="21" spans="1:106" s="10" customFormat="1" ht="12.75" customHeight="1">
      <c r="A21" s="10" t="s">
        <v>28</v>
      </c>
      <c r="E21" s="135">
        <f>E13+E19</f>
        <v>123.623</v>
      </c>
      <c r="F21" s="216">
        <f>E21</f>
        <v>123.623</v>
      </c>
      <c r="G21" s="135"/>
      <c r="H21" s="135">
        <f>H13+H19</f>
        <v>106.75200000000001</v>
      </c>
      <c r="I21" s="135">
        <f>I13+I19</f>
        <v>262.36700000000002</v>
      </c>
      <c r="J21" s="135">
        <f>J13+J19</f>
        <v>265.24</v>
      </c>
      <c r="K21" s="216">
        <f>J21</f>
        <v>265.24</v>
      </c>
      <c r="L21" s="135">
        <f>L13+L19</f>
        <v>265.74799999999999</v>
      </c>
      <c r="M21" s="135">
        <f>M13+M19</f>
        <v>261.267</v>
      </c>
      <c r="N21" s="135">
        <f>N13+N19</f>
        <v>242.38499999999999</v>
      </c>
      <c r="O21" s="135">
        <f>O13+O19</f>
        <v>210.67999999999998</v>
      </c>
      <c r="P21" s="216">
        <f>O21</f>
        <v>210.67999999999998</v>
      </c>
      <c r="Q21" s="135">
        <f>Q13+Q19</f>
        <v>176.02399999999997</v>
      </c>
      <c r="R21" s="135">
        <f>R13+R19</f>
        <v>158.42500000000001</v>
      </c>
      <c r="S21" s="135">
        <f>S13+S19</f>
        <v>204.05600000000001</v>
      </c>
      <c r="T21" s="135">
        <f>T13+T19</f>
        <v>178.77599999999998</v>
      </c>
      <c r="U21" s="216">
        <f>T21</f>
        <v>178.77599999999998</v>
      </c>
      <c r="V21" s="135">
        <f>V13+V19</f>
        <v>218.655</v>
      </c>
      <c r="W21" s="135">
        <f>W13+W19</f>
        <v>194.36099999999999</v>
      </c>
      <c r="X21" s="135">
        <f>X13+X19</f>
        <v>277.30899999999997</v>
      </c>
      <c r="Y21" s="135">
        <f>Y13+Y19</f>
        <v>268.17100000000005</v>
      </c>
      <c r="Z21" s="216">
        <f>Y21</f>
        <v>268.17100000000005</v>
      </c>
      <c r="AA21" s="135">
        <f>AA13+AA19</f>
        <v>261.44499999999999</v>
      </c>
      <c r="AB21" s="135">
        <f>AB13+AB19</f>
        <v>383.32599999999996</v>
      </c>
      <c r="AC21" s="135">
        <f>AC13+AC19</f>
        <v>380.25</v>
      </c>
      <c r="AD21" s="135">
        <f>AD13+AD19</f>
        <v>582.65600000000006</v>
      </c>
      <c r="AE21" s="216">
        <f>AD21</f>
        <v>582.65600000000006</v>
      </c>
      <c r="AF21" s="135">
        <f>AF13+AF19</f>
        <v>558.63900000000001</v>
      </c>
      <c r="AG21" s="135">
        <f>AG13+AG19</f>
        <v>723.26099999999997</v>
      </c>
      <c r="AH21" s="135">
        <f>AH13+AH19</f>
        <v>976.71299999999997</v>
      </c>
      <c r="AI21" s="135">
        <f>AI13+AI19</f>
        <v>932.15299999999991</v>
      </c>
      <c r="AJ21" s="216">
        <f>AI21</f>
        <v>932.15299999999991</v>
      </c>
      <c r="AK21" s="135">
        <f>AK13+AK19</f>
        <v>893.51200000000006</v>
      </c>
      <c r="AL21" s="135">
        <f>AL13+AL19</f>
        <v>849.95600000000002</v>
      </c>
      <c r="AM21" s="135">
        <f>AM13+AM19</f>
        <v>1311.374</v>
      </c>
      <c r="AN21" s="135">
        <f>AN13+AN19</f>
        <v>1236.4870000000001</v>
      </c>
      <c r="AO21" s="216">
        <f>AN21</f>
        <v>1236.4870000000001</v>
      </c>
      <c r="AP21" s="135">
        <f>AP13+AP19</f>
        <v>1144.6639999999998</v>
      </c>
      <c r="AQ21" s="135">
        <f>AQ13+AQ19</f>
        <v>1066.9759999999999</v>
      </c>
      <c r="AR21" s="135">
        <f>AR13+AR19</f>
        <v>1009.1119999999999</v>
      </c>
      <c r="AS21" s="135">
        <f>AS13+AS19</f>
        <v>1394.4739999999999</v>
      </c>
      <c r="AT21" s="216">
        <f>AS21</f>
        <v>1394.4739999999999</v>
      </c>
      <c r="AU21" s="135">
        <f>AU13+AU19</f>
        <v>1318.88</v>
      </c>
      <c r="AV21" s="135">
        <f>AV13+AV19</f>
        <v>1247.8930000000003</v>
      </c>
      <c r="AW21" s="135">
        <f>AW13+AW19</f>
        <v>1446.52</v>
      </c>
      <c r="AX21" s="135">
        <f>AX13+AX19</f>
        <v>1441.6990000000001</v>
      </c>
      <c r="AY21" s="216">
        <f>AX21</f>
        <v>1441.6990000000001</v>
      </c>
      <c r="AZ21" s="135">
        <f>AZ13+AZ19</f>
        <v>1468.2049999999999</v>
      </c>
      <c r="BA21" s="135">
        <f>BA13+BA19</f>
        <v>1516.9889999999998</v>
      </c>
      <c r="BB21" s="135">
        <f>BB13+BB19</f>
        <v>1590.9470000000001</v>
      </c>
      <c r="BC21" s="135">
        <f>BC13+BC19</f>
        <v>1660.7349999999999</v>
      </c>
      <c r="BD21" s="216">
        <f>BC21</f>
        <v>1660.7349999999999</v>
      </c>
      <c r="BE21" s="135">
        <f>BE13+BE19</f>
        <v>1732.366</v>
      </c>
      <c r="BF21" s="135">
        <f>BF13+BF19</f>
        <v>1757.066</v>
      </c>
      <c r="BG21" s="213">
        <f>BG13+BG19</f>
        <v>1821.482</v>
      </c>
      <c r="BH21" s="213">
        <f>BH13+BH19</f>
        <v>2398.3440000000001</v>
      </c>
      <c r="BI21" s="216">
        <f>BH21</f>
        <v>2398.3440000000001</v>
      </c>
      <c r="BJ21" s="273">
        <f>BJ13+BJ19</f>
        <v>2413.2472473804351</v>
      </c>
      <c r="BK21" s="135">
        <f>BK13+BK19</f>
        <v>2369.7918989916402</v>
      </c>
      <c r="BL21" s="135">
        <f>BL13+BL19</f>
        <v>2341.478508713778</v>
      </c>
      <c r="BM21" s="135">
        <f>BM13+BM19</f>
        <v>2334.6606525592692</v>
      </c>
      <c r="BN21" s="216">
        <f>BM21</f>
        <v>2334.6606525592692</v>
      </c>
      <c r="BO21" s="135">
        <f>BO13+BO19</f>
        <v>2380.5507638745321</v>
      </c>
      <c r="BP21" s="135">
        <f>BP13+BP19</f>
        <v>2392.8484740287677</v>
      </c>
      <c r="BQ21" s="135">
        <f>BQ13+BQ19</f>
        <v>2422.4994599440265</v>
      </c>
      <c r="BR21" s="135">
        <f>BR13+BR19</f>
        <v>2465.3606243998183</v>
      </c>
      <c r="BS21" s="216">
        <f>BR21</f>
        <v>2465.3606243998183</v>
      </c>
      <c r="BT21" s="135">
        <f>BT13+BT19</f>
        <v>2555.0516327852283</v>
      </c>
      <c r="BU21" s="135">
        <f>BU13+BU19</f>
        <v>2620.3090454411563</v>
      </c>
      <c r="BV21" s="135">
        <f>BV13+BV19</f>
        <v>2704.894367179988</v>
      </c>
      <c r="BW21" s="135">
        <f>BW13+BW19</f>
        <v>2810.2329465426983</v>
      </c>
      <c r="BX21" s="216">
        <f>BW21</f>
        <v>2810.2329465426983</v>
      </c>
      <c r="BY21" s="135">
        <f>BY13+BY19</f>
        <v>2969.2977654699243</v>
      </c>
      <c r="BZ21" s="135">
        <f>BZ13+BZ19</f>
        <v>3094.7555368387775</v>
      </c>
      <c r="CA21" s="135">
        <f>CA13+CA19</f>
        <v>3246.4953145996401</v>
      </c>
      <c r="CB21" s="135">
        <f>CB13+CB19</f>
        <v>3417.6937595910144</v>
      </c>
      <c r="CC21" s="216">
        <f>CB21</f>
        <v>3417.6937595910144</v>
      </c>
      <c r="CD21" s="135">
        <f>CD13+CD19</f>
        <v>3651.5262145481315</v>
      </c>
      <c r="CE21" s="135">
        <f>CE13+CE19</f>
        <v>3850.7775021744933</v>
      </c>
      <c r="CF21" s="135">
        <f>CF13+CF19</f>
        <v>4077.0154933627741</v>
      </c>
      <c r="CG21" s="135">
        <f>CG13+CG19</f>
        <v>4327.3401620827844</v>
      </c>
      <c r="CH21" s="216">
        <f>CG21</f>
        <v>4327.3401620827844</v>
      </c>
      <c r="CI21" s="135">
        <f>CI13+CI19</f>
        <v>4638.4060682823983</v>
      </c>
      <c r="CJ21" s="135">
        <f>CJ13+CJ19</f>
        <v>4905.8966279904853</v>
      </c>
      <c r="CK21" s="135">
        <f>CK13+CK19</f>
        <v>5198.7363714272224</v>
      </c>
      <c r="CL21" s="135">
        <f>CL13+CL19</f>
        <v>5512.626881823865</v>
      </c>
      <c r="CM21" s="216">
        <f>CL21</f>
        <v>5512.626881823865</v>
      </c>
      <c r="CN21" s="135">
        <f>CN13+CN19</f>
        <v>5893.4193347215205</v>
      </c>
      <c r="CO21" s="135">
        <f>CO13+CO19</f>
        <v>6226.8709518251344</v>
      </c>
      <c r="CP21" s="135">
        <f>CP13+CP19</f>
        <v>6588.3202063871022</v>
      </c>
      <c r="CQ21" s="135">
        <f>CQ13+CQ19</f>
        <v>6972.8486062721231</v>
      </c>
      <c r="CR21" s="216">
        <f>CQ21</f>
        <v>6972.8486062721231</v>
      </c>
      <c r="CS21" s="135">
        <f>CS13+CS19</f>
        <v>7429.957346905685</v>
      </c>
      <c r="CT21" s="135">
        <f>CT13+CT19</f>
        <v>7835.9498733208802</v>
      </c>
      <c r="CU21" s="135">
        <f>CU13+CU19</f>
        <v>8272.8855095792769</v>
      </c>
      <c r="CV21" s="135">
        <f>CV13+CV19</f>
        <v>8735.058648017306</v>
      </c>
      <c r="CW21" s="216">
        <f>CV21</f>
        <v>8735.058648017306</v>
      </c>
      <c r="CX21" s="135">
        <f>CX13+CX19</f>
        <v>9259.957340581921</v>
      </c>
      <c r="CY21" s="135">
        <f>CY13+CY19</f>
        <v>9725.0849369946482</v>
      </c>
      <c r="CZ21" s="135">
        <f>CZ13+CZ19</f>
        <v>10219.171458445562</v>
      </c>
      <c r="DA21" s="135">
        <f>DA13+DA19</f>
        <v>10735.734909588025</v>
      </c>
      <c r="DB21" s="216">
        <f>DA21</f>
        <v>10735.734909588025</v>
      </c>
    </row>
    <row r="22" spans="1:106" s="11" customFormat="1" ht="12.75" customHeight="1">
      <c r="E22" s="19"/>
      <c r="F22" s="215"/>
      <c r="G22" s="19"/>
      <c r="H22" s="19"/>
      <c r="I22" s="19"/>
      <c r="J22" s="19"/>
      <c r="K22" s="215"/>
      <c r="L22" s="19"/>
      <c r="M22" s="19"/>
      <c r="N22" s="19"/>
      <c r="O22" s="19"/>
      <c r="P22" s="215"/>
      <c r="Q22" s="19"/>
      <c r="R22" s="19"/>
      <c r="S22" s="19"/>
      <c r="T22" s="19"/>
      <c r="U22" s="215"/>
      <c r="V22" s="19"/>
      <c r="W22" s="19"/>
      <c r="X22" s="19"/>
      <c r="Y22" s="19"/>
      <c r="Z22" s="215"/>
      <c r="AA22" s="19"/>
      <c r="AB22" s="19"/>
      <c r="AC22" s="19"/>
      <c r="AD22" s="19"/>
      <c r="AE22" s="215"/>
      <c r="AF22" s="19"/>
      <c r="AG22" s="19"/>
      <c r="AH22" s="19"/>
      <c r="AI22" s="19"/>
      <c r="AJ22" s="215"/>
      <c r="AK22" s="19"/>
      <c r="AL22" s="19"/>
      <c r="AM22" s="19"/>
      <c r="AN22" s="19"/>
      <c r="AO22" s="215"/>
      <c r="AP22" s="19"/>
      <c r="AQ22" s="19"/>
      <c r="AR22" s="19"/>
      <c r="AS22" s="19"/>
      <c r="AT22" s="215"/>
      <c r="AU22" s="19"/>
      <c r="AV22" s="19"/>
      <c r="AW22" s="19"/>
      <c r="AX22" s="19"/>
      <c r="AY22" s="215"/>
      <c r="AZ22" s="19"/>
      <c r="BA22" s="19"/>
      <c r="BB22" s="19"/>
      <c r="BC22" s="19"/>
      <c r="BD22" s="215"/>
      <c r="BE22" s="19"/>
      <c r="BF22" s="19"/>
      <c r="BG22" s="19"/>
      <c r="BH22" s="19"/>
      <c r="BI22" s="215"/>
      <c r="BJ22" s="275"/>
      <c r="BK22" s="19"/>
      <c r="BL22" s="19"/>
      <c r="BM22" s="19"/>
      <c r="BN22" s="215"/>
      <c r="BO22" s="19"/>
      <c r="BP22" s="19"/>
      <c r="BQ22" s="19"/>
      <c r="BR22" s="19"/>
      <c r="BS22" s="215"/>
      <c r="BT22" s="19"/>
      <c r="BU22" s="19"/>
      <c r="BV22" s="19"/>
      <c r="BW22" s="19"/>
      <c r="BX22" s="215"/>
      <c r="BY22" s="19"/>
      <c r="BZ22" s="19"/>
      <c r="CA22" s="19"/>
      <c r="CB22" s="19"/>
      <c r="CC22" s="215"/>
      <c r="CD22" s="19"/>
      <c r="CE22" s="19"/>
      <c r="CF22" s="19"/>
      <c r="CG22" s="19"/>
      <c r="CH22" s="215"/>
      <c r="CI22" s="19"/>
      <c r="CJ22" s="19"/>
      <c r="CK22" s="19"/>
      <c r="CL22" s="19"/>
      <c r="CM22" s="215"/>
      <c r="CN22" s="19"/>
      <c r="CO22" s="19"/>
      <c r="CP22" s="19"/>
      <c r="CQ22" s="19"/>
      <c r="CR22" s="215"/>
      <c r="CS22" s="19"/>
      <c r="CT22" s="19"/>
      <c r="CU22" s="19"/>
      <c r="CV22" s="19"/>
      <c r="CW22" s="215"/>
      <c r="CX22" s="19"/>
      <c r="CY22" s="19"/>
      <c r="CZ22" s="19"/>
      <c r="DA22" s="19"/>
      <c r="DB22" s="215"/>
    </row>
    <row r="23" spans="1:106" s="11" customFormat="1" ht="12.75" customHeight="1">
      <c r="A23" s="10" t="s">
        <v>29</v>
      </c>
      <c r="E23" s="19"/>
      <c r="F23" s="215"/>
      <c r="G23" s="19"/>
      <c r="H23" s="19"/>
      <c r="I23" s="19"/>
      <c r="J23" s="19"/>
      <c r="K23" s="215"/>
      <c r="L23" s="19"/>
      <c r="M23" s="19"/>
      <c r="N23" s="19"/>
      <c r="O23" s="19"/>
      <c r="P23" s="215"/>
      <c r="Q23" s="19"/>
      <c r="R23" s="19"/>
      <c r="S23" s="19"/>
      <c r="T23" s="19"/>
      <c r="U23" s="215"/>
      <c r="V23" s="19"/>
      <c r="W23" s="19"/>
      <c r="X23" s="19"/>
      <c r="Y23" s="19"/>
      <c r="Z23" s="215"/>
      <c r="AA23" s="19"/>
      <c r="AB23" s="19"/>
      <c r="AC23" s="19"/>
      <c r="AD23" s="19"/>
      <c r="AE23" s="215"/>
      <c r="AF23" s="19"/>
      <c r="AG23" s="19"/>
      <c r="AH23" s="19"/>
      <c r="AI23" s="19"/>
      <c r="AJ23" s="215"/>
      <c r="AK23" s="19"/>
      <c r="AL23" s="19"/>
      <c r="AM23" s="19"/>
      <c r="AN23" s="19"/>
      <c r="AO23" s="215"/>
      <c r="AP23" s="19"/>
      <c r="AQ23" s="19"/>
      <c r="AR23" s="19"/>
      <c r="AS23" s="19"/>
      <c r="AT23" s="215"/>
      <c r="AU23" s="19"/>
      <c r="AV23" s="19"/>
      <c r="AW23" s="19"/>
      <c r="AX23" s="19"/>
      <c r="AY23" s="215"/>
      <c r="AZ23" s="19"/>
      <c r="BA23" s="19"/>
      <c r="BB23" s="19"/>
      <c r="BC23" s="19"/>
      <c r="BD23" s="215"/>
      <c r="BE23" s="19"/>
      <c r="BF23" s="19"/>
      <c r="BG23" s="19"/>
      <c r="BH23" s="19"/>
      <c r="BI23" s="215"/>
      <c r="BJ23" s="275"/>
      <c r="BK23" s="19"/>
      <c r="BL23" s="19"/>
      <c r="BM23" s="19"/>
      <c r="BN23" s="215"/>
      <c r="BO23" s="19"/>
      <c r="BP23" s="19"/>
      <c r="BQ23" s="19"/>
      <c r="BR23" s="19"/>
      <c r="BS23" s="215"/>
      <c r="BT23" s="19"/>
      <c r="BU23" s="19"/>
      <c r="BV23" s="19"/>
      <c r="BW23" s="19"/>
      <c r="BX23" s="215"/>
      <c r="BY23" s="19"/>
      <c r="BZ23" s="19"/>
      <c r="CA23" s="19"/>
      <c r="CB23" s="19"/>
      <c r="CC23" s="215"/>
      <c r="CD23" s="19"/>
      <c r="CE23" s="19"/>
      <c r="CF23" s="19"/>
      <c r="CG23" s="19"/>
      <c r="CH23" s="215"/>
      <c r="CI23" s="19"/>
      <c r="CJ23" s="19"/>
      <c r="CK23" s="19"/>
      <c r="CL23" s="19"/>
      <c r="CM23" s="215"/>
      <c r="CN23" s="19"/>
      <c r="CO23" s="19"/>
      <c r="CP23" s="19"/>
      <c r="CQ23" s="19"/>
      <c r="CR23" s="215"/>
      <c r="CS23" s="19"/>
      <c r="CT23" s="19"/>
      <c r="CU23" s="19"/>
      <c r="CV23" s="19"/>
      <c r="CW23" s="215"/>
      <c r="CX23" s="19"/>
      <c r="CY23" s="19"/>
      <c r="CZ23" s="19"/>
      <c r="DA23" s="19"/>
      <c r="DB23" s="215"/>
    </row>
    <row r="24" spans="1:106" s="11" customFormat="1" ht="12.75" customHeight="1">
      <c r="A24" s="11" t="s">
        <v>30</v>
      </c>
      <c r="E24" s="19"/>
      <c r="F24" s="215"/>
      <c r="G24" s="19"/>
      <c r="H24" s="19"/>
      <c r="I24" s="19"/>
      <c r="J24" s="19"/>
      <c r="K24" s="215"/>
      <c r="L24" s="19"/>
      <c r="M24" s="19"/>
      <c r="N24" s="19"/>
      <c r="O24" s="19"/>
      <c r="P24" s="215"/>
      <c r="Q24" s="19"/>
      <c r="R24" s="19"/>
      <c r="S24" s="19"/>
      <c r="T24" s="19"/>
      <c r="U24" s="215"/>
      <c r="V24" s="19"/>
      <c r="W24" s="19"/>
      <c r="X24" s="19"/>
      <c r="Y24" s="19"/>
      <c r="Z24" s="215"/>
      <c r="AA24" s="19"/>
      <c r="AB24" s="19"/>
      <c r="AC24" s="19"/>
      <c r="AD24" s="19"/>
      <c r="AE24" s="215"/>
      <c r="AF24" s="19"/>
      <c r="AG24" s="19"/>
      <c r="AH24" s="19"/>
      <c r="AI24" s="19"/>
      <c r="AJ24" s="215"/>
      <c r="AK24" s="19"/>
      <c r="AL24" s="19"/>
      <c r="AM24" s="19"/>
      <c r="AN24" s="19"/>
      <c r="AO24" s="215"/>
      <c r="AP24" s="19"/>
      <c r="AQ24" s="19"/>
      <c r="AR24" s="19"/>
      <c r="AS24" s="19"/>
      <c r="AT24" s="215"/>
      <c r="AU24" s="19"/>
      <c r="AV24" s="19"/>
      <c r="AW24" s="19"/>
      <c r="AX24" s="19"/>
      <c r="AY24" s="215"/>
      <c r="AZ24" s="19"/>
      <c r="BA24" s="19"/>
      <c r="BB24" s="19"/>
      <c r="BC24" s="19"/>
      <c r="BD24" s="215"/>
      <c r="BE24" s="19"/>
      <c r="BF24" s="19"/>
      <c r="BG24" s="19"/>
      <c r="BH24" s="19"/>
      <c r="BI24" s="215"/>
      <c r="BJ24" s="275"/>
      <c r="BK24" s="19"/>
      <c r="BL24" s="19"/>
      <c r="BM24" s="19"/>
      <c r="BN24" s="215"/>
      <c r="BO24" s="19"/>
      <c r="BP24" s="19"/>
      <c r="BQ24" s="19"/>
      <c r="BR24" s="19"/>
      <c r="BS24" s="215"/>
      <c r="BT24" s="19"/>
      <c r="BU24" s="19"/>
      <c r="BV24" s="19"/>
      <c r="BW24" s="19"/>
      <c r="BX24" s="215"/>
      <c r="BY24" s="19"/>
      <c r="BZ24" s="19"/>
      <c r="CA24" s="19"/>
      <c r="CB24" s="19"/>
      <c r="CC24" s="215"/>
      <c r="CD24" s="19"/>
      <c r="CE24" s="19"/>
      <c r="CF24" s="19"/>
      <c r="CG24" s="19"/>
      <c r="CH24" s="215"/>
      <c r="CI24" s="19"/>
      <c r="CJ24" s="19"/>
      <c r="CK24" s="19"/>
      <c r="CL24" s="19"/>
      <c r="CM24" s="215"/>
      <c r="CN24" s="19"/>
      <c r="CO24" s="19"/>
      <c r="CP24" s="19"/>
      <c r="CQ24" s="19"/>
      <c r="CR24" s="215"/>
      <c r="CS24" s="19"/>
      <c r="CT24" s="19"/>
      <c r="CU24" s="19"/>
      <c r="CV24" s="19"/>
      <c r="CW24" s="215"/>
      <c r="CX24" s="19"/>
      <c r="CY24" s="19"/>
      <c r="CZ24" s="19"/>
      <c r="DA24" s="19"/>
      <c r="DB24" s="215"/>
    </row>
    <row r="25" spans="1:106" s="11" customFormat="1" ht="12.75" customHeight="1">
      <c r="A25" s="11" t="s">
        <v>31</v>
      </c>
      <c r="E25" s="19">
        <v>8.8670000000000009</v>
      </c>
      <c r="F25" s="215">
        <f t="shared" ref="F25:F31" si="0">E25</f>
        <v>8.8670000000000009</v>
      </c>
      <c r="G25" s="19"/>
      <c r="H25" s="19">
        <v>8.9489999999999998</v>
      </c>
      <c r="I25" s="19">
        <v>6.0670000000000002</v>
      </c>
      <c r="J25" s="19">
        <v>7.3319999999999999</v>
      </c>
      <c r="K25" s="215">
        <f t="shared" ref="K25:K31" si="1">J25</f>
        <v>7.3319999999999999</v>
      </c>
      <c r="L25" s="19">
        <v>8.98</v>
      </c>
      <c r="M25" s="19">
        <v>9.1940000000000008</v>
      </c>
      <c r="N25" s="19">
        <v>8.8109999999999999</v>
      </c>
      <c r="O25" s="19">
        <v>11.478999999999999</v>
      </c>
      <c r="P25" s="215">
        <f t="shared" ref="P25:P31" si="2">O25</f>
        <v>11.478999999999999</v>
      </c>
      <c r="Q25" s="19">
        <v>6.61</v>
      </c>
      <c r="R25" s="19">
        <v>10.388999999999999</v>
      </c>
      <c r="S25" s="19">
        <v>3.7530000000000001</v>
      </c>
      <c r="T25" s="19">
        <v>8.5289999999999999</v>
      </c>
      <c r="U25" s="215">
        <f t="shared" ref="U25:U31" si="3">T25</f>
        <v>8.5289999999999999</v>
      </c>
      <c r="V25" s="19">
        <v>8.6080000000000005</v>
      </c>
      <c r="W25" s="19">
        <v>7.6890000000000001</v>
      </c>
      <c r="X25" s="19">
        <v>9.8840000000000003</v>
      </c>
      <c r="Y25" s="19">
        <v>14.587</v>
      </c>
      <c r="Z25" s="215">
        <f t="shared" ref="Z25:Z31" si="4">Y25</f>
        <v>14.587</v>
      </c>
      <c r="AA25" s="19">
        <v>8.9169999999999998</v>
      </c>
      <c r="AB25" s="19">
        <v>8.3190000000000008</v>
      </c>
      <c r="AC25" s="19">
        <v>9.2360000000000007</v>
      </c>
      <c r="AD25" s="19">
        <v>8.6039999999999992</v>
      </c>
      <c r="AE25" s="215">
        <f t="shared" ref="AE25:AE31" si="5">AD25</f>
        <v>8.6039999999999992</v>
      </c>
      <c r="AF25" s="19">
        <v>8.3689999999999998</v>
      </c>
      <c r="AG25" s="19">
        <v>3.45</v>
      </c>
      <c r="AH25" s="19">
        <v>9.25</v>
      </c>
      <c r="AI25" s="19">
        <v>8.0960000000000001</v>
      </c>
      <c r="AJ25" s="215">
        <f t="shared" ref="AJ25:AJ31" si="6">AI25</f>
        <v>8.0960000000000001</v>
      </c>
      <c r="AK25" s="19">
        <v>4.6820000000000004</v>
      </c>
      <c r="AL25" s="19">
        <v>20.306999999999999</v>
      </c>
      <c r="AM25" s="19">
        <v>8.1809999999999992</v>
      </c>
      <c r="AN25" s="19">
        <v>27.206</v>
      </c>
      <c r="AO25" s="215">
        <f t="shared" ref="AO25:AO31" si="7">AN25</f>
        <v>27.206</v>
      </c>
      <c r="AP25" s="19">
        <v>18.07</v>
      </c>
      <c r="AQ25" s="19">
        <v>28.192</v>
      </c>
      <c r="AR25" s="19">
        <v>34.225000000000001</v>
      </c>
      <c r="AS25" s="19">
        <v>31.148</v>
      </c>
      <c r="AT25" s="215">
        <f t="shared" ref="AT25:AT31" si="8">AS25</f>
        <v>31.148</v>
      </c>
      <c r="AU25" s="19">
        <v>36.122999999999998</v>
      </c>
      <c r="AV25" s="19">
        <v>21.106999999999999</v>
      </c>
      <c r="AW25" s="19">
        <v>21.321000000000002</v>
      </c>
      <c r="AX25" s="19">
        <v>14.997999999999999</v>
      </c>
      <c r="AY25" s="215">
        <f t="shared" ref="AY25:AY31" si="9">AX25</f>
        <v>14.997999999999999</v>
      </c>
      <c r="AZ25" s="19">
        <v>26.038</v>
      </c>
      <c r="BA25" s="19">
        <v>33.1</v>
      </c>
      <c r="BB25" s="19">
        <v>27.834</v>
      </c>
      <c r="BC25" s="19">
        <v>34.921999999999997</v>
      </c>
      <c r="BD25" s="215">
        <f t="shared" ref="BD25:BD31" si="10">BC25</f>
        <v>34.921999999999997</v>
      </c>
      <c r="BE25" s="19">
        <v>39.24</v>
      </c>
      <c r="BF25" s="19">
        <v>36.878999999999998</v>
      </c>
      <c r="BG25" s="19">
        <v>46.499000000000002</v>
      </c>
      <c r="BH25" s="19">
        <v>33.155999999999999</v>
      </c>
      <c r="BI25" s="215">
        <f t="shared" ref="BI25:BI31" si="11">BH25</f>
        <v>33.155999999999999</v>
      </c>
      <c r="BJ25" s="275">
        <f>BJ73*BJ62/365</f>
        <v>47.031254974317903</v>
      </c>
      <c r="BK25" s="19">
        <f>BK73*BK62/365</f>
        <v>49.204270644939584</v>
      </c>
      <c r="BL25" s="19">
        <f>BL73*BL62/365</f>
        <v>50.832867112992034</v>
      </c>
      <c r="BM25" s="19">
        <f>BM73*BM62/365</f>
        <v>51.641631288803282</v>
      </c>
      <c r="BN25" s="215">
        <f t="shared" ref="BN25:BN31" si="12">BM25</f>
        <v>51.641631288803282</v>
      </c>
      <c r="BO25" s="19">
        <f>BO73*BO62/365</f>
        <v>53.67745681231721</v>
      </c>
      <c r="BP25" s="19">
        <f>BP73*BP62/365</f>
        <v>55.317358104651355</v>
      </c>
      <c r="BQ25" s="19">
        <f>BQ73*BQ62/365</f>
        <v>57.125115495281435</v>
      </c>
      <c r="BR25" s="19">
        <f>BR73*BR62/365</f>
        <v>58.603405485412402</v>
      </c>
      <c r="BS25" s="215">
        <f t="shared" ref="BS25:BS31" si="13">BR25</f>
        <v>58.603405485412402</v>
      </c>
      <c r="BT25" s="19">
        <f>BT73*BT62/365</f>
        <v>60.060986284799561</v>
      </c>
      <c r="BU25" s="19">
        <f>BU73*BU62/365</f>
        <v>61.726447828052727</v>
      </c>
      <c r="BV25" s="19">
        <f>BV73*BV62/365</f>
        <v>63.252141146938939</v>
      </c>
      <c r="BW25" s="19">
        <f>BW73*BW62/365</f>
        <v>64.742356178020955</v>
      </c>
      <c r="BX25" s="215">
        <f t="shared" ref="BX25:BX31" si="14">BW25</f>
        <v>64.742356178020955</v>
      </c>
      <c r="BY25" s="19">
        <f>BY73*BY62/365</f>
        <v>66.532107428191281</v>
      </c>
      <c r="BZ25" s="19">
        <f>BZ73*BZ62/365</f>
        <v>68.243505216413297</v>
      </c>
      <c r="CA25" s="19">
        <f>CA73*CA62/365</f>
        <v>70.043098696850464</v>
      </c>
      <c r="CB25" s="19">
        <f>CB73*CB62/365</f>
        <v>71.706565838018179</v>
      </c>
      <c r="CC25" s="215">
        <f t="shared" ref="CC25:CC31" si="15">CB25</f>
        <v>71.706565838018179</v>
      </c>
      <c r="CD25" s="19">
        <f>CD73*CD62/365</f>
        <v>73.486554253470075</v>
      </c>
      <c r="CE25" s="19">
        <f>CE73*CE62/365</f>
        <v>75.345352279916298</v>
      </c>
      <c r="CF25" s="19">
        <f>CF73*CF62/365</f>
        <v>77.14386206933726</v>
      </c>
      <c r="CG25" s="19">
        <f>CG73*CG62/365</f>
        <v>78.891748171049031</v>
      </c>
      <c r="CH25" s="215">
        <f t="shared" ref="CH25:CH31" si="16">CG25</f>
        <v>78.891748171049031</v>
      </c>
      <c r="CI25" s="19">
        <f>CI73*CI62/365</f>
        <v>80.701603353639598</v>
      </c>
      <c r="CJ25" s="19">
        <f>CJ73*CJ62/365</f>
        <v>82.521246398384989</v>
      </c>
      <c r="CK25" s="19">
        <f>CK73*CK62/365</f>
        <v>84.264402369657944</v>
      </c>
      <c r="CL25" s="19">
        <f>CL73*CL62/365</f>
        <v>85.894702273272557</v>
      </c>
      <c r="CM25" s="215">
        <f t="shared" ref="CM25:CM31" si="17">CL25</f>
        <v>85.894702273272557</v>
      </c>
      <c r="CN25" s="19">
        <f>CN73*CN62/365</f>
        <v>87.630332070126428</v>
      </c>
      <c r="CO25" s="19">
        <f>CO73*CO62/365</f>
        <v>89.415287955557943</v>
      </c>
      <c r="CP25" s="19">
        <f>CP73*CP62/365</f>
        <v>91.155471320037947</v>
      </c>
      <c r="CQ25" s="19">
        <f>CQ73*CQ62/365</f>
        <v>92.822282261863734</v>
      </c>
      <c r="CR25" s="215">
        <f t="shared" ref="CR25:CR31" si="18">CQ25</f>
        <v>92.822282261863734</v>
      </c>
      <c r="CS25" s="19">
        <f>CS73*CS62/365</f>
        <v>94.602628648138136</v>
      </c>
      <c r="CT25" s="19">
        <f>CT73*CT62/365</f>
        <v>96.437378472897976</v>
      </c>
      <c r="CU25" s="19">
        <f>CU73*CU62/365</f>
        <v>98.235996965003665</v>
      </c>
      <c r="CV25" s="19">
        <f>CV73*CV62/365</f>
        <v>99.96187149394737</v>
      </c>
      <c r="CW25" s="215">
        <f t="shared" ref="CW25:CW31" si="19">CV25</f>
        <v>99.96187149394737</v>
      </c>
      <c r="CX25" s="19">
        <f>CX73*CX62/365</f>
        <v>101.7691301577816</v>
      </c>
      <c r="CY25" s="19">
        <f>CY73*CY62/365</f>
        <v>103.59682798895611</v>
      </c>
      <c r="CZ25" s="19">
        <f>CZ73*CZ62/365</f>
        <v>105.35172327236216</v>
      </c>
      <c r="DA25" s="19">
        <f>DA73*DA62/365</f>
        <v>107.00396012037788</v>
      </c>
      <c r="DB25" s="215">
        <f t="shared" ref="DB25:DB31" si="20">DA25</f>
        <v>107.00396012037788</v>
      </c>
    </row>
    <row r="26" spans="1:106" s="11" customFormat="1" ht="12.75" customHeight="1">
      <c r="A26" s="11" t="s">
        <v>32</v>
      </c>
      <c r="E26" s="19">
        <f>10.341+5.98</f>
        <v>16.320999999999998</v>
      </c>
      <c r="F26" s="215">
        <f t="shared" si="0"/>
        <v>16.320999999999998</v>
      </c>
      <c r="G26" s="19"/>
      <c r="H26" s="19">
        <f>7.011+14.024</f>
        <v>21.035</v>
      </c>
      <c r="I26" s="19">
        <f>17.488+7.627</f>
        <v>25.114999999999998</v>
      </c>
      <c r="J26" s="19">
        <f>18.708+8.552</f>
        <v>27.259999999999998</v>
      </c>
      <c r="K26" s="215">
        <f t="shared" si="1"/>
        <v>27.259999999999998</v>
      </c>
      <c r="L26" s="19">
        <f>8.899+20.715</f>
        <v>29.613999999999997</v>
      </c>
      <c r="M26" s="19">
        <f>9.095+23.586</f>
        <v>32.680999999999997</v>
      </c>
      <c r="N26" s="19">
        <f>10.214+23.347</f>
        <v>33.561</v>
      </c>
      <c r="O26" s="19">
        <f>11.067+19.879</f>
        <v>30.946000000000002</v>
      </c>
      <c r="P26" s="215">
        <f t="shared" si="2"/>
        <v>30.946000000000002</v>
      </c>
      <c r="Q26" s="19">
        <f>9.328+23.928</f>
        <v>33.256</v>
      </c>
      <c r="R26" s="19">
        <f>25.612+8.106</f>
        <v>33.717999999999996</v>
      </c>
      <c r="S26" s="19">
        <f>23.022+9.428</f>
        <v>32.450000000000003</v>
      </c>
      <c r="T26" s="19">
        <f>33.207+9.599</f>
        <v>42.805999999999997</v>
      </c>
      <c r="U26" s="215">
        <f t="shared" si="3"/>
        <v>42.805999999999997</v>
      </c>
      <c r="V26" s="19">
        <f>31.523+9.933</f>
        <v>41.456000000000003</v>
      </c>
      <c r="W26" s="19">
        <f>30.52+8.615</f>
        <v>39.134999999999998</v>
      </c>
      <c r="X26" s="19">
        <f>9.587+31.067</f>
        <v>40.653999999999996</v>
      </c>
      <c r="Y26" s="19">
        <f>32.442+12.668</f>
        <v>45.11</v>
      </c>
      <c r="Z26" s="215">
        <f t="shared" si="4"/>
        <v>45.11</v>
      </c>
      <c r="AA26" s="19">
        <f>10.818+37.839</f>
        <v>48.656999999999996</v>
      </c>
      <c r="AB26" s="19">
        <f>10.149+39.157</f>
        <v>49.305999999999997</v>
      </c>
      <c r="AC26" s="19">
        <f>14.238+38.702</f>
        <v>52.94</v>
      </c>
      <c r="AD26" s="19">
        <f>16.088+49.043</f>
        <v>65.131</v>
      </c>
      <c r="AE26" s="215">
        <f t="shared" si="5"/>
        <v>65.131</v>
      </c>
      <c r="AF26" s="19">
        <f>50.393+15.953</f>
        <v>66.346000000000004</v>
      </c>
      <c r="AG26" s="19">
        <f>16.583+53.082</f>
        <v>69.664999999999992</v>
      </c>
      <c r="AH26" s="19">
        <f>22.45+62.893</f>
        <v>85.343000000000004</v>
      </c>
      <c r="AI26" s="19">
        <f>30.371+60.407</f>
        <v>90.777999999999992</v>
      </c>
      <c r="AJ26" s="215">
        <f t="shared" si="6"/>
        <v>90.777999999999992</v>
      </c>
      <c r="AK26" s="19">
        <f>77.296+25.87</f>
        <v>103.16600000000001</v>
      </c>
      <c r="AL26" s="19">
        <f>30.842+86.143</f>
        <v>116.985</v>
      </c>
      <c r="AM26" s="19">
        <f>35.331+96.486</f>
        <v>131.81700000000001</v>
      </c>
      <c r="AN26" s="19">
        <f>40.941+93.353</f>
        <v>134.29399999999998</v>
      </c>
      <c r="AO26" s="215">
        <f t="shared" si="7"/>
        <v>134.29399999999998</v>
      </c>
      <c r="AP26" s="19">
        <f>116.637+32.396</f>
        <v>149.03300000000002</v>
      </c>
      <c r="AQ26" s="19">
        <f>124.372+32.959</f>
        <v>157.33100000000002</v>
      </c>
      <c r="AR26" s="19">
        <f>42.226+132.751</f>
        <v>174.977</v>
      </c>
      <c r="AS26" s="19">
        <f>44.01+144.214</f>
        <v>188.22399999999999</v>
      </c>
      <c r="AT26" s="215">
        <f t="shared" si="8"/>
        <v>188.22399999999999</v>
      </c>
      <c r="AU26" s="19">
        <f>39.231+118.638</f>
        <v>157.869</v>
      </c>
      <c r="AV26" s="19">
        <f>125.513+34.174</f>
        <v>159.68700000000001</v>
      </c>
      <c r="AW26" s="19">
        <f>133.74+39.415</f>
        <v>173.155</v>
      </c>
      <c r="AX26" s="19">
        <f>149.405+45.857</f>
        <v>195.262</v>
      </c>
      <c r="AY26" s="215">
        <f t="shared" si="9"/>
        <v>195.262</v>
      </c>
      <c r="AZ26" s="19">
        <f>39.577+142.228</f>
        <v>181.80500000000001</v>
      </c>
      <c r="BA26" s="19">
        <f>41.487+141.231</f>
        <v>182.71799999999999</v>
      </c>
      <c r="BB26" s="19">
        <f>49.051+126.176</f>
        <v>175.227</v>
      </c>
      <c r="BC26" s="19">
        <f>62.114+146.893</f>
        <v>209.00700000000001</v>
      </c>
      <c r="BD26" s="215">
        <f t="shared" si="10"/>
        <v>209.00700000000001</v>
      </c>
      <c r="BE26" s="19">
        <f>47.086+178.449</f>
        <v>225.53500000000003</v>
      </c>
      <c r="BF26" s="19">
        <f>55.025+191.034</f>
        <v>246.059</v>
      </c>
      <c r="BG26" s="19">
        <f>77.439+215.951</f>
        <v>293.39</v>
      </c>
      <c r="BH26" s="19">
        <f>92.603+188.659</f>
        <v>281.262</v>
      </c>
      <c r="BI26" s="215">
        <f t="shared" si="11"/>
        <v>281.262</v>
      </c>
      <c r="BJ26" s="275">
        <f>BJ77*BJ61/365</f>
        <v>351.51572897791033</v>
      </c>
      <c r="BK26" s="19">
        <f>BK77*BK61/365</f>
        <v>359.68666302898481</v>
      </c>
      <c r="BL26" s="19">
        <f>BL77*BL61/365</f>
        <v>371.71059764389832</v>
      </c>
      <c r="BM26" s="19">
        <f>BM77*BM61/365</f>
        <v>378.8063706657594</v>
      </c>
      <c r="BN26" s="215">
        <f t="shared" si="12"/>
        <v>378.8063706657594</v>
      </c>
      <c r="BO26" s="19">
        <f>BO77*BO61/365</f>
        <v>407.23529504602601</v>
      </c>
      <c r="BP26" s="19">
        <f>BP77*BP61/365</f>
        <v>415.58774132659045</v>
      </c>
      <c r="BQ26" s="19">
        <f>BQ77*BQ61/365</f>
        <v>431.85286139980514</v>
      </c>
      <c r="BR26" s="19">
        <f>BR77*BR61/365</f>
        <v>445.78848386811904</v>
      </c>
      <c r="BS26" s="215">
        <f t="shared" si="13"/>
        <v>445.78848386811904</v>
      </c>
      <c r="BT26" s="19">
        <f>BT77*BT61/365</f>
        <v>471.02393521640892</v>
      </c>
      <c r="BU26" s="19">
        <f>BU77*BU61/365</f>
        <v>479.65750444897679</v>
      </c>
      <c r="BV26" s="19">
        <f>BV77*BV61/365</f>
        <v>497.16486249328625</v>
      </c>
      <c r="BW26" s="19">
        <f>BW77*BW61/365</f>
        <v>515.32320047992187</v>
      </c>
      <c r="BX26" s="215">
        <f t="shared" si="14"/>
        <v>515.32320047992187</v>
      </c>
      <c r="BY26" s="19">
        <f>BY77*BY61/365</f>
        <v>544.9695495767379</v>
      </c>
      <c r="BZ26" s="19">
        <f>BZ77*BZ61/365</f>
        <v>553.32704001313857</v>
      </c>
      <c r="CA26" s="19">
        <f>CA77*CA61/365</f>
        <v>572.96990160776556</v>
      </c>
      <c r="CB26" s="19">
        <f>CB77*CB61/365</f>
        <v>592.34865395673023</v>
      </c>
      <c r="CC26" s="215">
        <f t="shared" si="15"/>
        <v>592.34865395673023</v>
      </c>
      <c r="CD26" s="19">
        <f>CD77*CD61/365</f>
        <v>624.39050952694129</v>
      </c>
      <c r="CE26" s="19">
        <f>CE77*CE61/365</f>
        <v>633.25644192076197</v>
      </c>
      <c r="CF26" s="19">
        <f>CF77*CF61/365</f>
        <v>653.94246694878257</v>
      </c>
      <c r="CG26" s="19">
        <f>CG77*CG61/365</f>
        <v>675.15548156507043</v>
      </c>
      <c r="CH26" s="215">
        <f t="shared" si="16"/>
        <v>675.15548156507043</v>
      </c>
      <c r="CI26" s="19">
        <f>CI77*CI61/365</f>
        <v>708.95653196683918</v>
      </c>
      <c r="CJ26" s="19">
        <f>CJ77*CJ61/365</f>
        <v>715.41319136150958</v>
      </c>
      <c r="CK26" s="19">
        <f>CK77*CK61/365</f>
        <v>734.80540279830268</v>
      </c>
      <c r="CL26" s="19">
        <f>CL77*CL61/365</f>
        <v>753.74218265287573</v>
      </c>
      <c r="CM26" s="215">
        <f t="shared" si="17"/>
        <v>753.74218265287573</v>
      </c>
      <c r="CN26" s="19">
        <f>CN77*CN61/365</f>
        <v>788.11937857272301</v>
      </c>
      <c r="CO26" s="19">
        <f>CO77*CO61/365</f>
        <v>792.75631357457439</v>
      </c>
      <c r="CP26" s="19">
        <f>CP77*CP61/365</f>
        <v>812.38866296888966</v>
      </c>
      <c r="CQ26" s="19">
        <f>CQ77*CQ61/365</f>
        <v>832.16065467726537</v>
      </c>
      <c r="CR26" s="215">
        <f t="shared" si="18"/>
        <v>832.16065467726537</v>
      </c>
      <c r="CS26" s="19">
        <f>CS77*CS61/365</f>
        <v>869.01888596239689</v>
      </c>
      <c r="CT26" s="19">
        <f>CT77*CT61/365</f>
        <v>873.18387391249144</v>
      </c>
      <c r="CU26" s="19">
        <f>CU77*CU61/365</f>
        <v>894.00514737183357</v>
      </c>
      <c r="CV26" s="19">
        <f>CV77*CV61/365</f>
        <v>915.06894916779754</v>
      </c>
      <c r="CW26" s="215">
        <f t="shared" si="19"/>
        <v>915.06894916779754</v>
      </c>
      <c r="CX26" s="19">
        <f>CX77*CX61/365</f>
        <v>952.79220990761848</v>
      </c>
      <c r="CY26" s="19">
        <f>CY77*CY61/365</f>
        <v>954.01746386589298</v>
      </c>
      <c r="CZ26" s="19">
        <f>CZ77*CZ61/365</f>
        <v>972.81689364546492</v>
      </c>
      <c r="DA26" s="19">
        <f>DA77*DA61/365</f>
        <v>991.21460024613043</v>
      </c>
      <c r="DB26" s="215">
        <f t="shared" si="20"/>
        <v>991.21460024613043</v>
      </c>
    </row>
    <row r="27" spans="1:106" s="11" customFormat="1" ht="12.75" customHeight="1" outlineLevel="1">
      <c r="A27" s="11" t="s">
        <v>33</v>
      </c>
      <c r="E27" s="19">
        <v>0</v>
      </c>
      <c r="F27" s="215">
        <f t="shared" si="0"/>
        <v>0</v>
      </c>
      <c r="G27" s="19"/>
      <c r="H27" s="19">
        <v>0</v>
      </c>
      <c r="I27" s="19">
        <v>0</v>
      </c>
      <c r="J27" s="19">
        <v>0</v>
      </c>
      <c r="K27" s="215">
        <f t="shared" si="1"/>
        <v>0</v>
      </c>
      <c r="L27" s="19">
        <v>0</v>
      </c>
      <c r="M27" s="19">
        <v>0</v>
      </c>
      <c r="N27" s="19">
        <v>0</v>
      </c>
      <c r="O27" s="19">
        <v>0</v>
      </c>
      <c r="P27" s="215">
        <f t="shared" si="2"/>
        <v>0</v>
      </c>
      <c r="Q27" s="19">
        <v>0</v>
      </c>
      <c r="R27" s="19">
        <v>0</v>
      </c>
      <c r="S27" s="19">
        <v>0</v>
      </c>
      <c r="T27" s="19">
        <v>0</v>
      </c>
      <c r="U27" s="215">
        <f t="shared" si="3"/>
        <v>0</v>
      </c>
      <c r="V27" s="19">
        <v>0</v>
      </c>
      <c r="W27" s="19">
        <v>0</v>
      </c>
      <c r="X27" s="19">
        <v>0</v>
      </c>
      <c r="Y27" s="19">
        <v>0</v>
      </c>
      <c r="Z27" s="215">
        <f t="shared" si="4"/>
        <v>0</v>
      </c>
      <c r="AA27" s="19">
        <v>0</v>
      </c>
      <c r="AB27" s="19">
        <v>0</v>
      </c>
      <c r="AC27" s="19">
        <v>0</v>
      </c>
      <c r="AD27" s="19">
        <v>0</v>
      </c>
      <c r="AE27" s="215">
        <f t="shared" si="5"/>
        <v>0</v>
      </c>
      <c r="AF27" s="19">
        <v>0</v>
      </c>
      <c r="AG27" s="19">
        <v>0</v>
      </c>
      <c r="AH27" s="19">
        <v>0</v>
      </c>
      <c r="AI27" s="19">
        <v>0</v>
      </c>
      <c r="AJ27" s="215">
        <f t="shared" si="6"/>
        <v>0</v>
      </c>
      <c r="AK27" s="19">
        <v>0</v>
      </c>
      <c r="AL27" s="19">
        <v>0</v>
      </c>
      <c r="AM27" s="19">
        <v>0</v>
      </c>
      <c r="AN27" s="19">
        <v>0</v>
      </c>
      <c r="AO27" s="215">
        <f t="shared" si="7"/>
        <v>0</v>
      </c>
      <c r="AP27" s="19">
        <v>0</v>
      </c>
      <c r="AQ27" s="19">
        <v>0</v>
      </c>
      <c r="AR27" s="19">
        <v>0</v>
      </c>
      <c r="AS27" s="19">
        <v>0</v>
      </c>
      <c r="AT27" s="215">
        <f t="shared" si="8"/>
        <v>0</v>
      </c>
      <c r="AU27" s="19">
        <v>0</v>
      </c>
      <c r="AV27" s="19">
        <v>0</v>
      </c>
      <c r="AW27" s="19">
        <v>0</v>
      </c>
      <c r="AX27" s="19">
        <v>0</v>
      </c>
      <c r="AY27" s="215">
        <f t="shared" si="9"/>
        <v>0</v>
      </c>
      <c r="AZ27" s="19">
        <v>0</v>
      </c>
      <c r="BA27" s="19">
        <v>0</v>
      </c>
      <c r="BB27" s="19">
        <f t="shared" ref="BB27:BB28" si="21">BA27</f>
        <v>0</v>
      </c>
      <c r="BC27" s="19">
        <v>0</v>
      </c>
      <c r="BD27" s="215">
        <f t="shared" si="10"/>
        <v>0</v>
      </c>
      <c r="BE27" s="19">
        <v>0</v>
      </c>
      <c r="BF27" s="19">
        <v>0</v>
      </c>
      <c r="BG27" s="19">
        <v>0</v>
      </c>
      <c r="BH27" s="19">
        <v>0</v>
      </c>
      <c r="BI27" s="215">
        <f t="shared" si="11"/>
        <v>0</v>
      </c>
      <c r="BJ27" s="275">
        <f>BH27</f>
        <v>0</v>
      </c>
      <c r="BK27" s="19">
        <f t="shared" ref="BK27:BK29" si="22">BJ27</f>
        <v>0</v>
      </c>
      <c r="BL27" s="19">
        <f t="shared" ref="BL27:BL29" si="23">BK27</f>
        <v>0</v>
      </c>
      <c r="BM27" s="19">
        <f t="shared" ref="BM27:BM29" si="24">BL27</f>
        <v>0</v>
      </c>
      <c r="BN27" s="215">
        <f t="shared" si="12"/>
        <v>0</v>
      </c>
      <c r="BO27" s="19">
        <f>BM27</f>
        <v>0</v>
      </c>
      <c r="BP27" s="19">
        <f t="shared" ref="BP27:BR29" si="25">BO27</f>
        <v>0</v>
      </c>
      <c r="BQ27" s="19">
        <f t="shared" si="25"/>
        <v>0</v>
      </c>
      <c r="BR27" s="19">
        <f t="shared" si="25"/>
        <v>0</v>
      </c>
      <c r="BS27" s="215">
        <f t="shared" si="13"/>
        <v>0</v>
      </c>
      <c r="BT27" s="19">
        <f>BR27</f>
        <v>0</v>
      </c>
      <c r="BU27" s="19">
        <f t="shared" ref="BU27:BW29" si="26">BT27</f>
        <v>0</v>
      </c>
      <c r="BV27" s="19">
        <f t="shared" si="26"/>
        <v>0</v>
      </c>
      <c r="BW27" s="19">
        <f t="shared" si="26"/>
        <v>0</v>
      </c>
      <c r="BX27" s="215">
        <f t="shared" si="14"/>
        <v>0</v>
      </c>
      <c r="BY27" s="19">
        <f>BW27</f>
        <v>0</v>
      </c>
      <c r="BZ27" s="19">
        <f t="shared" ref="BZ27:CB29" si="27">BY27</f>
        <v>0</v>
      </c>
      <c r="CA27" s="19">
        <f t="shared" si="27"/>
        <v>0</v>
      </c>
      <c r="CB27" s="19">
        <f t="shared" si="27"/>
        <v>0</v>
      </c>
      <c r="CC27" s="215">
        <f t="shared" si="15"/>
        <v>0</v>
      </c>
      <c r="CD27" s="19">
        <f>CB27</f>
        <v>0</v>
      </c>
      <c r="CE27" s="19">
        <f t="shared" ref="CE27:CG29" si="28">CD27</f>
        <v>0</v>
      </c>
      <c r="CF27" s="19">
        <f t="shared" si="28"/>
        <v>0</v>
      </c>
      <c r="CG27" s="19">
        <f t="shared" si="28"/>
        <v>0</v>
      </c>
      <c r="CH27" s="215">
        <f t="shared" si="16"/>
        <v>0</v>
      </c>
      <c r="CI27" s="19">
        <f>CG27</f>
        <v>0</v>
      </c>
      <c r="CJ27" s="19">
        <f t="shared" ref="CJ27:CL29" si="29">CI27</f>
        <v>0</v>
      </c>
      <c r="CK27" s="19">
        <f t="shared" si="29"/>
        <v>0</v>
      </c>
      <c r="CL27" s="19">
        <f t="shared" si="29"/>
        <v>0</v>
      </c>
      <c r="CM27" s="215">
        <f t="shared" si="17"/>
        <v>0</v>
      </c>
      <c r="CN27" s="19">
        <f>CL27</f>
        <v>0</v>
      </c>
      <c r="CO27" s="19">
        <f t="shared" ref="CO27:CQ29" si="30">CN27</f>
        <v>0</v>
      </c>
      <c r="CP27" s="19">
        <f t="shared" si="30"/>
        <v>0</v>
      </c>
      <c r="CQ27" s="19">
        <f t="shared" si="30"/>
        <v>0</v>
      </c>
      <c r="CR27" s="215">
        <f t="shared" si="18"/>
        <v>0</v>
      </c>
      <c r="CS27" s="19">
        <f>CQ27</f>
        <v>0</v>
      </c>
      <c r="CT27" s="19">
        <f t="shared" ref="CT27:CV29" si="31">CS27</f>
        <v>0</v>
      </c>
      <c r="CU27" s="19">
        <f t="shared" si="31"/>
        <v>0</v>
      </c>
      <c r="CV27" s="19">
        <f t="shared" si="31"/>
        <v>0</v>
      </c>
      <c r="CW27" s="215">
        <f t="shared" si="19"/>
        <v>0</v>
      </c>
      <c r="CX27" s="19">
        <f>CV27</f>
        <v>0</v>
      </c>
      <c r="CY27" s="19">
        <f t="shared" ref="CY27:DA29" si="32">CX27</f>
        <v>0</v>
      </c>
      <c r="CZ27" s="19">
        <f t="shared" si="32"/>
        <v>0</v>
      </c>
      <c r="DA27" s="19">
        <f t="shared" si="32"/>
        <v>0</v>
      </c>
      <c r="DB27" s="215">
        <f t="shared" si="20"/>
        <v>0</v>
      </c>
    </row>
    <row r="28" spans="1:106" s="11" customFormat="1" ht="12.75" customHeight="1" outlineLevel="1">
      <c r="A28" s="11" t="s">
        <v>154</v>
      </c>
      <c r="E28" s="19">
        <v>0</v>
      </c>
      <c r="F28" s="215">
        <f>E28</f>
        <v>0</v>
      </c>
      <c r="G28" s="19"/>
      <c r="H28" s="19">
        <v>0</v>
      </c>
      <c r="I28" s="19">
        <v>0</v>
      </c>
      <c r="J28" s="19">
        <v>0</v>
      </c>
      <c r="K28" s="215">
        <f>J28</f>
        <v>0</v>
      </c>
      <c r="L28" s="19">
        <v>0</v>
      </c>
      <c r="M28" s="19">
        <v>0</v>
      </c>
      <c r="N28" s="19">
        <v>0</v>
      </c>
      <c r="O28" s="19">
        <v>0</v>
      </c>
      <c r="P28" s="215">
        <f>O28</f>
        <v>0</v>
      </c>
      <c r="Q28" s="19">
        <v>0</v>
      </c>
      <c r="R28" s="19">
        <v>0</v>
      </c>
      <c r="S28" s="19">
        <v>0</v>
      </c>
      <c r="T28" s="19">
        <v>0</v>
      </c>
      <c r="U28" s="215">
        <f>T28</f>
        <v>0</v>
      </c>
      <c r="V28" s="19">
        <v>0</v>
      </c>
      <c r="W28" s="19">
        <v>0</v>
      </c>
      <c r="X28" s="19">
        <v>0</v>
      </c>
      <c r="Y28" s="19">
        <v>0</v>
      </c>
      <c r="Z28" s="215">
        <f>Y28</f>
        <v>0</v>
      </c>
      <c r="AA28" s="19">
        <v>0</v>
      </c>
      <c r="AB28" s="19">
        <v>0</v>
      </c>
      <c r="AC28" s="19">
        <v>0</v>
      </c>
      <c r="AD28" s="19">
        <v>0</v>
      </c>
      <c r="AE28" s="215">
        <f>AD28</f>
        <v>0</v>
      </c>
      <c r="AF28" s="19">
        <v>0</v>
      </c>
      <c r="AG28" s="19">
        <v>0</v>
      </c>
      <c r="AH28" s="19">
        <v>0</v>
      </c>
      <c r="AI28" s="19">
        <v>0</v>
      </c>
      <c r="AJ28" s="215">
        <f t="shared" si="6"/>
        <v>0</v>
      </c>
      <c r="AK28" s="19">
        <v>0</v>
      </c>
      <c r="AL28" s="19">
        <v>0</v>
      </c>
      <c r="AM28" s="19">
        <v>0</v>
      </c>
      <c r="AN28" s="19">
        <v>0</v>
      </c>
      <c r="AO28" s="215">
        <f t="shared" si="7"/>
        <v>0</v>
      </c>
      <c r="AP28" s="19">
        <v>0</v>
      </c>
      <c r="AQ28" s="19">
        <v>0</v>
      </c>
      <c r="AR28" s="19">
        <v>0</v>
      </c>
      <c r="AS28" s="19">
        <v>0</v>
      </c>
      <c r="AT28" s="215">
        <f t="shared" si="8"/>
        <v>0</v>
      </c>
      <c r="AU28" s="19">
        <v>0</v>
      </c>
      <c r="AV28" s="19">
        <v>0</v>
      </c>
      <c r="AW28" s="19">
        <v>0</v>
      </c>
      <c r="AX28" s="19">
        <v>0</v>
      </c>
      <c r="AY28" s="215">
        <f t="shared" si="9"/>
        <v>0</v>
      </c>
      <c r="AZ28" s="19">
        <v>0</v>
      </c>
      <c r="BA28" s="19">
        <v>0</v>
      </c>
      <c r="BB28" s="19">
        <f t="shared" si="21"/>
        <v>0</v>
      </c>
      <c r="BC28" s="19">
        <v>0</v>
      </c>
      <c r="BD28" s="215">
        <f t="shared" si="10"/>
        <v>0</v>
      </c>
      <c r="BE28" s="19">
        <v>0</v>
      </c>
      <c r="BF28" s="19">
        <v>0</v>
      </c>
      <c r="BG28" s="19">
        <v>0</v>
      </c>
      <c r="BH28" s="19">
        <v>0</v>
      </c>
      <c r="BI28" s="215">
        <f t="shared" si="11"/>
        <v>0</v>
      </c>
      <c r="BJ28" s="275">
        <f>BH28</f>
        <v>0</v>
      </c>
      <c r="BK28" s="19">
        <f t="shared" si="22"/>
        <v>0</v>
      </c>
      <c r="BL28" s="19">
        <f t="shared" si="23"/>
        <v>0</v>
      </c>
      <c r="BM28" s="19">
        <f t="shared" si="24"/>
        <v>0</v>
      </c>
      <c r="BN28" s="215">
        <f t="shared" si="12"/>
        <v>0</v>
      </c>
      <c r="BO28" s="19">
        <f>BM28</f>
        <v>0</v>
      </c>
      <c r="BP28" s="19">
        <f t="shared" si="25"/>
        <v>0</v>
      </c>
      <c r="BQ28" s="19">
        <f t="shared" si="25"/>
        <v>0</v>
      </c>
      <c r="BR28" s="19">
        <f t="shared" si="25"/>
        <v>0</v>
      </c>
      <c r="BS28" s="215">
        <f t="shared" si="13"/>
        <v>0</v>
      </c>
      <c r="BT28" s="19">
        <f>BR28</f>
        <v>0</v>
      </c>
      <c r="BU28" s="19">
        <f t="shared" si="26"/>
        <v>0</v>
      </c>
      <c r="BV28" s="19">
        <f t="shared" si="26"/>
        <v>0</v>
      </c>
      <c r="BW28" s="19">
        <f t="shared" si="26"/>
        <v>0</v>
      </c>
      <c r="BX28" s="215">
        <f t="shared" si="14"/>
        <v>0</v>
      </c>
      <c r="BY28" s="19">
        <f>BW28</f>
        <v>0</v>
      </c>
      <c r="BZ28" s="19">
        <f t="shared" si="27"/>
        <v>0</v>
      </c>
      <c r="CA28" s="19">
        <f t="shared" si="27"/>
        <v>0</v>
      </c>
      <c r="CB28" s="19">
        <f t="shared" si="27"/>
        <v>0</v>
      </c>
      <c r="CC28" s="215">
        <f t="shared" si="15"/>
        <v>0</v>
      </c>
      <c r="CD28" s="19">
        <f>CB28</f>
        <v>0</v>
      </c>
      <c r="CE28" s="19">
        <f t="shared" si="28"/>
        <v>0</v>
      </c>
      <c r="CF28" s="19">
        <f t="shared" si="28"/>
        <v>0</v>
      </c>
      <c r="CG28" s="19">
        <f t="shared" si="28"/>
        <v>0</v>
      </c>
      <c r="CH28" s="215">
        <f t="shared" si="16"/>
        <v>0</v>
      </c>
      <c r="CI28" s="19">
        <f>CG28</f>
        <v>0</v>
      </c>
      <c r="CJ28" s="19">
        <f t="shared" si="29"/>
        <v>0</v>
      </c>
      <c r="CK28" s="19">
        <f t="shared" si="29"/>
        <v>0</v>
      </c>
      <c r="CL28" s="19">
        <f t="shared" si="29"/>
        <v>0</v>
      </c>
      <c r="CM28" s="215">
        <f t="shared" si="17"/>
        <v>0</v>
      </c>
      <c r="CN28" s="19">
        <f>CL28</f>
        <v>0</v>
      </c>
      <c r="CO28" s="19">
        <f t="shared" si="30"/>
        <v>0</v>
      </c>
      <c r="CP28" s="19">
        <f t="shared" si="30"/>
        <v>0</v>
      </c>
      <c r="CQ28" s="19">
        <f t="shared" si="30"/>
        <v>0</v>
      </c>
      <c r="CR28" s="215">
        <f t="shared" si="18"/>
        <v>0</v>
      </c>
      <c r="CS28" s="19">
        <f>CQ28</f>
        <v>0</v>
      </c>
      <c r="CT28" s="19">
        <f t="shared" si="31"/>
        <v>0</v>
      </c>
      <c r="CU28" s="19">
        <f t="shared" si="31"/>
        <v>0</v>
      </c>
      <c r="CV28" s="19">
        <f t="shared" si="31"/>
        <v>0</v>
      </c>
      <c r="CW28" s="215">
        <f t="shared" si="19"/>
        <v>0</v>
      </c>
      <c r="CX28" s="19">
        <f>CV28</f>
        <v>0</v>
      </c>
      <c r="CY28" s="19">
        <f t="shared" si="32"/>
        <v>0</v>
      </c>
      <c r="CZ28" s="19">
        <f t="shared" si="32"/>
        <v>0</v>
      </c>
      <c r="DA28" s="19">
        <f t="shared" si="32"/>
        <v>0</v>
      </c>
      <c r="DB28" s="215">
        <f t="shared" si="20"/>
        <v>0</v>
      </c>
    </row>
    <row r="29" spans="1:106" s="11" customFormat="1" ht="12.75" customHeight="1">
      <c r="A29" s="11" t="s">
        <v>34</v>
      </c>
      <c r="E29" s="19">
        <f>0.112+2.232</f>
        <v>2.3440000000000003</v>
      </c>
      <c r="F29" s="215">
        <f t="shared" si="0"/>
        <v>2.3440000000000003</v>
      </c>
      <c r="G29" s="19"/>
      <c r="H29" s="19">
        <f>0.034+6.157</f>
        <v>6.1909999999999998</v>
      </c>
      <c r="I29" s="19">
        <f>0.105</f>
        <v>0.105</v>
      </c>
      <c r="J29" s="19">
        <f>0.144+3.649</f>
        <v>3.7930000000000001</v>
      </c>
      <c r="K29" s="215">
        <f t="shared" si="1"/>
        <v>3.7930000000000001</v>
      </c>
      <c r="L29" s="19">
        <f>0.215+3.139</f>
        <v>3.3539999999999996</v>
      </c>
      <c r="M29" s="19">
        <f>0.331+3.955</f>
        <v>4.2860000000000005</v>
      </c>
      <c r="N29" s="19">
        <f>0.576+3.558</f>
        <v>4.1339999999999995</v>
      </c>
      <c r="O29" s="19">
        <f>3.792+0.574</f>
        <v>4.3659999999999997</v>
      </c>
      <c r="P29" s="215">
        <f t="shared" si="2"/>
        <v>4.3659999999999997</v>
      </c>
      <c r="Q29" s="19">
        <f>0.592+2.75</f>
        <v>3.3420000000000001</v>
      </c>
      <c r="R29" s="19">
        <f>3.472+0.669</f>
        <v>4.141</v>
      </c>
      <c r="S29" s="19">
        <f>1.041+4.189</f>
        <v>5.23</v>
      </c>
      <c r="T29" s="19">
        <f>1.42+2.644</f>
        <v>4.0640000000000001</v>
      </c>
      <c r="U29" s="215">
        <f t="shared" si="3"/>
        <v>4.0640000000000001</v>
      </c>
      <c r="V29" s="19">
        <f>2.751+1.443</f>
        <v>4.194</v>
      </c>
      <c r="W29" s="19">
        <f>1.174</f>
        <v>1.1739999999999999</v>
      </c>
      <c r="X29" s="19">
        <f>1.156</f>
        <v>1.1559999999999999</v>
      </c>
      <c r="Y29" s="19">
        <f>4.131</f>
        <v>4.1310000000000002</v>
      </c>
      <c r="Z29" s="215">
        <f t="shared" si="4"/>
        <v>4.1310000000000002</v>
      </c>
      <c r="AA29" s="19">
        <f>4.928</f>
        <v>4.9279999999999999</v>
      </c>
      <c r="AB29" s="19">
        <f>19.154</f>
        <v>19.154</v>
      </c>
      <c r="AC29" s="19">
        <f>25.667</f>
        <v>25.667000000000002</v>
      </c>
      <c r="AD29" s="19">
        <v>56.015999999999998</v>
      </c>
      <c r="AE29" s="215">
        <f t="shared" si="5"/>
        <v>56.015999999999998</v>
      </c>
      <c r="AF29" s="19">
        <v>51.84</v>
      </c>
      <c r="AG29" s="19">
        <f>52.392</f>
        <v>52.392000000000003</v>
      </c>
      <c r="AH29" s="19">
        <f>51.227</f>
        <v>51.226999999999997</v>
      </c>
      <c r="AI29" s="19">
        <f>50.125</f>
        <v>50.125</v>
      </c>
      <c r="AJ29" s="215">
        <f t="shared" si="6"/>
        <v>50.125</v>
      </c>
      <c r="AK29" s="19">
        <f>9.069</f>
        <v>9.0690000000000008</v>
      </c>
      <c r="AL29" s="19">
        <f>10.647</f>
        <v>10.647</v>
      </c>
      <c r="AM29" s="19">
        <f>9.667</f>
        <v>9.6669999999999998</v>
      </c>
      <c r="AN29" s="19">
        <v>7.4039999999999999</v>
      </c>
      <c r="AO29" s="215">
        <f t="shared" si="7"/>
        <v>7.4039999999999999</v>
      </c>
      <c r="AP29" s="19">
        <v>13.914</v>
      </c>
      <c r="AQ29" s="19">
        <f>16.009</f>
        <v>16.009</v>
      </c>
      <c r="AR29" s="19">
        <v>7.9320000000000004</v>
      </c>
      <c r="AS29" s="19">
        <f>10.777</f>
        <v>10.776999999999999</v>
      </c>
      <c r="AT29" s="215">
        <f t="shared" si="8"/>
        <v>10.776999999999999</v>
      </c>
      <c r="AU29" s="19">
        <f>16.579</f>
        <v>16.579000000000001</v>
      </c>
      <c r="AV29" s="19">
        <f>15.644</f>
        <v>15.644</v>
      </c>
      <c r="AW29" s="19">
        <f>15.012</f>
        <v>15.012</v>
      </c>
      <c r="AX29" s="19">
        <f>16.612</f>
        <v>16.611999999999998</v>
      </c>
      <c r="AY29" s="215">
        <f t="shared" si="9"/>
        <v>16.611999999999998</v>
      </c>
      <c r="AZ29" s="19">
        <f>17.705</f>
        <v>17.704999999999998</v>
      </c>
      <c r="BA29" s="19">
        <f>18.367</f>
        <v>18.367000000000001</v>
      </c>
      <c r="BB29" s="19">
        <f>17.886</f>
        <v>17.885999999999999</v>
      </c>
      <c r="BC29" s="19">
        <v>19.754000000000001</v>
      </c>
      <c r="BD29" s="215">
        <f t="shared" si="10"/>
        <v>19.754000000000001</v>
      </c>
      <c r="BE29" s="19">
        <f>20.557</f>
        <v>20.556999999999999</v>
      </c>
      <c r="BF29" s="19">
        <v>21.56</v>
      </c>
      <c r="BG29" s="19">
        <v>21.786000000000001</v>
      </c>
      <c r="BH29" s="19">
        <f>21.58+24.907</f>
        <v>46.486999999999995</v>
      </c>
      <c r="BI29" s="215">
        <f t="shared" si="11"/>
        <v>46.486999999999995</v>
      </c>
      <c r="BJ29" s="275">
        <f>BH29</f>
        <v>46.486999999999995</v>
      </c>
      <c r="BK29" s="19">
        <f t="shared" si="22"/>
        <v>46.486999999999995</v>
      </c>
      <c r="BL29" s="19">
        <f t="shared" si="23"/>
        <v>46.486999999999995</v>
      </c>
      <c r="BM29" s="19">
        <f t="shared" si="24"/>
        <v>46.486999999999995</v>
      </c>
      <c r="BN29" s="215">
        <f t="shared" si="12"/>
        <v>46.486999999999995</v>
      </c>
      <c r="BO29" s="19">
        <f>BM29</f>
        <v>46.486999999999995</v>
      </c>
      <c r="BP29" s="19">
        <f t="shared" si="25"/>
        <v>46.486999999999995</v>
      </c>
      <c r="BQ29" s="19">
        <f t="shared" si="25"/>
        <v>46.486999999999995</v>
      </c>
      <c r="BR29" s="19">
        <f t="shared" si="25"/>
        <v>46.486999999999995</v>
      </c>
      <c r="BS29" s="215">
        <f t="shared" si="13"/>
        <v>46.486999999999995</v>
      </c>
      <c r="BT29" s="19">
        <f>BR29</f>
        <v>46.486999999999995</v>
      </c>
      <c r="BU29" s="19">
        <f t="shared" si="26"/>
        <v>46.486999999999995</v>
      </c>
      <c r="BV29" s="19">
        <f t="shared" si="26"/>
        <v>46.486999999999995</v>
      </c>
      <c r="BW29" s="19">
        <f t="shared" si="26"/>
        <v>46.486999999999995</v>
      </c>
      <c r="BX29" s="215">
        <f t="shared" si="14"/>
        <v>46.486999999999995</v>
      </c>
      <c r="BY29" s="19">
        <f>BW29</f>
        <v>46.486999999999995</v>
      </c>
      <c r="BZ29" s="19">
        <f t="shared" si="27"/>
        <v>46.486999999999995</v>
      </c>
      <c r="CA29" s="19">
        <f t="shared" si="27"/>
        <v>46.486999999999995</v>
      </c>
      <c r="CB29" s="19">
        <f t="shared" si="27"/>
        <v>46.486999999999995</v>
      </c>
      <c r="CC29" s="215">
        <f t="shared" si="15"/>
        <v>46.486999999999995</v>
      </c>
      <c r="CD29" s="19">
        <f>CB29</f>
        <v>46.486999999999995</v>
      </c>
      <c r="CE29" s="19">
        <f t="shared" si="28"/>
        <v>46.486999999999995</v>
      </c>
      <c r="CF29" s="19">
        <f t="shared" si="28"/>
        <v>46.486999999999995</v>
      </c>
      <c r="CG29" s="19">
        <f t="shared" si="28"/>
        <v>46.486999999999995</v>
      </c>
      <c r="CH29" s="215">
        <f t="shared" si="16"/>
        <v>46.486999999999995</v>
      </c>
      <c r="CI29" s="19">
        <f>CG29</f>
        <v>46.486999999999995</v>
      </c>
      <c r="CJ29" s="19">
        <f t="shared" si="29"/>
        <v>46.486999999999995</v>
      </c>
      <c r="CK29" s="19">
        <f t="shared" si="29"/>
        <v>46.486999999999995</v>
      </c>
      <c r="CL29" s="19">
        <f t="shared" si="29"/>
        <v>46.486999999999995</v>
      </c>
      <c r="CM29" s="215">
        <f t="shared" si="17"/>
        <v>46.486999999999995</v>
      </c>
      <c r="CN29" s="19">
        <f>CL29</f>
        <v>46.486999999999995</v>
      </c>
      <c r="CO29" s="19">
        <f t="shared" si="30"/>
        <v>46.486999999999995</v>
      </c>
      <c r="CP29" s="19">
        <f t="shared" si="30"/>
        <v>46.486999999999995</v>
      </c>
      <c r="CQ29" s="19">
        <f t="shared" si="30"/>
        <v>46.486999999999995</v>
      </c>
      <c r="CR29" s="215">
        <f t="shared" si="18"/>
        <v>46.486999999999995</v>
      </c>
      <c r="CS29" s="19">
        <f>CQ29</f>
        <v>46.486999999999995</v>
      </c>
      <c r="CT29" s="19">
        <f t="shared" si="31"/>
        <v>46.486999999999995</v>
      </c>
      <c r="CU29" s="19">
        <f t="shared" si="31"/>
        <v>46.486999999999995</v>
      </c>
      <c r="CV29" s="19">
        <f t="shared" si="31"/>
        <v>46.486999999999995</v>
      </c>
      <c r="CW29" s="215">
        <f t="shared" si="19"/>
        <v>46.486999999999995</v>
      </c>
      <c r="CX29" s="19">
        <f>CV29</f>
        <v>46.486999999999995</v>
      </c>
      <c r="CY29" s="19">
        <f t="shared" si="32"/>
        <v>46.486999999999995</v>
      </c>
      <c r="CZ29" s="19">
        <f t="shared" si="32"/>
        <v>46.486999999999995</v>
      </c>
      <c r="DA29" s="19">
        <f t="shared" si="32"/>
        <v>46.486999999999995</v>
      </c>
      <c r="DB29" s="215">
        <f t="shared" si="20"/>
        <v>46.486999999999995</v>
      </c>
    </row>
    <row r="30" spans="1:106" s="11" customFormat="1" ht="12.75" customHeight="1">
      <c r="A30" s="11" t="s">
        <v>35</v>
      </c>
      <c r="E30" s="19">
        <v>2.34</v>
      </c>
      <c r="F30" s="215">
        <f t="shared" si="0"/>
        <v>2.34</v>
      </c>
      <c r="G30" s="19"/>
      <c r="H30" s="19">
        <v>2.34</v>
      </c>
      <c r="I30" s="19">
        <f>3.741</f>
        <v>3.7410000000000001</v>
      </c>
      <c r="J30" s="19">
        <v>42.09</v>
      </c>
      <c r="K30" s="215">
        <f t="shared" si="1"/>
        <v>42.09</v>
      </c>
      <c r="L30" s="19">
        <f>42.205</f>
        <v>42.204999999999998</v>
      </c>
      <c r="M30" s="19">
        <v>49.326999999999998</v>
      </c>
      <c r="N30" s="19">
        <v>49.472999999999999</v>
      </c>
      <c r="O30" s="19">
        <v>49.624000000000002</v>
      </c>
      <c r="P30" s="215">
        <f t="shared" si="2"/>
        <v>49.624000000000002</v>
      </c>
      <c r="Q30" s="19">
        <f>49.807</f>
        <v>49.807000000000002</v>
      </c>
      <c r="R30" s="19">
        <v>50.021999999999998</v>
      </c>
      <c r="S30" s="19">
        <v>50.097000000000001</v>
      </c>
      <c r="T30" s="19">
        <v>50.112000000000002</v>
      </c>
      <c r="U30" s="215">
        <f t="shared" si="3"/>
        <v>50.112000000000002</v>
      </c>
      <c r="V30" s="19">
        <v>50.125</v>
      </c>
      <c r="W30" s="19">
        <v>50.131999999999998</v>
      </c>
      <c r="X30" s="19">
        <v>50.134999999999998</v>
      </c>
      <c r="Y30" s="19">
        <v>50.152999999999999</v>
      </c>
      <c r="Z30" s="215">
        <f t="shared" si="4"/>
        <v>50.152999999999999</v>
      </c>
      <c r="AA30" s="19">
        <f>50.154</f>
        <v>50.154000000000003</v>
      </c>
      <c r="AB30" s="19">
        <v>50.146000000000001</v>
      </c>
      <c r="AC30" s="19">
        <v>50.131</v>
      </c>
      <c r="AD30" s="19">
        <v>50.122999999999998</v>
      </c>
      <c r="AE30" s="215">
        <f t="shared" si="5"/>
        <v>50.122999999999998</v>
      </c>
      <c r="AF30" s="19">
        <v>50.087000000000003</v>
      </c>
      <c r="AG30" s="19">
        <v>50.052999999999997</v>
      </c>
      <c r="AH30" s="19">
        <v>50.052</v>
      </c>
      <c r="AI30" s="19">
        <v>50.054000000000002</v>
      </c>
      <c r="AJ30" s="215">
        <f t="shared" si="6"/>
        <v>50.054000000000002</v>
      </c>
      <c r="AK30" s="19">
        <v>50.052</v>
      </c>
      <c r="AL30" s="19">
        <v>50.048999999999999</v>
      </c>
      <c r="AM30" s="19">
        <v>50.048999999999999</v>
      </c>
      <c r="AN30" s="19">
        <v>50.052</v>
      </c>
      <c r="AO30" s="215">
        <f t="shared" si="7"/>
        <v>50.052</v>
      </c>
      <c r="AP30" s="19">
        <v>50.055</v>
      </c>
      <c r="AQ30" s="19">
        <v>50.085999999999999</v>
      </c>
      <c r="AR30" s="19">
        <v>50.146999999999998</v>
      </c>
      <c r="AS30" s="19">
        <f>80.35</f>
        <v>80.349999999999994</v>
      </c>
      <c r="AT30" s="215">
        <f t="shared" si="8"/>
        <v>80.349999999999994</v>
      </c>
      <c r="AU30" s="19">
        <v>80.397999999999996</v>
      </c>
      <c r="AV30" s="19">
        <f>80.418</f>
        <v>80.418000000000006</v>
      </c>
      <c r="AW30" s="19">
        <v>80.435000000000002</v>
      </c>
      <c r="AX30" s="19">
        <f>80.402</f>
        <v>80.402000000000001</v>
      </c>
      <c r="AY30" s="215">
        <f t="shared" si="9"/>
        <v>80.402000000000001</v>
      </c>
      <c r="AZ30" s="19">
        <f>80.401</f>
        <v>80.400999999999996</v>
      </c>
      <c r="BA30" s="19">
        <v>80.388999999999996</v>
      </c>
      <c r="BB30" s="19">
        <v>80.468999999999994</v>
      </c>
      <c r="BC30" s="19">
        <v>80.361999999999995</v>
      </c>
      <c r="BD30" s="215">
        <f t="shared" si="10"/>
        <v>80.361999999999995</v>
      </c>
      <c r="BE30" s="19">
        <f>80.345</f>
        <v>80.344999999999999</v>
      </c>
      <c r="BF30" s="19">
        <v>80.337999999999994</v>
      </c>
      <c r="BG30" s="19">
        <v>80.340999999999994</v>
      </c>
      <c r="BH30" s="19">
        <v>80.322999999999993</v>
      </c>
      <c r="BI30" s="215">
        <f t="shared" si="11"/>
        <v>80.322999999999993</v>
      </c>
      <c r="BJ30" s="275">
        <f>'Other Accts'!BJ24</f>
        <v>60.242249999999999</v>
      </c>
      <c r="BK30" s="19">
        <f>'Other Accts'!BK24</f>
        <v>40.181580749999995</v>
      </c>
      <c r="BL30" s="19">
        <f>'Other Accts'!BL24</f>
        <v>20.090790374999997</v>
      </c>
      <c r="BM30" s="19">
        <f>'Other Accts'!BM24</f>
        <v>0</v>
      </c>
      <c r="BN30" s="215">
        <f t="shared" si="12"/>
        <v>0</v>
      </c>
      <c r="BO30" s="19">
        <f>'Other Accts'!BO24</f>
        <v>0</v>
      </c>
      <c r="BP30" s="19">
        <f>'Other Accts'!BP24</f>
        <v>0</v>
      </c>
      <c r="BQ30" s="19">
        <f>'Other Accts'!BQ24</f>
        <v>0</v>
      </c>
      <c r="BR30" s="19">
        <f>'Other Accts'!BR24</f>
        <v>0</v>
      </c>
      <c r="BS30" s="215">
        <f t="shared" si="13"/>
        <v>0</v>
      </c>
      <c r="BT30" s="19">
        <f>'Other Accts'!BT24</f>
        <v>0</v>
      </c>
      <c r="BU30" s="19">
        <f>'Other Accts'!BU24</f>
        <v>0</v>
      </c>
      <c r="BV30" s="19">
        <f>'Other Accts'!BV24</f>
        <v>0</v>
      </c>
      <c r="BW30" s="19">
        <f>'Other Accts'!BW24</f>
        <v>0</v>
      </c>
      <c r="BX30" s="215">
        <f t="shared" si="14"/>
        <v>0</v>
      </c>
      <c r="BY30" s="19">
        <f>'Other Accts'!BY24</f>
        <v>0</v>
      </c>
      <c r="BZ30" s="19">
        <f>'Other Accts'!BZ24</f>
        <v>0</v>
      </c>
      <c r="CA30" s="19">
        <f>'Other Accts'!CA24</f>
        <v>0</v>
      </c>
      <c r="CB30" s="19">
        <f>'Other Accts'!CB24</f>
        <v>0</v>
      </c>
      <c r="CC30" s="215">
        <f t="shared" si="15"/>
        <v>0</v>
      </c>
      <c r="CD30" s="19">
        <f>'Other Accts'!CD24</f>
        <v>0</v>
      </c>
      <c r="CE30" s="19">
        <f>'Other Accts'!CE24</f>
        <v>0</v>
      </c>
      <c r="CF30" s="19">
        <f>'Other Accts'!CF24</f>
        <v>0</v>
      </c>
      <c r="CG30" s="19">
        <f>'Other Accts'!CG24</f>
        <v>0</v>
      </c>
      <c r="CH30" s="215">
        <f t="shared" si="16"/>
        <v>0</v>
      </c>
      <c r="CI30" s="19">
        <f>'Other Accts'!CI24</f>
        <v>0</v>
      </c>
      <c r="CJ30" s="19">
        <f>'Other Accts'!CJ24</f>
        <v>0</v>
      </c>
      <c r="CK30" s="19">
        <f>'Other Accts'!CK24</f>
        <v>0</v>
      </c>
      <c r="CL30" s="19">
        <f>'Other Accts'!CL24</f>
        <v>0</v>
      </c>
      <c r="CM30" s="215">
        <f t="shared" si="17"/>
        <v>0</v>
      </c>
      <c r="CN30" s="19">
        <f>'Other Accts'!CN24</f>
        <v>0</v>
      </c>
      <c r="CO30" s="19">
        <f>'Other Accts'!CO24</f>
        <v>0</v>
      </c>
      <c r="CP30" s="19">
        <f>'Other Accts'!CP24</f>
        <v>0</v>
      </c>
      <c r="CQ30" s="19">
        <f>'Other Accts'!CQ24</f>
        <v>0</v>
      </c>
      <c r="CR30" s="215">
        <f t="shared" si="18"/>
        <v>0</v>
      </c>
      <c r="CS30" s="19">
        <f>'Other Accts'!CS24</f>
        <v>0</v>
      </c>
      <c r="CT30" s="19">
        <f>'Other Accts'!CT24</f>
        <v>0</v>
      </c>
      <c r="CU30" s="19">
        <f>'Other Accts'!CU24</f>
        <v>0</v>
      </c>
      <c r="CV30" s="19">
        <f>'Other Accts'!CV24</f>
        <v>0</v>
      </c>
      <c r="CW30" s="215">
        <f t="shared" si="19"/>
        <v>0</v>
      </c>
      <c r="CX30" s="19">
        <f>'Other Accts'!CX24</f>
        <v>0</v>
      </c>
      <c r="CY30" s="19">
        <f>'Other Accts'!CY24</f>
        <v>0</v>
      </c>
      <c r="CZ30" s="19">
        <f>'Other Accts'!CZ24</f>
        <v>0</v>
      </c>
      <c r="DA30" s="19">
        <f>'Other Accts'!DA24</f>
        <v>0</v>
      </c>
      <c r="DB30" s="215">
        <f t="shared" si="20"/>
        <v>0</v>
      </c>
    </row>
    <row r="31" spans="1:106" s="10" customFormat="1" ht="12.75" customHeight="1">
      <c r="A31" s="10" t="s">
        <v>36</v>
      </c>
      <c r="E31" s="135">
        <f>SUM(E25:E30)</f>
        <v>29.872</v>
      </c>
      <c r="F31" s="216">
        <f t="shared" si="0"/>
        <v>29.872</v>
      </c>
      <c r="G31" s="135">
        <f>SUM(G25:G30)</f>
        <v>0</v>
      </c>
      <c r="H31" s="135">
        <f>SUM(H25:H30)</f>
        <v>38.515000000000001</v>
      </c>
      <c r="I31" s="135">
        <f>SUM(I25:I30)</f>
        <v>35.027999999999999</v>
      </c>
      <c r="J31" s="135">
        <f>SUM(J25:J30)</f>
        <v>80.474999999999994</v>
      </c>
      <c r="K31" s="216">
        <f t="shared" si="1"/>
        <v>80.474999999999994</v>
      </c>
      <c r="L31" s="135">
        <f>SUM(L25:L30)</f>
        <v>84.152999999999992</v>
      </c>
      <c r="M31" s="135">
        <f>SUM(M25:M30)</f>
        <v>95.488</v>
      </c>
      <c r="N31" s="135">
        <f>SUM(N25:N30)</f>
        <v>95.978999999999999</v>
      </c>
      <c r="O31" s="135">
        <f>SUM(O25:O30)</f>
        <v>96.414999999999992</v>
      </c>
      <c r="P31" s="216">
        <f t="shared" si="2"/>
        <v>96.414999999999992</v>
      </c>
      <c r="Q31" s="135">
        <f>SUM(Q25:Q30)</f>
        <v>93.015000000000001</v>
      </c>
      <c r="R31" s="135">
        <f>SUM(R25:R30)</f>
        <v>98.27</v>
      </c>
      <c r="S31" s="135">
        <f>SUM(S25:S30)</f>
        <v>91.53</v>
      </c>
      <c r="T31" s="135">
        <f>SUM(T25:T30)</f>
        <v>105.511</v>
      </c>
      <c r="U31" s="216">
        <f t="shared" si="3"/>
        <v>105.511</v>
      </c>
      <c r="V31" s="135">
        <f>SUM(V25:V30)</f>
        <v>104.38300000000001</v>
      </c>
      <c r="W31" s="135">
        <f>SUM(W25:W30)</f>
        <v>98.13</v>
      </c>
      <c r="X31" s="135">
        <f>SUM(X25:X30)</f>
        <v>101.82899999999999</v>
      </c>
      <c r="Y31" s="135">
        <f>SUM(Y25:Y30)</f>
        <v>113.98099999999999</v>
      </c>
      <c r="Z31" s="216">
        <f t="shared" si="4"/>
        <v>113.98099999999999</v>
      </c>
      <c r="AA31" s="135">
        <f>SUM(AA25:AA30)</f>
        <v>112.65600000000001</v>
      </c>
      <c r="AB31" s="135">
        <f>SUM(AB25:AB30)</f>
        <v>126.925</v>
      </c>
      <c r="AC31" s="135">
        <f>SUM(AC25:AC30)</f>
        <v>137.97399999999999</v>
      </c>
      <c r="AD31" s="135">
        <f>SUM(AD25:AD30)</f>
        <v>179.874</v>
      </c>
      <c r="AE31" s="216">
        <f t="shared" si="5"/>
        <v>179.874</v>
      </c>
      <c r="AF31" s="135">
        <f>SUM(AF25:AF30)</f>
        <v>176.642</v>
      </c>
      <c r="AG31" s="135">
        <f>SUM(AG25:AG30)</f>
        <v>175.56</v>
      </c>
      <c r="AH31" s="135">
        <f>SUM(AH25:AH30)</f>
        <v>195.87199999999999</v>
      </c>
      <c r="AI31" s="135">
        <f>SUM(AI25:AI30)</f>
        <v>199.053</v>
      </c>
      <c r="AJ31" s="216">
        <f t="shared" si="6"/>
        <v>199.053</v>
      </c>
      <c r="AK31" s="135">
        <f>SUM(AK25:AK30)</f>
        <v>166.96900000000002</v>
      </c>
      <c r="AL31" s="135">
        <f>SUM(AL25:AL30)</f>
        <v>197.988</v>
      </c>
      <c r="AM31" s="135">
        <f>SUM(AM25:AM30)</f>
        <v>199.71400000000003</v>
      </c>
      <c r="AN31" s="135">
        <f>SUM(AN25:AN30)</f>
        <v>218.95599999999996</v>
      </c>
      <c r="AO31" s="216">
        <f t="shared" si="7"/>
        <v>218.95599999999996</v>
      </c>
      <c r="AP31" s="135">
        <f>SUM(AP25:AP30)</f>
        <v>231.072</v>
      </c>
      <c r="AQ31" s="135">
        <f>SUM(AQ25:AQ30)</f>
        <v>251.61800000000005</v>
      </c>
      <c r="AR31" s="135">
        <f>SUM(AR25:AR30)</f>
        <v>267.28100000000001</v>
      </c>
      <c r="AS31" s="135">
        <f>SUM(AS25:AS30)</f>
        <v>310.49899999999997</v>
      </c>
      <c r="AT31" s="216">
        <f t="shared" si="8"/>
        <v>310.49899999999997</v>
      </c>
      <c r="AU31" s="135">
        <f>SUM(AU25:AU30)</f>
        <v>290.96899999999999</v>
      </c>
      <c r="AV31" s="135">
        <f>SUM(AV25:AV30)</f>
        <v>276.85599999999999</v>
      </c>
      <c r="AW31" s="135">
        <f>SUM(AW25:AW30)</f>
        <v>289.923</v>
      </c>
      <c r="AX31" s="135">
        <f>SUM(AX25:AX30)</f>
        <v>307.274</v>
      </c>
      <c r="AY31" s="216">
        <f t="shared" si="9"/>
        <v>307.274</v>
      </c>
      <c r="AZ31" s="135">
        <f>SUM(AZ25:AZ30)</f>
        <v>305.94900000000001</v>
      </c>
      <c r="BA31" s="135">
        <f>SUM(BA25:BA30)</f>
        <v>314.57399999999996</v>
      </c>
      <c r="BB31" s="135">
        <f>SUM(BB25:BB30)</f>
        <v>301.416</v>
      </c>
      <c r="BC31" s="135">
        <f>SUM(BC25:BC30)</f>
        <v>344.04499999999996</v>
      </c>
      <c r="BD31" s="216">
        <f t="shared" si="10"/>
        <v>344.04499999999996</v>
      </c>
      <c r="BE31" s="135">
        <f>SUM(BE25:BE30)</f>
        <v>365.67700000000002</v>
      </c>
      <c r="BF31" s="135">
        <f>SUM(BF25:BF30)</f>
        <v>384.83600000000001</v>
      </c>
      <c r="BG31" s="135">
        <f>SUM(BG25:BG30)</f>
        <v>442.01600000000002</v>
      </c>
      <c r="BH31" s="135">
        <f>SUM(BH25:BH30)</f>
        <v>441.22799999999995</v>
      </c>
      <c r="BI31" s="216">
        <f t="shared" si="11"/>
        <v>441.22799999999995</v>
      </c>
      <c r="BJ31" s="273">
        <f>SUM(BJ25:BJ30)</f>
        <v>505.27623395222827</v>
      </c>
      <c r="BK31" s="135">
        <f>SUM(BK25:BK30)</f>
        <v>495.55951442392438</v>
      </c>
      <c r="BL31" s="135">
        <f>SUM(BL25:BL30)</f>
        <v>489.12125513189028</v>
      </c>
      <c r="BM31" s="135">
        <f>SUM(BM25:BM30)</f>
        <v>476.93500195456272</v>
      </c>
      <c r="BN31" s="216">
        <f t="shared" si="12"/>
        <v>476.93500195456272</v>
      </c>
      <c r="BO31" s="135">
        <f>SUM(BO25:BO30)</f>
        <v>507.39975185834317</v>
      </c>
      <c r="BP31" s="135">
        <f>SUM(BP25:BP30)</f>
        <v>517.39209943124183</v>
      </c>
      <c r="BQ31" s="135">
        <f>SUM(BQ25:BQ30)</f>
        <v>535.46497689508658</v>
      </c>
      <c r="BR31" s="135">
        <f>SUM(BR25:BR30)</f>
        <v>550.87888935353146</v>
      </c>
      <c r="BS31" s="216">
        <f t="shared" si="13"/>
        <v>550.87888935353146</v>
      </c>
      <c r="BT31" s="135">
        <f>SUM(BT25:BT30)</f>
        <v>577.57192150120841</v>
      </c>
      <c r="BU31" s="135">
        <f>SUM(BU25:BU30)</f>
        <v>587.87095227702946</v>
      </c>
      <c r="BV31" s="135">
        <f>SUM(BV25:BV30)</f>
        <v>606.90400364022514</v>
      </c>
      <c r="BW31" s="135">
        <f>SUM(BW25:BW30)</f>
        <v>626.55255665794277</v>
      </c>
      <c r="BX31" s="216">
        <f t="shared" si="14"/>
        <v>626.55255665794277</v>
      </c>
      <c r="BY31" s="135">
        <f>SUM(BY25:BY30)</f>
        <v>657.98865700492911</v>
      </c>
      <c r="BZ31" s="135">
        <f>SUM(BZ25:BZ30)</f>
        <v>668.05754522955181</v>
      </c>
      <c r="CA31" s="135">
        <f>SUM(CA25:CA30)</f>
        <v>689.50000030461604</v>
      </c>
      <c r="CB31" s="135">
        <f>SUM(CB25:CB30)</f>
        <v>710.54221979474835</v>
      </c>
      <c r="CC31" s="216">
        <f t="shared" si="15"/>
        <v>710.54221979474835</v>
      </c>
      <c r="CD31" s="135">
        <f>SUM(CD25:CD30)</f>
        <v>744.36406378041136</v>
      </c>
      <c r="CE31" s="135">
        <f>SUM(CE25:CE30)</f>
        <v>755.08879420067819</v>
      </c>
      <c r="CF31" s="135">
        <f>SUM(CF25:CF30)</f>
        <v>777.57332901811981</v>
      </c>
      <c r="CG31" s="135">
        <f>SUM(CG25:CG30)</f>
        <v>800.53422973611941</v>
      </c>
      <c r="CH31" s="216">
        <f t="shared" si="16"/>
        <v>800.53422973611941</v>
      </c>
      <c r="CI31" s="135">
        <f>SUM(CI25:CI30)</f>
        <v>836.14513532047874</v>
      </c>
      <c r="CJ31" s="135">
        <f>SUM(CJ25:CJ30)</f>
        <v>844.4214377598945</v>
      </c>
      <c r="CK31" s="135">
        <f>SUM(CK25:CK30)</f>
        <v>865.55680516796053</v>
      </c>
      <c r="CL31" s="135">
        <f>SUM(CL25:CL30)</f>
        <v>886.12388492614821</v>
      </c>
      <c r="CM31" s="216">
        <f t="shared" si="17"/>
        <v>886.12388492614821</v>
      </c>
      <c r="CN31" s="135">
        <f>SUM(CN25:CN30)</f>
        <v>922.2367106428494</v>
      </c>
      <c r="CO31" s="135">
        <f>SUM(CO25:CO30)</f>
        <v>928.65860153013227</v>
      </c>
      <c r="CP31" s="135">
        <f>SUM(CP25:CP30)</f>
        <v>950.03113428892755</v>
      </c>
      <c r="CQ31" s="135">
        <f>SUM(CQ25:CQ30)</f>
        <v>971.46993693912907</v>
      </c>
      <c r="CR31" s="216">
        <f t="shared" si="18"/>
        <v>971.46993693912907</v>
      </c>
      <c r="CS31" s="135">
        <f>SUM(CS25:CS30)</f>
        <v>1010.1085146105351</v>
      </c>
      <c r="CT31" s="135">
        <f>SUM(CT25:CT30)</f>
        <v>1016.1082523853894</v>
      </c>
      <c r="CU31" s="135">
        <f>SUM(CU25:CU30)</f>
        <v>1038.7281443368372</v>
      </c>
      <c r="CV31" s="135">
        <f>SUM(CV25:CV30)</f>
        <v>1061.517820661745</v>
      </c>
      <c r="CW31" s="216">
        <f t="shared" si="19"/>
        <v>1061.517820661745</v>
      </c>
      <c r="CX31" s="135">
        <f>SUM(CX25:CX30)</f>
        <v>1101.0483400654002</v>
      </c>
      <c r="CY31" s="135">
        <f>SUM(CY25:CY30)</f>
        <v>1104.1012918548493</v>
      </c>
      <c r="CZ31" s="135">
        <f>SUM(CZ25:CZ30)</f>
        <v>1124.655616917827</v>
      </c>
      <c r="DA31" s="135">
        <f>SUM(DA25:DA30)</f>
        <v>1144.7055603665085</v>
      </c>
      <c r="DB31" s="216">
        <f t="shared" si="20"/>
        <v>1144.7055603665085</v>
      </c>
    </row>
    <row r="32" spans="1:106" s="11" customFormat="1" ht="12.75" customHeight="1">
      <c r="E32" s="19"/>
      <c r="F32" s="215"/>
      <c r="G32" s="19"/>
      <c r="H32" s="19"/>
      <c r="I32" s="19"/>
      <c r="J32" s="19"/>
      <c r="K32" s="215"/>
      <c r="L32" s="19"/>
      <c r="M32" s="19"/>
      <c r="N32" s="19"/>
      <c r="O32" s="19"/>
      <c r="P32" s="215"/>
      <c r="Q32" s="19"/>
      <c r="R32" s="19"/>
      <c r="S32" s="19"/>
      <c r="T32" s="19"/>
      <c r="U32" s="215"/>
      <c r="V32" s="19"/>
      <c r="W32" s="19"/>
      <c r="X32" s="19"/>
      <c r="Y32" s="19"/>
      <c r="Z32" s="215"/>
      <c r="AA32" s="19"/>
      <c r="AB32" s="19"/>
      <c r="AC32" s="19"/>
      <c r="AD32" s="19"/>
      <c r="AE32" s="215"/>
      <c r="AF32" s="19"/>
      <c r="AG32" s="19"/>
      <c r="AH32" s="19"/>
      <c r="AI32" s="19"/>
      <c r="AJ32" s="215"/>
      <c r="AK32" s="19"/>
      <c r="AL32" s="19"/>
      <c r="AM32" s="19"/>
      <c r="AN32" s="19"/>
      <c r="AO32" s="215"/>
      <c r="AP32" s="19"/>
      <c r="AQ32" s="19"/>
      <c r="AR32" s="19"/>
      <c r="AS32" s="19"/>
      <c r="AT32" s="215"/>
      <c r="AU32" s="19"/>
      <c r="AV32" s="19"/>
      <c r="AW32" s="19"/>
      <c r="AX32" s="19"/>
      <c r="AY32" s="215"/>
      <c r="AZ32" s="19"/>
      <c r="BA32" s="19"/>
      <c r="BB32" s="19"/>
      <c r="BC32" s="19"/>
      <c r="BD32" s="215"/>
      <c r="BE32" s="19"/>
      <c r="BF32" s="19"/>
      <c r="BG32" s="19"/>
      <c r="BH32" s="19"/>
      <c r="BI32" s="215"/>
      <c r="BJ32" s="275"/>
      <c r="BK32" s="19"/>
      <c r="BL32" s="19"/>
      <c r="BM32" s="19"/>
      <c r="BN32" s="215"/>
      <c r="BO32" s="19"/>
      <c r="BP32" s="19"/>
      <c r="BQ32" s="19"/>
      <c r="BR32" s="19"/>
      <c r="BS32" s="215"/>
      <c r="BT32" s="19"/>
      <c r="BU32" s="19"/>
      <c r="BV32" s="19"/>
      <c r="BW32" s="19"/>
      <c r="BX32" s="215"/>
      <c r="BY32" s="19"/>
      <c r="BZ32" s="19"/>
      <c r="CA32" s="19"/>
      <c r="CB32" s="19"/>
      <c r="CC32" s="215"/>
      <c r="CD32" s="19"/>
      <c r="CE32" s="19"/>
      <c r="CF32" s="19"/>
      <c r="CG32" s="19"/>
      <c r="CH32" s="215"/>
      <c r="CI32" s="19"/>
      <c r="CJ32" s="19"/>
      <c r="CK32" s="19"/>
      <c r="CL32" s="19"/>
      <c r="CM32" s="215"/>
      <c r="CN32" s="19"/>
      <c r="CO32" s="19"/>
      <c r="CP32" s="19"/>
      <c r="CQ32" s="19"/>
      <c r="CR32" s="215"/>
      <c r="CS32" s="19"/>
      <c r="CT32" s="19"/>
      <c r="CU32" s="19"/>
      <c r="CV32" s="19"/>
      <c r="CW32" s="215"/>
      <c r="CX32" s="19"/>
      <c r="CY32" s="19"/>
      <c r="CZ32" s="19"/>
      <c r="DA32" s="19"/>
      <c r="DB32" s="215"/>
    </row>
    <row r="33" spans="1:106" s="11" customFormat="1" ht="12.75" customHeight="1">
      <c r="A33" s="11" t="s">
        <v>37</v>
      </c>
      <c r="E33" s="19">
        <f>20.964+3.51</f>
        <v>24.473999999999997</v>
      </c>
      <c r="F33" s="215">
        <f>E33</f>
        <v>24.473999999999997</v>
      </c>
      <c r="G33" s="19"/>
      <c r="H33" s="19">
        <f>2.34+23.086</f>
        <v>25.425999999999998</v>
      </c>
      <c r="I33" s="19">
        <v>21.276</v>
      </c>
      <c r="J33" s="19">
        <v>0</v>
      </c>
      <c r="K33" s="215">
        <f>J33</f>
        <v>0</v>
      </c>
      <c r="L33" s="19">
        <v>0</v>
      </c>
      <c r="M33" s="19">
        <v>0</v>
      </c>
      <c r="N33" s="19">
        <v>0</v>
      </c>
      <c r="O33" s="19">
        <v>0</v>
      </c>
      <c r="P33" s="215">
        <f>O33</f>
        <v>0</v>
      </c>
      <c r="Q33" s="19">
        <v>0</v>
      </c>
      <c r="R33" s="19">
        <v>0</v>
      </c>
      <c r="S33" s="19">
        <v>73.201999999999998</v>
      </c>
      <c r="T33" s="19">
        <v>73.064999999999998</v>
      </c>
      <c r="U33" s="215">
        <f>T33</f>
        <v>73.064999999999998</v>
      </c>
      <c r="V33" s="19">
        <v>73.138000000000005</v>
      </c>
      <c r="W33" s="19">
        <v>73.210999999999999</v>
      </c>
      <c r="X33" s="19">
        <v>73.284000000000006</v>
      </c>
      <c r="Y33" s="19">
        <v>73.356999999999999</v>
      </c>
      <c r="Z33" s="215">
        <f>Y33</f>
        <v>73.356999999999999</v>
      </c>
      <c r="AA33" s="19">
        <v>73.430999999999997</v>
      </c>
      <c r="AB33" s="19">
        <v>73.510999999999996</v>
      </c>
      <c r="AC33" s="19">
        <v>73.582999999999998</v>
      </c>
      <c r="AD33" s="19">
        <v>73.656000000000006</v>
      </c>
      <c r="AE33" s="215">
        <f>AD33</f>
        <v>73.656000000000006</v>
      </c>
      <c r="AF33" s="19">
        <v>72.881</v>
      </c>
      <c r="AG33" s="19">
        <v>197.476</v>
      </c>
      <c r="AH33" s="19">
        <v>199.959</v>
      </c>
      <c r="AI33" s="19">
        <v>202.49299999999999</v>
      </c>
      <c r="AJ33" s="215">
        <f>AI33</f>
        <v>202.49299999999999</v>
      </c>
      <c r="AK33" s="19">
        <v>279.471</v>
      </c>
      <c r="AL33" s="19">
        <v>279.77699999999999</v>
      </c>
      <c r="AM33" s="19">
        <v>280.08499999999998</v>
      </c>
      <c r="AN33" s="19">
        <v>280.39400000000001</v>
      </c>
      <c r="AO33" s="215">
        <f>AN33</f>
        <v>280.39400000000001</v>
      </c>
      <c r="AP33" s="19">
        <v>280.70600000000002</v>
      </c>
      <c r="AQ33" s="19">
        <v>281.02</v>
      </c>
      <c r="AR33" s="19">
        <v>281.33600000000001</v>
      </c>
      <c r="AS33" s="19">
        <v>281.65300000000002</v>
      </c>
      <c r="AT33" s="215">
        <f>AS33</f>
        <v>281.65300000000002</v>
      </c>
      <c r="AU33" s="19">
        <v>281.97300000000001</v>
      </c>
      <c r="AV33" s="19">
        <v>282.29500000000002</v>
      </c>
      <c r="AW33" s="19">
        <v>282.61900000000003</v>
      </c>
      <c r="AX33" s="19">
        <v>282.94499999999999</v>
      </c>
      <c r="AY33" s="215">
        <f>AX33</f>
        <v>282.94499999999999</v>
      </c>
      <c r="AZ33" s="19">
        <v>283.27300000000002</v>
      </c>
      <c r="BA33" s="19">
        <v>283.60399999999998</v>
      </c>
      <c r="BB33" s="19">
        <v>286.54899999999998</v>
      </c>
      <c r="BC33" s="19">
        <v>0</v>
      </c>
      <c r="BD33" s="215">
        <f>BC33</f>
        <v>0</v>
      </c>
      <c r="BE33" s="19">
        <v>0</v>
      </c>
      <c r="BF33" s="19">
        <v>0</v>
      </c>
      <c r="BG33" s="19">
        <v>0</v>
      </c>
      <c r="BH33" s="19">
        <v>0</v>
      </c>
      <c r="BI33" s="215">
        <f>BH33</f>
        <v>0</v>
      </c>
      <c r="BJ33" s="275">
        <f>'Other Accts'!BJ22</f>
        <v>0</v>
      </c>
      <c r="BK33" s="19">
        <f>'Other Accts'!BK22</f>
        <v>0</v>
      </c>
      <c r="BL33" s="19">
        <f>'Other Accts'!BL22</f>
        <v>0</v>
      </c>
      <c r="BM33" s="19">
        <f>'Other Accts'!BM22</f>
        <v>0</v>
      </c>
      <c r="BN33" s="215">
        <f>BM33</f>
        <v>0</v>
      </c>
      <c r="BO33" s="19">
        <f>'Other Accts'!BO22</f>
        <v>0</v>
      </c>
      <c r="BP33" s="19">
        <f>'Other Accts'!BP22</f>
        <v>0</v>
      </c>
      <c r="BQ33" s="19">
        <f>'Other Accts'!BQ22</f>
        <v>0</v>
      </c>
      <c r="BR33" s="19">
        <f>'Other Accts'!BR22</f>
        <v>0</v>
      </c>
      <c r="BS33" s="215">
        <f>BR33</f>
        <v>0</v>
      </c>
      <c r="BT33" s="19">
        <f>'Other Accts'!BT22</f>
        <v>0</v>
      </c>
      <c r="BU33" s="19">
        <f>'Other Accts'!BU22</f>
        <v>0</v>
      </c>
      <c r="BV33" s="19">
        <f>'Other Accts'!BV22</f>
        <v>0</v>
      </c>
      <c r="BW33" s="19">
        <f>'Other Accts'!BW22</f>
        <v>0</v>
      </c>
      <c r="BX33" s="215">
        <f>BW33</f>
        <v>0</v>
      </c>
      <c r="BY33" s="19">
        <f>'Other Accts'!BY22</f>
        <v>0</v>
      </c>
      <c r="BZ33" s="19">
        <f>'Other Accts'!BZ22</f>
        <v>0</v>
      </c>
      <c r="CA33" s="19">
        <f>'Other Accts'!CA22</f>
        <v>0</v>
      </c>
      <c r="CB33" s="19">
        <f>'Other Accts'!CB22</f>
        <v>0</v>
      </c>
      <c r="CC33" s="215">
        <f>CB33</f>
        <v>0</v>
      </c>
      <c r="CD33" s="19">
        <f>'Other Accts'!CD22</f>
        <v>0</v>
      </c>
      <c r="CE33" s="19">
        <f>'Other Accts'!CE22</f>
        <v>0</v>
      </c>
      <c r="CF33" s="19">
        <f>'Other Accts'!CF22</f>
        <v>0</v>
      </c>
      <c r="CG33" s="19">
        <f>'Other Accts'!CG22</f>
        <v>0</v>
      </c>
      <c r="CH33" s="215">
        <f>CG33</f>
        <v>0</v>
      </c>
      <c r="CI33" s="19">
        <f>'Other Accts'!CI22</f>
        <v>0</v>
      </c>
      <c r="CJ33" s="19">
        <f>'Other Accts'!CJ22</f>
        <v>0</v>
      </c>
      <c r="CK33" s="19">
        <f>'Other Accts'!CK22</f>
        <v>0</v>
      </c>
      <c r="CL33" s="19">
        <f>'Other Accts'!CL22</f>
        <v>0</v>
      </c>
      <c r="CM33" s="215">
        <f>CL33</f>
        <v>0</v>
      </c>
      <c r="CN33" s="19">
        <f>'Other Accts'!CN22</f>
        <v>0</v>
      </c>
      <c r="CO33" s="19">
        <f>'Other Accts'!CO22</f>
        <v>0</v>
      </c>
      <c r="CP33" s="19">
        <f>'Other Accts'!CP22</f>
        <v>0</v>
      </c>
      <c r="CQ33" s="19">
        <f>'Other Accts'!CQ22</f>
        <v>0</v>
      </c>
      <c r="CR33" s="215">
        <f>CQ33</f>
        <v>0</v>
      </c>
      <c r="CS33" s="19">
        <f>'Other Accts'!CS22</f>
        <v>0</v>
      </c>
      <c r="CT33" s="19">
        <f>'Other Accts'!CT22</f>
        <v>0</v>
      </c>
      <c r="CU33" s="19">
        <f>'Other Accts'!CU22</f>
        <v>0</v>
      </c>
      <c r="CV33" s="19">
        <f>'Other Accts'!CV22</f>
        <v>0</v>
      </c>
      <c r="CW33" s="215">
        <f>CV33</f>
        <v>0</v>
      </c>
      <c r="CX33" s="19">
        <f>'Other Accts'!CX22</f>
        <v>0</v>
      </c>
      <c r="CY33" s="19">
        <f>'Other Accts'!CY22</f>
        <v>0</v>
      </c>
      <c r="CZ33" s="19">
        <f>'Other Accts'!CZ22</f>
        <v>0</v>
      </c>
      <c r="DA33" s="19">
        <f>'Other Accts'!DA22</f>
        <v>0</v>
      </c>
      <c r="DB33" s="215">
        <f>DA33</f>
        <v>0</v>
      </c>
    </row>
    <row r="34" spans="1:106" s="11" customFormat="1" ht="12.75" customHeight="1" outlineLevel="1">
      <c r="A34" s="11" t="s">
        <v>38</v>
      </c>
      <c r="E34" s="19">
        <v>0</v>
      </c>
      <c r="F34" s="215">
        <f>E34</f>
        <v>0</v>
      </c>
      <c r="G34" s="19"/>
      <c r="H34" s="19">
        <v>0</v>
      </c>
      <c r="I34" s="19">
        <v>0</v>
      </c>
      <c r="J34" s="19">
        <v>0</v>
      </c>
      <c r="K34" s="215">
        <f>J34</f>
        <v>0</v>
      </c>
      <c r="L34" s="19">
        <v>0</v>
      </c>
      <c r="M34" s="19">
        <v>0</v>
      </c>
      <c r="N34" s="19">
        <v>0</v>
      </c>
      <c r="O34" s="19">
        <v>0</v>
      </c>
      <c r="P34" s="215">
        <f>O34</f>
        <v>0</v>
      </c>
      <c r="Q34" s="19">
        <v>0</v>
      </c>
      <c r="R34" s="19">
        <v>0</v>
      </c>
      <c r="S34" s="19">
        <v>0</v>
      </c>
      <c r="T34" s="19">
        <v>0</v>
      </c>
      <c r="U34" s="215">
        <f>T34</f>
        <v>0</v>
      </c>
      <c r="V34" s="19">
        <v>0</v>
      </c>
      <c r="W34" s="19">
        <v>0</v>
      </c>
      <c r="X34" s="19">
        <v>0</v>
      </c>
      <c r="Y34" s="19">
        <v>0</v>
      </c>
      <c r="Z34" s="215">
        <f>Y34</f>
        <v>0</v>
      </c>
      <c r="AA34" s="19">
        <v>0</v>
      </c>
      <c r="AB34" s="19">
        <v>0</v>
      </c>
      <c r="AC34" s="19">
        <v>0</v>
      </c>
      <c r="AD34" s="19">
        <v>0</v>
      </c>
      <c r="AE34" s="215">
        <f>AD34</f>
        <v>0</v>
      </c>
      <c r="AF34" s="19">
        <v>0</v>
      </c>
      <c r="AG34" s="19">
        <v>0</v>
      </c>
      <c r="AH34" s="19">
        <v>0</v>
      </c>
      <c r="AI34" s="19">
        <v>0</v>
      </c>
      <c r="AJ34" s="215">
        <f>AI34</f>
        <v>0</v>
      </c>
      <c r="AK34" s="19">
        <v>0</v>
      </c>
      <c r="AL34" s="19">
        <v>0</v>
      </c>
      <c r="AM34" s="19">
        <v>0</v>
      </c>
      <c r="AN34" s="19">
        <v>0</v>
      </c>
      <c r="AO34" s="215">
        <f>AN34</f>
        <v>0</v>
      </c>
      <c r="AP34" s="19">
        <v>0</v>
      </c>
      <c r="AQ34" s="19">
        <v>0</v>
      </c>
      <c r="AR34" s="19">
        <v>0</v>
      </c>
      <c r="AS34" s="19">
        <v>0</v>
      </c>
      <c r="AT34" s="215">
        <f>AS34</f>
        <v>0</v>
      </c>
      <c r="AU34" s="19">
        <v>0</v>
      </c>
      <c r="AV34" s="19">
        <v>0</v>
      </c>
      <c r="AW34" s="19">
        <v>0</v>
      </c>
      <c r="AX34" s="19">
        <v>0</v>
      </c>
      <c r="AY34" s="215">
        <f>AX34</f>
        <v>0</v>
      </c>
      <c r="AZ34" s="19">
        <v>0</v>
      </c>
      <c r="BA34" s="19">
        <v>0</v>
      </c>
      <c r="BB34" s="19">
        <f t="shared" ref="BB34" si="33">BA34</f>
        <v>0</v>
      </c>
      <c r="BC34" s="19">
        <v>0</v>
      </c>
      <c r="BD34" s="215">
        <f>BC34</f>
        <v>0</v>
      </c>
      <c r="BE34" s="19">
        <v>0</v>
      </c>
      <c r="BF34" s="19">
        <v>0</v>
      </c>
      <c r="BG34" s="19">
        <v>0</v>
      </c>
      <c r="BH34" s="19">
        <v>0</v>
      </c>
      <c r="BI34" s="215">
        <f>BH34</f>
        <v>0</v>
      </c>
      <c r="BJ34" s="275">
        <f>BH34</f>
        <v>0</v>
      </c>
      <c r="BK34" s="19">
        <f t="shared" ref="BK34:BK35" si="34">BJ34</f>
        <v>0</v>
      </c>
      <c r="BL34" s="19">
        <f t="shared" ref="BL34:BL35" si="35">BK34</f>
        <v>0</v>
      </c>
      <c r="BM34" s="19">
        <f t="shared" ref="BM34:BM35" si="36">BL34</f>
        <v>0</v>
      </c>
      <c r="BN34" s="215">
        <f>BM34</f>
        <v>0</v>
      </c>
      <c r="BO34" s="19">
        <f>BM34</f>
        <v>0</v>
      </c>
      <c r="BP34" s="19">
        <f t="shared" ref="BP34:BR35" si="37">BO34</f>
        <v>0</v>
      </c>
      <c r="BQ34" s="19">
        <f t="shared" si="37"/>
        <v>0</v>
      </c>
      <c r="BR34" s="19">
        <f t="shared" si="37"/>
        <v>0</v>
      </c>
      <c r="BS34" s="215">
        <f>BR34</f>
        <v>0</v>
      </c>
      <c r="BT34" s="19">
        <f>BR34</f>
        <v>0</v>
      </c>
      <c r="BU34" s="19">
        <f t="shared" ref="BU34:BW35" si="38">BT34</f>
        <v>0</v>
      </c>
      <c r="BV34" s="19">
        <f t="shared" si="38"/>
        <v>0</v>
      </c>
      <c r="BW34" s="19">
        <f t="shared" si="38"/>
        <v>0</v>
      </c>
      <c r="BX34" s="215">
        <f>BW34</f>
        <v>0</v>
      </c>
      <c r="BY34" s="19">
        <f>BW34</f>
        <v>0</v>
      </c>
      <c r="BZ34" s="19">
        <f t="shared" ref="BZ34:CB35" si="39">BY34</f>
        <v>0</v>
      </c>
      <c r="CA34" s="19">
        <f t="shared" si="39"/>
        <v>0</v>
      </c>
      <c r="CB34" s="19">
        <f t="shared" si="39"/>
        <v>0</v>
      </c>
      <c r="CC34" s="215">
        <f>CB34</f>
        <v>0</v>
      </c>
      <c r="CD34" s="19">
        <f>CB34</f>
        <v>0</v>
      </c>
      <c r="CE34" s="19">
        <f t="shared" ref="CE34:CG35" si="40">CD34</f>
        <v>0</v>
      </c>
      <c r="CF34" s="19">
        <f t="shared" si="40"/>
        <v>0</v>
      </c>
      <c r="CG34" s="19">
        <f t="shared" si="40"/>
        <v>0</v>
      </c>
      <c r="CH34" s="215">
        <f>CG34</f>
        <v>0</v>
      </c>
      <c r="CI34" s="19">
        <f>CG34</f>
        <v>0</v>
      </c>
      <c r="CJ34" s="19">
        <f t="shared" ref="CJ34:CL35" si="41">CI34</f>
        <v>0</v>
      </c>
      <c r="CK34" s="19">
        <f t="shared" si="41"/>
        <v>0</v>
      </c>
      <c r="CL34" s="19">
        <f t="shared" si="41"/>
        <v>0</v>
      </c>
      <c r="CM34" s="215">
        <f>CL34</f>
        <v>0</v>
      </c>
      <c r="CN34" s="19">
        <f>CL34</f>
        <v>0</v>
      </c>
      <c r="CO34" s="19">
        <f t="shared" ref="CO34:CQ35" si="42">CN34</f>
        <v>0</v>
      </c>
      <c r="CP34" s="19">
        <f t="shared" si="42"/>
        <v>0</v>
      </c>
      <c r="CQ34" s="19">
        <f t="shared" si="42"/>
        <v>0</v>
      </c>
      <c r="CR34" s="215">
        <f>CQ34</f>
        <v>0</v>
      </c>
      <c r="CS34" s="19">
        <f>CQ34</f>
        <v>0</v>
      </c>
      <c r="CT34" s="19">
        <f t="shared" ref="CT34:CV35" si="43">CS34</f>
        <v>0</v>
      </c>
      <c r="CU34" s="19">
        <f t="shared" si="43"/>
        <v>0</v>
      </c>
      <c r="CV34" s="19">
        <f t="shared" si="43"/>
        <v>0</v>
      </c>
      <c r="CW34" s="215">
        <f>CV34</f>
        <v>0</v>
      </c>
      <c r="CX34" s="19">
        <f>CV34</f>
        <v>0</v>
      </c>
      <c r="CY34" s="19">
        <f t="shared" ref="CY34:DA35" si="44">CX34</f>
        <v>0</v>
      </c>
      <c r="CZ34" s="19">
        <f t="shared" si="44"/>
        <v>0</v>
      </c>
      <c r="DA34" s="19">
        <f t="shared" si="44"/>
        <v>0</v>
      </c>
      <c r="DB34" s="215">
        <f>DA34</f>
        <v>0</v>
      </c>
    </row>
    <row r="35" spans="1:106" s="11" customFormat="1" ht="12.75" customHeight="1">
      <c r="A35" s="11" t="s">
        <v>39</v>
      </c>
      <c r="E35" s="19">
        <v>0</v>
      </c>
      <c r="F35" s="215">
        <f>E35</f>
        <v>0</v>
      </c>
      <c r="G35" s="19"/>
      <c r="H35" s="19">
        <v>0</v>
      </c>
      <c r="I35" s="19">
        <v>0</v>
      </c>
      <c r="J35" s="19">
        <v>0</v>
      </c>
      <c r="K35" s="215">
        <f>J35</f>
        <v>0</v>
      </c>
      <c r="L35" s="19">
        <v>0</v>
      </c>
      <c r="M35" s="19">
        <v>1.964</v>
      </c>
      <c r="N35" s="19">
        <v>6.0919999999999996</v>
      </c>
      <c r="O35" s="19">
        <v>7.7889999999999997</v>
      </c>
      <c r="P35" s="215">
        <f>O35</f>
        <v>7.7889999999999997</v>
      </c>
      <c r="Q35" s="19">
        <v>9.3369999999999997</v>
      </c>
      <c r="R35" s="19">
        <v>9.2469999999999999</v>
      </c>
      <c r="S35" s="19">
        <v>9.14</v>
      </c>
      <c r="T35" s="19">
        <f>9.241+1.329</f>
        <v>10.57</v>
      </c>
      <c r="U35" s="215">
        <f>T35</f>
        <v>10.57</v>
      </c>
      <c r="V35" s="19">
        <f>35.462+9.548</f>
        <v>45.010000000000005</v>
      </c>
      <c r="W35" s="19">
        <f>36.135+8.922</f>
        <v>45.057000000000002</v>
      </c>
      <c r="X35" s="19">
        <f>36.85+8.775</f>
        <v>45.625</v>
      </c>
      <c r="Y35" s="19">
        <f>8.613+40.058</f>
        <v>48.670999999999999</v>
      </c>
      <c r="Z35" s="215">
        <f>Y35</f>
        <v>48.670999999999999</v>
      </c>
      <c r="AA35" s="19">
        <f>39.698+30.674</f>
        <v>70.372</v>
      </c>
      <c r="AB35" s="19">
        <f>60.527+29.275</f>
        <v>89.801999999999992</v>
      </c>
      <c r="AC35" s="19">
        <f>56.174+27.825</f>
        <v>83.998999999999995</v>
      </c>
      <c r="AD35" s="19">
        <f>23.808+26.297+0.31</f>
        <v>50.415000000000006</v>
      </c>
      <c r="AE35" s="215">
        <f>AD35</f>
        <v>50.415000000000006</v>
      </c>
      <c r="AF35" s="19">
        <f>25.152+24.727+0.31</f>
        <v>50.189000000000007</v>
      </c>
      <c r="AG35" s="19">
        <f>22.533+0.31+23.115</f>
        <v>45.957999999999998</v>
      </c>
      <c r="AH35" s="19">
        <f>23.128+21.444+0.31</f>
        <v>44.882000000000005</v>
      </c>
      <c r="AI35" s="19">
        <f>22.805+21.246+0.32</f>
        <v>44.371000000000002</v>
      </c>
      <c r="AJ35" s="215">
        <f>AI35</f>
        <v>44.371000000000002</v>
      </c>
      <c r="AK35" s="19">
        <f>23.816+50.811</f>
        <v>74.626999999999995</v>
      </c>
      <c r="AL35" s="19">
        <f>23.562+49.519</f>
        <v>73.081000000000003</v>
      </c>
      <c r="AM35" s="19">
        <f>22.706+48.388+1.464</f>
        <v>72.557999999999993</v>
      </c>
      <c r="AN35" s="19">
        <f>21.318+61.036+1.479</f>
        <v>83.832999999999998</v>
      </c>
      <c r="AO35" s="215">
        <f>AN35</f>
        <v>83.832999999999998</v>
      </c>
      <c r="AP35" s="19">
        <f>20.543+67.477+2.531</f>
        <v>90.551000000000016</v>
      </c>
      <c r="AQ35" s="19">
        <f>20.721+65.417+3.618</f>
        <v>89.756</v>
      </c>
      <c r="AR35" s="19">
        <f>20.405+78.469</f>
        <v>98.873999999999995</v>
      </c>
      <c r="AS35" s="19">
        <f>20.001+76.577</f>
        <v>96.578000000000003</v>
      </c>
      <c r="AT35" s="215">
        <f>AS35</f>
        <v>96.578000000000003</v>
      </c>
      <c r="AU35" s="19">
        <f>21.511+73.854</f>
        <v>95.364999999999995</v>
      </c>
      <c r="AV35" s="19">
        <f>21.502+71.093</f>
        <v>92.594999999999999</v>
      </c>
      <c r="AW35" s="19">
        <f>21.033+68.287</f>
        <v>89.320000000000007</v>
      </c>
      <c r="AX35" s="19">
        <f>19.128+67.025</f>
        <v>86.153000000000006</v>
      </c>
      <c r="AY35" s="215">
        <f>AX35</f>
        <v>86.153000000000006</v>
      </c>
      <c r="AZ35" s="19">
        <f>20.712+64.16</f>
        <v>84.872</v>
      </c>
      <c r="BA35" s="19">
        <f>61.225+21.066</f>
        <v>82.290999999999997</v>
      </c>
      <c r="BB35" s="19">
        <f>25.504+98.953</f>
        <v>124.45700000000001</v>
      </c>
      <c r="BC35" s="19">
        <f>96.588+24.682</f>
        <v>121.27</v>
      </c>
      <c r="BD35" s="215">
        <f>BC35</f>
        <v>121.27</v>
      </c>
      <c r="BE35" s="19">
        <f>103.056+23.958</f>
        <v>127.014</v>
      </c>
      <c r="BF35" s="19">
        <f>23.307+102.741</f>
        <v>126.048</v>
      </c>
      <c r="BG35" s="19">
        <f>22.898+104.38</f>
        <v>127.27799999999999</v>
      </c>
      <c r="BH35" s="19">
        <f>96.78+0.701+118.473+17.062+11.687</f>
        <v>244.70300000000003</v>
      </c>
      <c r="BI35" s="215">
        <f>BH35</f>
        <v>244.70300000000003</v>
      </c>
      <c r="BJ35" s="275">
        <f>BH35</f>
        <v>244.70300000000003</v>
      </c>
      <c r="BK35" s="19">
        <f t="shared" si="34"/>
        <v>244.70300000000003</v>
      </c>
      <c r="BL35" s="19">
        <f t="shared" si="35"/>
        <v>244.70300000000003</v>
      </c>
      <c r="BM35" s="19">
        <f t="shared" si="36"/>
        <v>244.70300000000003</v>
      </c>
      <c r="BN35" s="215">
        <f>BM35</f>
        <v>244.70300000000003</v>
      </c>
      <c r="BO35" s="19">
        <f>BM35</f>
        <v>244.70300000000003</v>
      </c>
      <c r="BP35" s="19">
        <f t="shared" si="37"/>
        <v>244.70300000000003</v>
      </c>
      <c r="BQ35" s="19">
        <f t="shared" si="37"/>
        <v>244.70300000000003</v>
      </c>
      <c r="BR35" s="19">
        <f t="shared" si="37"/>
        <v>244.70300000000003</v>
      </c>
      <c r="BS35" s="215">
        <f>BR35</f>
        <v>244.70300000000003</v>
      </c>
      <c r="BT35" s="19">
        <f>BR35</f>
        <v>244.70300000000003</v>
      </c>
      <c r="BU35" s="19">
        <f t="shared" si="38"/>
        <v>244.70300000000003</v>
      </c>
      <c r="BV35" s="19">
        <f t="shared" si="38"/>
        <v>244.70300000000003</v>
      </c>
      <c r="BW35" s="19">
        <f t="shared" si="38"/>
        <v>244.70300000000003</v>
      </c>
      <c r="BX35" s="215">
        <f>BW35</f>
        <v>244.70300000000003</v>
      </c>
      <c r="BY35" s="19">
        <f>BW35</f>
        <v>244.70300000000003</v>
      </c>
      <c r="BZ35" s="19">
        <f t="shared" si="39"/>
        <v>244.70300000000003</v>
      </c>
      <c r="CA35" s="19">
        <f t="shared" si="39"/>
        <v>244.70300000000003</v>
      </c>
      <c r="CB35" s="19">
        <f t="shared" si="39"/>
        <v>244.70300000000003</v>
      </c>
      <c r="CC35" s="215">
        <f>CB35</f>
        <v>244.70300000000003</v>
      </c>
      <c r="CD35" s="19">
        <f>CB35</f>
        <v>244.70300000000003</v>
      </c>
      <c r="CE35" s="19">
        <f t="shared" si="40"/>
        <v>244.70300000000003</v>
      </c>
      <c r="CF35" s="19">
        <f t="shared" si="40"/>
        <v>244.70300000000003</v>
      </c>
      <c r="CG35" s="19">
        <f t="shared" si="40"/>
        <v>244.70300000000003</v>
      </c>
      <c r="CH35" s="215">
        <f>CG35</f>
        <v>244.70300000000003</v>
      </c>
      <c r="CI35" s="19">
        <f>CG35</f>
        <v>244.70300000000003</v>
      </c>
      <c r="CJ35" s="19">
        <f t="shared" si="41"/>
        <v>244.70300000000003</v>
      </c>
      <c r="CK35" s="19">
        <f t="shared" si="41"/>
        <v>244.70300000000003</v>
      </c>
      <c r="CL35" s="19">
        <f t="shared" si="41"/>
        <v>244.70300000000003</v>
      </c>
      <c r="CM35" s="215">
        <f>CL35</f>
        <v>244.70300000000003</v>
      </c>
      <c r="CN35" s="19">
        <f>CL35</f>
        <v>244.70300000000003</v>
      </c>
      <c r="CO35" s="19">
        <f t="shared" si="42"/>
        <v>244.70300000000003</v>
      </c>
      <c r="CP35" s="19">
        <f t="shared" si="42"/>
        <v>244.70300000000003</v>
      </c>
      <c r="CQ35" s="19">
        <f t="shared" si="42"/>
        <v>244.70300000000003</v>
      </c>
      <c r="CR35" s="215">
        <f>CQ35</f>
        <v>244.70300000000003</v>
      </c>
      <c r="CS35" s="19">
        <f>CQ35</f>
        <v>244.70300000000003</v>
      </c>
      <c r="CT35" s="19">
        <f t="shared" si="43"/>
        <v>244.70300000000003</v>
      </c>
      <c r="CU35" s="19">
        <f t="shared" si="43"/>
        <v>244.70300000000003</v>
      </c>
      <c r="CV35" s="19">
        <f t="shared" si="43"/>
        <v>244.70300000000003</v>
      </c>
      <c r="CW35" s="215">
        <f>CV35</f>
        <v>244.70300000000003</v>
      </c>
      <c r="CX35" s="19">
        <f>CV35</f>
        <v>244.70300000000003</v>
      </c>
      <c r="CY35" s="19">
        <f t="shared" si="44"/>
        <v>244.70300000000003</v>
      </c>
      <c r="CZ35" s="19">
        <f t="shared" si="44"/>
        <v>244.70300000000003</v>
      </c>
      <c r="DA35" s="19">
        <f t="shared" si="44"/>
        <v>244.70300000000003</v>
      </c>
      <c r="DB35" s="215">
        <f>DA35</f>
        <v>244.70300000000003</v>
      </c>
    </row>
    <row r="36" spans="1:106" s="10" customFormat="1" ht="12.75" customHeight="1">
      <c r="A36" s="10" t="s">
        <v>40</v>
      </c>
      <c r="E36" s="135">
        <f>SUM(E33:E35)</f>
        <v>24.473999999999997</v>
      </c>
      <c r="F36" s="216">
        <f>E36</f>
        <v>24.473999999999997</v>
      </c>
      <c r="G36" s="135">
        <f>SUM(G33:G35)</f>
        <v>0</v>
      </c>
      <c r="H36" s="135">
        <f>SUM(H33:H35)</f>
        <v>25.425999999999998</v>
      </c>
      <c r="I36" s="135">
        <f>SUM(I33:I35)</f>
        <v>21.276</v>
      </c>
      <c r="J36" s="135">
        <f>SUM(J33:J35)</f>
        <v>0</v>
      </c>
      <c r="K36" s="216">
        <f>J36</f>
        <v>0</v>
      </c>
      <c r="L36" s="135">
        <f>SUM(L33:L35)</f>
        <v>0</v>
      </c>
      <c r="M36" s="135">
        <f>SUM(M33:M35)</f>
        <v>1.964</v>
      </c>
      <c r="N36" s="135">
        <f>SUM(N33:N35)</f>
        <v>6.0919999999999996</v>
      </c>
      <c r="O36" s="135">
        <f>SUM(O33:O35)</f>
        <v>7.7889999999999997</v>
      </c>
      <c r="P36" s="216">
        <f>O36</f>
        <v>7.7889999999999997</v>
      </c>
      <c r="Q36" s="135">
        <f>SUM(Q33:Q35)</f>
        <v>9.3369999999999997</v>
      </c>
      <c r="R36" s="135">
        <f>SUM(R33:R35)</f>
        <v>9.2469999999999999</v>
      </c>
      <c r="S36" s="135">
        <f>SUM(S33:S35)</f>
        <v>82.341999999999999</v>
      </c>
      <c r="T36" s="135">
        <f>SUM(T33:T35)</f>
        <v>83.634999999999991</v>
      </c>
      <c r="U36" s="216">
        <f>T36</f>
        <v>83.634999999999991</v>
      </c>
      <c r="V36" s="135">
        <f>SUM(V33:V35)</f>
        <v>118.14800000000001</v>
      </c>
      <c r="W36" s="135">
        <f>SUM(W33:W35)</f>
        <v>118.268</v>
      </c>
      <c r="X36" s="135">
        <f>SUM(X33:X35)</f>
        <v>118.90900000000001</v>
      </c>
      <c r="Y36" s="135">
        <f>SUM(Y33:Y35)</f>
        <v>122.02799999999999</v>
      </c>
      <c r="Z36" s="216">
        <f>Y36</f>
        <v>122.02799999999999</v>
      </c>
      <c r="AA36" s="135">
        <f>SUM(AA33:AA35)</f>
        <v>143.803</v>
      </c>
      <c r="AB36" s="135">
        <f>SUM(AB33:AB35)</f>
        <v>163.31299999999999</v>
      </c>
      <c r="AC36" s="135">
        <f>SUM(AC33:AC35)</f>
        <v>157.58199999999999</v>
      </c>
      <c r="AD36" s="135">
        <f>SUM(AD33:AD35)</f>
        <v>124.07100000000001</v>
      </c>
      <c r="AE36" s="216">
        <f>AD36</f>
        <v>124.07100000000001</v>
      </c>
      <c r="AF36" s="135">
        <f>SUM(AF33:AF35)</f>
        <v>123.07000000000001</v>
      </c>
      <c r="AG36" s="135">
        <f>SUM(AG33:AG35)</f>
        <v>243.434</v>
      </c>
      <c r="AH36" s="135">
        <f>SUM(AH33:AH35)</f>
        <v>244.84100000000001</v>
      </c>
      <c r="AI36" s="135">
        <f>SUM(AI33:AI35)</f>
        <v>246.864</v>
      </c>
      <c r="AJ36" s="216">
        <f>AI36</f>
        <v>246.864</v>
      </c>
      <c r="AK36" s="135">
        <f>SUM(AK33:AK35)</f>
        <v>354.09800000000001</v>
      </c>
      <c r="AL36" s="135">
        <f>SUM(AL33:AL35)</f>
        <v>352.858</v>
      </c>
      <c r="AM36" s="135">
        <f>SUM(AM33:AM35)</f>
        <v>352.64299999999997</v>
      </c>
      <c r="AN36" s="135">
        <f>SUM(AN33:AN35)</f>
        <v>364.22699999999998</v>
      </c>
      <c r="AO36" s="216">
        <f>AN36</f>
        <v>364.22699999999998</v>
      </c>
      <c r="AP36" s="135">
        <f>SUM(AP33:AP35)</f>
        <v>371.25700000000006</v>
      </c>
      <c r="AQ36" s="135">
        <f>SUM(AQ33:AQ35)</f>
        <v>370.77599999999995</v>
      </c>
      <c r="AR36" s="135">
        <f>SUM(AR33:AR35)</f>
        <v>380.21000000000004</v>
      </c>
      <c r="AS36" s="135">
        <f>SUM(AS33:AS35)</f>
        <v>378.23099999999999</v>
      </c>
      <c r="AT36" s="216">
        <f>AS36</f>
        <v>378.23099999999999</v>
      </c>
      <c r="AU36" s="135">
        <f>SUM(AU33:AU35)</f>
        <v>377.33800000000002</v>
      </c>
      <c r="AV36" s="135">
        <f>SUM(AV33:AV35)</f>
        <v>374.89</v>
      </c>
      <c r="AW36" s="135">
        <f>SUM(AW33:AW35)</f>
        <v>371.93900000000002</v>
      </c>
      <c r="AX36" s="135">
        <f>SUM(AX33:AX35)</f>
        <v>369.09800000000001</v>
      </c>
      <c r="AY36" s="216">
        <f>AX36</f>
        <v>369.09800000000001</v>
      </c>
      <c r="AZ36" s="135">
        <f>SUM(AZ33:AZ35)</f>
        <v>368.14500000000004</v>
      </c>
      <c r="BA36" s="135">
        <f>SUM(BA33:BA35)</f>
        <v>365.89499999999998</v>
      </c>
      <c r="BB36" s="135">
        <f>SUM(BB33:BB35)</f>
        <v>411.00599999999997</v>
      </c>
      <c r="BC36" s="135">
        <f>SUM(BC33:BC35)</f>
        <v>121.27</v>
      </c>
      <c r="BD36" s="216">
        <f>BC36</f>
        <v>121.27</v>
      </c>
      <c r="BE36" s="135">
        <f>SUM(BE33:BE35)</f>
        <v>127.014</v>
      </c>
      <c r="BF36" s="135">
        <f>SUM(BF33:BF35)</f>
        <v>126.048</v>
      </c>
      <c r="BG36" s="135">
        <f>SUM(BG33:BG35)</f>
        <v>127.27799999999999</v>
      </c>
      <c r="BH36" s="135">
        <f>SUM(BH33:BH35)</f>
        <v>244.70300000000003</v>
      </c>
      <c r="BI36" s="216">
        <f>BH36</f>
        <v>244.70300000000003</v>
      </c>
      <c r="BJ36" s="273">
        <f>SUM(BJ33:BJ35)</f>
        <v>244.70300000000003</v>
      </c>
      <c r="BK36" s="135">
        <f>SUM(BK33:BK35)</f>
        <v>244.70300000000003</v>
      </c>
      <c r="BL36" s="135">
        <f>SUM(BL33:BL35)</f>
        <v>244.70300000000003</v>
      </c>
      <c r="BM36" s="135">
        <f>SUM(BM33:BM35)</f>
        <v>244.70300000000003</v>
      </c>
      <c r="BN36" s="216">
        <f>BM36</f>
        <v>244.70300000000003</v>
      </c>
      <c r="BO36" s="135">
        <f>SUM(BO33:BO35)</f>
        <v>244.70300000000003</v>
      </c>
      <c r="BP36" s="135">
        <f>SUM(BP33:BP35)</f>
        <v>244.70300000000003</v>
      </c>
      <c r="BQ36" s="135">
        <f>SUM(BQ33:BQ35)</f>
        <v>244.70300000000003</v>
      </c>
      <c r="BR36" s="135">
        <f>SUM(BR33:BR35)</f>
        <v>244.70300000000003</v>
      </c>
      <c r="BS36" s="216">
        <f>BR36</f>
        <v>244.70300000000003</v>
      </c>
      <c r="BT36" s="135">
        <f>SUM(BT33:BT35)</f>
        <v>244.70300000000003</v>
      </c>
      <c r="BU36" s="135">
        <f>SUM(BU33:BU35)</f>
        <v>244.70300000000003</v>
      </c>
      <c r="BV36" s="135">
        <f>SUM(BV33:BV35)</f>
        <v>244.70300000000003</v>
      </c>
      <c r="BW36" s="135">
        <f>SUM(BW33:BW35)</f>
        <v>244.70300000000003</v>
      </c>
      <c r="BX36" s="216">
        <f>BW36</f>
        <v>244.70300000000003</v>
      </c>
      <c r="BY36" s="135">
        <f>SUM(BY33:BY35)</f>
        <v>244.70300000000003</v>
      </c>
      <c r="BZ36" s="135">
        <f>SUM(BZ33:BZ35)</f>
        <v>244.70300000000003</v>
      </c>
      <c r="CA36" s="135">
        <f>SUM(CA33:CA35)</f>
        <v>244.70300000000003</v>
      </c>
      <c r="CB36" s="135">
        <f>SUM(CB33:CB35)</f>
        <v>244.70300000000003</v>
      </c>
      <c r="CC36" s="216">
        <f>CB36</f>
        <v>244.70300000000003</v>
      </c>
      <c r="CD36" s="135">
        <f>SUM(CD33:CD35)</f>
        <v>244.70300000000003</v>
      </c>
      <c r="CE36" s="135">
        <f>SUM(CE33:CE35)</f>
        <v>244.70300000000003</v>
      </c>
      <c r="CF36" s="135">
        <f>SUM(CF33:CF35)</f>
        <v>244.70300000000003</v>
      </c>
      <c r="CG36" s="135">
        <f>SUM(CG33:CG35)</f>
        <v>244.70300000000003</v>
      </c>
      <c r="CH36" s="216">
        <f>CG36</f>
        <v>244.70300000000003</v>
      </c>
      <c r="CI36" s="135">
        <f>SUM(CI33:CI35)</f>
        <v>244.70300000000003</v>
      </c>
      <c r="CJ36" s="135">
        <f>SUM(CJ33:CJ35)</f>
        <v>244.70300000000003</v>
      </c>
      <c r="CK36" s="135">
        <f>SUM(CK33:CK35)</f>
        <v>244.70300000000003</v>
      </c>
      <c r="CL36" s="135">
        <f>SUM(CL33:CL35)</f>
        <v>244.70300000000003</v>
      </c>
      <c r="CM36" s="216">
        <f>CL36</f>
        <v>244.70300000000003</v>
      </c>
      <c r="CN36" s="135">
        <f>SUM(CN33:CN35)</f>
        <v>244.70300000000003</v>
      </c>
      <c r="CO36" s="135">
        <f>SUM(CO33:CO35)</f>
        <v>244.70300000000003</v>
      </c>
      <c r="CP36" s="135">
        <f>SUM(CP33:CP35)</f>
        <v>244.70300000000003</v>
      </c>
      <c r="CQ36" s="135">
        <f>SUM(CQ33:CQ35)</f>
        <v>244.70300000000003</v>
      </c>
      <c r="CR36" s="216">
        <f>CQ36</f>
        <v>244.70300000000003</v>
      </c>
      <c r="CS36" s="135">
        <f>SUM(CS33:CS35)</f>
        <v>244.70300000000003</v>
      </c>
      <c r="CT36" s="135">
        <f>SUM(CT33:CT35)</f>
        <v>244.70300000000003</v>
      </c>
      <c r="CU36" s="135">
        <f>SUM(CU33:CU35)</f>
        <v>244.70300000000003</v>
      </c>
      <c r="CV36" s="135">
        <f>SUM(CV33:CV35)</f>
        <v>244.70300000000003</v>
      </c>
      <c r="CW36" s="216">
        <f>CV36</f>
        <v>244.70300000000003</v>
      </c>
      <c r="CX36" s="135">
        <f>SUM(CX33:CX35)</f>
        <v>244.70300000000003</v>
      </c>
      <c r="CY36" s="135">
        <f>SUM(CY33:CY35)</f>
        <v>244.70300000000003</v>
      </c>
      <c r="CZ36" s="135">
        <f>SUM(CZ33:CZ35)</f>
        <v>244.70300000000003</v>
      </c>
      <c r="DA36" s="135">
        <f>SUM(DA33:DA35)</f>
        <v>244.70300000000003</v>
      </c>
      <c r="DB36" s="216">
        <f>DA36</f>
        <v>244.70300000000003</v>
      </c>
    </row>
    <row r="37" spans="1:106" s="11" customFormat="1" ht="12.75" customHeight="1">
      <c r="E37" s="19"/>
      <c r="F37" s="215"/>
      <c r="G37" s="19"/>
      <c r="H37" s="19"/>
      <c r="I37" s="19"/>
      <c r="J37" s="19"/>
      <c r="K37" s="215"/>
      <c r="L37" s="19"/>
      <c r="M37" s="19"/>
      <c r="N37" s="19"/>
      <c r="O37" s="19"/>
      <c r="P37" s="215"/>
      <c r="Q37" s="19"/>
      <c r="R37" s="19"/>
      <c r="S37" s="19"/>
      <c r="T37" s="19"/>
      <c r="U37" s="215"/>
      <c r="V37" s="19"/>
      <c r="W37" s="19"/>
      <c r="X37" s="19"/>
      <c r="Y37" s="19"/>
      <c r="Z37" s="215"/>
      <c r="AA37" s="19"/>
      <c r="AB37" s="19"/>
      <c r="AC37" s="19"/>
      <c r="AD37" s="19"/>
      <c r="AE37" s="215"/>
      <c r="AF37" s="19"/>
      <c r="AG37" s="19"/>
      <c r="AH37" s="19"/>
      <c r="AI37" s="19"/>
      <c r="AJ37" s="215"/>
      <c r="AK37" s="19"/>
      <c r="AL37" s="19"/>
      <c r="AM37" s="19"/>
      <c r="AN37" s="19"/>
      <c r="AO37" s="215"/>
      <c r="AP37" s="19"/>
      <c r="AQ37" s="19"/>
      <c r="AR37" s="19"/>
      <c r="AS37" s="19"/>
      <c r="AT37" s="215"/>
      <c r="AU37" s="19"/>
      <c r="AV37" s="19"/>
      <c r="AW37" s="19"/>
      <c r="AX37" s="19"/>
      <c r="AY37" s="215"/>
      <c r="AZ37" s="19"/>
      <c r="BA37" s="19"/>
      <c r="BB37" s="19"/>
      <c r="BC37" s="19"/>
      <c r="BD37" s="215"/>
      <c r="BE37" s="19"/>
      <c r="BF37" s="19"/>
      <c r="BG37" s="19"/>
      <c r="BH37" s="19"/>
      <c r="BI37" s="215"/>
      <c r="BJ37" s="275"/>
      <c r="BK37" s="19"/>
      <c r="BL37" s="19"/>
      <c r="BM37" s="19"/>
      <c r="BN37" s="215"/>
      <c r="BO37" s="19"/>
      <c r="BP37" s="19"/>
      <c r="BQ37" s="19"/>
      <c r="BR37" s="19"/>
      <c r="BS37" s="215"/>
      <c r="BT37" s="19"/>
      <c r="BU37" s="19"/>
      <c r="BV37" s="19"/>
      <c r="BW37" s="19"/>
      <c r="BX37" s="215"/>
      <c r="BY37" s="19"/>
      <c r="BZ37" s="19"/>
      <c r="CA37" s="19"/>
      <c r="CB37" s="19"/>
      <c r="CC37" s="215"/>
      <c r="CD37" s="19"/>
      <c r="CE37" s="19"/>
      <c r="CF37" s="19"/>
      <c r="CG37" s="19"/>
      <c r="CH37" s="215"/>
      <c r="CI37" s="19"/>
      <c r="CJ37" s="19"/>
      <c r="CK37" s="19"/>
      <c r="CL37" s="19"/>
      <c r="CM37" s="215"/>
      <c r="CN37" s="19"/>
      <c r="CO37" s="19"/>
      <c r="CP37" s="19"/>
      <c r="CQ37" s="19"/>
      <c r="CR37" s="215"/>
      <c r="CS37" s="19"/>
      <c r="CT37" s="19"/>
      <c r="CU37" s="19"/>
      <c r="CV37" s="19"/>
      <c r="CW37" s="215"/>
      <c r="CX37" s="19"/>
      <c r="CY37" s="19"/>
      <c r="CZ37" s="19"/>
      <c r="DA37" s="19"/>
      <c r="DB37" s="215"/>
    </row>
    <row r="38" spans="1:106" s="10" customFormat="1" ht="12.75" customHeight="1">
      <c r="A38" s="10" t="s">
        <v>41</v>
      </c>
      <c r="E38" s="135">
        <f>E36+E31</f>
        <v>54.345999999999997</v>
      </c>
      <c r="F38" s="216">
        <f t="shared" ref="F38:BQ38" si="45">F36+F31</f>
        <v>54.345999999999997</v>
      </c>
      <c r="G38" s="135">
        <f t="shared" si="45"/>
        <v>0</v>
      </c>
      <c r="H38" s="135">
        <f t="shared" si="45"/>
        <v>63.941000000000003</v>
      </c>
      <c r="I38" s="135">
        <f t="shared" si="45"/>
        <v>56.304000000000002</v>
      </c>
      <c r="J38" s="135">
        <f t="shared" si="45"/>
        <v>80.474999999999994</v>
      </c>
      <c r="K38" s="216">
        <f t="shared" si="45"/>
        <v>80.474999999999994</v>
      </c>
      <c r="L38" s="135">
        <f t="shared" si="45"/>
        <v>84.152999999999992</v>
      </c>
      <c r="M38" s="135">
        <f t="shared" si="45"/>
        <v>97.451999999999998</v>
      </c>
      <c r="N38" s="135">
        <f t="shared" si="45"/>
        <v>102.071</v>
      </c>
      <c r="O38" s="135">
        <f t="shared" si="45"/>
        <v>104.20399999999999</v>
      </c>
      <c r="P38" s="216">
        <f t="shared" si="45"/>
        <v>104.20399999999999</v>
      </c>
      <c r="Q38" s="135">
        <f t="shared" si="45"/>
        <v>102.352</v>
      </c>
      <c r="R38" s="135">
        <f t="shared" si="45"/>
        <v>107.517</v>
      </c>
      <c r="S38" s="135">
        <f t="shared" si="45"/>
        <v>173.87200000000001</v>
      </c>
      <c r="T38" s="135">
        <f t="shared" si="45"/>
        <v>189.14599999999999</v>
      </c>
      <c r="U38" s="216">
        <f t="shared" si="45"/>
        <v>189.14599999999999</v>
      </c>
      <c r="V38" s="135">
        <f t="shared" si="45"/>
        <v>222.53100000000001</v>
      </c>
      <c r="W38" s="135">
        <f t="shared" si="45"/>
        <v>216.398</v>
      </c>
      <c r="X38" s="135">
        <f t="shared" si="45"/>
        <v>220.738</v>
      </c>
      <c r="Y38" s="135">
        <f t="shared" si="45"/>
        <v>236.00899999999999</v>
      </c>
      <c r="Z38" s="216">
        <f t="shared" si="45"/>
        <v>236.00899999999999</v>
      </c>
      <c r="AA38" s="135">
        <f t="shared" si="45"/>
        <v>256.459</v>
      </c>
      <c r="AB38" s="135">
        <f t="shared" si="45"/>
        <v>290.238</v>
      </c>
      <c r="AC38" s="135">
        <f t="shared" si="45"/>
        <v>295.55599999999998</v>
      </c>
      <c r="AD38" s="135">
        <f t="shared" si="45"/>
        <v>303.94499999999999</v>
      </c>
      <c r="AE38" s="216">
        <f t="shared" si="45"/>
        <v>303.94499999999999</v>
      </c>
      <c r="AF38" s="135">
        <f t="shared" si="45"/>
        <v>299.71199999999999</v>
      </c>
      <c r="AG38" s="135">
        <f t="shared" si="45"/>
        <v>418.99400000000003</v>
      </c>
      <c r="AH38" s="135">
        <f t="shared" si="45"/>
        <v>440.71299999999997</v>
      </c>
      <c r="AI38" s="135">
        <f t="shared" si="45"/>
        <v>445.91700000000003</v>
      </c>
      <c r="AJ38" s="216">
        <f t="shared" si="45"/>
        <v>445.91700000000003</v>
      </c>
      <c r="AK38" s="135">
        <f t="shared" si="45"/>
        <v>521.06700000000001</v>
      </c>
      <c r="AL38" s="135">
        <f t="shared" si="45"/>
        <v>550.846</v>
      </c>
      <c r="AM38" s="135">
        <f t="shared" si="45"/>
        <v>552.35699999999997</v>
      </c>
      <c r="AN38" s="135">
        <f t="shared" si="45"/>
        <v>583.18299999999999</v>
      </c>
      <c r="AO38" s="216">
        <f t="shared" si="45"/>
        <v>583.18299999999999</v>
      </c>
      <c r="AP38" s="135">
        <f t="shared" si="45"/>
        <v>602.32900000000006</v>
      </c>
      <c r="AQ38" s="135">
        <f t="shared" si="45"/>
        <v>622.39400000000001</v>
      </c>
      <c r="AR38" s="135">
        <f t="shared" si="45"/>
        <v>647.49099999999999</v>
      </c>
      <c r="AS38" s="135">
        <f t="shared" si="45"/>
        <v>688.73</v>
      </c>
      <c r="AT38" s="216">
        <f t="shared" si="45"/>
        <v>688.73</v>
      </c>
      <c r="AU38" s="135">
        <f t="shared" si="45"/>
        <v>668.30700000000002</v>
      </c>
      <c r="AV38" s="135">
        <f t="shared" si="45"/>
        <v>651.74599999999998</v>
      </c>
      <c r="AW38" s="135">
        <f t="shared" si="45"/>
        <v>661.86200000000008</v>
      </c>
      <c r="AX38" s="135">
        <f t="shared" si="45"/>
        <v>676.37200000000007</v>
      </c>
      <c r="AY38" s="216">
        <f t="shared" si="45"/>
        <v>676.37200000000007</v>
      </c>
      <c r="AZ38" s="135">
        <f t="shared" si="45"/>
        <v>674.09400000000005</v>
      </c>
      <c r="BA38" s="135">
        <f t="shared" si="45"/>
        <v>680.46899999999994</v>
      </c>
      <c r="BB38" s="135">
        <f t="shared" si="45"/>
        <v>712.42200000000003</v>
      </c>
      <c r="BC38" s="135">
        <f t="shared" si="45"/>
        <v>465.31499999999994</v>
      </c>
      <c r="BD38" s="216">
        <f t="shared" si="45"/>
        <v>465.31499999999994</v>
      </c>
      <c r="BE38" s="135">
        <f t="shared" si="45"/>
        <v>492.69100000000003</v>
      </c>
      <c r="BF38" s="135">
        <f>BF36+BF31</f>
        <v>510.88400000000001</v>
      </c>
      <c r="BG38" s="135">
        <f>BG36+BG31</f>
        <v>569.29399999999998</v>
      </c>
      <c r="BH38" s="135">
        <f>BH36+BH31</f>
        <v>685.93100000000004</v>
      </c>
      <c r="BI38" s="216">
        <f t="shared" si="45"/>
        <v>685.93100000000004</v>
      </c>
      <c r="BJ38" s="273">
        <f t="shared" si="45"/>
        <v>749.97923395222824</v>
      </c>
      <c r="BK38" s="135">
        <f t="shared" si="45"/>
        <v>740.26251442392436</v>
      </c>
      <c r="BL38" s="135">
        <f t="shared" si="45"/>
        <v>733.82425513189037</v>
      </c>
      <c r="BM38" s="135">
        <f t="shared" si="45"/>
        <v>721.6380019545627</v>
      </c>
      <c r="BN38" s="216">
        <f t="shared" si="45"/>
        <v>721.6380019545627</v>
      </c>
      <c r="BO38" s="135">
        <f t="shared" si="45"/>
        <v>752.10275185834325</v>
      </c>
      <c r="BP38" s="135">
        <f t="shared" si="45"/>
        <v>762.09509943124181</v>
      </c>
      <c r="BQ38" s="135">
        <f t="shared" si="45"/>
        <v>780.16797689508667</v>
      </c>
      <c r="BR38" s="135">
        <f t="shared" ref="BR38:DA38" si="46">BR36+BR31</f>
        <v>795.58188935353155</v>
      </c>
      <c r="BS38" s="216">
        <f t="shared" si="46"/>
        <v>795.58188935353155</v>
      </c>
      <c r="BT38" s="135">
        <f t="shared" si="46"/>
        <v>822.27492150120838</v>
      </c>
      <c r="BU38" s="135">
        <f t="shared" si="46"/>
        <v>832.57395227702955</v>
      </c>
      <c r="BV38" s="135">
        <f t="shared" si="46"/>
        <v>851.60700364022523</v>
      </c>
      <c r="BW38" s="135">
        <f t="shared" si="46"/>
        <v>871.25555665794286</v>
      </c>
      <c r="BX38" s="216">
        <f t="shared" si="46"/>
        <v>871.25555665794286</v>
      </c>
      <c r="BY38" s="135">
        <f t="shared" si="46"/>
        <v>902.69165700492908</v>
      </c>
      <c r="BZ38" s="135">
        <f t="shared" si="46"/>
        <v>912.76054522955178</v>
      </c>
      <c r="CA38" s="135">
        <f t="shared" si="46"/>
        <v>934.20300030461613</v>
      </c>
      <c r="CB38" s="135">
        <f t="shared" si="46"/>
        <v>955.24521979474844</v>
      </c>
      <c r="CC38" s="216">
        <f t="shared" si="46"/>
        <v>955.24521979474844</v>
      </c>
      <c r="CD38" s="135">
        <f t="shared" si="46"/>
        <v>989.06706378041144</v>
      </c>
      <c r="CE38" s="135">
        <f t="shared" si="46"/>
        <v>999.79179420067817</v>
      </c>
      <c r="CF38" s="135">
        <f t="shared" si="46"/>
        <v>1022.2763290181199</v>
      </c>
      <c r="CG38" s="135">
        <f t="shared" si="46"/>
        <v>1045.2372297361194</v>
      </c>
      <c r="CH38" s="216">
        <f t="shared" si="46"/>
        <v>1045.2372297361194</v>
      </c>
      <c r="CI38" s="135">
        <f t="shared" si="46"/>
        <v>1080.8481353204788</v>
      </c>
      <c r="CJ38" s="135">
        <f t="shared" si="46"/>
        <v>1089.1244377598946</v>
      </c>
      <c r="CK38" s="135">
        <f t="shared" si="46"/>
        <v>1110.2598051679606</v>
      </c>
      <c r="CL38" s="135">
        <f t="shared" si="46"/>
        <v>1130.8268849261483</v>
      </c>
      <c r="CM38" s="216">
        <f t="shared" si="46"/>
        <v>1130.8268849261483</v>
      </c>
      <c r="CN38" s="135">
        <f t="shared" si="46"/>
        <v>1166.9397106428494</v>
      </c>
      <c r="CO38" s="135">
        <f t="shared" si="46"/>
        <v>1173.3616015301322</v>
      </c>
      <c r="CP38" s="135">
        <f t="shared" si="46"/>
        <v>1194.7341342889276</v>
      </c>
      <c r="CQ38" s="135">
        <f t="shared" si="46"/>
        <v>1216.1729369391292</v>
      </c>
      <c r="CR38" s="216">
        <f t="shared" si="46"/>
        <v>1216.1729369391292</v>
      </c>
      <c r="CS38" s="135">
        <f t="shared" si="46"/>
        <v>1254.8115146105351</v>
      </c>
      <c r="CT38" s="135">
        <f t="shared" si="46"/>
        <v>1260.8112523853895</v>
      </c>
      <c r="CU38" s="135">
        <f t="shared" si="46"/>
        <v>1283.4311443368372</v>
      </c>
      <c r="CV38" s="135">
        <f t="shared" si="46"/>
        <v>1306.2208206617449</v>
      </c>
      <c r="CW38" s="216">
        <f t="shared" si="46"/>
        <v>1306.2208206617449</v>
      </c>
      <c r="CX38" s="135">
        <f t="shared" si="46"/>
        <v>1345.7513400654002</v>
      </c>
      <c r="CY38" s="135">
        <f t="shared" si="46"/>
        <v>1348.8042918548492</v>
      </c>
      <c r="CZ38" s="135">
        <f t="shared" si="46"/>
        <v>1369.358616917827</v>
      </c>
      <c r="DA38" s="135">
        <f t="shared" si="46"/>
        <v>1389.4085603665085</v>
      </c>
      <c r="DB38" s="216">
        <f>DA38</f>
        <v>1389.4085603665085</v>
      </c>
    </row>
    <row r="39" spans="1:106" s="11" customFormat="1" ht="12.75" customHeight="1">
      <c r="E39" s="19"/>
      <c r="F39" s="215"/>
      <c r="G39" s="19"/>
      <c r="H39" s="19"/>
      <c r="I39" s="19"/>
      <c r="J39" s="19"/>
      <c r="K39" s="215"/>
      <c r="L39" s="19"/>
      <c r="M39" s="19"/>
      <c r="N39" s="19"/>
      <c r="O39" s="19"/>
      <c r="P39" s="215"/>
      <c r="Q39" s="19"/>
      <c r="R39" s="19"/>
      <c r="S39" s="19"/>
      <c r="T39" s="19"/>
      <c r="U39" s="215"/>
      <c r="V39" s="19"/>
      <c r="W39" s="19"/>
      <c r="X39" s="19"/>
      <c r="Y39" s="19"/>
      <c r="Z39" s="215"/>
      <c r="AA39" s="19"/>
      <c r="AB39" s="19"/>
      <c r="AC39" s="19"/>
      <c r="AD39" s="19"/>
      <c r="AE39" s="215"/>
      <c r="AF39" s="19"/>
      <c r="AG39" s="19"/>
      <c r="AH39" s="19"/>
      <c r="AI39" s="19"/>
      <c r="AJ39" s="215"/>
      <c r="AK39" s="19"/>
      <c r="AL39" s="19"/>
      <c r="AM39" s="19"/>
      <c r="AN39" s="19"/>
      <c r="AO39" s="215"/>
      <c r="AP39" s="19"/>
      <c r="AQ39" s="19"/>
      <c r="AR39" s="19"/>
      <c r="AS39" s="19"/>
      <c r="AT39" s="215"/>
      <c r="AU39" s="19"/>
      <c r="AV39" s="19"/>
      <c r="AW39" s="19"/>
      <c r="AX39" s="19"/>
      <c r="AY39" s="215"/>
      <c r="AZ39" s="19"/>
      <c r="BA39" s="19"/>
      <c r="BB39" s="19"/>
      <c r="BC39" s="19"/>
      <c r="BD39" s="215"/>
      <c r="BE39" s="19"/>
      <c r="BF39" s="19"/>
      <c r="BG39" s="19"/>
      <c r="BH39" s="19"/>
      <c r="BI39" s="215"/>
      <c r="BJ39" s="275"/>
      <c r="BK39" s="19"/>
      <c r="BL39" s="19"/>
      <c r="BM39" s="19"/>
      <c r="BN39" s="215"/>
      <c r="BO39" s="19"/>
      <c r="BP39" s="19"/>
      <c r="BQ39" s="19"/>
      <c r="BR39" s="19"/>
      <c r="BS39" s="215"/>
      <c r="BT39" s="19"/>
      <c r="BU39" s="19"/>
      <c r="BV39" s="19"/>
      <c r="BW39" s="19"/>
      <c r="BX39" s="215"/>
      <c r="BY39" s="19"/>
      <c r="BZ39" s="19"/>
      <c r="CA39" s="19"/>
      <c r="CB39" s="19"/>
      <c r="CC39" s="215"/>
      <c r="CD39" s="19"/>
      <c r="CE39" s="19"/>
      <c r="CF39" s="19"/>
      <c r="CG39" s="19"/>
      <c r="CH39" s="215"/>
      <c r="CI39" s="19"/>
      <c r="CJ39" s="19"/>
      <c r="CK39" s="19"/>
      <c r="CL39" s="19"/>
      <c r="CM39" s="215"/>
      <c r="CN39" s="19"/>
      <c r="CO39" s="19"/>
      <c r="CP39" s="19"/>
      <c r="CQ39" s="19"/>
      <c r="CR39" s="215"/>
      <c r="CS39" s="19"/>
      <c r="CT39" s="19"/>
      <c r="CU39" s="19"/>
      <c r="CV39" s="19"/>
      <c r="CW39" s="215"/>
      <c r="CX39" s="19"/>
      <c r="CY39" s="19"/>
      <c r="CZ39" s="19"/>
      <c r="DA39" s="19"/>
      <c r="DB39" s="215"/>
    </row>
    <row r="40" spans="1:106" s="11" customFormat="1" ht="12.75" customHeight="1" outlineLevel="1">
      <c r="A40" s="11" t="s">
        <v>42</v>
      </c>
      <c r="E40" s="19">
        <v>240.61199999999999</v>
      </c>
      <c r="F40" s="215">
        <f t="shared" ref="F40:F42" si="47">E40</f>
        <v>240.61199999999999</v>
      </c>
      <c r="G40" s="19">
        <v>0</v>
      </c>
      <c r="H40" s="19">
        <v>240.58500000000001</v>
      </c>
      <c r="I40" s="19">
        <v>0</v>
      </c>
      <c r="J40" s="19">
        <v>0</v>
      </c>
      <c r="K40" s="215">
        <f t="shared" ref="K40:K45" si="48">J40</f>
        <v>0</v>
      </c>
      <c r="L40" s="19">
        <v>0</v>
      </c>
      <c r="M40" s="19">
        <v>0</v>
      </c>
      <c r="N40" s="19">
        <v>0</v>
      </c>
      <c r="O40" s="19">
        <v>0</v>
      </c>
      <c r="P40" s="215">
        <f t="shared" ref="P40:P44" si="49">O40</f>
        <v>0</v>
      </c>
      <c r="Q40" s="19">
        <v>0</v>
      </c>
      <c r="R40" s="19">
        <v>0</v>
      </c>
      <c r="S40" s="19">
        <v>0</v>
      </c>
      <c r="T40" s="19">
        <v>0</v>
      </c>
      <c r="U40" s="215">
        <f t="shared" ref="U40:U42" si="50">T40</f>
        <v>0</v>
      </c>
      <c r="V40" s="19">
        <v>0</v>
      </c>
      <c r="W40" s="19">
        <v>0</v>
      </c>
      <c r="X40" s="19">
        <v>0</v>
      </c>
      <c r="Y40" s="19">
        <v>0</v>
      </c>
      <c r="Z40" s="215">
        <f t="shared" ref="Z40:Z44" si="51">Y40</f>
        <v>0</v>
      </c>
      <c r="AA40" s="19">
        <v>0</v>
      </c>
      <c r="AB40" s="19">
        <v>0</v>
      </c>
      <c r="AC40" s="19">
        <v>0</v>
      </c>
      <c r="AD40" s="19">
        <v>0</v>
      </c>
      <c r="AE40" s="215">
        <f t="shared" ref="AE40:AE44" si="52">AD40</f>
        <v>0</v>
      </c>
      <c r="AF40" s="19">
        <v>0</v>
      </c>
      <c r="AG40" s="19">
        <v>0</v>
      </c>
      <c r="AH40" s="19">
        <v>0</v>
      </c>
      <c r="AI40" s="19">
        <v>0</v>
      </c>
      <c r="AJ40" s="215">
        <f t="shared" ref="AJ40:AJ44" si="53">AI40</f>
        <v>0</v>
      </c>
      <c r="AK40" s="19">
        <v>0</v>
      </c>
      <c r="AL40" s="19">
        <v>0</v>
      </c>
      <c r="AM40" s="19">
        <v>0</v>
      </c>
      <c r="AN40" s="19">
        <v>0</v>
      </c>
      <c r="AO40" s="215">
        <f t="shared" ref="AO40:AO44" si="54">AN40</f>
        <v>0</v>
      </c>
      <c r="AP40" s="19">
        <v>0</v>
      </c>
      <c r="AQ40" s="19">
        <v>0</v>
      </c>
      <c r="AR40" s="19">
        <v>0</v>
      </c>
      <c r="AS40" s="19">
        <v>0</v>
      </c>
      <c r="AT40" s="215">
        <f t="shared" ref="AT40:AT44" si="55">AS40</f>
        <v>0</v>
      </c>
      <c r="AU40" s="19">
        <v>0</v>
      </c>
      <c r="AV40" s="19">
        <v>0</v>
      </c>
      <c r="AW40" s="19">
        <v>0</v>
      </c>
      <c r="AX40" s="19">
        <v>0</v>
      </c>
      <c r="AY40" s="215">
        <f t="shared" ref="AY40:AY44" si="56">AX40</f>
        <v>0</v>
      </c>
      <c r="AZ40" s="19">
        <v>0</v>
      </c>
      <c r="BA40" s="19">
        <v>0</v>
      </c>
      <c r="BB40" s="19">
        <v>0</v>
      </c>
      <c r="BC40" s="19">
        <v>0</v>
      </c>
      <c r="BD40" s="215">
        <f t="shared" ref="BD40:BD45" si="57">BC40</f>
        <v>0</v>
      </c>
      <c r="BE40" s="19">
        <v>0</v>
      </c>
      <c r="BF40" s="19">
        <v>0</v>
      </c>
      <c r="BG40" s="19">
        <v>0</v>
      </c>
      <c r="BH40" s="19">
        <v>0</v>
      </c>
      <c r="BI40" s="215">
        <f t="shared" ref="BI40:BI45" si="58">BH40</f>
        <v>0</v>
      </c>
      <c r="BJ40" s="275">
        <f>BH40</f>
        <v>0</v>
      </c>
      <c r="BK40" s="19">
        <f t="shared" ref="BK40:BK41" si="59">BJ40</f>
        <v>0</v>
      </c>
      <c r="BL40" s="19">
        <f t="shared" ref="BL40:BL41" si="60">BK40</f>
        <v>0</v>
      </c>
      <c r="BM40" s="19">
        <f t="shared" ref="BM40:BM41" si="61">BL40</f>
        <v>0</v>
      </c>
      <c r="BN40" s="215">
        <f t="shared" ref="BN40:BN45" si="62">BM40</f>
        <v>0</v>
      </c>
      <c r="BO40" s="19">
        <f>BM40</f>
        <v>0</v>
      </c>
      <c r="BP40" s="19">
        <f t="shared" ref="BP40:BR41" si="63">BO40</f>
        <v>0</v>
      </c>
      <c r="BQ40" s="19">
        <f t="shared" si="63"/>
        <v>0</v>
      </c>
      <c r="BR40" s="19">
        <f t="shared" si="63"/>
        <v>0</v>
      </c>
      <c r="BS40" s="215">
        <f t="shared" ref="BS40:BS45" si="64">BR40</f>
        <v>0</v>
      </c>
      <c r="BT40" s="19">
        <f>BR40</f>
        <v>0</v>
      </c>
      <c r="BU40" s="19">
        <f t="shared" ref="BU40:BW41" si="65">BT40</f>
        <v>0</v>
      </c>
      <c r="BV40" s="19">
        <f t="shared" si="65"/>
        <v>0</v>
      </c>
      <c r="BW40" s="19">
        <f t="shared" si="65"/>
        <v>0</v>
      </c>
      <c r="BX40" s="215">
        <f t="shared" ref="BX40:BX45" si="66">BW40</f>
        <v>0</v>
      </c>
      <c r="BY40" s="19">
        <f>BW40</f>
        <v>0</v>
      </c>
      <c r="BZ40" s="19">
        <f t="shared" ref="BZ40:CB41" si="67">BY40</f>
        <v>0</v>
      </c>
      <c r="CA40" s="19">
        <f t="shared" si="67"/>
        <v>0</v>
      </c>
      <c r="CB40" s="19">
        <f t="shared" si="67"/>
        <v>0</v>
      </c>
      <c r="CC40" s="215">
        <f t="shared" ref="CC40:CC45" si="68">CB40</f>
        <v>0</v>
      </c>
      <c r="CD40" s="19">
        <f>CB40</f>
        <v>0</v>
      </c>
      <c r="CE40" s="19">
        <f t="shared" ref="CE40:CG41" si="69">CD40</f>
        <v>0</v>
      </c>
      <c r="CF40" s="19">
        <f t="shared" si="69"/>
        <v>0</v>
      </c>
      <c r="CG40" s="19">
        <f t="shared" si="69"/>
        <v>0</v>
      </c>
      <c r="CH40" s="215">
        <f t="shared" ref="CH40:CH45" si="70">CG40</f>
        <v>0</v>
      </c>
      <c r="CI40" s="19">
        <f>CG40</f>
        <v>0</v>
      </c>
      <c r="CJ40" s="19">
        <f t="shared" ref="CJ40:CL41" si="71">CI40</f>
        <v>0</v>
      </c>
      <c r="CK40" s="19">
        <f t="shared" si="71"/>
        <v>0</v>
      </c>
      <c r="CL40" s="19">
        <f t="shared" si="71"/>
        <v>0</v>
      </c>
      <c r="CM40" s="215">
        <f t="shared" ref="CM40:CM45" si="72">CL40</f>
        <v>0</v>
      </c>
      <c r="CN40" s="19">
        <f>CL40</f>
        <v>0</v>
      </c>
      <c r="CO40" s="19">
        <f t="shared" ref="CO40:CR41" si="73">CN40</f>
        <v>0</v>
      </c>
      <c r="CP40" s="19">
        <f t="shared" si="73"/>
        <v>0</v>
      </c>
      <c r="CQ40" s="19">
        <f t="shared" si="73"/>
        <v>0</v>
      </c>
      <c r="CR40" s="215">
        <f t="shared" si="73"/>
        <v>0</v>
      </c>
      <c r="CS40" s="19">
        <f>CQ40</f>
        <v>0</v>
      </c>
      <c r="CT40" s="19">
        <f>CS40</f>
        <v>0</v>
      </c>
      <c r="CU40" s="19">
        <f>CT40</f>
        <v>0</v>
      </c>
      <c r="CV40" s="19">
        <f t="shared" ref="CV40:CW44" si="74">CU40</f>
        <v>0</v>
      </c>
      <c r="CW40" s="215">
        <f t="shared" si="74"/>
        <v>0</v>
      </c>
      <c r="CX40" s="19">
        <f>CV40</f>
        <v>0</v>
      </c>
      <c r="CY40" s="19">
        <f t="shared" ref="CY40:DB41" si="75">CX40</f>
        <v>0</v>
      </c>
      <c r="CZ40" s="19">
        <f t="shared" si="75"/>
        <v>0</v>
      </c>
      <c r="DA40" s="19">
        <f t="shared" si="75"/>
        <v>0</v>
      </c>
      <c r="DB40" s="215">
        <f t="shared" si="75"/>
        <v>0</v>
      </c>
    </row>
    <row r="41" spans="1:106" s="11" customFormat="1" ht="12.75" customHeight="1">
      <c r="A41" s="11" t="s">
        <v>43</v>
      </c>
      <c r="E41" s="19">
        <v>1E-3</v>
      </c>
      <c r="F41" s="215">
        <f t="shared" si="47"/>
        <v>1E-3</v>
      </c>
      <c r="G41" s="19"/>
      <c r="H41" s="19">
        <v>1E-3</v>
      </c>
      <c r="I41" s="19">
        <v>5.0000000000000001E-3</v>
      </c>
      <c r="J41" s="19">
        <v>5.0000000000000001E-3</v>
      </c>
      <c r="K41" s="215">
        <f t="shared" si="48"/>
        <v>5.0000000000000001E-3</v>
      </c>
      <c r="L41" s="19">
        <v>6.0000000000000001E-3</v>
      </c>
      <c r="M41" s="19">
        <v>6.0000000000000001E-3</v>
      </c>
      <c r="N41" s="19">
        <v>6.0000000000000001E-3</v>
      </c>
      <c r="O41" s="19">
        <v>5.0000000000000001E-3</v>
      </c>
      <c r="P41" s="215">
        <f t="shared" si="49"/>
        <v>5.0000000000000001E-3</v>
      </c>
      <c r="Q41" s="19">
        <v>6.0000000000000001E-3</v>
      </c>
      <c r="R41" s="19">
        <v>6.0000000000000001E-3</v>
      </c>
      <c r="S41" s="19">
        <v>6.0000000000000001E-3</v>
      </c>
      <c r="T41" s="19">
        <v>6.0000000000000001E-3</v>
      </c>
      <c r="U41" s="215">
        <f t="shared" si="50"/>
        <v>6.0000000000000001E-3</v>
      </c>
      <c r="V41" s="19">
        <v>6.0000000000000001E-3</v>
      </c>
      <c r="W41" s="19">
        <v>6.0000000000000001E-3</v>
      </c>
      <c r="X41" s="19">
        <v>7.0000000000000001E-3</v>
      </c>
      <c r="Y41" s="19">
        <v>7.0000000000000001E-3</v>
      </c>
      <c r="Z41" s="215">
        <f t="shared" si="51"/>
        <v>7.0000000000000001E-3</v>
      </c>
      <c r="AA41" s="19">
        <v>7.0000000000000001E-3</v>
      </c>
      <c r="AB41" s="19">
        <v>7.0000000000000001E-3</v>
      </c>
      <c r="AC41" s="19">
        <v>7.0000000000000001E-3</v>
      </c>
      <c r="AD41" s="19">
        <v>8.0000000000000002E-3</v>
      </c>
      <c r="AE41" s="215">
        <f t="shared" si="52"/>
        <v>8.0000000000000002E-3</v>
      </c>
      <c r="AF41" s="19">
        <v>8.0000000000000002E-3</v>
      </c>
      <c r="AG41" s="19">
        <v>8.0000000000000002E-3</v>
      </c>
      <c r="AH41" s="19">
        <v>8.9999999999999993E-3</v>
      </c>
      <c r="AI41" s="19">
        <v>8.9999999999999993E-3</v>
      </c>
      <c r="AJ41" s="215">
        <f t="shared" si="53"/>
        <v>8.9999999999999993E-3</v>
      </c>
      <c r="AK41" s="19">
        <v>8.9999999999999993E-3</v>
      </c>
      <c r="AL41" s="19">
        <v>8.9999999999999993E-3</v>
      </c>
      <c r="AM41" s="19">
        <v>0.01</v>
      </c>
      <c r="AN41" s="19">
        <v>0.01</v>
      </c>
      <c r="AO41" s="215">
        <f t="shared" si="54"/>
        <v>0.01</v>
      </c>
      <c r="AP41" s="19">
        <v>0.01</v>
      </c>
      <c r="AQ41" s="19">
        <v>0.01</v>
      </c>
      <c r="AR41" s="19">
        <v>0.01</v>
      </c>
      <c r="AS41" s="19">
        <v>1.0999999999999999E-2</v>
      </c>
      <c r="AT41" s="215">
        <f t="shared" si="55"/>
        <v>1.0999999999999999E-2</v>
      </c>
      <c r="AU41" s="19">
        <v>1.0999999999999999E-2</v>
      </c>
      <c r="AV41" s="19">
        <v>1.0999999999999999E-2</v>
      </c>
      <c r="AW41" s="19">
        <v>1.0999999999999999E-2</v>
      </c>
      <c r="AX41" s="19">
        <v>1.0999999999999999E-2</v>
      </c>
      <c r="AY41" s="215">
        <f t="shared" si="56"/>
        <v>1.0999999999999999E-2</v>
      </c>
      <c r="AZ41" s="19">
        <v>1.2E-2</v>
      </c>
      <c r="BA41" s="19">
        <v>1.2E-2</v>
      </c>
      <c r="BB41" s="19">
        <v>1.2E-2</v>
      </c>
      <c r="BC41" s="19">
        <v>1.2E-2</v>
      </c>
      <c r="BD41" s="215">
        <f t="shared" si="57"/>
        <v>1.2E-2</v>
      </c>
      <c r="BE41" s="19">
        <v>1.4E-2</v>
      </c>
      <c r="BF41" s="19">
        <v>1.4E-2</v>
      </c>
      <c r="BG41" s="19">
        <v>1.4E-2</v>
      </c>
      <c r="BH41" s="19">
        <v>1.4E-2</v>
      </c>
      <c r="BI41" s="215">
        <f t="shared" si="58"/>
        <v>1.4E-2</v>
      </c>
      <c r="BJ41" s="275">
        <f>BH41</f>
        <v>1.4E-2</v>
      </c>
      <c r="BK41" s="19">
        <f t="shared" si="59"/>
        <v>1.4E-2</v>
      </c>
      <c r="BL41" s="19">
        <f t="shared" si="60"/>
        <v>1.4E-2</v>
      </c>
      <c r="BM41" s="19">
        <f t="shared" si="61"/>
        <v>1.4E-2</v>
      </c>
      <c r="BN41" s="215">
        <f t="shared" si="62"/>
        <v>1.4E-2</v>
      </c>
      <c r="BO41" s="19">
        <f>BM41</f>
        <v>1.4E-2</v>
      </c>
      <c r="BP41" s="19">
        <f t="shared" si="63"/>
        <v>1.4E-2</v>
      </c>
      <c r="BQ41" s="19">
        <f t="shared" si="63"/>
        <v>1.4E-2</v>
      </c>
      <c r="BR41" s="19">
        <f t="shared" si="63"/>
        <v>1.4E-2</v>
      </c>
      <c r="BS41" s="215">
        <f t="shared" si="64"/>
        <v>1.4E-2</v>
      </c>
      <c r="BT41" s="19">
        <f>BR41</f>
        <v>1.4E-2</v>
      </c>
      <c r="BU41" s="19">
        <f t="shared" si="65"/>
        <v>1.4E-2</v>
      </c>
      <c r="BV41" s="19">
        <f t="shared" si="65"/>
        <v>1.4E-2</v>
      </c>
      <c r="BW41" s="19">
        <f t="shared" si="65"/>
        <v>1.4E-2</v>
      </c>
      <c r="BX41" s="215">
        <f t="shared" si="66"/>
        <v>1.4E-2</v>
      </c>
      <c r="BY41" s="19">
        <f>BW41</f>
        <v>1.4E-2</v>
      </c>
      <c r="BZ41" s="19">
        <f t="shared" si="67"/>
        <v>1.4E-2</v>
      </c>
      <c r="CA41" s="19">
        <f t="shared" si="67"/>
        <v>1.4E-2</v>
      </c>
      <c r="CB41" s="19">
        <f t="shared" si="67"/>
        <v>1.4E-2</v>
      </c>
      <c r="CC41" s="215">
        <f t="shared" si="68"/>
        <v>1.4E-2</v>
      </c>
      <c r="CD41" s="19">
        <f>CB41</f>
        <v>1.4E-2</v>
      </c>
      <c r="CE41" s="19">
        <f t="shared" si="69"/>
        <v>1.4E-2</v>
      </c>
      <c r="CF41" s="19">
        <f t="shared" si="69"/>
        <v>1.4E-2</v>
      </c>
      <c r="CG41" s="19">
        <f t="shared" si="69"/>
        <v>1.4E-2</v>
      </c>
      <c r="CH41" s="215">
        <f t="shared" si="70"/>
        <v>1.4E-2</v>
      </c>
      <c r="CI41" s="19">
        <f>CG41</f>
        <v>1.4E-2</v>
      </c>
      <c r="CJ41" s="19">
        <f t="shared" si="71"/>
        <v>1.4E-2</v>
      </c>
      <c r="CK41" s="19">
        <f t="shared" si="71"/>
        <v>1.4E-2</v>
      </c>
      <c r="CL41" s="19">
        <f t="shared" si="71"/>
        <v>1.4E-2</v>
      </c>
      <c r="CM41" s="215">
        <f t="shared" si="72"/>
        <v>1.4E-2</v>
      </c>
      <c r="CN41" s="19">
        <f>CL41</f>
        <v>1.4E-2</v>
      </c>
      <c r="CO41" s="19">
        <f t="shared" si="73"/>
        <v>1.4E-2</v>
      </c>
      <c r="CP41" s="19">
        <f t="shared" si="73"/>
        <v>1.4E-2</v>
      </c>
      <c r="CQ41" s="19">
        <f t="shared" si="73"/>
        <v>1.4E-2</v>
      </c>
      <c r="CR41" s="215">
        <f t="shared" si="73"/>
        <v>1.4E-2</v>
      </c>
      <c r="CS41" s="19">
        <f>CQ41</f>
        <v>1.4E-2</v>
      </c>
      <c r="CT41" s="19">
        <f>CS41</f>
        <v>1.4E-2</v>
      </c>
      <c r="CU41" s="19">
        <f>CT41</f>
        <v>1.4E-2</v>
      </c>
      <c r="CV41" s="19">
        <f t="shared" si="74"/>
        <v>1.4E-2</v>
      </c>
      <c r="CW41" s="215">
        <f t="shared" si="74"/>
        <v>1.4E-2</v>
      </c>
      <c r="CX41" s="19">
        <f>CV41</f>
        <v>1.4E-2</v>
      </c>
      <c r="CY41" s="19">
        <f t="shared" si="75"/>
        <v>1.4E-2</v>
      </c>
      <c r="CZ41" s="19">
        <f t="shared" si="75"/>
        <v>1.4E-2</v>
      </c>
      <c r="DA41" s="19">
        <f t="shared" si="75"/>
        <v>1.4E-2</v>
      </c>
      <c r="DB41" s="215">
        <f t="shared" si="75"/>
        <v>1.4E-2</v>
      </c>
    </row>
    <row r="42" spans="1:106" s="11" customFormat="1" ht="12.75" customHeight="1">
      <c r="A42" s="11" t="s">
        <v>44</v>
      </c>
      <c r="E42" s="19">
        <v>8.6639999999999997</v>
      </c>
      <c r="F42" s="215">
        <f t="shared" si="47"/>
        <v>8.6639999999999997</v>
      </c>
      <c r="G42" s="19"/>
      <c r="H42" s="19">
        <v>11.718999999999999</v>
      </c>
      <c r="I42" s="19">
        <v>433.14499999999998</v>
      </c>
      <c r="J42" s="19">
        <v>436.25900000000001</v>
      </c>
      <c r="K42" s="215">
        <f t="shared" si="48"/>
        <v>436.25900000000001</v>
      </c>
      <c r="L42" s="19">
        <v>439.96199999999999</v>
      </c>
      <c r="M42" s="19">
        <v>444.79</v>
      </c>
      <c r="N42" s="19">
        <v>447.91500000000002</v>
      </c>
      <c r="O42" s="19">
        <v>453.04399999999998</v>
      </c>
      <c r="P42" s="215">
        <f t="shared" si="49"/>
        <v>453.04399999999998</v>
      </c>
      <c r="Q42" s="19">
        <v>456</v>
      </c>
      <c r="R42" s="19">
        <v>460.90600000000001</v>
      </c>
      <c r="S42" s="19">
        <v>467.23399999999998</v>
      </c>
      <c r="T42" s="19">
        <v>472.55200000000002</v>
      </c>
      <c r="U42" s="215">
        <f t="shared" si="50"/>
        <v>472.55200000000002</v>
      </c>
      <c r="V42" s="19">
        <v>476.27</v>
      </c>
      <c r="W42" s="19">
        <v>491.887</v>
      </c>
      <c r="X42" s="19">
        <v>600.14599999999996</v>
      </c>
      <c r="Y42" s="19">
        <v>607.23599999999999</v>
      </c>
      <c r="Z42" s="215">
        <f t="shared" si="51"/>
        <v>607.23599999999999</v>
      </c>
      <c r="AA42" s="19">
        <v>613.67999999999995</v>
      </c>
      <c r="AB42" s="19">
        <v>733.13699999999994</v>
      </c>
      <c r="AC42" s="19">
        <v>747.81700000000001</v>
      </c>
      <c r="AD42" s="19">
        <v>976.95500000000004</v>
      </c>
      <c r="AE42" s="215">
        <f t="shared" si="52"/>
        <v>976.95500000000004</v>
      </c>
      <c r="AF42" s="19">
        <v>988.19899999999996</v>
      </c>
      <c r="AG42" s="19">
        <v>1093.0719999999999</v>
      </c>
      <c r="AH42" s="19">
        <v>1383.7270000000001</v>
      </c>
      <c r="AI42" s="19">
        <v>1411.2860000000001</v>
      </c>
      <c r="AJ42" s="215">
        <f t="shared" si="53"/>
        <v>1411.2860000000001</v>
      </c>
      <c r="AK42" s="19">
        <v>1356.212</v>
      </c>
      <c r="AL42" s="19">
        <v>1399.6590000000001</v>
      </c>
      <c r="AM42" s="19">
        <v>2011.788</v>
      </c>
      <c r="AN42" s="19">
        <v>2050.4169999999999</v>
      </c>
      <c r="AO42" s="215">
        <f t="shared" si="54"/>
        <v>2050.4169999999999</v>
      </c>
      <c r="AP42" s="19">
        <v>2089.66</v>
      </c>
      <c r="AQ42" s="19">
        <v>2139.5509999999999</v>
      </c>
      <c r="AR42" s="19">
        <v>2181.2820000000002</v>
      </c>
      <c r="AS42" s="19">
        <v>2664.73</v>
      </c>
      <c r="AT42" s="215">
        <f t="shared" si="55"/>
        <v>2664.73</v>
      </c>
      <c r="AU42" s="19">
        <v>2741.9319999999998</v>
      </c>
      <c r="AV42" s="19">
        <v>2795.7139999999999</v>
      </c>
      <c r="AW42" s="19">
        <v>3089.4479999999999</v>
      </c>
      <c r="AX42" s="19">
        <v>3145.837</v>
      </c>
      <c r="AY42" s="215">
        <f t="shared" si="56"/>
        <v>3145.837</v>
      </c>
      <c r="AZ42" s="19">
        <v>3241.326</v>
      </c>
      <c r="BA42" s="19">
        <v>3320.3649999999998</v>
      </c>
      <c r="BB42" s="19">
        <v>3393.3690000000001</v>
      </c>
      <c r="BC42" s="19">
        <v>3763.614</v>
      </c>
      <c r="BD42" s="215">
        <f t="shared" si="57"/>
        <v>3763.614</v>
      </c>
      <c r="BE42" s="19">
        <v>3874.6559999999999</v>
      </c>
      <c r="BF42" s="19">
        <v>3982.1909999999998</v>
      </c>
      <c r="BG42" s="19">
        <v>4075.6410000000001</v>
      </c>
      <c r="BH42" s="19">
        <f>4488.679</f>
        <v>4488.6790000000001</v>
      </c>
      <c r="BI42" s="215">
        <f t="shared" si="58"/>
        <v>4488.6790000000001</v>
      </c>
      <c r="BJ42" s="275">
        <f>BH42+CF!BJ12+CF!BJ14</f>
        <v>4522.0940933333331</v>
      </c>
      <c r="BK42" s="19">
        <f>BJ42+CF!BK12+CF!BK14</f>
        <v>4555.5091866666662</v>
      </c>
      <c r="BL42" s="19">
        <f>BK42+CF!BL12+CF!BL14</f>
        <v>4588.9242799999993</v>
      </c>
      <c r="BM42" s="19">
        <f>BL42+CF!BM12+CF!BM14</f>
        <v>4622.3393733333323</v>
      </c>
      <c r="BN42" s="215">
        <f t="shared" si="62"/>
        <v>4622.3393733333323</v>
      </c>
      <c r="BO42" s="19">
        <f>BM42+CF!BO12+CF!BO14</f>
        <v>4657.7593722666661</v>
      </c>
      <c r="BP42" s="19">
        <f>BO42+CF!BP12+CF!BP14</f>
        <v>4693.1793711999999</v>
      </c>
      <c r="BQ42" s="19">
        <f>BP42+CF!BQ12+CF!BQ14</f>
        <v>4728.5993701333337</v>
      </c>
      <c r="BR42" s="19">
        <f>BQ42+CF!BR12+CF!BR14</f>
        <v>4764.0193690666674</v>
      </c>
      <c r="BS42" s="215">
        <f t="shared" si="64"/>
        <v>4764.0193690666674</v>
      </c>
      <c r="BT42" s="19">
        <f>BR42+CF!BT12+CF!BT14</f>
        <v>4801.5645679360005</v>
      </c>
      <c r="BU42" s="19">
        <f>BT42+CF!BU12+CF!BU14</f>
        <v>4839.1097668053335</v>
      </c>
      <c r="BV42" s="19">
        <f>BU42+CF!BV12+CF!BV14</f>
        <v>4876.6549656746665</v>
      </c>
      <c r="BW42" s="19">
        <f>BV42+CF!BW12+CF!BW14</f>
        <v>4914.2001645439996</v>
      </c>
      <c r="BX42" s="215">
        <f t="shared" si="66"/>
        <v>4914.2001645439996</v>
      </c>
      <c r="BY42" s="19">
        <f>BW42+CF!BY12+CF!BY14</f>
        <v>4953.9980753454929</v>
      </c>
      <c r="BZ42" s="19">
        <f>BY42+CF!BZ12+CF!BZ14</f>
        <v>4993.7959861469863</v>
      </c>
      <c r="CA42" s="19">
        <f>BZ42+CF!CA12+CF!CA14</f>
        <v>5033.5938969484796</v>
      </c>
      <c r="CB42" s="19">
        <f>CA42+CF!CB12+CF!CB14</f>
        <v>5073.3918077499729</v>
      </c>
      <c r="CC42" s="215">
        <f t="shared" si="68"/>
        <v>5073.3918077499729</v>
      </c>
      <c r="CD42" s="19">
        <f>CB42+CF!CD12+CF!CD14</f>
        <v>5115.5775931995558</v>
      </c>
      <c r="CE42" s="19">
        <f>CD42+CF!CE12+CF!CE14</f>
        <v>5157.7633786491388</v>
      </c>
      <c r="CF42" s="19">
        <f>CE42+CF!CF12+CF!CF14</f>
        <v>5199.9491640987217</v>
      </c>
      <c r="CG42" s="19">
        <f>CF42+CF!CG12+CF!CG14</f>
        <v>5242.1349495483046</v>
      </c>
      <c r="CH42" s="215">
        <f t="shared" si="70"/>
        <v>5242.1349495483046</v>
      </c>
      <c r="CI42" s="19">
        <f>CG42+CF!CI12+CF!CI14</f>
        <v>5286.8518821248626</v>
      </c>
      <c r="CJ42" s="19">
        <f>CI42+CF!CJ12+CF!CJ14</f>
        <v>5331.5688147014207</v>
      </c>
      <c r="CK42" s="19">
        <f>CJ42+CF!CK12+CF!CK14</f>
        <v>5376.2857472779788</v>
      </c>
      <c r="CL42" s="19">
        <f>CK42+CF!CL12+CF!CL14</f>
        <v>5421.0026798545368</v>
      </c>
      <c r="CM42" s="215">
        <f t="shared" si="72"/>
        <v>5421.0026798545368</v>
      </c>
      <c r="CN42" s="19">
        <f>CL42+CF!CN12+CF!CN14</f>
        <v>5468.4026283856883</v>
      </c>
      <c r="CO42" s="19">
        <f>CN42+CF!CO12+CF!CO14</f>
        <v>5515.8025769168398</v>
      </c>
      <c r="CP42" s="19">
        <f>CO42+CF!CP12+CF!CP14</f>
        <v>5563.2025254479913</v>
      </c>
      <c r="CQ42" s="19">
        <f>CP42+CF!CQ12+CF!CQ14</f>
        <v>5610.6024739791428</v>
      </c>
      <c r="CR42" s="215">
        <f>CQ42</f>
        <v>5610.6024739791428</v>
      </c>
      <c r="CS42" s="19">
        <f>CQ42+CF!CS12+CF!CS14</f>
        <v>5660.8464194221633</v>
      </c>
      <c r="CT42" s="19">
        <f>CS42+CF!CT12+CF!CT14</f>
        <v>5711.0903648651838</v>
      </c>
      <c r="CU42" s="19">
        <f>CT42+CF!CU12+CF!CU14</f>
        <v>5761.3343103082043</v>
      </c>
      <c r="CV42" s="19">
        <f>CU42+CF!CV12+CF!CV14</f>
        <v>5811.5782557512248</v>
      </c>
      <c r="CW42" s="215">
        <f t="shared" si="74"/>
        <v>5811.5782557512248</v>
      </c>
      <c r="CX42" s="19">
        <f>CV42+CF!CX12+CF!CX14</f>
        <v>5864.8368379208268</v>
      </c>
      <c r="CY42" s="19">
        <f>CX42+CF!CY12+CF!CY14</f>
        <v>5918.0954200904289</v>
      </c>
      <c r="CZ42" s="19">
        <f>CY42+CF!CZ12+CF!CZ14</f>
        <v>5971.3540022600309</v>
      </c>
      <c r="DA42" s="19">
        <f>CZ42+CF!DA12+CF!DA14</f>
        <v>6024.612584429633</v>
      </c>
      <c r="DB42" s="215">
        <f>DA42</f>
        <v>6024.612584429633</v>
      </c>
    </row>
    <row r="43" spans="1:106" s="11" customFormat="1" ht="12.75" customHeight="1">
      <c r="A43" s="11" t="s">
        <v>45</v>
      </c>
      <c r="E43" s="19">
        <v>0</v>
      </c>
      <c r="F43" s="215">
        <f>E43</f>
        <v>0</v>
      </c>
      <c r="G43" s="19"/>
      <c r="H43" s="19">
        <v>0</v>
      </c>
      <c r="I43" s="19">
        <v>-227.12299999999999</v>
      </c>
      <c r="J43" s="19">
        <v>-250.083</v>
      </c>
      <c r="K43" s="215">
        <f t="shared" si="48"/>
        <v>-250.083</v>
      </c>
      <c r="L43" s="19">
        <v>-258.76900000000001</v>
      </c>
      <c r="M43" s="19">
        <v>-281.92399999999998</v>
      </c>
      <c r="N43" s="19">
        <v>-307.94099999999997</v>
      </c>
      <c r="O43" s="19">
        <v>-345.84800000000001</v>
      </c>
      <c r="P43" s="215">
        <f t="shared" si="49"/>
        <v>-345.84800000000001</v>
      </c>
      <c r="Q43" s="19">
        <v>-381.80900000000003</v>
      </c>
      <c r="R43" s="19">
        <v>-409.541</v>
      </c>
      <c r="S43" s="19">
        <v>-436.66</v>
      </c>
      <c r="T43" s="19">
        <v>-482.16199999999998</v>
      </c>
      <c r="U43" s="215">
        <f>T43</f>
        <v>-482.16199999999998</v>
      </c>
      <c r="V43" s="19">
        <v>-479.24799999999999</v>
      </c>
      <c r="W43" s="19">
        <v>-513.072</v>
      </c>
      <c r="X43" s="19">
        <v>-542.68799999999999</v>
      </c>
      <c r="Y43" s="19">
        <v>-574.529</v>
      </c>
      <c r="Z43" s="215">
        <f t="shared" si="51"/>
        <v>-574.529</v>
      </c>
      <c r="AA43" s="19">
        <v>-608.43499999999995</v>
      </c>
      <c r="AB43" s="19">
        <v>-640.851</v>
      </c>
      <c r="AC43" s="19">
        <v>-663.98800000000006</v>
      </c>
      <c r="AD43" s="19">
        <v>-699.17100000000005</v>
      </c>
      <c r="AE43" s="215">
        <f t="shared" si="52"/>
        <v>-699.17100000000005</v>
      </c>
      <c r="AF43" s="19">
        <v>-734.94600000000003</v>
      </c>
      <c r="AG43" s="19">
        <v>-794.58299999999997</v>
      </c>
      <c r="AH43" s="19">
        <v>-852.90599999999995</v>
      </c>
      <c r="AI43" s="19">
        <v>-929.31799999999998</v>
      </c>
      <c r="AJ43" s="215">
        <f t="shared" si="53"/>
        <v>-929.31799999999998</v>
      </c>
      <c r="AK43" s="19">
        <v>-986.97299999999996</v>
      </c>
      <c r="AL43" s="19">
        <v>-1102.999</v>
      </c>
      <c r="AM43" s="19">
        <v>-1254.2719999999999</v>
      </c>
      <c r="AN43" s="19">
        <v>-1394.836</v>
      </c>
      <c r="AO43" s="215">
        <f t="shared" si="54"/>
        <v>-1394.836</v>
      </c>
      <c r="AP43" s="19">
        <v>-1533.431</v>
      </c>
      <c r="AQ43" s="19">
        <v>-1678.5820000000001</v>
      </c>
      <c r="AR43" s="19">
        <v>-1800.0619999999999</v>
      </c>
      <c r="AS43" s="19">
        <v>-1942.635</v>
      </c>
      <c r="AT43" s="215">
        <f t="shared" si="55"/>
        <v>-1942.635</v>
      </c>
      <c r="AU43" s="19">
        <v>-2079.5720000000001</v>
      </c>
      <c r="AV43" s="19">
        <v>-2190.375</v>
      </c>
      <c r="AW43" s="19">
        <v>-2299.4050000000002</v>
      </c>
      <c r="AX43" s="19">
        <f>-2377.436</f>
        <v>-2377.4360000000001</v>
      </c>
      <c r="AY43" s="215">
        <f t="shared" si="56"/>
        <v>-2377.4360000000001</v>
      </c>
      <c r="AZ43" s="19">
        <v>-2445.0349999999999</v>
      </c>
      <c r="BA43" s="19">
        <v>-2482.4989999999998</v>
      </c>
      <c r="BB43" s="19">
        <v>-2514.0909999999999</v>
      </c>
      <c r="BC43" s="19">
        <v>-2567.8620000000001</v>
      </c>
      <c r="BD43" s="215">
        <f t="shared" si="57"/>
        <v>-2567.8620000000001</v>
      </c>
      <c r="BE43" s="19">
        <v>-2634.7979999999998</v>
      </c>
      <c r="BF43" s="19">
        <v>-2735.7359999999999</v>
      </c>
      <c r="BG43" s="19">
        <v>-2823.28</v>
      </c>
      <c r="BH43" s="19">
        <f>-2776.022</f>
        <v>-2776.0219999999999</v>
      </c>
      <c r="BI43" s="215">
        <f>BH43</f>
        <v>-2776.0219999999999</v>
      </c>
      <c r="BJ43" s="275">
        <f>BI43+IS!BJ23+CF!BJ36+CF!BJ11</f>
        <v>-2858.5820799051266</v>
      </c>
      <c r="BK43" s="19">
        <f>BJ43+IS!BK23+CF!BK36+CF!BK11</f>
        <v>-2925.7358020989509</v>
      </c>
      <c r="BL43" s="19">
        <f>BK43+IS!BL23+CF!BL36+CF!BL11</f>
        <v>-2981.0260264181125</v>
      </c>
      <c r="BM43" s="19">
        <f>BL43+IS!BM23+CF!BM36+CF!BM11</f>
        <v>-3009.072722728627</v>
      </c>
      <c r="BN43" s="215">
        <f t="shared" si="62"/>
        <v>-3009.072722728627</v>
      </c>
      <c r="BO43" s="19">
        <f>BN43+IS!BO23+CF!BO36+CF!BO11</f>
        <v>-3029.0673602504785</v>
      </c>
      <c r="BP43" s="19">
        <f>BO43+IS!BP23+CF!BP36+CF!BP11</f>
        <v>-3062.1819966024746</v>
      </c>
      <c r="BQ43" s="19">
        <f>BP43+IS!BQ23+CF!BQ36+CF!BQ11</f>
        <v>-3086.0238870843937</v>
      </c>
      <c r="BR43" s="19">
        <f>BQ43+IS!BR23+CF!BR36+CF!BR11</f>
        <v>-3093.99663402038</v>
      </c>
      <c r="BS43" s="215">
        <f t="shared" si="64"/>
        <v>-3093.99663402038</v>
      </c>
      <c r="BT43" s="19">
        <f>BS43+IS!BT23+CF!BT36+CF!BT11</f>
        <v>-3068.5438566519806</v>
      </c>
      <c r="BU43" s="19">
        <f>BT43+IS!BU23+CF!BU36+CF!BU11</f>
        <v>-3051.1306736412066</v>
      </c>
      <c r="BV43" s="19">
        <f>BU43+IS!BV23+CF!BV36+CF!BV11</f>
        <v>-3023.1236021349041</v>
      </c>
      <c r="BW43" s="19">
        <f>BV43+IS!BW23+CF!BW36+CF!BW11</f>
        <v>-2974.9787746592447</v>
      </c>
      <c r="BX43" s="215">
        <f t="shared" si="66"/>
        <v>-2974.9787746592447</v>
      </c>
      <c r="BY43" s="19">
        <f>BX43+IS!BY23+CF!BY36+CF!BY11</f>
        <v>-2887.1479668804982</v>
      </c>
      <c r="BZ43" s="19">
        <f>BY43+IS!BZ23+CF!BZ36+CF!BZ11</f>
        <v>-2811.5569945377606</v>
      </c>
      <c r="CA43" s="19">
        <f>BZ43+IS!CA23+CF!CA36+CF!CA11</f>
        <v>-2721.0575826534559</v>
      </c>
      <c r="CB43" s="19">
        <f>CA43+IS!CB23+CF!CB36+CF!CB11</f>
        <v>-2610.6992679537075</v>
      </c>
      <c r="CC43" s="215">
        <f t="shared" si="68"/>
        <v>-2610.6992679537075</v>
      </c>
      <c r="CD43" s="19">
        <f>CC43+IS!CD23+CF!CD36+CF!CD11</f>
        <v>-2452.8744424318361</v>
      </c>
      <c r="CE43" s="19">
        <f>CD43+IS!CE23+CF!CE36+CF!CE11</f>
        <v>-2306.5336706753242</v>
      </c>
      <c r="CF43" s="19">
        <f>CE43+IS!CF23+CF!CF36+CF!CF11</f>
        <v>-2144.965999754068</v>
      </c>
      <c r="CG43" s="19">
        <f>CF43+IS!CG23+CF!CG36+CF!CG11</f>
        <v>-1959.7880172016405</v>
      </c>
      <c r="CH43" s="215">
        <f t="shared" si="70"/>
        <v>-1959.7880172016405</v>
      </c>
      <c r="CI43" s="19">
        <f>CH43+IS!CI23+CF!CI36+CF!CI11</f>
        <v>-1729.049949162943</v>
      </c>
      <c r="CJ43" s="19">
        <f>CI43+IS!CJ23+CF!CJ36+CF!CJ11</f>
        <v>-1514.5526244708303</v>
      </c>
      <c r="CK43" s="19">
        <f>CJ43+IS!CK23+CF!CK36+CF!CK11</f>
        <v>-1287.5651810187178</v>
      </c>
      <c r="CL43" s="19">
        <f>CK43+IS!CL23+CF!CL36+CF!CL11</f>
        <v>-1038.9586829568209</v>
      </c>
      <c r="CM43" s="215">
        <f t="shared" si="72"/>
        <v>-1038.9586829568209</v>
      </c>
      <c r="CN43" s="19">
        <f>CM43+IS!CN23+CF!CN36+CF!CN11</f>
        <v>-741.67900430701809</v>
      </c>
      <c r="CO43" s="19">
        <f>CN43+IS!CO23+CF!CO36+CF!CO11</f>
        <v>-462.0492266218381</v>
      </c>
      <c r="CP43" s="19">
        <f>CO43+IS!CP23+CF!CP36+CF!CP11</f>
        <v>-169.37245334981679</v>
      </c>
      <c r="CQ43" s="19">
        <f>CP43+IS!CQ23+CF!CQ36+CF!CQ11</f>
        <v>146.31719535385099</v>
      </c>
      <c r="CR43" s="215">
        <f>CQ43</f>
        <v>146.31719535385099</v>
      </c>
      <c r="CS43" s="19">
        <f>CR43+IS!CS23+CF!CS36+CF!CS11</f>
        <v>514.54341287298723</v>
      </c>
      <c r="CT43" s="19">
        <f>CS43+IS!CT23+CF!CT36+CF!CT11</f>
        <v>864.2922560703073</v>
      </c>
      <c r="CU43" s="19">
        <f>CT43+IS!CU23+CF!CU36+CF!CU11</f>
        <v>1228.364054934236</v>
      </c>
      <c r="CV43" s="19">
        <f>CU43+IS!CV23+CF!CV36+CF!CV11</f>
        <v>1617.503571604338</v>
      </c>
      <c r="CW43" s="215">
        <f t="shared" si="74"/>
        <v>1617.503571604338</v>
      </c>
      <c r="CX43" s="19">
        <f>CW43+IS!CX23+CF!CX36+CF!CX11</f>
        <v>2049.6131625956941</v>
      </c>
      <c r="CY43" s="19">
        <f>CX43+IS!CY23+CF!CY36+CF!CY11</f>
        <v>2458.4292250493736</v>
      </c>
      <c r="CZ43" s="19">
        <f>CY43+IS!CZ23+CF!CZ36+CF!CZ11</f>
        <v>2878.7028392677062</v>
      </c>
      <c r="DA43" s="19">
        <f>CZ43+IS!DA23+CF!DA36+CF!DA11</f>
        <v>3321.9577647918859</v>
      </c>
      <c r="DB43" s="215">
        <f>DA43</f>
        <v>3321.9577647918859</v>
      </c>
    </row>
    <row r="44" spans="1:106" s="11" customFormat="1" ht="12.75" customHeight="1">
      <c r="A44" s="11" t="s">
        <v>46</v>
      </c>
      <c r="E44" s="19">
        <v>-179.80799999999999</v>
      </c>
      <c r="F44" s="215">
        <f>E44</f>
        <v>-179.80799999999999</v>
      </c>
      <c r="G44" s="19"/>
      <c r="H44" s="19">
        <v>-209.494</v>
      </c>
      <c r="I44" s="19">
        <v>3.5999999999999997E-2</v>
      </c>
      <c r="J44" s="19">
        <v>-1.4159999999999999</v>
      </c>
      <c r="K44" s="215">
        <f t="shared" si="48"/>
        <v>-1.4159999999999999</v>
      </c>
      <c r="L44" s="19">
        <v>0.39600000000000002</v>
      </c>
      <c r="M44" s="19">
        <v>0.94299999999999995</v>
      </c>
      <c r="N44" s="19">
        <v>0.33400000000000002</v>
      </c>
      <c r="O44" s="19">
        <v>-0.72499999999999998</v>
      </c>
      <c r="P44" s="215">
        <f t="shared" si="49"/>
        <v>-0.72499999999999998</v>
      </c>
      <c r="Q44" s="19">
        <v>-0.52500000000000002</v>
      </c>
      <c r="R44" s="19">
        <v>-0.46300000000000002</v>
      </c>
      <c r="S44" s="19">
        <v>-0.39600000000000002</v>
      </c>
      <c r="T44" s="19">
        <v>-0.76600000000000001</v>
      </c>
      <c r="U44" s="215">
        <f>T44</f>
        <v>-0.76600000000000001</v>
      </c>
      <c r="V44" s="19">
        <v>-0.90400000000000003</v>
      </c>
      <c r="W44" s="19">
        <v>-0.85799999999999998</v>
      </c>
      <c r="X44" s="19">
        <v>-0.89400000000000002</v>
      </c>
      <c r="Y44" s="19">
        <v>-0.55200000000000005</v>
      </c>
      <c r="Z44" s="215">
        <f t="shared" si="51"/>
        <v>-0.55200000000000005</v>
      </c>
      <c r="AA44" s="19">
        <v>-0.26600000000000001</v>
      </c>
      <c r="AB44" s="19">
        <v>0.79500000000000004</v>
      </c>
      <c r="AC44" s="19">
        <v>0.85799999999999998</v>
      </c>
      <c r="AD44" s="19">
        <v>0.91900000000000004</v>
      </c>
      <c r="AE44" s="215">
        <f t="shared" si="52"/>
        <v>0.91900000000000004</v>
      </c>
      <c r="AF44" s="19">
        <v>5.6660000000000004</v>
      </c>
      <c r="AG44" s="19">
        <v>5.77</v>
      </c>
      <c r="AH44" s="19">
        <v>5.17</v>
      </c>
      <c r="AI44" s="19">
        <v>4.2590000000000003</v>
      </c>
      <c r="AJ44" s="215">
        <f t="shared" si="53"/>
        <v>4.2590000000000003</v>
      </c>
      <c r="AK44" s="19">
        <v>3.1970000000000001</v>
      </c>
      <c r="AL44" s="19">
        <v>2.4409999999999998</v>
      </c>
      <c r="AM44" s="19">
        <v>1.4910000000000001</v>
      </c>
      <c r="AN44" s="19">
        <v>-2.2869999999999999</v>
      </c>
      <c r="AO44" s="215">
        <f t="shared" si="54"/>
        <v>-2.2869999999999999</v>
      </c>
      <c r="AP44" s="19">
        <v>-13.904</v>
      </c>
      <c r="AQ44" s="19">
        <v>-16.396999999999998</v>
      </c>
      <c r="AR44" s="19">
        <v>-19.609000000000002</v>
      </c>
      <c r="AS44" s="19">
        <v>-16.361999999999998</v>
      </c>
      <c r="AT44" s="215">
        <f t="shared" si="55"/>
        <v>-16.361999999999998</v>
      </c>
      <c r="AU44" s="19">
        <v>-11.798</v>
      </c>
      <c r="AV44" s="19">
        <v>-9.2029999999999994</v>
      </c>
      <c r="AW44" s="19">
        <v>-5.3959999999999999</v>
      </c>
      <c r="AX44" s="19">
        <v>-3.085</v>
      </c>
      <c r="AY44" s="215">
        <f t="shared" si="56"/>
        <v>-3.085</v>
      </c>
      <c r="AZ44" s="19">
        <v>-2.1920000000000002</v>
      </c>
      <c r="BA44" s="19">
        <v>-1.3580000000000001</v>
      </c>
      <c r="BB44" s="19">
        <v>-0.76500000000000001</v>
      </c>
      <c r="BC44" s="19">
        <v>-0.34399999999999997</v>
      </c>
      <c r="BD44" s="215">
        <f t="shared" si="57"/>
        <v>-0.34399999999999997</v>
      </c>
      <c r="BE44" s="19">
        <v>-0.19700000000000001</v>
      </c>
      <c r="BF44" s="19">
        <v>-0.28699999999999998</v>
      </c>
      <c r="BG44" s="19">
        <v>-0.187</v>
      </c>
      <c r="BH44" s="19">
        <f>-0.258</f>
        <v>-0.25800000000000001</v>
      </c>
      <c r="BI44" s="215">
        <f t="shared" si="58"/>
        <v>-0.25800000000000001</v>
      </c>
      <c r="BJ44" s="275">
        <f>BH44</f>
        <v>-0.25800000000000001</v>
      </c>
      <c r="BK44" s="19">
        <f t="shared" ref="BK44" si="76">BJ44</f>
        <v>-0.25800000000000001</v>
      </c>
      <c r="BL44" s="19">
        <f t="shared" ref="BL44" si="77">BK44</f>
        <v>-0.25800000000000001</v>
      </c>
      <c r="BM44" s="19">
        <f t="shared" ref="BM44" si="78">BL44</f>
        <v>-0.25800000000000001</v>
      </c>
      <c r="BN44" s="215">
        <f t="shared" si="62"/>
        <v>-0.25800000000000001</v>
      </c>
      <c r="BO44" s="19">
        <f>BM44</f>
        <v>-0.25800000000000001</v>
      </c>
      <c r="BP44" s="19">
        <f t="shared" ref="BP44:BR44" si="79">BO44</f>
        <v>-0.25800000000000001</v>
      </c>
      <c r="BQ44" s="19">
        <f t="shared" si="79"/>
        <v>-0.25800000000000001</v>
      </c>
      <c r="BR44" s="19">
        <f t="shared" si="79"/>
        <v>-0.25800000000000001</v>
      </c>
      <c r="BS44" s="215">
        <f t="shared" si="64"/>
        <v>-0.25800000000000001</v>
      </c>
      <c r="BT44" s="19">
        <f>BR44</f>
        <v>-0.25800000000000001</v>
      </c>
      <c r="BU44" s="19">
        <f t="shared" ref="BU44:BW44" si="80">BT44</f>
        <v>-0.25800000000000001</v>
      </c>
      <c r="BV44" s="19">
        <f t="shared" si="80"/>
        <v>-0.25800000000000001</v>
      </c>
      <c r="BW44" s="19">
        <f t="shared" si="80"/>
        <v>-0.25800000000000001</v>
      </c>
      <c r="BX44" s="215">
        <f t="shared" si="66"/>
        <v>-0.25800000000000001</v>
      </c>
      <c r="BY44" s="19">
        <f>BW44</f>
        <v>-0.25800000000000001</v>
      </c>
      <c r="BZ44" s="19">
        <f t="shared" ref="BZ44:CB44" si="81">BY44</f>
        <v>-0.25800000000000001</v>
      </c>
      <c r="CA44" s="19">
        <f t="shared" si="81"/>
        <v>-0.25800000000000001</v>
      </c>
      <c r="CB44" s="19">
        <f t="shared" si="81"/>
        <v>-0.25800000000000001</v>
      </c>
      <c r="CC44" s="215">
        <f t="shared" si="68"/>
        <v>-0.25800000000000001</v>
      </c>
      <c r="CD44" s="19">
        <f>CB44</f>
        <v>-0.25800000000000001</v>
      </c>
      <c r="CE44" s="19">
        <f t="shared" ref="CE44:CG44" si="82">CD44</f>
        <v>-0.25800000000000001</v>
      </c>
      <c r="CF44" s="19">
        <f t="shared" si="82"/>
        <v>-0.25800000000000001</v>
      </c>
      <c r="CG44" s="19">
        <f t="shared" si="82"/>
        <v>-0.25800000000000001</v>
      </c>
      <c r="CH44" s="215">
        <f t="shared" si="70"/>
        <v>-0.25800000000000001</v>
      </c>
      <c r="CI44" s="19">
        <f>CG44</f>
        <v>-0.25800000000000001</v>
      </c>
      <c r="CJ44" s="19">
        <f t="shared" ref="CJ44:CL44" si="83">CI44</f>
        <v>-0.25800000000000001</v>
      </c>
      <c r="CK44" s="19">
        <f t="shared" si="83"/>
        <v>-0.25800000000000001</v>
      </c>
      <c r="CL44" s="19">
        <f t="shared" si="83"/>
        <v>-0.25800000000000001</v>
      </c>
      <c r="CM44" s="215">
        <f t="shared" si="72"/>
        <v>-0.25800000000000001</v>
      </c>
      <c r="CN44" s="19">
        <f>CL44</f>
        <v>-0.25800000000000001</v>
      </c>
      <c r="CO44" s="19">
        <f t="shared" ref="CO44:CQ44" si="84">CN44</f>
        <v>-0.25800000000000001</v>
      </c>
      <c r="CP44" s="19">
        <f t="shared" si="84"/>
        <v>-0.25800000000000001</v>
      </c>
      <c r="CQ44" s="19">
        <f t="shared" si="84"/>
        <v>-0.25800000000000001</v>
      </c>
      <c r="CR44" s="215">
        <f>CQ44</f>
        <v>-0.25800000000000001</v>
      </c>
      <c r="CS44" s="19">
        <f>CQ44</f>
        <v>-0.25800000000000001</v>
      </c>
      <c r="CT44" s="19">
        <f t="shared" ref="CT44:CV44" si="85">CS44</f>
        <v>-0.25800000000000001</v>
      </c>
      <c r="CU44" s="19">
        <f t="shared" si="85"/>
        <v>-0.25800000000000001</v>
      </c>
      <c r="CV44" s="19">
        <f t="shared" si="85"/>
        <v>-0.25800000000000001</v>
      </c>
      <c r="CW44" s="215">
        <f t="shared" si="74"/>
        <v>-0.25800000000000001</v>
      </c>
      <c r="CX44" s="19">
        <f>CV44</f>
        <v>-0.25800000000000001</v>
      </c>
      <c r="CY44" s="19">
        <f t="shared" ref="CY44:DA44" si="86">CX44</f>
        <v>-0.25800000000000001</v>
      </c>
      <c r="CZ44" s="19">
        <f t="shared" si="86"/>
        <v>-0.25800000000000001</v>
      </c>
      <c r="DA44" s="19">
        <f t="shared" si="86"/>
        <v>-0.25800000000000001</v>
      </c>
      <c r="DB44" s="215">
        <f>DA44</f>
        <v>-0.25800000000000001</v>
      </c>
    </row>
    <row r="45" spans="1:106" s="10" customFormat="1" ht="12.75" customHeight="1">
      <c r="A45" s="10" t="s">
        <v>47</v>
      </c>
      <c r="E45" s="135">
        <f>SUM(E42:E44)+E41</f>
        <v>-171.143</v>
      </c>
      <c r="F45" s="216">
        <f>E45</f>
        <v>-171.143</v>
      </c>
      <c r="G45" s="135">
        <f>SUM(G42:G44)+G41+G40</f>
        <v>0</v>
      </c>
      <c r="H45" s="135">
        <f>SUM(H42:H44)+H41</f>
        <v>-197.774</v>
      </c>
      <c r="I45" s="135">
        <f>SUM(I42:I44)+I41</f>
        <v>206.06299999999999</v>
      </c>
      <c r="J45" s="135">
        <f>SUM(J42:J44)+J41+J40</f>
        <v>184.76500000000001</v>
      </c>
      <c r="K45" s="216">
        <f t="shared" si="48"/>
        <v>184.76500000000001</v>
      </c>
      <c r="L45" s="135">
        <f t="shared" ref="L45:AL45" si="87">SUM(L42:L44)+L41+L40</f>
        <v>181.59499999999997</v>
      </c>
      <c r="M45" s="135">
        <f t="shared" si="87"/>
        <v>163.81500000000005</v>
      </c>
      <c r="N45" s="135">
        <f t="shared" si="87"/>
        <v>140.31400000000005</v>
      </c>
      <c r="O45" s="135">
        <f t="shared" si="87"/>
        <v>106.47599999999997</v>
      </c>
      <c r="P45" s="216">
        <f t="shared" si="87"/>
        <v>106.47599999999997</v>
      </c>
      <c r="Q45" s="135">
        <f t="shared" si="87"/>
        <v>73.671999999999969</v>
      </c>
      <c r="R45" s="135">
        <f t="shared" si="87"/>
        <v>50.908000000000008</v>
      </c>
      <c r="S45" s="135">
        <f t="shared" si="87"/>
        <v>30.183999999999955</v>
      </c>
      <c r="T45" s="135">
        <f t="shared" si="87"/>
        <v>-10.369999999999957</v>
      </c>
      <c r="U45" s="216">
        <f t="shared" si="87"/>
        <v>-10.369999999999957</v>
      </c>
      <c r="V45" s="135">
        <f t="shared" si="87"/>
        <v>-3.8760000000000088</v>
      </c>
      <c r="W45" s="135">
        <f t="shared" si="87"/>
        <v>-22.037000000000003</v>
      </c>
      <c r="X45" s="135">
        <f t="shared" si="87"/>
        <v>56.57099999999997</v>
      </c>
      <c r="Y45" s="135">
        <f t="shared" si="87"/>
        <v>32.161999999999992</v>
      </c>
      <c r="Z45" s="216">
        <f t="shared" si="87"/>
        <v>32.161999999999992</v>
      </c>
      <c r="AA45" s="135">
        <f t="shared" si="87"/>
        <v>4.9860000000000042</v>
      </c>
      <c r="AB45" s="135">
        <f t="shared" si="87"/>
        <v>93.087999999999951</v>
      </c>
      <c r="AC45" s="135">
        <f t="shared" si="87"/>
        <v>84.69399999999996</v>
      </c>
      <c r="AD45" s="135">
        <f t="shared" si="87"/>
        <v>278.71099999999996</v>
      </c>
      <c r="AE45" s="216">
        <f t="shared" si="87"/>
        <v>278.71099999999996</v>
      </c>
      <c r="AF45" s="135">
        <f t="shared" si="87"/>
        <v>258.92699999999991</v>
      </c>
      <c r="AG45" s="135">
        <f t="shared" si="87"/>
        <v>304.26699999999988</v>
      </c>
      <c r="AH45" s="135">
        <f t="shared" si="87"/>
        <v>536.00000000000011</v>
      </c>
      <c r="AI45" s="135">
        <f t="shared" si="87"/>
        <v>486.2360000000001</v>
      </c>
      <c r="AJ45" s="216">
        <f t="shared" si="87"/>
        <v>486.2360000000001</v>
      </c>
      <c r="AK45" s="135">
        <f t="shared" si="87"/>
        <v>372.44500000000005</v>
      </c>
      <c r="AL45" s="135">
        <f t="shared" si="87"/>
        <v>299.11000000000007</v>
      </c>
      <c r="AM45" s="135">
        <v>1</v>
      </c>
      <c r="AN45" s="135">
        <f t="shared" ref="AN45:BC45" si="88">SUM(AN42:AN44)+AN41+AN40</f>
        <v>653.30399999999986</v>
      </c>
      <c r="AO45" s="216">
        <f t="shared" si="88"/>
        <v>653.30399999999986</v>
      </c>
      <c r="AP45" s="135">
        <f t="shared" si="88"/>
        <v>542.33499999999981</v>
      </c>
      <c r="AQ45" s="135">
        <f t="shared" si="88"/>
        <v>444.58199999999982</v>
      </c>
      <c r="AR45" s="135">
        <f t="shared" si="88"/>
        <v>361.62100000000027</v>
      </c>
      <c r="AS45" s="135">
        <f t="shared" si="88"/>
        <v>705.74400000000003</v>
      </c>
      <c r="AT45" s="216">
        <f t="shared" si="88"/>
        <v>705.74400000000003</v>
      </c>
      <c r="AU45" s="135">
        <f t="shared" si="88"/>
        <v>650.57299999999964</v>
      </c>
      <c r="AV45" s="135">
        <f t="shared" si="88"/>
        <v>596.14699999999993</v>
      </c>
      <c r="AW45" s="135">
        <f t="shared" si="88"/>
        <v>784.65799999999967</v>
      </c>
      <c r="AX45" s="135">
        <f t="shared" si="88"/>
        <v>765.32699999999977</v>
      </c>
      <c r="AY45" s="216">
        <f t="shared" si="88"/>
        <v>765.32699999999977</v>
      </c>
      <c r="AZ45" s="135">
        <f t="shared" si="88"/>
        <v>794.1110000000001</v>
      </c>
      <c r="BA45" s="135">
        <f t="shared" si="88"/>
        <v>836.52</v>
      </c>
      <c r="BB45" s="135">
        <f t="shared" si="88"/>
        <v>878.5250000000002</v>
      </c>
      <c r="BC45" s="135">
        <f t="shared" si="88"/>
        <v>1195.4199999999998</v>
      </c>
      <c r="BD45" s="216">
        <f t="shared" si="57"/>
        <v>1195.4199999999998</v>
      </c>
      <c r="BE45" s="135">
        <f>SUM(BE42:BE44)+BE41+BE40</f>
        <v>1239.6750000000002</v>
      </c>
      <c r="BF45" s="135">
        <f>SUM(BF42:BF44)+BF41+BF40</f>
        <v>1246.1819999999998</v>
      </c>
      <c r="BG45" s="135">
        <f>SUM(BG42:BG44)+BG41+BG40</f>
        <v>1252.1879999999999</v>
      </c>
      <c r="BH45" s="135">
        <f>SUM(BH42:BH44)+BH41+BH40</f>
        <v>1712.413</v>
      </c>
      <c r="BI45" s="216">
        <f t="shared" si="58"/>
        <v>1712.413</v>
      </c>
      <c r="BJ45" s="273">
        <f>SUM(BJ42:BJ44)+BJ41+BJ40</f>
        <v>1663.2680134282064</v>
      </c>
      <c r="BK45" s="135">
        <f>SUM(BK42:BK44)+BK41+BK40</f>
        <v>1629.5293845677152</v>
      </c>
      <c r="BL45" s="135">
        <f>SUM(BL42:BL44)+BL41+BL40</f>
        <v>1607.6542535818867</v>
      </c>
      <c r="BM45" s="135">
        <f>SUM(BM42:BM44)+BM41+BM40</f>
        <v>1613.0226506047052</v>
      </c>
      <c r="BN45" s="216">
        <f t="shared" si="62"/>
        <v>1613.0226506047052</v>
      </c>
      <c r="BO45" s="135">
        <f>SUM(BO42:BO44)+BO41+BO40</f>
        <v>1628.4480120161875</v>
      </c>
      <c r="BP45" s="135">
        <f>SUM(BP42:BP44)+BP41+BP40</f>
        <v>1630.7533745975252</v>
      </c>
      <c r="BQ45" s="135">
        <f>SUM(BQ42:BQ44)+BQ41+BQ40</f>
        <v>1642.3314830489398</v>
      </c>
      <c r="BR45" s="135">
        <f>SUM(BR42:BR44)+BR41+BR40</f>
        <v>1669.7787350462872</v>
      </c>
      <c r="BS45" s="216">
        <f t="shared" si="64"/>
        <v>1669.7787350462872</v>
      </c>
      <c r="BT45" s="135">
        <f>SUM(BT42:BT44)+BT41+BT40</f>
        <v>1732.7767112840197</v>
      </c>
      <c r="BU45" s="135">
        <f>SUM(BU42:BU44)+BU41+BU40</f>
        <v>1787.7350931641267</v>
      </c>
      <c r="BV45" s="135">
        <f>SUM(BV42:BV44)+BV41+BV40</f>
        <v>1853.2873635397623</v>
      </c>
      <c r="BW45" s="135">
        <f>SUM(BW42:BW44)+BW41+BW40</f>
        <v>1938.9773898847548</v>
      </c>
      <c r="BX45" s="216">
        <f t="shared" si="66"/>
        <v>1938.9773898847548</v>
      </c>
      <c r="BY45" s="135">
        <f>SUM(BY42:BY44)+BY41+BY40</f>
        <v>2066.606108464995</v>
      </c>
      <c r="BZ45" s="135">
        <f>SUM(BZ42:BZ44)+BZ41+BZ40</f>
        <v>2181.994991609226</v>
      </c>
      <c r="CA45" s="135">
        <f>SUM(CA42:CA44)+CA41+CA40</f>
        <v>2312.292314295024</v>
      </c>
      <c r="CB45" s="135">
        <f>SUM(CB42:CB44)+CB41+CB40</f>
        <v>2462.4485397962658</v>
      </c>
      <c r="CC45" s="216">
        <f t="shared" si="68"/>
        <v>2462.4485397962658</v>
      </c>
      <c r="CD45" s="135">
        <f>SUM(CD42:CD44)+CD41+CD40</f>
        <v>2662.4591507677201</v>
      </c>
      <c r="CE45" s="135">
        <f>SUM(CE42:CE44)+CE41+CE40</f>
        <v>2850.9857079738149</v>
      </c>
      <c r="CF45" s="135">
        <f>SUM(CF42:CF44)+CF41+CF40</f>
        <v>3054.739164344654</v>
      </c>
      <c r="CG45" s="135">
        <f>SUM(CG42:CG44)+CG41+CG40</f>
        <v>3282.1029323466646</v>
      </c>
      <c r="CH45" s="216">
        <f t="shared" si="70"/>
        <v>3282.1029323466646</v>
      </c>
      <c r="CI45" s="135">
        <f>SUM(CI42:CI44)+CI41+CI40</f>
        <v>3557.55793296192</v>
      </c>
      <c r="CJ45" s="135">
        <f>SUM(CJ42:CJ44)+CJ41+CJ40</f>
        <v>3816.7721902305907</v>
      </c>
      <c r="CK45" s="135">
        <f>SUM(CK42:CK44)+CK41+CK40</f>
        <v>4088.4765662592613</v>
      </c>
      <c r="CL45" s="135">
        <f>SUM(CL42:CL44)+CL41+CL40</f>
        <v>4381.7999968977165</v>
      </c>
      <c r="CM45" s="216">
        <f t="shared" si="72"/>
        <v>4381.7999968977165</v>
      </c>
      <c r="CN45" s="135">
        <f>SUM(CN42:CN44)+CN41+CN40</f>
        <v>4726.4796240786709</v>
      </c>
      <c r="CO45" s="135">
        <f>SUM(CO42:CO44)+CO41+CO40</f>
        <v>5053.5093502950022</v>
      </c>
      <c r="CP45" s="135">
        <f>SUM(CP42:CP44)+CP41+CP40</f>
        <v>5393.5860720981746</v>
      </c>
      <c r="CQ45" s="135">
        <f>SUM(CQ42:CQ44)+CQ41+CQ40</f>
        <v>5756.6756693329944</v>
      </c>
      <c r="CR45" s="216">
        <f>CQ45</f>
        <v>5756.6756693329944</v>
      </c>
      <c r="CS45" s="135">
        <f>SUM(CS42:CS44)+CS41+CS40</f>
        <v>6175.1458322951512</v>
      </c>
      <c r="CT45" s="135">
        <f>SUM(CT42:CT44)+CT41+CT40</f>
        <v>6575.1386209354914</v>
      </c>
      <c r="CU45" s="135">
        <f>SUM(CU42:CU44)+CU41+CU40</f>
        <v>6989.4543652424409</v>
      </c>
      <c r="CV45" s="135">
        <f>SUM(CV42:CV44)+CV41+CV40</f>
        <v>7428.8378273555636</v>
      </c>
      <c r="CW45" s="216">
        <f>CV45</f>
        <v>7428.8378273555636</v>
      </c>
      <c r="CX45" s="135">
        <f>SUM(CX42:CX44)+CX41+CX40</f>
        <v>7914.2060005165213</v>
      </c>
      <c r="CY45" s="135">
        <f>SUM(CY42:CY44)+CY41+CY40</f>
        <v>8376.280645139801</v>
      </c>
      <c r="CZ45" s="135">
        <f>SUM(CZ42:CZ44)+CZ41+CZ40</f>
        <v>8849.812841527737</v>
      </c>
      <c r="DA45" s="135">
        <f>SUM(DA42:DA44)+DA41+DA40</f>
        <v>9346.3263492215174</v>
      </c>
      <c r="DB45" s="216">
        <f>DA45</f>
        <v>9346.3263492215174</v>
      </c>
    </row>
    <row r="46" spans="1:106" s="11" customFormat="1" ht="12.75" customHeight="1">
      <c r="E46" s="19"/>
      <c r="F46" s="215"/>
      <c r="G46" s="19"/>
      <c r="H46" s="19"/>
      <c r="I46" s="19"/>
      <c r="J46" s="19"/>
      <c r="K46" s="215"/>
      <c r="L46" s="19"/>
      <c r="M46" s="19"/>
      <c r="N46" s="19"/>
      <c r="O46" s="19"/>
      <c r="P46" s="215"/>
      <c r="Q46" s="19"/>
      <c r="R46" s="19"/>
      <c r="S46" s="19"/>
      <c r="T46" s="19"/>
      <c r="U46" s="215"/>
      <c r="V46" s="19"/>
      <c r="W46" s="19"/>
      <c r="X46" s="19"/>
      <c r="Y46" s="19"/>
      <c r="Z46" s="215"/>
      <c r="AA46" s="19"/>
      <c r="AB46" s="19"/>
      <c r="AC46" s="19"/>
      <c r="AD46" s="19"/>
      <c r="AE46" s="215"/>
      <c r="AF46" s="19"/>
      <c r="AG46" s="19"/>
      <c r="AH46" s="19"/>
      <c r="AI46" s="19"/>
      <c r="AJ46" s="215"/>
      <c r="AK46" s="19"/>
      <c r="AL46" s="19"/>
      <c r="AM46" s="19"/>
      <c r="AN46" s="19"/>
      <c r="AO46" s="215"/>
      <c r="AP46" s="19"/>
      <c r="AQ46" s="19"/>
      <c r="AR46" s="19"/>
      <c r="AS46" s="19"/>
      <c r="AT46" s="215"/>
      <c r="AU46" s="19"/>
      <c r="AV46" s="19"/>
      <c r="AW46" s="19"/>
      <c r="AX46" s="19"/>
      <c r="AY46" s="215"/>
      <c r="AZ46" s="19"/>
      <c r="BA46" s="19"/>
      <c r="BB46" s="19"/>
      <c r="BC46" s="19"/>
      <c r="BD46" s="215"/>
      <c r="BE46" s="19"/>
      <c r="BF46" s="19"/>
      <c r="BG46" s="19"/>
      <c r="BH46" s="19"/>
      <c r="BI46" s="215"/>
      <c r="BJ46" s="275"/>
      <c r="BK46" s="19"/>
      <c r="BL46" s="19"/>
      <c r="BM46" s="19"/>
      <c r="BN46" s="215"/>
      <c r="BO46" s="19"/>
      <c r="BP46" s="19"/>
      <c r="BQ46" s="19"/>
      <c r="BR46" s="19"/>
      <c r="BS46" s="215"/>
      <c r="BT46" s="19"/>
      <c r="BU46" s="19"/>
      <c r="BV46" s="19"/>
      <c r="BW46" s="19"/>
      <c r="BX46" s="215"/>
      <c r="BY46" s="19"/>
      <c r="BZ46" s="19"/>
      <c r="CA46" s="19"/>
      <c r="CB46" s="19"/>
      <c r="CC46" s="215"/>
      <c r="CD46" s="19"/>
      <c r="CE46" s="19"/>
      <c r="CF46" s="19"/>
      <c r="CG46" s="19"/>
      <c r="CH46" s="215"/>
      <c r="CI46" s="19"/>
      <c r="CJ46" s="19"/>
      <c r="CK46" s="19"/>
      <c r="CL46" s="19"/>
      <c r="CM46" s="215"/>
      <c r="CN46" s="19"/>
      <c r="CO46" s="19"/>
      <c r="CP46" s="19"/>
      <c r="CQ46" s="19"/>
      <c r="CR46" s="215"/>
      <c r="CS46" s="19"/>
      <c r="CT46" s="19"/>
      <c r="CU46" s="19"/>
      <c r="CV46" s="19"/>
      <c r="CW46" s="215"/>
      <c r="CX46" s="19"/>
      <c r="CY46" s="19"/>
      <c r="CZ46" s="19"/>
      <c r="DA46" s="19"/>
      <c r="DB46" s="215"/>
    </row>
    <row r="47" spans="1:106" s="10" customFormat="1" ht="12.75" customHeight="1">
      <c r="A47" s="10" t="s">
        <v>48</v>
      </c>
      <c r="E47" s="135">
        <f>E38+E45+E40</f>
        <v>123.815</v>
      </c>
      <c r="F47" s="216">
        <f>E47</f>
        <v>123.815</v>
      </c>
      <c r="G47" s="135">
        <f>G38+G45</f>
        <v>0</v>
      </c>
      <c r="H47" s="135">
        <f>H38+H45+H40</f>
        <v>106.75200000000001</v>
      </c>
      <c r="I47" s="135">
        <f>I38+I45</f>
        <v>262.36699999999996</v>
      </c>
      <c r="J47" s="135">
        <f>J38+J45</f>
        <v>265.24</v>
      </c>
      <c r="K47" s="216">
        <f>J47</f>
        <v>265.24</v>
      </c>
      <c r="L47" s="135">
        <f>L38+L45</f>
        <v>265.74799999999993</v>
      </c>
      <c r="M47" s="135">
        <f>M38+M45</f>
        <v>261.26700000000005</v>
      </c>
      <c r="N47" s="135">
        <f>N38+N45</f>
        <v>242.38500000000005</v>
      </c>
      <c r="O47" s="135">
        <f>O38+O45</f>
        <v>210.67999999999995</v>
      </c>
      <c r="P47" s="216">
        <f>O47</f>
        <v>210.67999999999995</v>
      </c>
      <c r="Q47" s="135">
        <f>Q38+Q45</f>
        <v>176.02399999999997</v>
      </c>
      <c r="R47" s="135">
        <f>R38+R45</f>
        <v>158.42500000000001</v>
      </c>
      <c r="S47" s="135">
        <f>S38+S45</f>
        <v>204.05599999999998</v>
      </c>
      <c r="T47" s="135">
        <f>T38+T45</f>
        <v>178.77600000000004</v>
      </c>
      <c r="U47" s="216">
        <f>T47</f>
        <v>178.77600000000004</v>
      </c>
      <c r="V47" s="135">
        <f>V38+V45</f>
        <v>218.655</v>
      </c>
      <c r="W47" s="135">
        <f>W38+W45</f>
        <v>194.36099999999999</v>
      </c>
      <c r="X47" s="135">
        <f>X38+X45</f>
        <v>277.30899999999997</v>
      </c>
      <c r="Y47" s="135">
        <f>Y38+Y45</f>
        <v>268.17099999999999</v>
      </c>
      <c r="Z47" s="216">
        <f>Y47</f>
        <v>268.17099999999999</v>
      </c>
      <c r="AA47" s="135">
        <f>AA38+AA45</f>
        <v>261.44499999999999</v>
      </c>
      <c r="AB47" s="135">
        <f>AB38+AB45</f>
        <v>383.32599999999996</v>
      </c>
      <c r="AC47" s="135">
        <f>AC38+AC45</f>
        <v>380.24999999999994</v>
      </c>
      <c r="AD47" s="135">
        <f>AD38+AD45</f>
        <v>582.65599999999995</v>
      </c>
      <c r="AE47" s="216">
        <f>AD47</f>
        <v>582.65599999999995</v>
      </c>
      <c r="AF47" s="135">
        <f>AF38+AF45</f>
        <v>558.6389999999999</v>
      </c>
      <c r="AG47" s="135">
        <f>AG38+AG45</f>
        <v>723.26099999999997</v>
      </c>
      <c r="AH47" s="135">
        <f>AH38+AH45</f>
        <v>976.71300000000008</v>
      </c>
      <c r="AI47" s="135">
        <f>AI38+AI45</f>
        <v>932.15300000000013</v>
      </c>
      <c r="AJ47" s="216">
        <f>AI47</f>
        <v>932.15300000000013</v>
      </c>
      <c r="AK47" s="135">
        <f>AK38+AK45</f>
        <v>893.51200000000006</v>
      </c>
      <c r="AL47" s="135">
        <f>AL38+AL45</f>
        <v>849.95600000000013</v>
      </c>
      <c r="AM47" s="135">
        <f>AM38+AM45</f>
        <v>553.35699999999997</v>
      </c>
      <c r="AN47" s="135">
        <f>AN38+AN45</f>
        <v>1236.4869999999999</v>
      </c>
      <c r="AO47" s="216">
        <f>AN47</f>
        <v>1236.4869999999999</v>
      </c>
      <c r="AP47" s="135">
        <f>AP38+AP45</f>
        <v>1144.6639999999998</v>
      </c>
      <c r="AQ47" s="135">
        <f>AQ38+AQ45</f>
        <v>1066.9759999999999</v>
      </c>
      <c r="AR47" s="135">
        <f>AR38+AR45</f>
        <v>1009.1120000000003</v>
      </c>
      <c r="AS47" s="135">
        <f>AS38+AS45</f>
        <v>1394.4740000000002</v>
      </c>
      <c r="AT47" s="216">
        <f>AS47</f>
        <v>1394.4740000000002</v>
      </c>
      <c r="AU47" s="135">
        <f>AU38+AU45</f>
        <v>1318.8799999999997</v>
      </c>
      <c r="AV47" s="135">
        <f>AV38+AV45</f>
        <v>1247.893</v>
      </c>
      <c r="AW47" s="135">
        <f>AW38+AW45</f>
        <v>1446.5199999999998</v>
      </c>
      <c r="AX47" s="135">
        <f>AX38+AX45</f>
        <v>1441.6989999999998</v>
      </c>
      <c r="AY47" s="216">
        <f>AX47</f>
        <v>1441.6989999999998</v>
      </c>
      <c r="AZ47" s="135">
        <f>AZ38+AZ45</f>
        <v>1468.2050000000002</v>
      </c>
      <c r="BA47" s="135">
        <f>BA38+BA45</f>
        <v>1516.989</v>
      </c>
      <c r="BB47" s="135">
        <f>BB38+BB45</f>
        <v>1590.9470000000001</v>
      </c>
      <c r="BC47" s="135">
        <f>BC38+BC45</f>
        <v>1660.7349999999997</v>
      </c>
      <c r="BD47" s="216">
        <f>BC47</f>
        <v>1660.7349999999997</v>
      </c>
      <c r="BE47" s="135">
        <f>BE38+BE45</f>
        <v>1732.3660000000002</v>
      </c>
      <c r="BF47" s="135">
        <f>BF38+BF45</f>
        <v>1757.0659999999998</v>
      </c>
      <c r="BG47" s="135">
        <f>BG38+BG45</f>
        <v>1821.482</v>
      </c>
      <c r="BH47" s="135">
        <f>BH38+BH45</f>
        <v>2398.3440000000001</v>
      </c>
      <c r="BI47" s="216">
        <f>BH47</f>
        <v>2398.3440000000001</v>
      </c>
      <c r="BJ47" s="273">
        <f>BJ38+BJ45</f>
        <v>2413.2472473804346</v>
      </c>
      <c r="BK47" s="135">
        <f>BK38+BK45</f>
        <v>2369.7918989916398</v>
      </c>
      <c r="BL47" s="135">
        <f>BL38+BL45</f>
        <v>2341.478508713777</v>
      </c>
      <c r="BM47" s="135">
        <f>BM38+BM45</f>
        <v>2334.6606525592679</v>
      </c>
      <c r="BN47" s="216">
        <f>BM47</f>
        <v>2334.6606525592679</v>
      </c>
      <c r="BO47" s="135">
        <f>BO38+BO45</f>
        <v>2380.5507638745307</v>
      </c>
      <c r="BP47" s="135">
        <f>BP38+BP45</f>
        <v>2392.8484740287668</v>
      </c>
      <c r="BQ47" s="135">
        <f>BQ38+BQ45</f>
        <v>2422.4994599440265</v>
      </c>
      <c r="BR47" s="135">
        <f>BR38+BR45</f>
        <v>2465.3606243998188</v>
      </c>
      <c r="BS47" s="216">
        <f>BR47</f>
        <v>2465.3606243998188</v>
      </c>
      <c r="BT47" s="135">
        <f>BT38+BT45</f>
        <v>2555.0516327852283</v>
      </c>
      <c r="BU47" s="135">
        <f>BU38+BU45</f>
        <v>2620.3090454411563</v>
      </c>
      <c r="BV47" s="135">
        <f>BV38+BV45</f>
        <v>2704.8943671799875</v>
      </c>
      <c r="BW47" s="135">
        <f>BW38+BW45</f>
        <v>2810.2329465426974</v>
      </c>
      <c r="BX47" s="216">
        <f>BW47</f>
        <v>2810.2329465426974</v>
      </c>
      <c r="BY47" s="135">
        <f>BY38+BY45</f>
        <v>2969.2977654699243</v>
      </c>
      <c r="BZ47" s="135">
        <f>BZ38+BZ45</f>
        <v>3094.7555368387775</v>
      </c>
      <c r="CA47" s="135">
        <f>CA38+CA45</f>
        <v>3246.4953145996401</v>
      </c>
      <c r="CB47" s="135">
        <f>CB38+CB45</f>
        <v>3417.693759591014</v>
      </c>
      <c r="CC47" s="216">
        <f>CB47</f>
        <v>3417.693759591014</v>
      </c>
      <c r="CD47" s="135">
        <f>CD38+CD45</f>
        <v>3651.5262145481315</v>
      </c>
      <c r="CE47" s="135">
        <f>CE38+CE45</f>
        <v>3850.7775021744928</v>
      </c>
      <c r="CF47" s="135">
        <f>CF38+CF45</f>
        <v>4077.0154933627737</v>
      </c>
      <c r="CG47" s="135">
        <f>CG38+CG45</f>
        <v>4327.3401620827844</v>
      </c>
      <c r="CH47" s="216">
        <f>CG47</f>
        <v>4327.3401620827844</v>
      </c>
      <c r="CI47" s="135">
        <f>CI38+CI45</f>
        <v>4638.4060682823983</v>
      </c>
      <c r="CJ47" s="135">
        <f>CJ38+CJ45</f>
        <v>4905.8966279904853</v>
      </c>
      <c r="CK47" s="135">
        <f>CK38+CK45</f>
        <v>5198.7363714272215</v>
      </c>
      <c r="CL47" s="135">
        <f>CL38+CL45</f>
        <v>5512.626881823865</v>
      </c>
      <c r="CM47" s="216">
        <f>CL47</f>
        <v>5512.626881823865</v>
      </c>
      <c r="CN47" s="135">
        <f>CN38+CN45</f>
        <v>5893.4193347215205</v>
      </c>
      <c r="CO47" s="135">
        <f>CO38+CO45</f>
        <v>6226.8709518251344</v>
      </c>
      <c r="CP47" s="135">
        <f>CP38+CP45</f>
        <v>6588.3202063871022</v>
      </c>
      <c r="CQ47" s="135">
        <f>CQ38+CQ45</f>
        <v>6972.848606272124</v>
      </c>
      <c r="CR47" s="216">
        <f>CQ47</f>
        <v>6972.848606272124</v>
      </c>
      <c r="CS47" s="135">
        <f>CS38+CS45</f>
        <v>7429.9573469056868</v>
      </c>
      <c r="CT47" s="135">
        <f>CT38+CT45</f>
        <v>7835.9498733208811</v>
      </c>
      <c r="CU47" s="135">
        <f>CU38+CU45</f>
        <v>8272.8855095792787</v>
      </c>
      <c r="CV47" s="135">
        <f>CV38+CV45</f>
        <v>8735.0586480173079</v>
      </c>
      <c r="CW47" s="216">
        <f>CV47</f>
        <v>8735.0586480173079</v>
      </c>
      <c r="CX47" s="135">
        <f>CX38+CX45</f>
        <v>9259.957340581921</v>
      </c>
      <c r="CY47" s="135">
        <f>CY38+CY45</f>
        <v>9725.08493699465</v>
      </c>
      <c r="CZ47" s="135">
        <f>CZ38+CZ45</f>
        <v>10219.171458445564</v>
      </c>
      <c r="DA47" s="135">
        <f>DA38+DA45</f>
        <v>10735.734909588025</v>
      </c>
      <c r="DB47" s="216">
        <f>DA47</f>
        <v>10735.734909588025</v>
      </c>
    </row>
    <row r="48" spans="1:106" s="11" customFormat="1" ht="12.75" customHeight="1">
      <c r="F48" s="214"/>
      <c r="K48" s="214"/>
      <c r="P48" s="214"/>
      <c r="U48" s="214"/>
      <c r="Z48" s="214"/>
      <c r="AE48" s="214"/>
      <c r="AJ48" s="214"/>
      <c r="AO48" s="214"/>
      <c r="AT48" s="214"/>
      <c r="AY48" s="214"/>
      <c r="BD48" s="214"/>
      <c r="BI48" s="214"/>
      <c r="BJ48" s="283"/>
      <c r="BN48" s="214"/>
      <c r="BS48" s="214"/>
      <c r="BX48" s="214"/>
      <c r="CC48" s="214"/>
      <c r="CH48" s="214"/>
      <c r="CM48" s="214"/>
      <c r="CR48" s="214"/>
      <c r="CW48" s="214"/>
      <c r="DB48" s="214"/>
    </row>
    <row r="49" spans="1:106" ht="12.75" customHeight="1">
      <c r="A49" s="1" t="str">
        <f>IS!A65</f>
        <v>Source: Natera and Wells Fargo Securities, LLC estimates.</v>
      </c>
      <c r="F49" s="217"/>
      <c r="K49" s="217"/>
      <c r="P49" s="217"/>
      <c r="U49" s="217"/>
      <c r="Z49" s="217"/>
      <c r="AE49" s="217"/>
      <c r="AJ49" s="217"/>
      <c r="AO49" s="217"/>
      <c r="AT49" s="217"/>
      <c r="AY49" s="217"/>
      <c r="BD49" s="217"/>
      <c r="BI49" s="217"/>
      <c r="BJ49" s="356"/>
      <c r="BN49" s="217"/>
      <c r="BS49" s="217"/>
      <c r="BX49" s="217"/>
      <c r="CC49" s="217"/>
      <c r="CH49" s="217"/>
      <c r="CM49" s="217"/>
      <c r="CR49" s="217"/>
      <c r="CW49" s="217"/>
      <c r="DB49" s="217"/>
    </row>
    <row r="50" spans="1:106" ht="12.75" customHeight="1">
      <c r="F50" s="217"/>
      <c r="K50" s="217"/>
      <c r="P50" s="217"/>
      <c r="U50" s="217"/>
      <c r="Z50" s="217"/>
      <c r="AE50" s="217"/>
      <c r="AJ50" s="217"/>
      <c r="AO50" s="217"/>
      <c r="AT50" s="217"/>
      <c r="AY50" s="217"/>
      <c r="BD50" s="217"/>
      <c r="BI50" s="217"/>
      <c r="BJ50" s="356"/>
      <c r="BN50" s="217"/>
      <c r="BS50" s="217"/>
      <c r="BX50" s="217"/>
      <c r="CC50" s="217"/>
      <c r="CH50" s="217"/>
      <c r="CM50" s="217"/>
      <c r="CR50" s="217"/>
      <c r="CW50" s="217"/>
      <c r="DB50" s="217"/>
    </row>
    <row r="51" spans="1:106" ht="12.75" customHeight="1">
      <c r="F51" s="217"/>
      <c r="K51" s="217"/>
      <c r="P51" s="217"/>
      <c r="U51" s="217"/>
      <c r="Z51" s="217"/>
      <c r="AC51" s="15"/>
      <c r="AD51" s="15"/>
      <c r="AE51" s="217"/>
      <c r="AJ51" s="217"/>
      <c r="AO51" s="217"/>
      <c r="AT51" s="217"/>
      <c r="AY51" s="217"/>
      <c r="BD51" s="217"/>
      <c r="BI51" s="217"/>
      <c r="BJ51" s="356"/>
      <c r="BN51" s="217"/>
      <c r="BS51" s="217"/>
      <c r="BX51" s="217"/>
      <c r="CC51" s="217"/>
      <c r="CH51" s="217"/>
      <c r="CM51" s="217"/>
      <c r="CR51" s="217"/>
      <c r="CW51" s="217"/>
      <c r="DB51" s="217"/>
    </row>
    <row r="52" spans="1:106" ht="12.75" customHeight="1">
      <c r="A52" s="12" t="s">
        <v>49</v>
      </c>
      <c r="B52" s="16"/>
      <c r="C52" s="16"/>
      <c r="D52" s="16"/>
      <c r="E52" s="16">
        <f>E21-E47</f>
        <v>-0.19199999999999307</v>
      </c>
      <c r="F52" s="218">
        <f>E52</f>
        <v>-0.19199999999999307</v>
      </c>
      <c r="G52" s="16">
        <f>G21-G47</f>
        <v>0</v>
      </c>
      <c r="H52" s="16">
        <f>H21-H47</f>
        <v>0</v>
      </c>
      <c r="I52" s="16">
        <f>I21-I47</f>
        <v>0</v>
      </c>
      <c r="J52" s="16">
        <f>J21-J47</f>
        <v>0</v>
      </c>
      <c r="K52" s="218">
        <f>J52</f>
        <v>0</v>
      </c>
      <c r="L52" s="16">
        <f>L21-L47</f>
        <v>0</v>
      </c>
      <c r="M52" s="16">
        <f>M21-M47</f>
        <v>0</v>
      </c>
      <c r="N52" s="16">
        <f>N21-N47</f>
        <v>0</v>
      </c>
      <c r="O52" s="88">
        <f>O21-O47</f>
        <v>0</v>
      </c>
      <c r="P52" s="218">
        <f>O52</f>
        <v>0</v>
      </c>
      <c r="Q52" s="16">
        <f>Q21-Q47</f>
        <v>0</v>
      </c>
      <c r="R52" s="16">
        <f>R21-R47</f>
        <v>0</v>
      </c>
      <c r="S52" s="89">
        <f>S21-S47</f>
        <v>0</v>
      </c>
      <c r="T52" s="89">
        <f>T21-T47</f>
        <v>0</v>
      </c>
      <c r="U52" s="221">
        <f>T52</f>
        <v>0</v>
      </c>
      <c r="V52" s="89">
        <f>V21-V47</f>
        <v>0</v>
      </c>
      <c r="W52" s="89">
        <f>W21-W47</f>
        <v>0</v>
      </c>
      <c r="X52" s="89">
        <f>X21-X47</f>
        <v>0</v>
      </c>
      <c r="Y52" s="89">
        <f>Y21-Y47</f>
        <v>0</v>
      </c>
      <c r="Z52" s="221">
        <f>Y52</f>
        <v>0</v>
      </c>
      <c r="AA52" s="89">
        <f>AA21-AA47</f>
        <v>0</v>
      </c>
      <c r="AB52" s="89">
        <f>AB21-AB47</f>
        <v>0</v>
      </c>
      <c r="AC52" s="89">
        <f>AC21-AC47</f>
        <v>0</v>
      </c>
      <c r="AD52" s="89">
        <f>AD21-AD47</f>
        <v>0</v>
      </c>
      <c r="AE52" s="221">
        <f>AD52</f>
        <v>0</v>
      </c>
      <c r="AF52" s="89">
        <f>AF21-AF47</f>
        <v>0</v>
      </c>
      <c r="AG52" s="89">
        <f>AG21-AG47</f>
        <v>0</v>
      </c>
      <c r="AH52" s="89">
        <f>AH21-AH47</f>
        <v>0</v>
      </c>
      <c r="AI52" s="89">
        <f>AI21-AI47</f>
        <v>0</v>
      </c>
      <c r="AJ52" s="221">
        <f>AI52</f>
        <v>0</v>
      </c>
      <c r="AK52" s="89">
        <f>AK21-AK47</f>
        <v>0</v>
      </c>
      <c r="AL52" s="16">
        <f>AL21-AL47</f>
        <v>0</v>
      </c>
      <c r="AM52" s="16">
        <f>AM21-AM47</f>
        <v>758.01700000000005</v>
      </c>
      <c r="AN52" s="16">
        <f>AN21-AN47</f>
        <v>0</v>
      </c>
      <c r="AO52" s="221">
        <f>AN52</f>
        <v>0</v>
      </c>
      <c r="AP52" s="16">
        <f>AP21-AP47</f>
        <v>0</v>
      </c>
      <c r="AQ52" s="16">
        <f>AQ21-AQ47</f>
        <v>0</v>
      </c>
      <c r="AR52" s="16">
        <f>AR21-AR47</f>
        <v>0</v>
      </c>
      <c r="AS52" s="16">
        <f>AS21-AS47</f>
        <v>0</v>
      </c>
      <c r="AT52" s="221">
        <f>AS52</f>
        <v>0</v>
      </c>
      <c r="AU52" s="16">
        <f t="shared" ref="AU52:BC52" si="89">AU21-AU47</f>
        <v>0</v>
      </c>
      <c r="AV52" s="16">
        <f t="shared" si="89"/>
        <v>0</v>
      </c>
      <c r="AW52" s="16">
        <f t="shared" si="89"/>
        <v>0</v>
      </c>
      <c r="AX52" s="16">
        <f t="shared" si="89"/>
        <v>0</v>
      </c>
      <c r="AY52" s="218">
        <f t="shared" si="89"/>
        <v>0</v>
      </c>
      <c r="AZ52" s="16">
        <f t="shared" si="89"/>
        <v>0</v>
      </c>
      <c r="BA52" s="16">
        <f t="shared" si="89"/>
        <v>0</v>
      </c>
      <c r="BB52" s="16">
        <f t="shared" si="89"/>
        <v>0</v>
      </c>
      <c r="BC52" s="16">
        <f t="shared" si="89"/>
        <v>0</v>
      </c>
      <c r="BD52" s="214">
        <f>BC52</f>
        <v>0</v>
      </c>
      <c r="BE52" s="16">
        <f>BE21-BE47</f>
        <v>0</v>
      </c>
      <c r="BF52" s="16">
        <f>BF21-BF47</f>
        <v>0</v>
      </c>
      <c r="BG52" s="16">
        <f>BG21-BG47</f>
        <v>0</v>
      </c>
      <c r="BH52" s="16">
        <f>BH21-BH47</f>
        <v>0</v>
      </c>
      <c r="BI52" s="214">
        <f>BH52</f>
        <v>0</v>
      </c>
      <c r="BJ52" s="357">
        <f>BJ21-BJ47</f>
        <v>0</v>
      </c>
      <c r="BK52" s="16">
        <f>BK21-BK47</f>
        <v>0</v>
      </c>
      <c r="BL52" s="16">
        <f>BL21-BL47</f>
        <v>0</v>
      </c>
      <c r="BM52" s="16">
        <f>BM21-BM47</f>
        <v>0</v>
      </c>
      <c r="BN52" s="214">
        <f>BM52</f>
        <v>0</v>
      </c>
      <c r="BO52" s="16">
        <f>BO21-BO47</f>
        <v>0</v>
      </c>
      <c r="BP52" s="16">
        <f>BP21-BP47</f>
        <v>0</v>
      </c>
      <c r="BQ52" s="16">
        <f>BQ21-BQ47</f>
        <v>0</v>
      </c>
      <c r="BR52" s="16">
        <f>BR21-BR47</f>
        <v>0</v>
      </c>
      <c r="BS52" s="214">
        <f>BR52</f>
        <v>0</v>
      </c>
      <c r="BT52" s="16">
        <f>BT21-BT47</f>
        <v>0</v>
      </c>
      <c r="BU52" s="16">
        <f>BU21-BU47</f>
        <v>0</v>
      </c>
      <c r="BV52" s="16">
        <f>BV21-BV47</f>
        <v>0</v>
      </c>
      <c r="BW52" s="16">
        <f>BW21-BW47</f>
        <v>0</v>
      </c>
      <c r="BX52" s="214">
        <f>BW52</f>
        <v>0</v>
      </c>
      <c r="BY52" s="16">
        <f>BY21-BY47</f>
        <v>0</v>
      </c>
      <c r="BZ52" s="16">
        <f>BZ21-BZ47</f>
        <v>0</v>
      </c>
      <c r="CA52" s="16">
        <f>CA21-CA47</f>
        <v>0</v>
      </c>
      <c r="CB52" s="16">
        <f>CB21-CB47</f>
        <v>0</v>
      </c>
      <c r="CC52" s="214">
        <f>CB52</f>
        <v>0</v>
      </c>
      <c r="CD52" s="16">
        <f>CD21-CD47</f>
        <v>0</v>
      </c>
      <c r="CE52" s="16">
        <f>CE21-CE47</f>
        <v>0</v>
      </c>
      <c r="CF52" s="16">
        <f>CF21-CF47</f>
        <v>0</v>
      </c>
      <c r="CG52" s="16">
        <f>CG21-CG47</f>
        <v>0</v>
      </c>
      <c r="CH52" s="214">
        <f>CG52</f>
        <v>0</v>
      </c>
      <c r="CI52" s="16">
        <f>CI21-CI47</f>
        <v>0</v>
      </c>
      <c r="CJ52" s="16">
        <f>CJ21-CJ47</f>
        <v>0</v>
      </c>
      <c r="CK52" s="16">
        <f>CK21-CK47</f>
        <v>0</v>
      </c>
      <c r="CL52" s="16">
        <f>CL21-CL47</f>
        <v>0</v>
      </c>
      <c r="CM52" s="214">
        <f>CL52</f>
        <v>0</v>
      </c>
      <c r="CN52" s="16">
        <f>CN21-CN47</f>
        <v>0</v>
      </c>
      <c r="CO52" s="16">
        <f>CO21-CO47</f>
        <v>0</v>
      </c>
      <c r="CP52" s="16">
        <f>CP21-CP47</f>
        <v>0</v>
      </c>
      <c r="CQ52" s="16">
        <f>CQ21-CQ47</f>
        <v>0</v>
      </c>
      <c r="CR52" s="214">
        <f>CQ52</f>
        <v>0</v>
      </c>
      <c r="CS52" s="16">
        <f>CS21-CS47</f>
        <v>0</v>
      </c>
      <c r="CT52" s="16">
        <f>CT21-CT47</f>
        <v>0</v>
      </c>
      <c r="CU52" s="16">
        <f>CU21-CU47</f>
        <v>0</v>
      </c>
      <c r="CV52" s="16">
        <f>CV21-CV47</f>
        <v>0</v>
      </c>
      <c r="CW52" s="214">
        <f>CV52</f>
        <v>0</v>
      </c>
      <c r="CX52" s="16">
        <f>CX21-CX47</f>
        <v>0</v>
      </c>
      <c r="CY52" s="16">
        <f>CY21-CY47</f>
        <v>0</v>
      </c>
      <c r="CZ52" s="16">
        <f>CZ21-CZ47</f>
        <v>0</v>
      </c>
      <c r="DA52" s="16">
        <f>DA21-DA47</f>
        <v>0</v>
      </c>
      <c r="DB52" s="214">
        <f>DA52</f>
        <v>0</v>
      </c>
    </row>
    <row r="53" spans="1:106" ht="12.75" customHeight="1">
      <c r="A53" s="13">
        <v>0.03</v>
      </c>
      <c r="F53" s="217"/>
      <c r="K53" s="217"/>
      <c r="P53" s="217"/>
      <c r="U53" s="217"/>
      <c r="Z53" s="217"/>
      <c r="AE53" s="217"/>
      <c r="AJ53" s="217"/>
      <c r="AO53" s="217"/>
      <c r="AT53" s="217"/>
      <c r="AY53" s="217"/>
      <c r="BD53" s="217"/>
      <c r="BI53" s="217"/>
      <c r="BJ53" s="356"/>
      <c r="BN53" s="217"/>
      <c r="BS53" s="217"/>
      <c r="BX53" s="217"/>
      <c r="CC53" s="217"/>
      <c r="CH53" s="217"/>
      <c r="CM53" s="217"/>
      <c r="CR53" s="217"/>
      <c r="CW53" s="217"/>
      <c r="DB53" s="217"/>
    </row>
    <row r="54" spans="1:106" s="17" customFormat="1" ht="12.75" customHeight="1">
      <c r="A54" s="17" t="s">
        <v>50</v>
      </c>
      <c r="D54" s="17">
        <f>C57</f>
        <v>4.7220000000000004</v>
      </c>
      <c r="E54" s="17">
        <f>D57</f>
        <v>36.930999999999997</v>
      </c>
      <c r="F54" s="219"/>
      <c r="G54" s="17">
        <f>E57</f>
        <v>-27.044</v>
      </c>
      <c r="H54" s="17">
        <f>G57</f>
        <v>5.2889999999999997</v>
      </c>
      <c r="I54" s="17">
        <f>H57</f>
        <v>5.4939999999999998</v>
      </c>
      <c r="J54" s="17">
        <f>I57</f>
        <v>44.944000000000003</v>
      </c>
      <c r="K54" s="219">
        <f>G54</f>
        <v>-27.044</v>
      </c>
      <c r="L54" s="17">
        <f>J57</f>
        <v>49.088999999999999</v>
      </c>
      <c r="M54" s="17">
        <f>L57</f>
        <v>50.439</v>
      </c>
      <c r="N54" s="17">
        <f>M57</f>
        <v>51.445</v>
      </c>
      <c r="O54" s="17">
        <f>N57</f>
        <v>52.012</v>
      </c>
      <c r="P54" s="219">
        <f>L54</f>
        <v>49.088999999999999</v>
      </c>
      <c r="Q54" s="17">
        <f>O57</f>
        <v>52.407999999999987</v>
      </c>
      <c r="R54" s="17">
        <f>Q57</f>
        <v>53.042999999999999</v>
      </c>
      <c r="S54" s="17">
        <f>R57</f>
        <v>53.088000000000001</v>
      </c>
      <c r="T54" s="17">
        <f>S57</f>
        <v>53.447000000000003</v>
      </c>
      <c r="U54" s="219">
        <f>Q54</f>
        <v>52.407999999999987</v>
      </c>
      <c r="V54" s="17">
        <f>T57</f>
        <v>54.837999999999994</v>
      </c>
      <c r="W54" s="17">
        <f>V57</f>
        <v>54.131999999999998</v>
      </c>
      <c r="X54" s="17">
        <f>W57</f>
        <v>54.551000000000002</v>
      </c>
      <c r="Y54" s="17">
        <f>X57</f>
        <v>60.57</v>
      </c>
      <c r="Z54" s="219">
        <f>V54</f>
        <v>54.837999999999994</v>
      </c>
      <c r="AA54" s="17">
        <f>Y57</f>
        <v>62.13900000000001</v>
      </c>
      <c r="AB54" s="17">
        <f>AA57</f>
        <v>62.831000000000003</v>
      </c>
      <c r="AC54" s="17">
        <f>AB57</f>
        <v>68.224000000000004</v>
      </c>
      <c r="AD54" s="17">
        <f>AC57</f>
        <v>70.456000000000003</v>
      </c>
      <c r="AE54" s="219">
        <f>AA54</f>
        <v>62.13900000000001</v>
      </c>
      <c r="AF54" s="17">
        <f>AD57</f>
        <v>76.709000000000003</v>
      </c>
      <c r="AG54" s="17">
        <f>AF57</f>
        <v>78.287000000000006</v>
      </c>
      <c r="AH54" s="17">
        <f>AG57</f>
        <v>79.069000000000003</v>
      </c>
      <c r="AI54" s="17">
        <f>AH57</f>
        <v>80.908000000000001</v>
      </c>
      <c r="AJ54" s="219">
        <f>AF54</f>
        <v>76.709000000000003</v>
      </c>
      <c r="AK54" s="17">
        <f>AI57</f>
        <v>85.779999999999973</v>
      </c>
      <c r="AL54" s="17">
        <f>AK57</f>
        <v>86.688999999999993</v>
      </c>
      <c r="AM54" s="17">
        <f>AL57</f>
        <v>88.076999999999998</v>
      </c>
      <c r="AN54" s="17">
        <f>AM57</f>
        <v>92.558000000000007</v>
      </c>
      <c r="AO54" s="219">
        <f>AK54</f>
        <v>85.779999999999973</v>
      </c>
      <c r="AP54" s="17">
        <f>AN57</f>
        <v>94.908000000000015</v>
      </c>
      <c r="AQ54" s="17">
        <f>AP57</f>
        <v>95.578000000000003</v>
      </c>
      <c r="AR54" s="17">
        <f>AQ57</f>
        <v>96.578999999999994</v>
      </c>
      <c r="AS54" s="17">
        <f>AR57</f>
        <v>97.052000000000007</v>
      </c>
      <c r="AT54" s="219">
        <f>AP54</f>
        <v>94.908000000000015</v>
      </c>
      <c r="AU54" s="17">
        <f>AS57</f>
        <v>104.423</v>
      </c>
      <c r="AV54" s="17">
        <f>AT57</f>
        <v>104.423</v>
      </c>
      <c r="AW54" s="17">
        <f>AV57</f>
        <v>113.69</v>
      </c>
      <c r="AX54" s="17">
        <f>AW57</f>
        <v>115.17100000000001</v>
      </c>
      <c r="AY54" s="219">
        <f>AU54</f>
        <v>104.423</v>
      </c>
      <c r="AZ54" s="17">
        <f>AX57</f>
        <v>119.36000000000001</v>
      </c>
      <c r="BA54" s="17">
        <f>AZ57</f>
        <v>120.81399999999999</v>
      </c>
      <c r="BB54" s="17">
        <f>BA57</f>
        <v>122.85299999999999</v>
      </c>
      <c r="BC54" s="17">
        <f>BB57</f>
        <v>123.77500000000001</v>
      </c>
      <c r="BD54" s="219">
        <f>AZ54</f>
        <v>119.36000000000001</v>
      </c>
      <c r="BE54" s="17">
        <f>BC57</f>
        <v>131.43</v>
      </c>
      <c r="BF54" s="17">
        <f>BE57</f>
        <v>134.75</v>
      </c>
      <c r="BG54" s="17">
        <f>BF57</f>
        <v>136.38800000000001</v>
      </c>
      <c r="BH54" s="17">
        <f>BG57</f>
        <v>137.18700000000001</v>
      </c>
      <c r="BI54" s="219">
        <f>BE54</f>
        <v>131.43</v>
      </c>
      <c r="BJ54" s="358">
        <f>BH57</f>
        <v>138.55899999999997</v>
      </c>
      <c r="BK54" s="18">
        <f>BJ57</f>
        <v>139.59819249999998</v>
      </c>
      <c r="BL54" s="18">
        <f>BK57</f>
        <v>140.63738499999999</v>
      </c>
      <c r="BM54" s="18">
        <f>BL57</f>
        <v>141.67657750000001</v>
      </c>
      <c r="BN54" s="219">
        <f>BJ54</f>
        <v>138.55899999999997</v>
      </c>
      <c r="BO54" s="18">
        <f>BM57</f>
        <v>142.71577000000002</v>
      </c>
      <c r="BP54" s="18">
        <f>BO57</f>
        <v>143.78613827500001</v>
      </c>
      <c r="BQ54" s="18">
        <f>BP57</f>
        <v>144.85650655000001</v>
      </c>
      <c r="BR54" s="18">
        <f>BQ57</f>
        <v>145.926874825</v>
      </c>
      <c r="BS54" s="219">
        <f>BO54</f>
        <v>142.71577000000002</v>
      </c>
      <c r="BT54" s="18">
        <f>BR57</f>
        <v>146.99724309999999</v>
      </c>
      <c r="BU54" s="18">
        <f>BT57</f>
        <v>148.09972242325</v>
      </c>
      <c r="BV54" s="18">
        <f>BU57</f>
        <v>149.20220174650001</v>
      </c>
      <c r="BW54" s="18">
        <f>BV57</f>
        <v>150.30468106975002</v>
      </c>
      <c r="BX54" s="219">
        <f>BT54</f>
        <v>146.99724309999999</v>
      </c>
      <c r="BY54" s="18">
        <f>BW57</f>
        <v>151.40716039300003</v>
      </c>
      <c r="BZ54" s="18">
        <f>BY57</f>
        <v>152.54271409594753</v>
      </c>
      <c r="CA54" s="18">
        <f>BZ57</f>
        <v>153.67826779889504</v>
      </c>
      <c r="CB54" s="18">
        <f>CA57</f>
        <v>154.81382150184254</v>
      </c>
      <c r="CC54" s="219">
        <f>BY54</f>
        <v>151.40716039300003</v>
      </c>
      <c r="CD54" s="18">
        <f>CB57</f>
        <v>155.94937520479004</v>
      </c>
      <c r="CE54" s="18">
        <f>CD57</f>
        <v>157.11899551882598</v>
      </c>
      <c r="CF54" s="18">
        <f>CE57</f>
        <v>158.28861583286192</v>
      </c>
      <c r="CG54" s="18">
        <f>CF57</f>
        <v>159.45823614689786</v>
      </c>
      <c r="CH54" s="219">
        <f>CD54</f>
        <v>155.94937520479004</v>
      </c>
      <c r="CI54" s="18">
        <f>CG57</f>
        <v>160.6278564609338</v>
      </c>
      <c r="CJ54" s="18">
        <f>CI57</f>
        <v>161.83256538439079</v>
      </c>
      <c r="CK54" s="18">
        <f>CJ57</f>
        <v>163.03727430784778</v>
      </c>
      <c r="CL54" s="18">
        <f>CK57</f>
        <v>164.24198323130477</v>
      </c>
      <c r="CM54" s="219">
        <f>CI54</f>
        <v>160.6278564609338</v>
      </c>
      <c r="CN54" s="18">
        <f>CL57</f>
        <v>165.44669215476176</v>
      </c>
      <c r="CO54" s="18">
        <f>CN57</f>
        <v>166.68754234592248</v>
      </c>
      <c r="CP54" s="18">
        <f>CO57</f>
        <v>167.9283925370832</v>
      </c>
      <c r="CQ54" s="18">
        <f>CP57</f>
        <v>169.16924272824392</v>
      </c>
      <c r="CR54" s="219">
        <f>CN54</f>
        <v>165.44669215476176</v>
      </c>
      <c r="CS54" s="18">
        <f>CQ57</f>
        <v>170.41009291940463</v>
      </c>
      <c r="CT54" s="18">
        <f>CS57</f>
        <v>171.68816861630017</v>
      </c>
      <c r="CU54" s="18">
        <f>CT57</f>
        <v>172.96624431319572</v>
      </c>
      <c r="CV54" s="18">
        <f>CU57</f>
        <v>174.24432001009126</v>
      </c>
      <c r="CW54" s="219">
        <f>CS54</f>
        <v>170.41009291940463</v>
      </c>
      <c r="CX54" s="18">
        <f>CV57</f>
        <v>175.5223957069868</v>
      </c>
      <c r="CY54" s="18">
        <f>CX57</f>
        <v>176.83881367478921</v>
      </c>
      <c r="CZ54" s="18">
        <f>CY57</f>
        <v>178.15523164259162</v>
      </c>
      <c r="DA54" s="18">
        <f>CZ57</f>
        <v>179.47164961039402</v>
      </c>
      <c r="DB54" s="219">
        <f>CX54</f>
        <v>175.5223957069868</v>
      </c>
    </row>
    <row r="55" spans="1:106" s="17" customFormat="1" ht="12.75" customHeight="1">
      <c r="A55" s="17" t="s">
        <v>51</v>
      </c>
      <c r="D55" s="17">
        <f>D57-D54+D56</f>
        <v>32.208999999999996</v>
      </c>
      <c r="E55" s="17">
        <f>E57-E54+E56</f>
        <v>-63.974999999999994</v>
      </c>
      <c r="F55" s="219"/>
      <c r="G55" s="17">
        <f>G57-G54+G56</f>
        <v>32.332999999999998</v>
      </c>
      <c r="H55" s="17">
        <f>H57-H54+H56</f>
        <v>0.20500000000000007</v>
      </c>
      <c r="I55" s="17">
        <f>I57-I54+I56</f>
        <v>39.450000000000003</v>
      </c>
      <c r="J55" s="17">
        <f>J57-J54+J56</f>
        <v>4.144999999999996</v>
      </c>
      <c r="K55" s="219">
        <f>SUM(G55:J55)</f>
        <v>76.132999999999996</v>
      </c>
      <c r="L55" s="17">
        <f>L57-L54+L56</f>
        <v>1.3500000000000014</v>
      </c>
      <c r="M55" s="17">
        <f>M57-M54+M56</f>
        <v>1.0060000000000002</v>
      </c>
      <c r="N55" s="17">
        <f>N57-N54+N56</f>
        <v>0.56700000000000017</v>
      </c>
      <c r="O55" s="17">
        <f>O57-O54+O56</f>
        <v>0.39599999999998658</v>
      </c>
      <c r="P55" s="219">
        <f>SUM(L55:O55)</f>
        <v>3.3189999999999884</v>
      </c>
      <c r="Q55" s="17">
        <f>Q57-Q54+Q56</f>
        <v>0.63500000000001222</v>
      </c>
      <c r="R55" s="17">
        <f>R57-R54+R56</f>
        <v>4.5000000000001705E-2</v>
      </c>
      <c r="S55" s="17">
        <f>S57-S54+S56</f>
        <v>0.35900000000000176</v>
      </c>
      <c r="T55" s="17">
        <f>T57-T54+T56</f>
        <v>1.3909999999999911</v>
      </c>
      <c r="U55" s="219">
        <f>SUM(Q55:T55)</f>
        <v>2.4300000000000068</v>
      </c>
      <c r="V55" s="17">
        <f>V57-V54+V56</f>
        <v>-0.70599999999999596</v>
      </c>
      <c r="W55" s="17">
        <f>W57-W54+W56</f>
        <v>0.41900000000000404</v>
      </c>
      <c r="X55" s="17">
        <f>X57-X54+X56</f>
        <v>6.0189999999999984</v>
      </c>
      <c r="Y55" s="17">
        <f>Y57-Y54+Y56</f>
        <v>1.5690000000000097</v>
      </c>
      <c r="Z55" s="219">
        <f>SUM(V55:Y55)</f>
        <v>7.3010000000000161</v>
      </c>
      <c r="AA55" s="17">
        <f>AA57-AA54+AA56</f>
        <v>0.69199999999999307</v>
      </c>
      <c r="AB55" s="17">
        <f>AB57-AB54+AB56</f>
        <v>5.3930000000000007</v>
      </c>
      <c r="AC55" s="17">
        <f>AC57-AC54+AC56</f>
        <v>2.2319999999999993</v>
      </c>
      <c r="AD55" s="17">
        <f>AD57-AD54+AD56</f>
        <v>6.2530000000000001</v>
      </c>
      <c r="AE55" s="219">
        <f>SUM(AA55:AD55)</f>
        <v>14.569999999999993</v>
      </c>
      <c r="AF55" s="17">
        <f>AF57-AF54+AF56</f>
        <v>1.578000000000003</v>
      </c>
      <c r="AG55" s="17">
        <f>AG57-AG54+AG56</f>
        <v>0.78199999999999648</v>
      </c>
      <c r="AH55" s="17">
        <f>AH57-AH54+AH56</f>
        <v>1.8389999999999986</v>
      </c>
      <c r="AI55" s="17">
        <f>AI57-AI54+AI56</f>
        <v>4.8719999999999715</v>
      </c>
      <c r="AJ55" s="219">
        <f>SUM(AF55:AI55)</f>
        <v>9.0709999999999695</v>
      </c>
      <c r="AK55" s="17">
        <f>AK57-AK54+AK56</f>
        <v>0.90900000000002024</v>
      </c>
      <c r="AL55" s="17">
        <f>AL57-AL54+AL56</f>
        <v>1.3880000000000052</v>
      </c>
      <c r="AM55" s="17">
        <f>AM57-AM54+AM56</f>
        <v>4.4810000000000088</v>
      </c>
      <c r="AN55" s="17">
        <f>AN57-AN54+AN56</f>
        <v>2.3500000000000085</v>
      </c>
      <c r="AO55" s="219">
        <f>SUM(AK55:AN55)</f>
        <v>9.1280000000000427</v>
      </c>
      <c r="AP55" s="17">
        <f>AP57-AP54+AP56</f>
        <v>0.66999999999998749</v>
      </c>
      <c r="AQ55" s="17">
        <f>AQ57-AQ54+AQ56</f>
        <v>1.0009999999999906</v>
      </c>
      <c r="AR55" s="17">
        <f>AR57-AR54+AR56</f>
        <v>0.47300000000001319</v>
      </c>
      <c r="AS55" s="17">
        <f>AS57-AS54+AS56</f>
        <v>7.3709999999999951</v>
      </c>
      <c r="AT55" s="219">
        <f>SUM(AP55:AS55)</f>
        <v>9.5149999999999864</v>
      </c>
      <c r="AU55" s="17">
        <f>AU57-AU54+AU56</f>
        <v>7.3439999999999941</v>
      </c>
      <c r="AV55" s="17">
        <f>AV57-AV54+AV56</f>
        <v>9.2669999999999959</v>
      </c>
      <c r="AW55" s="17">
        <f>AW57-AW54+AW56</f>
        <v>1.4810000000000088</v>
      </c>
      <c r="AX55" s="17">
        <f>AX57-AX54+AX56</f>
        <v>4.1890000000000072</v>
      </c>
      <c r="AY55" s="219">
        <f>SUM(AU55:AX55)</f>
        <v>22.281000000000006</v>
      </c>
      <c r="AZ55" s="17">
        <f>AZ57-AZ54+AZ56</f>
        <v>1.4539999999999793</v>
      </c>
      <c r="BA55" s="17">
        <f>BA57-BA54+BA56</f>
        <v>2.0390000000000015</v>
      </c>
      <c r="BB55" s="17">
        <f>BB57-BB54+BB56</f>
        <v>0.92200000000001125</v>
      </c>
      <c r="BC55" s="17">
        <f>BC57-BC54+BC56</f>
        <v>7.6550000000000011</v>
      </c>
      <c r="BD55" s="219">
        <f>SUM(AZ55:BC55)</f>
        <v>12.069999999999993</v>
      </c>
      <c r="BE55" s="17">
        <f>BE57-BE54+BE56</f>
        <v>3.3199999999999932</v>
      </c>
      <c r="BF55" s="17">
        <f>BF57-BF54+BF56</f>
        <v>1.6380000000000052</v>
      </c>
      <c r="BG55" s="17">
        <f>BG57-BG54+BG56</f>
        <v>0.79900000000000659</v>
      </c>
      <c r="BH55" s="17">
        <f>BH57-BH54+BH56</f>
        <v>1.3719999999999573</v>
      </c>
      <c r="BI55" s="219">
        <f>SUM(BE55:BH55)</f>
        <v>7.1289999999999623</v>
      </c>
      <c r="BJ55" s="358">
        <f>(BH57*$A$53)/4</f>
        <v>1.0391924999999997</v>
      </c>
      <c r="BK55" s="18">
        <f t="shared" ref="BK55:BM56" si="90">BJ55</f>
        <v>1.0391924999999997</v>
      </c>
      <c r="BL55" s="18">
        <f t="shared" si="90"/>
        <v>1.0391924999999997</v>
      </c>
      <c r="BM55" s="18">
        <f t="shared" si="90"/>
        <v>1.0391924999999997</v>
      </c>
      <c r="BN55" s="219">
        <f>SUM(BJ55:BM55)</f>
        <v>4.156769999999999</v>
      </c>
      <c r="BO55" s="18">
        <f>(BM57*$A$53)/4</f>
        <v>1.0703682750000001</v>
      </c>
      <c r="BP55" s="18">
        <f t="shared" ref="BP55:BR56" si="91">BO55</f>
        <v>1.0703682750000001</v>
      </c>
      <c r="BQ55" s="18">
        <f t="shared" si="91"/>
        <v>1.0703682750000001</v>
      </c>
      <c r="BR55" s="18">
        <f t="shared" si="91"/>
        <v>1.0703682750000001</v>
      </c>
      <c r="BS55" s="219">
        <f>SUM(BO55:BR55)</f>
        <v>4.2814731000000004</v>
      </c>
      <c r="BT55" s="18">
        <f>(BR57*$A$53)/4</f>
        <v>1.1024793232499999</v>
      </c>
      <c r="BU55" s="18">
        <f t="shared" ref="BU55:BW56" si="92">BT55</f>
        <v>1.1024793232499999</v>
      </c>
      <c r="BV55" s="18">
        <f t="shared" si="92"/>
        <v>1.1024793232499999</v>
      </c>
      <c r="BW55" s="18">
        <f t="shared" si="92"/>
        <v>1.1024793232499999</v>
      </c>
      <c r="BX55" s="219">
        <f>SUM(BT55:BW55)</f>
        <v>4.4099172929999995</v>
      </c>
      <c r="BY55" s="18">
        <f>(BW57*$A$53)/4</f>
        <v>1.1355537029475002</v>
      </c>
      <c r="BZ55" s="18">
        <f t="shared" ref="BZ55:CB56" si="93">BY55</f>
        <v>1.1355537029475002</v>
      </c>
      <c r="CA55" s="18">
        <f t="shared" si="93"/>
        <v>1.1355537029475002</v>
      </c>
      <c r="CB55" s="18">
        <f t="shared" si="93"/>
        <v>1.1355537029475002</v>
      </c>
      <c r="CC55" s="219">
        <f>SUM(BY55:CB55)</f>
        <v>4.542214811790001</v>
      </c>
      <c r="CD55" s="18">
        <f>(CB57*$A$53)/4</f>
        <v>1.1696203140359254</v>
      </c>
      <c r="CE55" s="18">
        <f t="shared" ref="CE55:CG56" si="94">CD55</f>
        <v>1.1696203140359254</v>
      </c>
      <c r="CF55" s="18">
        <f t="shared" si="94"/>
        <v>1.1696203140359254</v>
      </c>
      <c r="CG55" s="18">
        <f t="shared" si="94"/>
        <v>1.1696203140359254</v>
      </c>
      <c r="CH55" s="219">
        <f>SUM(CD55:CG55)</f>
        <v>4.6784812561437015</v>
      </c>
      <c r="CI55" s="18">
        <f>(CG57*$A$53)/4</f>
        <v>1.2047089234570034</v>
      </c>
      <c r="CJ55" s="18">
        <f t="shared" ref="CJ55:CL56" si="95">CI55</f>
        <v>1.2047089234570034</v>
      </c>
      <c r="CK55" s="18">
        <f t="shared" si="95"/>
        <v>1.2047089234570034</v>
      </c>
      <c r="CL55" s="18">
        <f t="shared" si="95"/>
        <v>1.2047089234570034</v>
      </c>
      <c r="CM55" s="219">
        <f>SUM(CI55:CL55)</f>
        <v>4.8188356938280137</v>
      </c>
      <c r="CN55" s="18">
        <f>(CL57*$A$53)/4</f>
        <v>1.2408501911607133</v>
      </c>
      <c r="CO55" s="18">
        <f t="shared" ref="CO55:CQ56" si="96">CN55</f>
        <v>1.2408501911607133</v>
      </c>
      <c r="CP55" s="18">
        <f t="shared" si="96"/>
        <v>1.2408501911607133</v>
      </c>
      <c r="CQ55" s="18">
        <f t="shared" si="96"/>
        <v>1.2408501911607133</v>
      </c>
      <c r="CR55" s="219">
        <f>SUM(CN55:CQ55)</f>
        <v>4.9634007646428531</v>
      </c>
      <c r="CS55" s="18">
        <f>(CQ57*$A$53)/4</f>
        <v>1.2780756968955347</v>
      </c>
      <c r="CT55" s="18">
        <f t="shared" ref="CT55:CV56" si="97">CS55</f>
        <v>1.2780756968955347</v>
      </c>
      <c r="CU55" s="18">
        <f t="shared" si="97"/>
        <v>1.2780756968955347</v>
      </c>
      <c r="CV55" s="18">
        <f t="shared" si="97"/>
        <v>1.2780756968955347</v>
      </c>
      <c r="CW55" s="219">
        <f>SUM(CS55:CV55)</f>
        <v>5.1123027875821387</v>
      </c>
      <c r="CX55" s="18">
        <f>(CV57*$A$53)/4</f>
        <v>1.3164179678024011</v>
      </c>
      <c r="CY55" s="18">
        <f t="shared" ref="CY55:DA56" si="98">CX55</f>
        <v>1.3164179678024011</v>
      </c>
      <c r="CZ55" s="18">
        <f t="shared" si="98"/>
        <v>1.3164179678024011</v>
      </c>
      <c r="DA55" s="18">
        <f t="shared" si="98"/>
        <v>1.3164179678024011</v>
      </c>
      <c r="DB55" s="219">
        <f>SUM(CX55:DA55)</f>
        <v>5.2656718712096042</v>
      </c>
    </row>
    <row r="56" spans="1:106" s="17" customFormat="1" ht="12.75" customHeight="1">
      <c r="A56" s="17" t="s">
        <v>52</v>
      </c>
      <c r="B56" s="67"/>
      <c r="C56" s="18"/>
      <c r="D56" s="18"/>
      <c r="E56" s="18"/>
      <c r="F56" s="219"/>
      <c r="G56" s="67"/>
      <c r="H56" s="67"/>
      <c r="I56" s="18"/>
      <c r="J56" s="18"/>
      <c r="K56" s="219"/>
      <c r="L56" s="67"/>
      <c r="M56" s="67"/>
      <c r="N56" s="67"/>
      <c r="O56" s="67"/>
      <c r="P56" s="219"/>
      <c r="Q56" s="18"/>
      <c r="R56" s="67"/>
      <c r="S56" s="18"/>
      <c r="T56" s="67"/>
      <c r="U56" s="219"/>
      <c r="V56" s="18"/>
      <c r="W56" s="18"/>
      <c r="X56" s="67"/>
      <c r="Y56" s="67"/>
      <c r="Z56" s="219"/>
      <c r="AA56" s="18"/>
      <c r="AB56" s="18"/>
      <c r="AC56" s="18"/>
      <c r="AD56" s="18"/>
      <c r="AE56" s="219"/>
      <c r="AF56" s="18"/>
      <c r="AG56" s="67"/>
      <c r="AH56" s="67"/>
      <c r="AI56" s="67"/>
      <c r="AJ56" s="219"/>
      <c r="AK56" s="18"/>
      <c r="AL56" s="18"/>
      <c r="AM56" s="18"/>
      <c r="AN56" s="18"/>
      <c r="AO56" s="219"/>
      <c r="AP56" s="18"/>
      <c r="AQ56" s="18"/>
      <c r="AR56" s="18"/>
      <c r="AS56" s="18"/>
      <c r="AT56" s="219"/>
      <c r="AU56" s="18"/>
      <c r="AV56" s="18"/>
      <c r="AW56" s="18"/>
      <c r="AX56" s="18"/>
      <c r="AY56" s="219"/>
      <c r="AZ56" s="18"/>
      <c r="BA56" s="18"/>
      <c r="BB56" s="18"/>
      <c r="BC56" s="18"/>
      <c r="BD56" s="219">
        <f>SUM(AZ56:BC56)</f>
        <v>0</v>
      </c>
      <c r="BE56" s="18"/>
      <c r="BF56" s="18"/>
      <c r="BG56" s="18"/>
      <c r="BH56" s="18"/>
      <c r="BI56" s="219">
        <f>SUM(BE56:BH56)</f>
        <v>0</v>
      </c>
      <c r="BJ56" s="358">
        <f>BH56</f>
        <v>0</v>
      </c>
      <c r="BK56" s="18">
        <f t="shared" si="90"/>
        <v>0</v>
      </c>
      <c r="BL56" s="18">
        <f t="shared" si="90"/>
        <v>0</v>
      </c>
      <c r="BM56" s="18">
        <f t="shared" si="90"/>
        <v>0</v>
      </c>
      <c r="BN56" s="219">
        <f>SUM(BJ56:BM56)</f>
        <v>0</v>
      </c>
      <c r="BO56" s="18">
        <f>BM56</f>
        <v>0</v>
      </c>
      <c r="BP56" s="18">
        <f t="shared" si="91"/>
        <v>0</v>
      </c>
      <c r="BQ56" s="18">
        <f t="shared" si="91"/>
        <v>0</v>
      </c>
      <c r="BR56" s="18">
        <f t="shared" si="91"/>
        <v>0</v>
      </c>
      <c r="BS56" s="219">
        <f>SUM(BO56:BR56)</f>
        <v>0</v>
      </c>
      <c r="BT56" s="18">
        <v>0</v>
      </c>
      <c r="BU56" s="18">
        <f t="shared" si="92"/>
        <v>0</v>
      </c>
      <c r="BV56" s="18">
        <f t="shared" si="92"/>
        <v>0</v>
      </c>
      <c r="BW56" s="18">
        <f t="shared" si="92"/>
        <v>0</v>
      </c>
      <c r="BX56" s="219">
        <f>BW56</f>
        <v>0</v>
      </c>
      <c r="BY56" s="18">
        <f>BW56</f>
        <v>0</v>
      </c>
      <c r="BZ56" s="18">
        <f t="shared" si="93"/>
        <v>0</v>
      </c>
      <c r="CA56" s="18">
        <f t="shared" si="93"/>
        <v>0</v>
      </c>
      <c r="CB56" s="18">
        <f t="shared" si="93"/>
        <v>0</v>
      </c>
      <c r="CC56" s="219">
        <f>SUM(BY56:CB56)</f>
        <v>0</v>
      </c>
      <c r="CD56" s="18">
        <f>CB56</f>
        <v>0</v>
      </c>
      <c r="CE56" s="18">
        <f t="shared" si="94"/>
        <v>0</v>
      </c>
      <c r="CF56" s="18">
        <f t="shared" si="94"/>
        <v>0</v>
      </c>
      <c r="CG56" s="18">
        <f t="shared" si="94"/>
        <v>0</v>
      </c>
      <c r="CH56" s="219">
        <f>SUM(CD56:CG56)</f>
        <v>0</v>
      </c>
      <c r="CI56" s="18">
        <f>CG56</f>
        <v>0</v>
      </c>
      <c r="CJ56" s="18">
        <f t="shared" si="95"/>
        <v>0</v>
      </c>
      <c r="CK56" s="18">
        <f t="shared" si="95"/>
        <v>0</v>
      </c>
      <c r="CL56" s="18">
        <f t="shared" si="95"/>
        <v>0</v>
      </c>
      <c r="CM56" s="219">
        <f>SUM(CI56:CL56)</f>
        <v>0</v>
      </c>
      <c r="CN56" s="18">
        <f>CL56</f>
        <v>0</v>
      </c>
      <c r="CO56" s="18">
        <f t="shared" si="96"/>
        <v>0</v>
      </c>
      <c r="CP56" s="18">
        <f t="shared" si="96"/>
        <v>0</v>
      </c>
      <c r="CQ56" s="18">
        <f t="shared" si="96"/>
        <v>0</v>
      </c>
      <c r="CR56" s="219">
        <f>SUM(CN56:CQ56)</f>
        <v>0</v>
      </c>
      <c r="CS56" s="18">
        <f>CQ56</f>
        <v>0</v>
      </c>
      <c r="CT56" s="18">
        <f t="shared" si="97"/>
        <v>0</v>
      </c>
      <c r="CU56" s="18">
        <f t="shared" si="97"/>
        <v>0</v>
      </c>
      <c r="CV56" s="18">
        <f t="shared" si="97"/>
        <v>0</v>
      </c>
      <c r="CW56" s="219">
        <f>SUM(CS56:CV56)</f>
        <v>0</v>
      </c>
      <c r="CX56" s="18">
        <f>CV56</f>
        <v>0</v>
      </c>
      <c r="CY56" s="18">
        <f t="shared" si="98"/>
        <v>0</v>
      </c>
      <c r="CZ56" s="18">
        <f t="shared" si="98"/>
        <v>0</v>
      </c>
      <c r="DA56" s="18">
        <f t="shared" si="98"/>
        <v>0</v>
      </c>
      <c r="DB56" s="219">
        <f>SUM(CX56:DA56)</f>
        <v>0</v>
      </c>
    </row>
    <row r="57" spans="1:106" s="17" customFormat="1" ht="12.75" customHeight="1">
      <c r="A57" s="17" t="s">
        <v>53</v>
      </c>
      <c r="C57" s="17">
        <f>IS!C26</f>
        <v>4.7220000000000004</v>
      </c>
      <c r="D57" s="17">
        <f>IS!D26</f>
        <v>36.930999999999997</v>
      </c>
      <c r="E57" s="17">
        <f>IS!E26</f>
        <v>-27.044</v>
      </c>
      <c r="F57" s="219"/>
      <c r="G57" s="17">
        <f>IS!G26</f>
        <v>5.2889999999999997</v>
      </c>
      <c r="H57" s="17">
        <f>IS!H26</f>
        <v>5.4939999999999998</v>
      </c>
      <c r="I57" s="17">
        <f>IS!I26</f>
        <v>44.944000000000003</v>
      </c>
      <c r="J57" s="17">
        <f>IS!J26</f>
        <v>49.088999999999999</v>
      </c>
      <c r="K57" s="219">
        <f>K54+K55-K56</f>
        <v>49.088999999999999</v>
      </c>
      <c r="L57" s="17">
        <f>IS!L26</f>
        <v>50.439</v>
      </c>
      <c r="M57" s="17">
        <f>IS!M26</f>
        <v>51.445</v>
      </c>
      <c r="N57" s="17">
        <f>IS!N26</f>
        <v>52.012</v>
      </c>
      <c r="O57" s="17">
        <f>IS!O26</f>
        <v>52.407999999999987</v>
      </c>
      <c r="P57" s="219">
        <f>P54+P55-P56</f>
        <v>52.407999999999987</v>
      </c>
      <c r="Q57" s="17">
        <f>IS!Q26</f>
        <v>53.042999999999999</v>
      </c>
      <c r="R57" s="17">
        <f>IS!R26</f>
        <v>53.088000000000001</v>
      </c>
      <c r="S57" s="17">
        <f>IS!S26</f>
        <v>53.447000000000003</v>
      </c>
      <c r="T57" s="17">
        <f>IS!T26</f>
        <v>54.837999999999994</v>
      </c>
      <c r="U57" s="219">
        <f>U54+U55-U56</f>
        <v>54.837999999999994</v>
      </c>
      <c r="V57" s="17">
        <f>IS!V26</f>
        <v>54.131999999999998</v>
      </c>
      <c r="W57" s="17">
        <f>IS!W26</f>
        <v>54.551000000000002</v>
      </c>
      <c r="X57" s="17">
        <f>IS!X26</f>
        <v>60.57</v>
      </c>
      <c r="Y57" s="17">
        <f>IS!Y26</f>
        <v>62.13900000000001</v>
      </c>
      <c r="Z57" s="219">
        <f>Z54+Z55-Z56</f>
        <v>62.13900000000001</v>
      </c>
      <c r="AA57" s="17">
        <f>IS!AA26</f>
        <v>62.831000000000003</v>
      </c>
      <c r="AB57" s="17">
        <f>IS!AB26</f>
        <v>68.224000000000004</v>
      </c>
      <c r="AC57" s="17">
        <f>IS!AC26</f>
        <v>70.456000000000003</v>
      </c>
      <c r="AD57" s="17">
        <f>IS!AD26</f>
        <v>76.709000000000003</v>
      </c>
      <c r="AE57" s="219">
        <f>AE54+AE55-AE56</f>
        <v>76.709000000000003</v>
      </c>
      <c r="AF57" s="17">
        <f>IS!AF26</f>
        <v>78.287000000000006</v>
      </c>
      <c r="AG57" s="17">
        <f>IS!AG26</f>
        <v>79.069000000000003</v>
      </c>
      <c r="AH57" s="17">
        <f>IS!AH26</f>
        <v>80.908000000000001</v>
      </c>
      <c r="AI57" s="17">
        <f>IS!AI26</f>
        <v>85.779999999999973</v>
      </c>
      <c r="AJ57" s="219">
        <f>AJ54+AJ55-AJ56</f>
        <v>85.779999999999973</v>
      </c>
      <c r="AK57" s="17">
        <f>IS!AK26</f>
        <v>86.688999999999993</v>
      </c>
      <c r="AL57" s="17">
        <f>IS!AL26</f>
        <v>88.076999999999998</v>
      </c>
      <c r="AM57" s="17">
        <f>IS!AM26</f>
        <v>92.558000000000007</v>
      </c>
      <c r="AN57" s="17">
        <f>IS!AN26</f>
        <v>94.908000000000015</v>
      </c>
      <c r="AO57" s="219">
        <f>AO54+AO55-AO56</f>
        <v>94.908000000000015</v>
      </c>
      <c r="AP57" s="17">
        <f>IS!AP26</f>
        <v>95.578000000000003</v>
      </c>
      <c r="AQ57" s="17">
        <f>IS!AQ26</f>
        <v>96.578999999999994</v>
      </c>
      <c r="AR57" s="17">
        <f>IS!AR26</f>
        <v>97.052000000000007</v>
      </c>
      <c r="AS57" s="17">
        <f>IS!AS26</f>
        <v>104.423</v>
      </c>
      <c r="AT57" s="219">
        <f>AT54+AT55-AT56</f>
        <v>104.423</v>
      </c>
      <c r="AU57" s="17">
        <f>IS!AU26</f>
        <v>111.767</v>
      </c>
      <c r="AV57" s="17">
        <f>IS!AV26</f>
        <v>113.69</v>
      </c>
      <c r="AW57" s="17">
        <f>IS!AW26</f>
        <v>115.17100000000001</v>
      </c>
      <c r="AX57" s="17">
        <f>IS!AX26</f>
        <v>119.36000000000001</v>
      </c>
      <c r="AY57" s="219">
        <f>AY54+AY55-AY56</f>
        <v>126.70400000000001</v>
      </c>
      <c r="AZ57" s="17">
        <f>IS!AZ26</f>
        <v>120.81399999999999</v>
      </c>
      <c r="BA57" s="17">
        <f>IS!BA26</f>
        <v>122.85299999999999</v>
      </c>
      <c r="BB57" s="17">
        <f>IS!BB26</f>
        <v>123.77500000000001</v>
      </c>
      <c r="BC57" s="17">
        <f>IS!BC26</f>
        <v>131.43</v>
      </c>
      <c r="BD57" s="219">
        <f>BD54+BD55-BD56</f>
        <v>131.43</v>
      </c>
      <c r="BE57" s="17">
        <f>IS!BE26</f>
        <v>134.75</v>
      </c>
      <c r="BF57" s="17">
        <f>IS!BF26</f>
        <v>136.38800000000001</v>
      </c>
      <c r="BG57" s="17">
        <f>IS!BG26</f>
        <v>137.18700000000001</v>
      </c>
      <c r="BH57" s="17">
        <f>IS!BH26</f>
        <v>138.55899999999997</v>
      </c>
      <c r="BI57" s="219">
        <f t="shared" ref="BI57:CK57" si="99">BI54+BI55-BI56</f>
        <v>138.55899999999997</v>
      </c>
      <c r="BJ57" s="358">
        <f t="shared" si="99"/>
        <v>139.59819249999998</v>
      </c>
      <c r="BK57" s="18">
        <f t="shared" si="99"/>
        <v>140.63738499999999</v>
      </c>
      <c r="BL57" s="18">
        <f t="shared" si="99"/>
        <v>141.67657750000001</v>
      </c>
      <c r="BM57" s="18">
        <f t="shared" si="99"/>
        <v>142.71577000000002</v>
      </c>
      <c r="BN57" s="219">
        <f t="shared" si="99"/>
        <v>142.71576999999996</v>
      </c>
      <c r="BO57" s="18">
        <f t="shared" si="99"/>
        <v>143.78613827500001</v>
      </c>
      <c r="BP57" s="18">
        <f t="shared" si="99"/>
        <v>144.85650655000001</v>
      </c>
      <c r="BQ57" s="18">
        <f t="shared" si="99"/>
        <v>145.926874825</v>
      </c>
      <c r="BR57" s="18">
        <f t="shared" si="99"/>
        <v>146.99724309999999</v>
      </c>
      <c r="BS57" s="219">
        <f t="shared" si="99"/>
        <v>146.99724310000002</v>
      </c>
      <c r="BT57" s="18">
        <f t="shared" si="99"/>
        <v>148.09972242325</v>
      </c>
      <c r="BU57" s="18">
        <f t="shared" si="99"/>
        <v>149.20220174650001</v>
      </c>
      <c r="BV57" s="18">
        <f t="shared" si="99"/>
        <v>150.30468106975002</v>
      </c>
      <c r="BW57" s="18">
        <f t="shared" si="99"/>
        <v>151.40716039300003</v>
      </c>
      <c r="BX57" s="219">
        <f t="shared" si="99"/>
        <v>151.407160393</v>
      </c>
      <c r="BY57" s="18">
        <f t="shared" si="99"/>
        <v>152.54271409594753</v>
      </c>
      <c r="BZ57" s="18">
        <f t="shared" si="99"/>
        <v>153.67826779889504</v>
      </c>
      <c r="CA57" s="18">
        <f t="shared" si="99"/>
        <v>154.81382150184254</v>
      </c>
      <c r="CB57" s="18">
        <f t="shared" si="99"/>
        <v>155.94937520479004</v>
      </c>
      <c r="CC57" s="219">
        <f t="shared" si="99"/>
        <v>155.94937520479002</v>
      </c>
      <c r="CD57" s="18">
        <f t="shared" si="99"/>
        <v>157.11899551882598</v>
      </c>
      <c r="CE57" s="18">
        <f t="shared" si="99"/>
        <v>158.28861583286192</v>
      </c>
      <c r="CF57" s="18">
        <f t="shared" si="99"/>
        <v>159.45823614689786</v>
      </c>
      <c r="CG57" s="18">
        <f t="shared" si="99"/>
        <v>160.6278564609338</v>
      </c>
      <c r="CH57" s="219">
        <f t="shared" si="99"/>
        <v>160.62785646093374</v>
      </c>
      <c r="CI57" s="18">
        <f t="shared" si="99"/>
        <v>161.83256538439079</v>
      </c>
      <c r="CJ57" s="18">
        <f t="shared" si="99"/>
        <v>163.03727430784778</v>
      </c>
      <c r="CK57" s="18">
        <f t="shared" si="99"/>
        <v>164.24198323130477</v>
      </c>
      <c r="CL57" s="18">
        <f t="shared" ref="CL57:DB57" si="100">CL54+CL55-CL56</f>
        <v>165.44669215476176</v>
      </c>
      <c r="CM57" s="219">
        <f t="shared" si="100"/>
        <v>165.44669215476182</v>
      </c>
      <c r="CN57" s="18">
        <f t="shared" si="100"/>
        <v>166.68754234592248</v>
      </c>
      <c r="CO57" s="18">
        <f t="shared" si="100"/>
        <v>167.9283925370832</v>
      </c>
      <c r="CP57" s="18">
        <f t="shared" si="100"/>
        <v>169.16924272824392</v>
      </c>
      <c r="CQ57" s="18">
        <f t="shared" si="100"/>
        <v>170.41009291940463</v>
      </c>
      <c r="CR57" s="219">
        <f t="shared" si="100"/>
        <v>170.4100929194046</v>
      </c>
      <c r="CS57" s="18">
        <f t="shared" si="100"/>
        <v>171.68816861630017</v>
      </c>
      <c r="CT57" s="18">
        <f t="shared" si="100"/>
        <v>172.96624431319572</v>
      </c>
      <c r="CU57" s="18">
        <f t="shared" si="100"/>
        <v>174.24432001009126</v>
      </c>
      <c r="CV57" s="18">
        <f t="shared" si="100"/>
        <v>175.5223957069868</v>
      </c>
      <c r="CW57" s="219">
        <f t="shared" si="100"/>
        <v>175.52239570698677</v>
      </c>
      <c r="CX57" s="18">
        <f t="shared" si="100"/>
        <v>176.83881367478921</v>
      </c>
      <c r="CY57" s="18">
        <f t="shared" si="100"/>
        <v>178.15523164259162</v>
      </c>
      <c r="CZ57" s="18">
        <f t="shared" si="100"/>
        <v>179.47164961039402</v>
      </c>
      <c r="DA57" s="18">
        <f t="shared" si="100"/>
        <v>180.78806757819643</v>
      </c>
      <c r="DB57" s="219">
        <f t="shared" si="100"/>
        <v>180.7880675781964</v>
      </c>
    </row>
    <row r="58" spans="1:106" s="17" customFormat="1" ht="12.75" customHeight="1">
      <c r="B58" s="18"/>
      <c r="C58" s="18"/>
      <c r="D58" s="18"/>
      <c r="E58" s="18"/>
      <c r="F58" s="219"/>
      <c r="G58" s="18"/>
      <c r="H58" s="18"/>
      <c r="I58" s="18"/>
      <c r="J58" s="18"/>
      <c r="K58" s="219"/>
      <c r="L58" s="18"/>
      <c r="M58" s="18"/>
      <c r="N58" s="18"/>
      <c r="O58" s="18"/>
      <c r="P58" s="219"/>
      <c r="Q58" s="18"/>
      <c r="R58" s="18"/>
      <c r="S58" s="18"/>
      <c r="T58" s="18"/>
      <c r="U58" s="219"/>
      <c r="V58" s="18"/>
      <c r="W58" s="18"/>
      <c r="X58" s="18"/>
      <c r="Y58" s="18"/>
      <c r="Z58" s="219"/>
      <c r="AA58" s="18"/>
      <c r="AB58" s="18"/>
      <c r="AC58" s="18"/>
      <c r="AD58" s="18"/>
      <c r="AE58" s="219"/>
      <c r="AF58" s="18"/>
      <c r="AG58" s="18"/>
      <c r="AH58" s="18"/>
      <c r="AI58" s="18"/>
      <c r="AJ58" s="219"/>
      <c r="AK58" s="18"/>
      <c r="AL58" s="18"/>
      <c r="AM58" s="18"/>
      <c r="AN58" s="18"/>
      <c r="AO58" s="219"/>
      <c r="AP58" s="18"/>
      <c r="AQ58" s="18"/>
      <c r="AR58" s="18"/>
      <c r="AS58" s="18"/>
      <c r="AT58" s="219"/>
      <c r="AU58" s="18"/>
      <c r="AV58" s="18"/>
      <c r="AW58" s="18"/>
      <c r="AX58" s="18"/>
      <c r="AY58" s="219"/>
      <c r="AZ58" s="18"/>
      <c r="BA58" s="18"/>
      <c r="BB58" s="18"/>
      <c r="BC58" s="18"/>
      <c r="BD58" s="219"/>
      <c r="BE58" s="18"/>
      <c r="BF58" s="18"/>
      <c r="BG58" s="18"/>
      <c r="BH58" s="18"/>
      <c r="BI58" s="219"/>
      <c r="BJ58" s="358"/>
      <c r="BK58" s="18"/>
      <c r="BL58" s="18"/>
      <c r="BM58" s="18"/>
      <c r="BN58" s="219"/>
      <c r="BO58" s="18"/>
      <c r="BP58" s="18"/>
      <c r="BQ58" s="18"/>
      <c r="BR58" s="18"/>
      <c r="BS58" s="219"/>
      <c r="BT58" s="18"/>
      <c r="BU58" s="18"/>
      <c r="BV58" s="18"/>
      <c r="BW58" s="18"/>
      <c r="BX58" s="219"/>
      <c r="BY58" s="18"/>
      <c r="BZ58" s="18"/>
      <c r="CA58" s="18"/>
      <c r="CB58" s="18"/>
      <c r="CC58" s="219"/>
      <c r="CD58" s="18"/>
      <c r="CE58" s="18"/>
      <c r="CF58" s="18"/>
      <c r="CG58" s="18"/>
      <c r="CH58" s="219"/>
      <c r="CI58" s="18"/>
      <c r="CJ58" s="18"/>
      <c r="CK58" s="18"/>
      <c r="CL58" s="18"/>
      <c r="CM58" s="219"/>
      <c r="CN58" s="18"/>
      <c r="CO58" s="18"/>
      <c r="CP58" s="18"/>
      <c r="CQ58" s="18"/>
      <c r="CR58" s="219"/>
      <c r="CS58" s="18"/>
      <c r="CT58" s="18"/>
      <c r="CU58" s="18"/>
      <c r="CV58" s="18"/>
      <c r="CW58" s="219"/>
      <c r="CX58" s="18"/>
      <c r="CY58" s="18"/>
      <c r="CZ58" s="18"/>
      <c r="DA58" s="18"/>
      <c r="DB58" s="219"/>
    </row>
    <row r="59" spans="1:106" ht="12.75" customHeight="1">
      <c r="F59" s="217"/>
      <c r="K59" s="217"/>
      <c r="P59" s="217"/>
      <c r="U59" s="217"/>
      <c r="Z59" s="217"/>
      <c r="AE59" s="217"/>
      <c r="AJ59" s="217"/>
      <c r="AO59" s="217"/>
      <c r="AT59" s="217"/>
      <c r="AY59" s="217"/>
      <c r="BD59" s="217"/>
      <c r="BI59" s="217"/>
      <c r="BJ59" s="356"/>
      <c r="BN59" s="217"/>
      <c r="BS59" s="217"/>
      <c r="BX59" s="217"/>
      <c r="CC59" s="217"/>
      <c r="CH59" s="217"/>
      <c r="CM59" s="217"/>
      <c r="CR59" s="217"/>
      <c r="CW59" s="217"/>
      <c r="DB59" s="217"/>
    </row>
    <row r="60" spans="1:106" ht="12.75" customHeight="1">
      <c r="A60" s="12" t="s">
        <v>54</v>
      </c>
      <c r="F60" s="217"/>
      <c r="K60" s="217"/>
      <c r="P60" s="217"/>
      <c r="U60" s="217"/>
      <c r="Z60" s="217"/>
      <c r="AE60" s="217"/>
      <c r="AJ60" s="217"/>
      <c r="AO60" s="217"/>
      <c r="AT60" s="217"/>
      <c r="AY60" s="217"/>
      <c r="BD60" s="217"/>
      <c r="BI60" s="217"/>
      <c r="BJ60" s="356"/>
      <c r="BN60" s="217"/>
      <c r="BS60" s="217"/>
      <c r="BX60" s="217"/>
      <c r="CC60" s="217"/>
      <c r="CH60" s="217"/>
      <c r="CM60" s="217"/>
      <c r="CR60" s="217"/>
      <c r="CW60" s="217"/>
      <c r="DB60" s="217"/>
    </row>
    <row r="61" spans="1:106" ht="12.75" customHeight="1">
      <c r="A61" s="12" t="s">
        <v>55</v>
      </c>
      <c r="B61" s="19"/>
      <c r="C61" s="19"/>
      <c r="D61" s="19"/>
      <c r="E61" s="19">
        <f>IS!E7+IS!D7+IS!C7+IS!B7</f>
        <v>159.28899999999996</v>
      </c>
      <c r="F61" s="217">
        <f>E61</f>
        <v>159.28899999999996</v>
      </c>
      <c r="G61" s="19">
        <f>IS!G7+IS!E7+IS!D7+IS!C7</f>
        <v>179.42899999999997</v>
      </c>
      <c r="H61" s="19">
        <f>IS!H7+IS!G7+IS!E7+IS!D7</f>
        <v>188.68</v>
      </c>
      <c r="I61" s="19">
        <f>IS!I7+IS!H7+IS!G7+IS!E7</f>
        <v>187.327</v>
      </c>
      <c r="J61" s="19">
        <f>IS!J7+IS!I7+IS!H7+IS!G7</f>
        <v>190.35499999999996</v>
      </c>
      <c r="K61" s="217">
        <f>J61</f>
        <v>190.35499999999996</v>
      </c>
      <c r="L61" s="19">
        <f>IS!L7+IS!J7+IS!I7+IS!H7</f>
        <v>204.822</v>
      </c>
      <c r="M61" s="19">
        <f>IS!M7+IS!L7+IS!J7+IS!I7</f>
        <v>211.71899999999997</v>
      </c>
      <c r="N61" s="19">
        <f>IS!N7+IS!M7+IS!L7+IS!J7</f>
        <v>220.68699999999998</v>
      </c>
      <c r="O61" s="19">
        <f>IS!O7+IS!N7+IS!M7+IS!L7</f>
        <v>217.07400000000001</v>
      </c>
      <c r="P61" s="217">
        <f>O61</f>
        <v>217.07400000000001</v>
      </c>
      <c r="Q61" s="19">
        <f>IS!Q7+IS!O7+IS!N7+IS!M7</f>
        <v>202.07300000000004</v>
      </c>
      <c r="R61" s="19">
        <f>IS!R7+IS!Q7+IS!O7+IS!N7</f>
        <v>203.70600000000002</v>
      </c>
      <c r="S61" s="19">
        <f>IS!S7+IS!R7+IS!Q7+IS!O7</f>
        <v>206.47300000000001</v>
      </c>
      <c r="T61" s="19">
        <f>IS!T7+IS!S7+IS!R7+IS!Q7</f>
        <v>210.93899999999999</v>
      </c>
      <c r="U61" s="217">
        <f>T61</f>
        <v>210.93899999999999</v>
      </c>
      <c r="V61" s="19">
        <f>IS!V7+IS!T7+IS!S7+IS!R7</f>
        <v>226.37799999999999</v>
      </c>
      <c r="W61" s="19">
        <f>IS!W7+IS!V7+IS!T7+IS!S7</f>
        <v>235.82999999999998</v>
      </c>
      <c r="X61" s="19">
        <f>IS!X7+IS!W7+IS!V7+IS!T7</f>
        <v>244.45399999999998</v>
      </c>
      <c r="Y61" s="19">
        <f>IS!Y7+IS!X7+IS!W7+IS!V7</f>
        <v>257.654</v>
      </c>
      <c r="Z61" s="217">
        <f>Y61</f>
        <v>257.654</v>
      </c>
      <c r="AA61" s="19">
        <f>IS!AA7+IS!Y7+IS!X7+IS!W7</f>
        <v>262.13799999999998</v>
      </c>
      <c r="AB61" s="19">
        <f>IS!AB7+IS!AA7+IS!Y7+IS!X7</f>
        <v>273.42399999999998</v>
      </c>
      <c r="AC61" s="19">
        <f>IS!AC7+IS!AB7+IS!AA7+IS!Y7</f>
        <v>286.053</v>
      </c>
      <c r="AD61" s="19">
        <f>IS!AD7+IS!AC7+IS!AB7+IS!AA7</f>
        <v>302.32799999999997</v>
      </c>
      <c r="AE61" s="217">
        <f>AD61</f>
        <v>302.32799999999997</v>
      </c>
      <c r="AF61" s="19">
        <f>IS!AF7+IS!AD7+IS!AC7+IS!AB7</f>
        <v>329.51599999999996</v>
      </c>
      <c r="AG61" s="19">
        <f>IS!AG7+IS!AF7+IS!AD7+IS!AC7</f>
        <v>341.63299999999992</v>
      </c>
      <c r="AH61" s="19">
        <f>IS!AH7+IS!AG7+IS!AF7+IS!AD7</f>
        <v>361.86699999999996</v>
      </c>
      <c r="AI61" s="19">
        <f>IS!AI7+IS!AH7+IS!AG7+IS!AF7</f>
        <v>391.00500000000005</v>
      </c>
      <c r="AJ61" s="217">
        <f>AI61</f>
        <v>391.00500000000005</v>
      </c>
      <c r="AK61" s="19">
        <f>IS!AK7+IS!AI7+IS!AH7+IS!AG7</f>
        <v>449.30900000000008</v>
      </c>
      <c r="AL61" s="19">
        <f>IS!AL7+IS!AK7+IS!AI7+IS!AH7</f>
        <v>504.86300000000006</v>
      </c>
      <c r="AM61" s="19">
        <f>IS!AM7+IS!AL7+IS!AK7+IS!AI7</f>
        <v>564.83600000000013</v>
      </c>
      <c r="AN61" s="19">
        <f>IS!AN7+IS!AM7+IS!AL7+IS!AK7</f>
        <v>625.48599999999999</v>
      </c>
      <c r="AO61" s="217">
        <f>AN61</f>
        <v>625.48599999999999</v>
      </c>
      <c r="AP61" s="19">
        <f>IS!AP7+IS!AN7+IS!AM7+IS!AL7</f>
        <v>667.30300000000011</v>
      </c>
      <c r="AQ61" s="19">
        <f>IS!AQ7+IS!AP7+IS!AN7+IS!AM7</f>
        <v>723.47699999999998</v>
      </c>
      <c r="AR61" s="19">
        <f>IS!AR7+IS!AQ7+IS!AP7+IS!AN7</f>
        <v>775.99800000000005</v>
      </c>
      <c r="AS61" s="19">
        <f>IS!AS7+IS!AR7+IS!AQ7+IS!AP7</f>
        <v>820.22199999999998</v>
      </c>
      <c r="AT61" s="217">
        <f>AS61</f>
        <v>820.22199999999998</v>
      </c>
      <c r="AU61" s="19">
        <f>IS!AU7+IS!AS7+IS!AR7+IS!AQ7</f>
        <v>867.84500000000003</v>
      </c>
      <c r="AV61" s="19">
        <f>IS!AV7+IS!AU7+IS!AS7+IS!AR7</f>
        <v>931.04899999999998</v>
      </c>
      <c r="AW61" s="19">
        <f>IS!AW7+IS!AV7+IS!AU7+IS!AS7</f>
        <v>988.71799999999996</v>
      </c>
      <c r="AX61" s="19">
        <f>IS!AX7+IS!AW7+IS!AV7+IS!AU7</f>
        <v>1082.5710000000001</v>
      </c>
      <c r="AY61" s="217">
        <f>AX61</f>
        <v>1082.5710000000001</v>
      </c>
      <c r="AZ61" s="19">
        <f>IS!AZ7+IS!AX7+IS!AW7+IS!AV7</f>
        <v>1208.556</v>
      </c>
      <c r="BA61" s="19">
        <f>IS!BA7+IS!AZ7+IS!AX7+IS!AW7</f>
        <v>1360.5030000000002</v>
      </c>
      <c r="BB61" s="19">
        <f>IS!BB7+IS!BA7+IS!AZ7+IS!AX7</f>
        <v>1531.9549999999999</v>
      </c>
      <c r="BC61" s="19">
        <f>IS!BC7+IS!BB7+IS!BA7+IS!AZ7</f>
        <v>1696.9110000000001</v>
      </c>
      <c r="BD61" s="217">
        <f>BC61</f>
        <v>1696.9110000000001</v>
      </c>
      <c r="BE61" s="19">
        <f>IS!BE7+IS!BC7+IS!BB7+IS!BA7</f>
        <v>1831</v>
      </c>
      <c r="BF61" s="19">
        <f>IS!BF7+IS!BE7+IS!BC7+IS!BB7</f>
        <v>1964.2490000000003</v>
      </c>
      <c r="BG61" s="19">
        <f>IS!BG7+IS!BF7+IS!BE7+IS!BC7</f>
        <v>2116.674</v>
      </c>
      <c r="BH61" s="19">
        <f>IS!BH7+IS!BG7+IS!BF7+IS!BE7</f>
        <v>2306.1129999999998</v>
      </c>
      <c r="BI61" s="217">
        <f>BH61</f>
        <v>2306.1129999999998</v>
      </c>
      <c r="BJ61" s="275">
        <f>IS!BJ7+IS!BH7+IS!BG7+IS!BF7</f>
        <v>2420.8158693761752</v>
      </c>
      <c r="BK61" s="19">
        <f>IS!BK7+IS!BJ7+IS!BH7+IS!BG7</f>
        <v>2524.7236924149893</v>
      </c>
      <c r="BL61" s="19">
        <f>IS!BL7+IS!BK7+IS!BJ7+IS!BH7</f>
        <v>2609.1224642312095</v>
      </c>
      <c r="BM61" s="19">
        <f>IS!BM7+IS!BL7+IS!BK7+IS!BJ7</f>
        <v>2658.9293325577346</v>
      </c>
      <c r="BN61" s="217">
        <f>BM61</f>
        <v>2658.9293325577346</v>
      </c>
      <c r="BO61" s="19">
        <f>IS!BO7+IS!BM7+IS!BL7+IS!BK7</f>
        <v>2804.5449564490468</v>
      </c>
      <c r="BP61" s="19">
        <f>IS!BP7+IS!BO7+IS!BM7+IS!BL7</f>
        <v>2917.1062612347214</v>
      </c>
      <c r="BQ61" s="19">
        <f>IS!BQ7+IS!BP7+IS!BO7+IS!BM7</f>
        <v>3031.274892517863</v>
      </c>
      <c r="BR61" s="19">
        <f>IS!BR7+IS!BQ7+IS!BP7+IS!BO7</f>
        <v>3129.0922425358353</v>
      </c>
      <c r="BS61" s="217">
        <f>BR61</f>
        <v>3129.0922425358353</v>
      </c>
      <c r="BT61" s="19">
        <f>IS!BT7+IS!BR7+IS!BQ7+IS!BP7</f>
        <v>3243.8440821507406</v>
      </c>
      <c r="BU61" s="19">
        <f>IS!BU7+IS!BT7+IS!BR7+IS!BQ7</f>
        <v>3366.8267139207023</v>
      </c>
      <c r="BV61" s="19">
        <f>IS!BV7+IS!BU7+IS!BT7+IS!BR7</f>
        <v>3489.7149001932594</v>
      </c>
      <c r="BW61" s="19">
        <f>IS!BW7+IS!BV7+IS!BU7+IS!BT7</f>
        <v>3617.1724649071443</v>
      </c>
      <c r="BX61" s="217">
        <f>BW61</f>
        <v>3617.1724649071443</v>
      </c>
      <c r="BY61" s="19">
        <f>IS!BY7+IS!BW7+IS!BV7+IS!BU7</f>
        <v>3753.0921810473455</v>
      </c>
      <c r="BZ61" s="19">
        <f>IS!BZ7+IS!BY7+IS!BW7+IS!BV7</f>
        <v>3883.9301847076067</v>
      </c>
      <c r="CA61" s="19">
        <f>IS!CA7+IS!BZ7+IS!BY7+IS!BW7</f>
        <v>4021.807963208355</v>
      </c>
      <c r="CB61" s="19">
        <f>IS!CB7+IS!CA7+IS!BZ7+IS!BY7</f>
        <v>4157.8318979655105</v>
      </c>
      <c r="CC61" s="217">
        <f>CB61</f>
        <v>4157.8318979655105</v>
      </c>
      <c r="CD61" s="19">
        <f>IS!CD7+IS!CB7+IS!CA7+IS!BZ7</f>
        <v>4300.0478486289348</v>
      </c>
      <c r="CE61" s="19">
        <f>IS!CE7+IS!CD7+IS!CB7+IS!CA7</f>
        <v>4444.9731019438095</v>
      </c>
      <c r="CF61" s="19">
        <f>IS!CF7+IS!CE7+IS!CD7+IS!CB7</f>
        <v>4590.1730853135696</v>
      </c>
      <c r="CG61" s="19">
        <f>IS!CG7+IS!CF7+IS!CE7+IS!CD7</f>
        <v>4739.0721302163593</v>
      </c>
      <c r="CH61" s="217">
        <f>CG61</f>
        <v>4739.0721302163593</v>
      </c>
      <c r="CI61" s="19">
        <f>IS!CI7+IS!CG7+IS!CF7+IS!CE7</f>
        <v>4882.4364937338923</v>
      </c>
      <c r="CJ61" s="19">
        <f>IS!CJ7+IS!CI7+IS!CG7+IS!CF7</f>
        <v>5021.650285518288</v>
      </c>
      <c r="CK61" s="19">
        <f>IS!CK7+IS!CJ7+IS!CI7+IS!CG7</f>
        <v>5157.7686927188561</v>
      </c>
      <c r="CL61" s="19">
        <f>IS!CL7+IS!CK7+IS!CJ7+IS!CI7</f>
        <v>5290.6903205442231</v>
      </c>
      <c r="CM61" s="217">
        <f>CL61</f>
        <v>5290.6903205442231</v>
      </c>
      <c r="CN61" s="19">
        <f>IS!CN7+IS!CL7+IS!CK7+IS!CJ7</f>
        <v>5427.6145882838473</v>
      </c>
      <c r="CO61" s="19">
        <f>IS!CO7+IS!CN7+IS!CL7+IS!CK7</f>
        <v>5564.5395087446086</v>
      </c>
      <c r="CP61" s="19">
        <f>IS!CP7+IS!CO7+IS!CN7+IS!CL7</f>
        <v>5702.3434996854758</v>
      </c>
      <c r="CQ61" s="19">
        <f>IS!CQ7+IS!CP7+IS!CO7+IS!CN7</f>
        <v>5841.1276722538823</v>
      </c>
      <c r="CR61" s="217">
        <f>CQ61</f>
        <v>5841.1276722538823</v>
      </c>
      <c r="CS61" s="19">
        <f>IS!CS7+IS!CQ7+IS!CP7+IS!CO7</f>
        <v>5984.7527052127325</v>
      </c>
      <c r="CT61" s="19">
        <f>IS!CT7+IS!CS7+IS!CQ7+IS!CP7</f>
        <v>6129.0791149626803</v>
      </c>
      <c r="CU61" s="19">
        <f>IS!CU7+IS!CT7+IS!CS7+IS!CQ7</f>
        <v>6275.228438283063</v>
      </c>
      <c r="CV61" s="19">
        <f>IS!CV7+IS!CU7+IS!CT7+IS!CS7</f>
        <v>6423.0801239662715</v>
      </c>
      <c r="CW61" s="217">
        <f>CV61</f>
        <v>6423.0801239662715</v>
      </c>
      <c r="CX61" s="19">
        <f>IS!CX7+IS!CV7+IS!CU7+IS!CT7</f>
        <v>6561.6822003071838</v>
      </c>
      <c r="CY61" s="19">
        <f>IS!CY7+IS!CX7+IS!CV7+IS!CU7</f>
        <v>6696.4687367509796</v>
      </c>
      <c r="CZ61" s="19">
        <f>IS!CZ7+IS!CY7+IS!CX7+IS!CV7</f>
        <v>6828.426272703744</v>
      </c>
      <c r="DA61" s="19">
        <f>IS!DA7+IS!CZ7+IS!CY7+IS!CX7</f>
        <v>6957.5640209584162</v>
      </c>
      <c r="DB61" s="217">
        <f>DA61</f>
        <v>6957.5640209584162</v>
      </c>
    </row>
    <row r="62" spans="1:106" ht="12.75" customHeight="1">
      <c r="A62" s="12" t="s">
        <v>56</v>
      </c>
      <c r="B62" s="19"/>
      <c r="C62" s="19"/>
      <c r="D62" s="19"/>
      <c r="E62" s="19">
        <f>IS!E8+IS!D8+IS!C8+IS!B8</f>
        <v>78.396000000000001</v>
      </c>
      <c r="F62" s="217">
        <f>E62</f>
        <v>78.396000000000001</v>
      </c>
      <c r="G62" s="19">
        <f>IS!G8+IS!E8+IS!D8+IS!C8</f>
        <v>87.338999999999984</v>
      </c>
      <c r="H62" s="19">
        <f>IS!H8+IS!G8+IS!E8+IS!D8</f>
        <v>94.056999999999988</v>
      </c>
      <c r="I62" s="19">
        <f>IS!I8+IS!H8+IS!G8+IS!E8</f>
        <v>103.69300000000001</v>
      </c>
      <c r="J62" s="19">
        <f>IS!J8+IS!I8+IS!H8+IS!G8</f>
        <v>112.845</v>
      </c>
      <c r="K62" s="217">
        <f>J62</f>
        <v>112.845</v>
      </c>
      <c r="L62" s="19">
        <f>IS!L8+IS!J8+IS!I8+IS!H8</f>
        <v>120.342</v>
      </c>
      <c r="M62" s="19">
        <f>IS!M8+IS!L8+IS!J8+IS!I8</f>
        <v>125.583</v>
      </c>
      <c r="N62" s="19">
        <f>IS!N8+IS!M8+IS!L8+IS!J8</f>
        <v>129.38800000000001</v>
      </c>
      <c r="O62" s="19">
        <f>IS!O8+IS!N8+IS!M8+IS!L8</f>
        <v>135.57400000000001</v>
      </c>
      <c r="P62" s="217">
        <f>O62</f>
        <v>135.57400000000001</v>
      </c>
      <c r="Q62" s="19">
        <f>IS!Q8+IS!O8+IS!N8+IS!M8</f>
        <v>136.93400000000003</v>
      </c>
      <c r="R62" s="19">
        <f>IS!R8+IS!Q8+IS!O8+IS!N8</f>
        <v>140.52000000000001</v>
      </c>
      <c r="S62" s="19">
        <f>IS!S8+IS!R8+IS!Q8+IS!O8</f>
        <v>140.87100000000001</v>
      </c>
      <c r="T62" s="19">
        <f>IS!T8+IS!S8+IS!R8+IS!Q8</f>
        <v>139.596</v>
      </c>
      <c r="U62" s="217">
        <f>T62</f>
        <v>139.596</v>
      </c>
      <c r="V62" s="19">
        <f>IS!V8+IS!T8+IS!S8+IS!R8</f>
        <v>146.488</v>
      </c>
      <c r="W62" s="19">
        <f>IS!W8+IS!V8+IS!T8+IS!S8</f>
        <v>152.92399999999998</v>
      </c>
      <c r="X62" s="19">
        <f>IS!X8+IS!W8+IS!V8+IS!T8</f>
        <v>159.99099999999999</v>
      </c>
      <c r="Y62" s="19">
        <f>IS!Y8+IS!X8+IS!W8+IS!V8</f>
        <v>166.05500000000001</v>
      </c>
      <c r="Z62" s="217">
        <f>Y62</f>
        <v>166.05500000000001</v>
      </c>
      <c r="AA62" s="19">
        <f>IS!AA8+IS!Y8+IS!X8+IS!W8</f>
        <v>168.76599999999999</v>
      </c>
      <c r="AB62" s="19">
        <f>IS!AB8+IS!AA8+IS!Y8+IS!X8</f>
        <v>171.59599999999998</v>
      </c>
      <c r="AC62" s="19">
        <f>IS!AC8+IS!AB8+IS!AA8+IS!Y8</f>
        <v>173.79699999999997</v>
      </c>
      <c r="AD62" s="19">
        <f>IS!AD8+IS!AC8+IS!AB8+IS!AA8</f>
        <v>175.47000000000003</v>
      </c>
      <c r="AE62" s="217">
        <f>AD62</f>
        <v>175.47000000000003</v>
      </c>
      <c r="AF62" s="19">
        <f>IS!AF8+IS!AD8+IS!AC8+IS!AB8</f>
        <v>177.14500000000004</v>
      </c>
      <c r="AG62" s="19">
        <f>IS!AG8+IS!AF8+IS!AD8+IS!AC8</f>
        <v>180.25900000000004</v>
      </c>
      <c r="AH62" s="19">
        <f>IS!AH8+IS!AG8+IS!AF8+IS!AD8</f>
        <v>188.20000000000005</v>
      </c>
      <c r="AI62" s="19">
        <f>IS!AI8+IS!AH8+IS!AG8+IS!AF8</f>
        <v>203.62</v>
      </c>
      <c r="AJ62" s="217">
        <f>AI62</f>
        <v>203.62</v>
      </c>
      <c r="AK62" s="19">
        <f>IS!AK8+IS!AI8+IS!AH8+IS!AG8</f>
        <v>225.45500000000001</v>
      </c>
      <c r="AL62" s="19">
        <f>IS!AL8+IS!AK8+IS!AI8+IS!AH8</f>
        <v>254.62800000000001</v>
      </c>
      <c r="AM62" s="19">
        <f>IS!AM8+IS!AL8+IS!AK8+IS!AI8</f>
        <v>284.178</v>
      </c>
      <c r="AN62" s="19">
        <f>IS!AN8+IS!AM8+IS!AL8+IS!AK8</f>
        <v>318.41800000000001</v>
      </c>
      <c r="AO62" s="217">
        <f>AN62</f>
        <v>318.41800000000001</v>
      </c>
      <c r="AP62" s="19">
        <f>IS!AP8+IS!AN8+IS!AM8+IS!AL8</f>
        <v>354.82000000000005</v>
      </c>
      <c r="AQ62" s="19">
        <f>IS!AQ8+IS!AP8+IS!AN8+IS!AM8</f>
        <v>387.94499999999999</v>
      </c>
      <c r="AR62" s="19">
        <f>IS!AR8+IS!AQ8+IS!AP8+IS!AN8</f>
        <v>423.08600000000001</v>
      </c>
      <c r="AS62" s="19">
        <f>IS!AS8+IS!AR8+IS!AQ8+IS!AP8</f>
        <v>456.25600000000009</v>
      </c>
      <c r="AT62" s="217">
        <f>AS62</f>
        <v>456.25600000000009</v>
      </c>
      <c r="AU62" s="19">
        <f>IS!AU8+IS!AS8+IS!AR8+IS!AQ8</f>
        <v>501.16500000000008</v>
      </c>
      <c r="AV62" s="19">
        <f>IS!AV8+IS!AU8+IS!AS8+IS!AR8</f>
        <v>535.077</v>
      </c>
      <c r="AW62" s="19">
        <f>IS!AW8+IS!AV8+IS!AU8+IS!AS8</f>
        <v>565.87599999999998</v>
      </c>
      <c r="AX62" s="19">
        <f>IS!AX8+IS!AW8+IS!AV8+IS!AU8</f>
        <v>589.83100000000002</v>
      </c>
      <c r="AY62" s="217">
        <f>AX62</f>
        <v>589.83100000000002</v>
      </c>
      <c r="AZ62" s="19">
        <f>IS!AZ8+IS!AX8+IS!AW8+IS!AV8</f>
        <v>600.84699999999998</v>
      </c>
      <c r="BA62" s="19">
        <f>IS!BA8+IS!AZ8+IS!AX8+IS!AW8</f>
        <v>627.87699999999995</v>
      </c>
      <c r="BB62" s="19">
        <f>IS!BB8+IS!BA8+IS!AZ8+IS!AX8</f>
        <v>648.577</v>
      </c>
      <c r="BC62" s="19">
        <f>IS!BC8+IS!BB8+IS!BA8+IS!AZ8</f>
        <v>673.75299999999993</v>
      </c>
      <c r="BD62" s="217">
        <f>BC62</f>
        <v>673.75299999999993</v>
      </c>
      <c r="BE62" s="19">
        <f>IS!BE8+IS!BC8+IS!BB8+IS!BA8</f>
        <v>699.678</v>
      </c>
      <c r="BF62" s="19">
        <f>IS!BF8+IS!BE8+IS!BC8+IS!BB8</f>
        <v>729.49499999999989</v>
      </c>
      <c r="BG62" s="19">
        <f>IS!BG8+IS!BF8+IS!BE8+IS!BC8</f>
        <v>769.28500000000008</v>
      </c>
      <c r="BH62" s="19">
        <f>IS!BH8+IS!BG8+IS!BF8+IS!BE8</f>
        <v>812.93299999999999</v>
      </c>
      <c r="BI62" s="217">
        <f>BH62</f>
        <v>812.93299999999999</v>
      </c>
      <c r="BJ62" s="275">
        <f>IS!BJ8+IS!BH8+IS!BG8+IS!BF8</f>
        <v>858.32040328130176</v>
      </c>
      <c r="BK62" s="19">
        <f>IS!BK8+IS!BJ8+IS!BH8+IS!BG8</f>
        <v>897.97793927014732</v>
      </c>
      <c r="BL62" s="19">
        <f>IS!BL8+IS!BK8+IS!BJ8+IS!BH8</f>
        <v>927.69982481210468</v>
      </c>
      <c r="BM62" s="19">
        <f>IS!BM8+IS!BL8+IS!BK8+IS!BJ8</f>
        <v>942.4597710206599</v>
      </c>
      <c r="BN62" s="217">
        <f>BM62</f>
        <v>942.4597710206599</v>
      </c>
      <c r="BO62" s="19">
        <f>IS!BO8+IS!BM8+IS!BL8+IS!BK8</f>
        <v>979.61358682478908</v>
      </c>
      <c r="BP62" s="19">
        <f>IS!BP8+IS!BO8+IS!BM8+IS!BL8</f>
        <v>1009.5417854098872</v>
      </c>
      <c r="BQ62" s="19">
        <f>IS!BQ8+IS!BP8+IS!BO8+IS!BM8</f>
        <v>1042.5333577888862</v>
      </c>
      <c r="BR62" s="19">
        <f>IS!BR8+IS!BQ8+IS!BP8+IS!BO8</f>
        <v>1069.5121501087765</v>
      </c>
      <c r="BS62" s="217">
        <f>BR62</f>
        <v>1069.5121501087765</v>
      </c>
      <c r="BT62" s="19">
        <f>IS!BT8+IS!BR8+IS!BQ8+IS!BP8</f>
        <v>1096.1129996975919</v>
      </c>
      <c r="BU62" s="19">
        <f>IS!BU8+IS!BT8+IS!BR8+IS!BQ8</f>
        <v>1126.5076728619622</v>
      </c>
      <c r="BV62" s="19">
        <f>IS!BV8+IS!BU8+IS!BT8+IS!BR8</f>
        <v>1154.3515759316356</v>
      </c>
      <c r="BW62" s="19">
        <f>IS!BW8+IS!BV8+IS!BU8+IS!BT8</f>
        <v>1181.5480002488825</v>
      </c>
      <c r="BX62" s="217">
        <f>BW62</f>
        <v>1181.5480002488825</v>
      </c>
      <c r="BY62" s="19">
        <f>IS!BY8+IS!BW8+IS!BV8+IS!BU8</f>
        <v>1214.210960564491</v>
      </c>
      <c r="BZ62" s="19">
        <f>IS!BZ8+IS!BY8+IS!BW8+IS!BV8</f>
        <v>1245.4439701995427</v>
      </c>
      <c r="CA62" s="19">
        <f>IS!CA8+IS!BZ8+IS!BY8+IS!BW8</f>
        <v>1278.2865512175208</v>
      </c>
      <c r="CB62" s="19">
        <f>IS!CB8+IS!CA8+IS!BZ8+IS!BY8</f>
        <v>1308.6448265438316</v>
      </c>
      <c r="CC62" s="217">
        <f>CB62</f>
        <v>1308.6448265438316</v>
      </c>
      <c r="CD62" s="19">
        <f>IS!CD8+IS!CB8+IS!CA8+IS!BZ8</f>
        <v>1341.1296151258289</v>
      </c>
      <c r="CE62" s="19">
        <f>IS!CE8+IS!CD8+IS!CB8+IS!CA8</f>
        <v>1375.0526791084726</v>
      </c>
      <c r="CF62" s="19">
        <f>IS!CF8+IS!CE8+IS!CD8+IS!CB8</f>
        <v>1407.8754827654052</v>
      </c>
      <c r="CG62" s="19">
        <f>IS!CG8+IS!CF8+IS!CE8+IS!CD8</f>
        <v>1439.7744041216447</v>
      </c>
      <c r="CH62" s="217">
        <f>CG62</f>
        <v>1439.7744041216447</v>
      </c>
      <c r="CI62" s="19">
        <f>IS!CI8+IS!CG8+IS!CF8+IS!CE8</f>
        <v>1472.8042612039228</v>
      </c>
      <c r="CJ62" s="19">
        <f>IS!CJ8+IS!CI8+IS!CG8+IS!CF8</f>
        <v>1506.0127467705261</v>
      </c>
      <c r="CK62" s="19">
        <f>IS!CK8+IS!CJ8+IS!CI8+IS!CG8</f>
        <v>1537.8253432462575</v>
      </c>
      <c r="CL62" s="19">
        <f>IS!CL8+IS!CK8+IS!CJ8+IS!CI8</f>
        <v>1567.5783164872241</v>
      </c>
      <c r="CM62" s="217">
        <f>CL62</f>
        <v>1567.5783164872241</v>
      </c>
      <c r="CN62" s="19">
        <f>IS!CN8+IS!CL8+IS!CK8+IS!CJ8</f>
        <v>1599.2535602798073</v>
      </c>
      <c r="CO62" s="19">
        <f>IS!CO8+IS!CN8+IS!CL8+IS!CK8</f>
        <v>1631.8290051889326</v>
      </c>
      <c r="CP62" s="19">
        <f>IS!CP8+IS!CO8+IS!CN8+IS!CL8</f>
        <v>1663.5873515906926</v>
      </c>
      <c r="CQ62" s="19">
        <f>IS!CQ8+IS!CP8+IS!CO8+IS!CN8</f>
        <v>1694.0066512790131</v>
      </c>
      <c r="CR62" s="217">
        <f>CQ62</f>
        <v>1694.0066512790131</v>
      </c>
      <c r="CS62" s="19">
        <f>IS!CS8+IS!CQ8+IS!CP8+IS!CO8</f>
        <v>1726.4979728285209</v>
      </c>
      <c r="CT62" s="19">
        <f>IS!CT8+IS!CS8+IS!CQ8+IS!CP8</f>
        <v>1759.9821571303883</v>
      </c>
      <c r="CU62" s="19">
        <f>IS!CU8+IS!CT8+IS!CS8+IS!CQ8</f>
        <v>1792.8069446113168</v>
      </c>
      <c r="CV62" s="19">
        <f>IS!CV8+IS!CU8+IS!CT8+IS!CS8</f>
        <v>1824.3041547645396</v>
      </c>
      <c r="CW62" s="217">
        <f>CV62</f>
        <v>1824.3041547645396</v>
      </c>
      <c r="CX62" s="19">
        <f>IS!CX8+IS!CV8+IS!CU8+IS!CT8</f>
        <v>1857.2866253795144</v>
      </c>
      <c r="CY62" s="19">
        <f>IS!CY8+IS!CX8+IS!CV8+IS!CU8</f>
        <v>1890.642110798449</v>
      </c>
      <c r="CZ62" s="19">
        <f>IS!CZ8+IS!CY8+IS!CX8+IS!CV8</f>
        <v>1922.6689497206096</v>
      </c>
      <c r="DA62" s="19">
        <f>IS!DA8+IS!CZ8+IS!CY8+IS!CX8</f>
        <v>1952.8222721968964</v>
      </c>
      <c r="DB62" s="217">
        <f>DA62</f>
        <v>1952.8222721968964</v>
      </c>
    </row>
    <row r="63" spans="1:106" ht="12.75" customHeight="1">
      <c r="F63" s="217"/>
      <c r="K63" s="217"/>
      <c r="P63" s="217"/>
      <c r="U63" s="217"/>
      <c r="Z63" s="217"/>
      <c r="AE63" s="217"/>
      <c r="AJ63" s="217"/>
      <c r="AO63" s="217"/>
      <c r="AT63" s="217"/>
      <c r="AY63" s="217"/>
      <c r="BD63" s="217"/>
      <c r="BI63" s="217"/>
      <c r="BJ63" s="356"/>
      <c r="BN63" s="217"/>
      <c r="BS63" s="217"/>
      <c r="BX63" s="217"/>
      <c r="CC63" s="217"/>
      <c r="CH63" s="217"/>
      <c r="CM63" s="217"/>
      <c r="CR63" s="217"/>
      <c r="CW63" s="217"/>
      <c r="DB63" s="217"/>
    </row>
    <row r="64" spans="1:106" ht="12.75" customHeight="1">
      <c r="A64" s="12" t="str">
        <f>A10</f>
        <v>Accounts receivable, net</v>
      </c>
      <c r="F64" s="217"/>
      <c r="K64" s="217"/>
      <c r="P64" s="217"/>
      <c r="U64" s="217"/>
      <c r="Z64" s="217"/>
      <c r="AE64" s="217"/>
      <c r="AJ64" s="217"/>
      <c r="AO64" s="217"/>
      <c r="AT64" s="217"/>
      <c r="AY64" s="217"/>
      <c r="BD64" s="217"/>
      <c r="BI64" s="217"/>
      <c r="BJ64" s="356"/>
      <c r="BN64" s="217"/>
      <c r="BS64" s="217"/>
      <c r="BX64" s="217"/>
      <c r="CC64" s="217"/>
      <c r="CH64" s="217"/>
      <c r="CM64" s="217"/>
      <c r="CR64" s="217"/>
      <c r="CW64" s="217"/>
      <c r="DB64" s="217"/>
    </row>
    <row r="65" spans="1:106" s="19" customFormat="1" ht="12.75" customHeight="1">
      <c r="A65" s="19" t="s">
        <v>57</v>
      </c>
      <c r="E65" s="19">
        <f>(E10/E61)*365</f>
        <v>13.615692232357542</v>
      </c>
      <c r="F65" s="215">
        <f>E65</f>
        <v>13.615692232357542</v>
      </c>
      <c r="G65" s="19">
        <f>(G10/G61)*365</f>
        <v>0</v>
      </c>
      <c r="H65" s="19">
        <f>(H10/H61)*365</f>
        <v>10.200577697689209</v>
      </c>
      <c r="I65" s="19">
        <f>(I10/I61)*365</f>
        <v>11.340063098218623</v>
      </c>
      <c r="J65" s="19">
        <f>(J10/J61)*365</f>
        <v>11.240209083029079</v>
      </c>
      <c r="K65" s="215">
        <f>J65</f>
        <v>11.240209083029079</v>
      </c>
      <c r="L65" s="19">
        <f>(L10/L61)*365</f>
        <v>10.879324486627414</v>
      </c>
      <c r="M65" s="19">
        <f>(M10/M61)*365</f>
        <v>10.638700352826154</v>
      </c>
      <c r="N65" s="19">
        <f>(N10/N61)*365</f>
        <v>15.560137207900782</v>
      </c>
      <c r="O65" s="19">
        <f>(O10/O61)*365</f>
        <v>22.524761141361932</v>
      </c>
      <c r="P65" s="215">
        <f>O65</f>
        <v>22.524761141361932</v>
      </c>
      <c r="Q65" s="19">
        <f>(Q10/Q61)*365</f>
        <v>13.50734635503011</v>
      </c>
      <c r="R65" s="19">
        <f>(R10/R61)*365</f>
        <v>12.734308267797708</v>
      </c>
      <c r="S65" s="19">
        <f>(S10/S61)*365</f>
        <v>12.979082010722951</v>
      </c>
      <c r="T65" s="19">
        <f>(T10/T61)*365</f>
        <v>14.278914757346911</v>
      </c>
      <c r="U65" s="215">
        <f>T65</f>
        <v>14.278914757346911</v>
      </c>
      <c r="V65" s="19">
        <f>(V10/V61)*365</f>
        <v>81.142999761460928</v>
      </c>
      <c r="W65" s="19">
        <f>(W10/W61)*365</f>
        <v>88.223423652631141</v>
      </c>
      <c r="X65" s="19">
        <f>(X10/X61)*365</f>
        <v>90.180177047624511</v>
      </c>
      <c r="Y65" s="19">
        <f>(Y10/Y61)*365</f>
        <v>88.146875266830705</v>
      </c>
      <c r="Z65" s="215">
        <f>Y65</f>
        <v>88.146875266830705</v>
      </c>
      <c r="AA65" s="19">
        <f>(AA10/AA61)*365</f>
        <v>83.951754419427942</v>
      </c>
      <c r="AB65" s="19">
        <f>(AB10/AB61)*365</f>
        <v>84.065444145356665</v>
      </c>
      <c r="AC65" s="19">
        <f>(AC10/AC61)*365</f>
        <v>75.162032909985214</v>
      </c>
      <c r="AD65" s="19">
        <f>(AD10/AD61)*365</f>
        <v>64.41055740784843</v>
      </c>
      <c r="AE65" s="215">
        <f>AD65</f>
        <v>64.41055740784843</v>
      </c>
      <c r="AF65" s="19">
        <f>(AF10/AF61)*365</f>
        <v>68.207932240012624</v>
      </c>
      <c r="AG65" s="19">
        <f>(AG10/AG61)*365</f>
        <v>62.721370593590215</v>
      </c>
      <c r="AH65" s="19">
        <f>(AH10/AH61)*365</f>
        <v>71.285886803715186</v>
      </c>
      <c r="AI65" s="19">
        <f>(AI10/AI61)*365</f>
        <v>73.339791051265323</v>
      </c>
      <c r="AJ65" s="215">
        <f>AI65</f>
        <v>73.339791051265323</v>
      </c>
      <c r="AK65" s="19">
        <f>(AK10/AK61)*365</f>
        <v>71.131737846337359</v>
      </c>
      <c r="AL65" s="19">
        <f>(AL10/AL61)*365</f>
        <v>72.390826818364573</v>
      </c>
      <c r="AM65" s="19">
        <f>(AM10/AM61)*365</f>
        <v>71.351401114659808</v>
      </c>
      <c r="AN65" s="19">
        <f>(AN10/AN61)*365</f>
        <v>71.235823024016526</v>
      </c>
      <c r="AO65" s="215">
        <f>AN65</f>
        <v>71.235823024016526</v>
      </c>
      <c r="AP65" s="19">
        <f>(AP10/AP61)*365</f>
        <v>91.81680585880774</v>
      </c>
      <c r="AQ65" s="19">
        <f>(AQ10/AQ61)*365</f>
        <v>105.0950894085092</v>
      </c>
      <c r="AR65" s="19">
        <f>(AR10/AR61)*365</f>
        <v>111.17571179307163</v>
      </c>
      <c r="AS65" s="19">
        <f>(AS10/AS61)*365</f>
        <v>108.75168551928624</v>
      </c>
      <c r="AT65" s="215">
        <f>AS65</f>
        <v>108.75168551928624</v>
      </c>
      <c r="AU65" s="19">
        <f>(AU10/AU61)*365</f>
        <v>103.79333291083084</v>
      </c>
      <c r="AV65" s="19">
        <f>(AV10/AV61)*365</f>
        <v>101.95352231730017</v>
      </c>
      <c r="AW65" s="19">
        <f>(AW10/AW61)*365</f>
        <v>94.191321489039339</v>
      </c>
      <c r="AX65" s="19">
        <f>(AX10/AX61)*365</f>
        <v>93.828012204280355</v>
      </c>
      <c r="AY65" s="215">
        <f>AX65</f>
        <v>93.828012204280355</v>
      </c>
      <c r="AZ65" s="19">
        <f>(AZ10/AZ61)*365</f>
        <v>87.205739742304033</v>
      </c>
      <c r="BA65" s="19">
        <f>(BA10/BA61)*365</f>
        <v>90.125960765981389</v>
      </c>
      <c r="BB65" s="19">
        <f>(BB10/BB61)*365</f>
        <v>73.115554960818031</v>
      </c>
      <c r="BC65" s="19">
        <f>(BC10/BC61)*365</f>
        <v>67.575862847255991</v>
      </c>
      <c r="BD65" s="215">
        <f>BC65</f>
        <v>67.575862847255991</v>
      </c>
      <c r="BE65" s="19">
        <f t="shared" ref="BE65:BH65" si="101">(BE10/BE61)*365</f>
        <v>63.438036592026215</v>
      </c>
      <c r="BF65" s="19">
        <f t="shared" si="101"/>
        <v>57.460515443815922</v>
      </c>
      <c r="BG65" s="19">
        <f t="shared" si="101"/>
        <v>49.383294262602554</v>
      </c>
      <c r="BH65" s="19">
        <f t="shared" si="101"/>
        <v>46.932964689934977</v>
      </c>
      <c r="BI65" s="215">
        <f>BH65</f>
        <v>46.932964689934977</v>
      </c>
      <c r="BJ65" s="276">
        <v>37</v>
      </c>
      <c r="BK65" s="20">
        <f>BJ65</f>
        <v>37</v>
      </c>
      <c r="BL65" s="20">
        <f>BK65</f>
        <v>37</v>
      </c>
      <c r="BM65" s="20">
        <f>BL65</f>
        <v>37</v>
      </c>
      <c r="BN65" s="215">
        <f>BM65</f>
        <v>37</v>
      </c>
      <c r="BO65" s="20">
        <f>BM65</f>
        <v>37</v>
      </c>
      <c r="BP65" s="20">
        <f>BO65</f>
        <v>37</v>
      </c>
      <c r="BQ65" s="20">
        <f>BP65</f>
        <v>37</v>
      </c>
      <c r="BR65" s="20">
        <f>BQ65</f>
        <v>37</v>
      </c>
      <c r="BS65" s="215">
        <f>BR65</f>
        <v>37</v>
      </c>
      <c r="BT65" s="20">
        <f>BR65</f>
        <v>37</v>
      </c>
      <c r="BU65" s="20">
        <f>BT65</f>
        <v>37</v>
      </c>
      <c r="BV65" s="20">
        <f>BU65</f>
        <v>37</v>
      </c>
      <c r="BW65" s="20">
        <f>BV65</f>
        <v>37</v>
      </c>
      <c r="BX65" s="215">
        <f>BW65</f>
        <v>37</v>
      </c>
      <c r="BY65" s="20">
        <f>BW65</f>
        <v>37</v>
      </c>
      <c r="BZ65" s="20">
        <f>BY65</f>
        <v>37</v>
      </c>
      <c r="CA65" s="20">
        <f>BZ65</f>
        <v>37</v>
      </c>
      <c r="CB65" s="20">
        <f>CA65</f>
        <v>37</v>
      </c>
      <c r="CC65" s="215">
        <f>CB65</f>
        <v>37</v>
      </c>
      <c r="CD65" s="20">
        <f>CB65</f>
        <v>37</v>
      </c>
      <c r="CE65" s="20">
        <f>CD65</f>
        <v>37</v>
      </c>
      <c r="CF65" s="20">
        <f>CE65</f>
        <v>37</v>
      </c>
      <c r="CG65" s="20">
        <f>CF65</f>
        <v>37</v>
      </c>
      <c r="CH65" s="215">
        <f>CG65</f>
        <v>37</v>
      </c>
      <c r="CI65" s="20">
        <f>CG65</f>
        <v>37</v>
      </c>
      <c r="CJ65" s="20">
        <f>CI65</f>
        <v>37</v>
      </c>
      <c r="CK65" s="20">
        <f>CJ65</f>
        <v>37</v>
      </c>
      <c r="CL65" s="20">
        <f>CK65</f>
        <v>37</v>
      </c>
      <c r="CM65" s="215">
        <f>CL65</f>
        <v>37</v>
      </c>
      <c r="CN65" s="20">
        <f>CL65</f>
        <v>37</v>
      </c>
      <c r="CO65" s="20">
        <f>CN65</f>
        <v>37</v>
      </c>
      <c r="CP65" s="20">
        <f>CO65</f>
        <v>37</v>
      </c>
      <c r="CQ65" s="20">
        <f>CP65</f>
        <v>37</v>
      </c>
      <c r="CR65" s="215">
        <f>CQ65</f>
        <v>37</v>
      </c>
      <c r="CS65" s="20">
        <f>CQ65</f>
        <v>37</v>
      </c>
      <c r="CT65" s="20">
        <f>CS65</f>
        <v>37</v>
      </c>
      <c r="CU65" s="20">
        <f>CT65</f>
        <v>37</v>
      </c>
      <c r="CV65" s="20">
        <f>CU65</f>
        <v>37</v>
      </c>
      <c r="CW65" s="215">
        <f>CV65</f>
        <v>37</v>
      </c>
      <c r="CX65" s="20">
        <f>CV65</f>
        <v>37</v>
      </c>
      <c r="CY65" s="20">
        <f>CX65</f>
        <v>37</v>
      </c>
      <c r="CZ65" s="20">
        <f>CY65</f>
        <v>37</v>
      </c>
      <c r="DA65" s="20">
        <f>CZ65</f>
        <v>37</v>
      </c>
      <c r="DB65" s="215">
        <f>DA65</f>
        <v>37</v>
      </c>
    </row>
    <row r="66" spans="1:106" ht="12.75" customHeight="1">
      <c r="A66" s="12" t="s">
        <v>58</v>
      </c>
      <c r="B66" s="19"/>
      <c r="C66" s="19"/>
      <c r="D66" s="19"/>
      <c r="E66" s="19" t="e">
        <f>((E10+D10+D10+C10+C10+B10+B10+#REF!)/8/E61)*365</f>
        <v>#REF!</v>
      </c>
      <c r="F66" s="217" t="e">
        <f>E66</f>
        <v>#REF!</v>
      </c>
      <c r="G66" s="19">
        <f>((G10+E10+E10+D10+D10+C10+C10+B10)/8/G61)*365</f>
        <v>3.0218498681929904</v>
      </c>
      <c r="H66" s="19">
        <f>((H10+G10+G10+E10+E10+D10+D10+C10)/8/H61)*365</f>
        <v>4.1487604674581302</v>
      </c>
      <c r="I66" s="19">
        <f>((I10+H10+H10+G10+G10+E10+E10+D10)/8/I61)*365</f>
        <v>6.8805150885884041</v>
      </c>
      <c r="J66" s="19">
        <f>((J10+I10+I10+H10+H10+G10+G10+E10)/8/J61)*365</f>
        <v>8.1468506212077454</v>
      </c>
      <c r="K66" s="217">
        <f>J66</f>
        <v>8.1468506212077454</v>
      </c>
      <c r="L66" s="19">
        <f>((L10+J10+J10+I10+I10+H10+H10+G10)/8/L61)*365</f>
        <v>8.9135169805977874</v>
      </c>
      <c r="M66" s="19">
        <f>((M10+L10+L10+J10+J10+I10+I10+H10)/8/M61)*365</f>
        <v>10.132280286606305</v>
      </c>
      <c r="N66" s="19">
        <f>((N10+M10+M10+L10+L10+J10+J10+I10)/8/N61)*365</f>
        <v>10.64797654596782</v>
      </c>
      <c r="O66" s="19">
        <f>((O10+N10+N10+M10+M10+K10+K10+J10)/8/O61)*365</f>
        <v>13.06069589172356</v>
      </c>
      <c r="P66" s="217">
        <f>O66</f>
        <v>13.06069589172356</v>
      </c>
      <c r="Q66" s="19">
        <f>((Q10+O10+O10+N10+N10+M10+M10+L10)/8/Q61)*365</f>
        <v>16.151059889247946</v>
      </c>
      <c r="R66" s="19">
        <f>((R10+Q10+Q10+O10+O10+N10+N10+M10)/8/R61)*365</f>
        <v>16.538743335984215</v>
      </c>
      <c r="S66" s="19">
        <f>((S10+R10+R10+Q10+Q10+O10+O10+N10)/8/S61)*365</f>
        <v>16.067403486170104</v>
      </c>
      <c r="T66" s="19">
        <f>((T10+S10+S10+R10+R10+Q10+Q10+O10)/8/T61)*365</f>
        <v>14.167739251631991</v>
      </c>
      <c r="U66" s="217">
        <f>T66</f>
        <v>14.167739251631991</v>
      </c>
      <c r="V66" s="19">
        <f>((V10+T10+T10+S10+S10+R10+R10+Q10)/8/V61)*365</f>
        <v>20.800491876419088</v>
      </c>
      <c r="W66" s="19">
        <f>((W10+V10+V10+T10+T10+S10+S10+R10)/8/W61)*365</f>
        <v>37.90939712928806</v>
      </c>
      <c r="X66" s="19">
        <f>((X10+W10+W10+V10+V10+T10+T10+S10)/8/X61)*365</f>
        <v>55.786638283685285</v>
      </c>
      <c r="Y66" s="19">
        <f>((Y10+X10+X10+W10+W10+V10+V10+T10)/8/Y61)*365</f>
        <v>71.880615573598718</v>
      </c>
      <c r="Z66" s="217">
        <f>Y66</f>
        <v>71.880615573598718</v>
      </c>
      <c r="AA66" s="19">
        <f>((AA10+Y10+Y10+X10+X10+W10+W10+V10)/8/AA61)*365</f>
        <v>81.779442030533545</v>
      </c>
      <c r="AB66" s="19">
        <f>((AB10+AA10+AA10+Y10+Y10+X10+X10+W10)/8/AB61)*365</f>
        <v>81.063535936859978</v>
      </c>
      <c r="AC66" s="19">
        <f>((AC10+AB10+AB10+AA10+AA10+Y10+Y10+X10)/8/AC61)*365</f>
        <v>78.19920172135933</v>
      </c>
      <c r="AD66" s="19">
        <f>((AD10+AC10+AC10+AB10+AB10+AA10+AA10+Y10)/8/AD61)*365</f>
        <v>72.425507230557557</v>
      </c>
      <c r="AE66" s="217">
        <f>AD66</f>
        <v>72.425507230557557</v>
      </c>
      <c r="AF66" s="19">
        <f>((AF10+AD10+AD10+AC10+AC10+AB10+AB10+AA10)/8/AF61)*365</f>
        <v>65.399119466126081</v>
      </c>
      <c r="AG66" s="19">
        <f>((AG10+AF10+AF10+AD10+AD10+AC10+AC10+AB10)/8/AG61)*365</f>
        <v>62.681038570629894</v>
      </c>
      <c r="AH66" s="19">
        <f>((AH10+AG10+AG10+AF10+AF10+AD10+AD10+AC10)/8/AH61)*365</f>
        <v>60.121935338121475</v>
      </c>
      <c r="AI66" s="19">
        <f>((AI10+AH10+AH10+AG10+AG10+AF10+AF10+AD10)/8/AI61)*365</f>
        <v>59.957017813071438</v>
      </c>
      <c r="AJ66" s="217">
        <f>AI66</f>
        <v>59.957017813071438</v>
      </c>
      <c r="AK66" s="19">
        <f>((AK10+AI10+AI10+AH10+AH10+AG10+AG10+AF10)/8/AK61)*365</f>
        <v>57.375766176506581</v>
      </c>
      <c r="AL66" s="19">
        <f>((AL10+AK10+AK10+AI10+AI10+AH10+AH10+AG10)/8/AL61)*365</f>
        <v>57.154086851284404</v>
      </c>
      <c r="AM66" s="19">
        <f>((AM10+AL10+AL10+AK10+AK10+AI10+AI10+AH10)/8/AM61)*365</f>
        <v>57.641833204682413</v>
      </c>
      <c r="AN66" s="19">
        <f>((AN10+AM10+AM10+AL10+AL10+AK10+AK10+AI10)/8/AN61)*365</f>
        <v>58.12521683139191</v>
      </c>
      <c r="AO66" s="217">
        <f>AN66</f>
        <v>58.12521683139191</v>
      </c>
      <c r="AP66" s="19">
        <f>((AP10+AN10+AN10+AM10+AM10+AL10+AL10+AK10)/8/AP61)*365</f>
        <v>62.947858768805155</v>
      </c>
      <c r="AQ66" s="19">
        <f>((AQ10+AP10+AP10+AN10+AN10+AM10+AM10+AL10)/8/AQ61)*365</f>
        <v>69.946641358329273</v>
      </c>
      <c r="AR66" s="19">
        <f>((AR10+AQ10+AQ10+AP10+AP10+AN10+AN10+AM10)/8/AR61)*365</f>
        <v>78.978136863754798</v>
      </c>
      <c r="AS66" s="19">
        <f>((AS10+AR10+AR10+AQ10+AQ10+AP10+AP10+AN10)/8/AS61)*365</f>
        <v>88.529205355379403</v>
      </c>
      <c r="AT66" s="217">
        <f>AS66</f>
        <v>88.529205355379403</v>
      </c>
      <c r="AU66" s="19">
        <f>((AU10+AS10+AS10+AR10+AR10+AQ10+AQ10+AP10)/8/AU61)*365</f>
        <v>94.250589823067472</v>
      </c>
      <c r="AV66" s="19">
        <f>((AV10+AU10+AU10+AS10+AS10+AR10+AR10+AQ10)/8/AV61)*365</f>
        <v>94.256044123349056</v>
      </c>
      <c r="AW66" s="19">
        <f>((AW10+AV10+AV10+AU10+AU10+AS10+AS10+AR10)/8/AW61)*365</f>
        <v>92.013386906074331</v>
      </c>
      <c r="AX66" s="19">
        <f>((AX10+AW10+AW10+AV10+AV10+AU10+AU10+AS10)/8/AX61)*365</f>
        <v>86.256908322872121</v>
      </c>
      <c r="AY66" s="217">
        <f>AX66</f>
        <v>86.256908322872121</v>
      </c>
      <c r="AZ66" s="19">
        <f>((AZ10+AX10+AX10+AW10+AW10+AV10+AV10+AU10)/8/AZ61)*365</f>
        <v>80.129228082935327</v>
      </c>
      <c r="BA66" s="19">
        <f>((BA10+AZ10+AZ10+AX10+AX10+AW10+AW10+AV10)/8/BA61)*365</f>
        <v>75.131650297720753</v>
      </c>
      <c r="BB66" s="19">
        <f>((BB10+BA10+BA10+AY10+AY10+AX10+AX10+AW10)/8/BB61)*365</f>
        <v>69.900357304881666</v>
      </c>
      <c r="BC66" s="19">
        <f>((BC10+BB10+BB10+BA10+BA10+AZ10+AZ10+AX10)/8/BC61)*365</f>
        <v>66.023240906564908</v>
      </c>
      <c r="BD66" s="217">
        <f>BC66</f>
        <v>66.023240906564908</v>
      </c>
      <c r="BE66" s="19">
        <f>((BE10+BC10+BC10+BB10+BB10+BA10+BA10+AZ10)/8/BE61)*365</f>
        <v>62.816853836701249</v>
      </c>
      <c r="BF66" s="19">
        <f>((BF10+BE10+BE10+BC10+BC10+BB10+BB10+BA10)/8/BF61)*365</f>
        <v>58.619949660150006</v>
      </c>
      <c r="BG66" s="19">
        <f>((BG10+BF10+BF10+BE10+BE10+BC10+BC10+BB10)/8/BG61)*365</f>
        <v>53.381043502683923</v>
      </c>
      <c r="BH66" s="19">
        <f>((BH10+BG10+BG10+BF10+BF10+BE10+BE10+BC10)/8/BH61)*365</f>
        <v>48.241522911062901</v>
      </c>
      <c r="BI66" s="217">
        <f>BH66</f>
        <v>48.241522911062901</v>
      </c>
      <c r="BJ66" s="275">
        <f>((BJ10+BH10+BH10+BG10+BG10+BF10+BF10+BE10)/8/BJ61)*365</f>
        <v>44.250621918828323</v>
      </c>
      <c r="BK66" s="19">
        <f>((BK10+BJ10+BJ10+BH10+BH10+BG10+BG10+BF10)/8/BK61)*365</f>
        <v>40.150137190730284</v>
      </c>
      <c r="BL66" s="19">
        <f>((BL10+BK10+BK10+BJ10+BJ10+BH10+BH10+BG10)/8/BL61)*365</f>
        <v>37.53662603472138</v>
      </c>
      <c r="BM66" s="19">
        <f>((BM10+BL10+BL10+BK10+BK10+BJ10+BJ10+BH10)/8/BM61)*365</f>
        <v>35.994661735414269</v>
      </c>
      <c r="BN66" s="217">
        <f>BM66</f>
        <v>35.994661735414269</v>
      </c>
      <c r="BO66" s="19">
        <f>((BO10+BM10+BM10+BL10+BL10+BK10+BK10+BJ10)/8/BO61)*365</f>
        <v>34.319459516329104</v>
      </c>
      <c r="BP66" s="19">
        <f>((BP10+BO10+BO10+BM10+BM10+BL10+BL10+BK10)/8/BP61)*365</f>
        <v>34.225693054054922</v>
      </c>
      <c r="BQ66" s="19">
        <f>((BQ10+BP10+BP10+BO10+BO10+BM10+BM10+BL10)/8/BQ61)*365</f>
        <v>34.179416759738103</v>
      </c>
      <c r="BR66" s="19">
        <f>((BR10+BQ10+BQ10+BP10+BP10+BO10+BO10+BM10)/8/BR61)*365</f>
        <v>34.429846726686598</v>
      </c>
      <c r="BS66" s="217">
        <f>BR66</f>
        <v>34.429846726686598</v>
      </c>
      <c r="BT66" s="19">
        <f>((BT10+BR10+BR10+BQ10+BQ10+BP10+BP10+BO10)/8/BT61)*365</f>
        <v>34.508572355602524</v>
      </c>
      <c r="BU66" s="19">
        <f>((BU10+BT10+BT10+BR10+BR10+BQ10+BQ10+BP10)/8/BU61)*365</f>
        <v>34.469295164315433</v>
      </c>
      <c r="BV66" s="19">
        <f>((BV10+BU10+BU10+BT10+BT10+BR10+BR10+BQ10)/8/BV61)*365</f>
        <v>34.459086010649962</v>
      </c>
      <c r="BW66" s="19">
        <f>((BW10+BV10+BV10+BU10+BU10+BT10+BT10+BR10)/8/BW61)*365</f>
        <v>34.455100820184875</v>
      </c>
      <c r="BX66" s="217">
        <f>BW66</f>
        <v>34.455100820184875</v>
      </c>
      <c r="BY66" s="19">
        <f>((BY10+BW10+BW10+BV10+BV10+BU10+BU10+BT10)/8/BY61)*365</f>
        <v>34.436320562787152</v>
      </c>
      <c r="BZ66" s="19">
        <f>((BZ10+BY10+BY10+BW10+BW10+BV10+BV10+BU10)/8/BZ61)*365</f>
        <v>34.498447470962901</v>
      </c>
      <c r="CA66" s="19">
        <f>((CA10+BZ10+BZ10+BY10+BY10+BW10+BW10+BV10)/8/CA61)*365</f>
        <v>34.522308548043419</v>
      </c>
      <c r="CB66" s="19">
        <f>((CB10+CA10+CA10+BZ10+BZ10+BY10+BY10+BW10)/8/CB61)*365</f>
        <v>34.586192816395943</v>
      </c>
      <c r="CC66" s="217">
        <f>CB66</f>
        <v>34.586192816395943</v>
      </c>
      <c r="CD66" s="19">
        <f>((CD10+CB10+CB10+CA10+CA10+BZ10+BZ10+BY10)/8/CD61)*365</f>
        <v>34.612125446257977</v>
      </c>
      <c r="CE66" s="19">
        <f>((CE10+CD10+CD10+CB10+CB10+CA10+CA10+BZ10)/8/CE61)*365</f>
        <v>34.636495089050584</v>
      </c>
      <c r="CF66" s="19">
        <f>((CF10+CE10+CE10+CD10+CD10+CB10+CB10+CA10)/8/CF61)*365</f>
        <v>34.678823268713089</v>
      </c>
      <c r="CG66" s="19">
        <f>((CG10+CF10+CF10+CE10+CE10+CD10+CD10+CB10)/8/CG61)*365</f>
        <v>34.711167385160579</v>
      </c>
      <c r="CH66" s="217">
        <f>CG66</f>
        <v>34.711167385160579</v>
      </c>
      <c r="CI66" s="19">
        <f>((CI10+CG10+CG10+CF10+CF10+CE10+CE10+CD10)/8/CI61)*365</f>
        <v>34.794207715365964</v>
      </c>
      <c r="CJ66" s="19">
        <f>((CJ10+CI10+CI10+CG10+CG10+CF10+CF10+CE10)/8/CJ61)*365</f>
        <v>34.897131224584221</v>
      </c>
      <c r="CK66" s="19">
        <f>((CK10+CJ10+CJ10+CI10+CI10+CG10+CG10+CF10)/8/CK61)*365</f>
        <v>35.002238640682023</v>
      </c>
      <c r="CL66" s="19">
        <f>((CL10+CK10+CK10+CJ10+CJ10+CI10+CI10+CG10)/8/CL61)*365</f>
        <v>35.101244487769762</v>
      </c>
      <c r="CM66" s="217">
        <f>CL66</f>
        <v>35.101244487769762</v>
      </c>
      <c r="CN66" s="19">
        <f>((CN10+CL10+CL10+CK10+CK10+CJ10+CJ10+CI10)/8/CN61)*365</f>
        <v>35.15033983435125</v>
      </c>
      <c r="CO66" s="19">
        <f>((CO10+CN10+CN10+CL10+CL10+CK10+CK10+CJ10)/8/CO61)*365</f>
        <v>35.189759782467945</v>
      </c>
      <c r="CP66" s="19">
        <f>((CP10+CO10+CO10+CN10+CN10+CL10+CL10+CK10)/8/CP61)*365</f>
        <v>35.221366401988107</v>
      </c>
      <c r="CQ66" s="19">
        <f>((CQ10+CP10+CP10+CO10+CO10+CN10+CN10+CL10)/8/CQ61)*365</f>
        <v>35.251542602704703</v>
      </c>
      <c r="CR66" s="217">
        <f>CQ66</f>
        <v>35.251542602704703</v>
      </c>
      <c r="CS66" s="19">
        <f>((CS10+CQ10+CQ10+CP10+CP10+CO10+CO10+CN10)/8/CS61)*365</f>
        <v>35.261489976843933</v>
      </c>
      <c r="CT66" s="19">
        <f>((CT10+CS10+CS10+CQ10+CQ10+CP10+CP10+CO10)/8/CT61)*365</f>
        <v>35.277576442186223</v>
      </c>
      <c r="CU66" s="19">
        <f>((CU10+CT10+CT10+CS10+CS10+CQ10+CQ10+CP10)/8/CU61)*365</f>
        <v>35.294276168004089</v>
      </c>
      <c r="CV66" s="19">
        <f>((CV10+CU10+CU10+CT10+CT10+CS10+CS10+CQ10)/8/CV61)*365</f>
        <v>35.313395453674744</v>
      </c>
      <c r="CW66" s="217">
        <f>CV66</f>
        <v>35.313395453674744</v>
      </c>
      <c r="CX66" s="19">
        <f>((CX10+CV10+CV10+CU10+CU10+CT10+CT10+CS10)/8/CX61)*365</f>
        <v>35.384310054115588</v>
      </c>
      <c r="CY66" s="19">
        <f>((CY10+CX10+CX10+CV10+CV10+CU10+CU10+CT10)/8/CY61)*365</f>
        <v>35.462432918493946</v>
      </c>
      <c r="CZ66" s="19">
        <f>((CZ10+CY10+CY10+CX10+CX10+CV10+CV10+CU10)/8/CZ61)*365</f>
        <v>35.536122184227587</v>
      </c>
      <c r="DA66" s="19">
        <f>((DA10+CZ10+CZ10+CY10+CY10+CX10+CX10+CV10)/8/DA61)*365</f>
        <v>35.599574450837054</v>
      </c>
      <c r="DB66" s="217">
        <f>DA66</f>
        <v>35.599574450837054</v>
      </c>
    </row>
    <row r="67" spans="1:106" ht="12.75" customHeight="1">
      <c r="F67" s="217"/>
      <c r="K67" s="217"/>
      <c r="P67" s="217"/>
      <c r="U67" s="217"/>
      <c r="Z67" s="217"/>
      <c r="AE67" s="217"/>
      <c r="AJ67" s="217"/>
      <c r="AO67" s="217"/>
      <c r="AT67" s="217"/>
      <c r="AY67" s="217"/>
      <c r="BD67" s="217"/>
      <c r="BI67" s="217"/>
      <c r="BJ67" s="356"/>
      <c r="BN67" s="217"/>
      <c r="BS67" s="217"/>
      <c r="BX67" s="217"/>
      <c r="CC67" s="217"/>
      <c r="CH67" s="217"/>
      <c r="CM67" s="217"/>
      <c r="CR67" s="217"/>
      <c r="CW67" s="217"/>
      <c r="DB67" s="217"/>
    </row>
    <row r="68" spans="1:106" ht="12.75" customHeight="1">
      <c r="A68" s="12" t="str">
        <f>A11</f>
        <v>Inventory</v>
      </c>
      <c r="F68" s="217"/>
      <c r="K68" s="217"/>
      <c r="P68" s="217"/>
      <c r="U68" s="217"/>
      <c r="Z68" s="217"/>
      <c r="AE68" s="217"/>
      <c r="AJ68" s="217"/>
      <c r="AO68" s="217"/>
      <c r="AT68" s="217"/>
      <c r="AY68" s="217"/>
      <c r="BD68" s="217"/>
      <c r="BI68" s="217"/>
      <c r="BJ68" s="356"/>
      <c r="BN68" s="217"/>
      <c r="BS68" s="217"/>
      <c r="BX68" s="217"/>
      <c r="CC68" s="217"/>
      <c r="CH68" s="217"/>
      <c r="CM68" s="217"/>
      <c r="CR68" s="217"/>
      <c r="CW68" s="217"/>
      <c r="DB68" s="217"/>
    </row>
    <row r="69" spans="1:106" s="19" customFormat="1" ht="12.75" customHeight="1">
      <c r="A69" s="19" t="s">
        <v>59</v>
      </c>
      <c r="C69" s="20"/>
      <c r="E69" s="19">
        <f>E11/E62*365</f>
        <v>53.737818256033471</v>
      </c>
      <c r="F69" s="215">
        <f>E69</f>
        <v>53.737818256033471</v>
      </c>
      <c r="G69" s="19">
        <f>G11/G62*365</f>
        <v>0</v>
      </c>
      <c r="H69" s="19">
        <f>H11/H62*365</f>
        <v>56.78519408443816</v>
      </c>
      <c r="I69" s="19">
        <f>I11/I62*365</f>
        <v>44.788558533362902</v>
      </c>
      <c r="J69" s="19">
        <f>J11/J62*365</f>
        <v>26.17701271655811</v>
      </c>
      <c r="K69" s="215">
        <f>J69</f>
        <v>26.17701271655811</v>
      </c>
      <c r="L69" s="19">
        <f>L11/L62*365</f>
        <v>20.287887852952419</v>
      </c>
      <c r="M69" s="19">
        <f>M11/M62*365</f>
        <v>25.847009547470599</v>
      </c>
      <c r="N69" s="19">
        <f>N11/N62*365</f>
        <v>26.091175379478777</v>
      </c>
      <c r="O69" s="19">
        <f>O11/O62*365</f>
        <v>17.268134007995631</v>
      </c>
      <c r="P69" s="215">
        <f>O69</f>
        <v>17.268134007995631</v>
      </c>
      <c r="Q69" s="19">
        <f>Q11/Q62*365</f>
        <v>21.918552003154801</v>
      </c>
      <c r="R69" s="19">
        <f>R11/R62*365</f>
        <v>19.1149658411614</v>
      </c>
      <c r="S69" s="19">
        <f>S11/S62*365</f>
        <v>23.806319256624853</v>
      </c>
      <c r="T69" s="19">
        <f>T11/T62*365</f>
        <v>23.526963523310119</v>
      </c>
      <c r="U69" s="215">
        <f>T69</f>
        <v>23.526963523310119</v>
      </c>
      <c r="V69" s="19">
        <f>V11/V62*365</f>
        <v>29.678301294303967</v>
      </c>
      <c r="W69" s="19">
        <f>W11/W62*365</f>
        <v>29.415003531165812</v>
      </c>
      <c r="X69" s="19">
        <f>X11/X62*365</f>
        <v>27.933196242288631</v>
      </c>
      <c r="Y69" s="19">
        <f>Y11/Y62*365</f>
        <v>29.966246123272406</v>
      </c>
      <c r="Z69" s="215">
        <f>Y69</f>
        <v>29.966246123272406</v>
      </c>
      <c r="AA69" s="19">
        <f>AA11/AA62*365</f>
        <v>29.733595629451429</v>
      </c>
      <c r="AB69" s="19">
        <f>AB11/AB62*365</f>
        <v>32.408331196531392</v>
      </c>
      <c r="AC69" s="19">
        <f>AC11/AC62*365</f>
        <v>26.281293693216799</v>
      </c>
      <c r="AD69" s="19">
        <f>AD11/AD62*365</f>
        <v>25.781102182709294</v>
      </c>
      <c r="AE69" s="215">
        <f>AD69</f>
        <v>25.781102182709294</v>
      </c>
      <c r="AF69" s="19">
        <f>AF11/AF62*365</f>
        <v>29.178159135171743</v>
      </c>
      <c r="AG69" s="19">
        <f>AG11/AG62*365</f>
        <v>36.514376535984326</v>
      </c>
      <c r="AH69" s="19">
        <f>AH11/AH62*365</f>
        <v>39.519686503719434</v>
      </c>
      <c r="AI69" s="19">
        <f>AI11/AI62*365</f>
        <v>35.906664374815833</v>
      </c>
      <c r="AJ69" s="215">
        <f>AI69</f>
        <v>35.906664374815833</v>
      </c>
      <c r="AK69" s="19">
        <f>AK11/AK62*365</f>
        <v>38.330221108425178</v>
      </c>
      <c r="AL69" s="19">
        <f>AL11/AL62*365</f>
        <v>40.723270810751366</v>
      </c>
      <c r="AM69" s="19">
        <f>AM11/AM62*365</f>
        <v>35.991632005292452</v>
      </c>
      <c r="AN69" s="19">
        <f>AN11/AN62*365</f>
        <v>30.845570916217046</v>
      </c>
      <c r="AO69" s="215">
        <f>AN69</f>
        <v>30.845570916217046</v>
      </c>
      <c r="AP69" s="19">
        <f>AP11/AP62*365</f>
        <v>25.766642241136349</v>
      </c>
      <c r="AQ69" s="19">
        <f>AQ11/AQ62*365</f>
        <v>28.663148126667441</v>
      </c>
      <c r="AR69" s="19">
        <f>AR11/AR62*365</f>
        <v>34.877589898980347</v>
      </c>
      <c r="AS69" s="19">
        <f>AS11/AS62*365</f>
        <v>28.324427514377884</v>
      </c>
      <c r="AT69" s="215">
        <f>AS69</f>
        <v>28.324427514377884</v>
      </c>
      <c r="AU69" s="19">
        <f>AU11/AU62*365</f>
        <v>29.629553141181045</v>
      </c>
      <c r="AV69" s="19">
        <f>AV11/AV62*365</f>
        <v>29.119397768919239</v>
      </c>
      <c r="AW69" s="19">
        <f>AW11/AW62*365</f>
        <v>27.1397620680149</v>
      </c>
      <c r="AX69" s="19">
        <f>AX11/AX62*365</f>
        <v>25.222538320298526</v>
      </c>
      <c r="AY69" s="215">
        <f>AX69</f>
        <v>25.222538320298526</v>
      </c>
      <c r="AZ69" s="19">
        <f>AZ11/AZ62*365</f>
        <v>26.136037959746826</v>
      </c>
      <c r="BA69" s="19">
        <f>BA11/BA62*365</f>
        <v>23.825566153880459</v>
      </c>
      <c r="BB69" s="19">
        <f>BB11/BB62*365</f>
        <v>27.420429648291567</v>
      </c>
      <c r="BC69" s="19">
        <f>BC11/BC62*365</f>
        <v>24.239684275988381</v>
      </c>
      <c r="BD69" s="215">
        <f>BC69</f>
        <v>24.239684275988381</v>
      </c>
      <c r="BE69" s="19">
        <f t="shared" ref="BE69:BH69" si="102">BE11/BE62*365</f>
        <v>26.274879301621599</v>
      </c>
      <c r="BF69" s="19">
        <f t="shared" si="102"/>
        <v>27.154785159596713</v>
      </c>
      <c r="BG69" s="19">
        <f t="shared" si="102"/>
        <v>30.6714156651956</v>
      </c>
      <c r="BH69" s="19">
        <f t="shared" si="102"/>
        <v>30.730324639299916</v>
      </c>
      <c r="BI69" s="215">
        <f>BH69</f>
        <v>30.730324639299916</v>
      </c>
      <c r="BJ69" s="276">
        <v>24</v>
      </c>
      <c r="BK69" s="20">
        <f>BJ69</f>
        <v>24</v>
      </c>
      <c r="BL69" s="20">
        <f>BK69</f>
        <v>24</v>
      </c>
      <c r="BM69" s="20">
        <f>BL69</f>
        <v>24</v>
      </c>
      <c r="BN69" s="215">
        <f>BM69</f>
        <v>24</v>
      </c>
      <c r="BO69" s="20">
        <f>BM69</f>
        <v>24</v>
      </c>
      <c r="BP69" s="20">
        <f>BO69</f>
        <v>24</v>
      </c>
      <c r="BQ69" s="20">
        <f>BP69</f>
        <v>24</v>
      </c>
      <c r="BR69" s="20">
        <f>BQ69</f>
        <v>24</v>
      </c>
      <c r="BS69" s="215">
        <f>BR69</f>
        <v>24</v>
      </c>
      <c r="BT69" s="20">
        <f>BR69</f>
        <v>24</v>
      </c>
      <c r="BU69" s="20">
        <f>BT69</f>
        <v>24</v>
      </c>
      <c r="BV69" s="20">
        <f>BU69</f>
        <v>24</v>
      </c>
      <c r="BW69" s="20">
        <f>BV69</f>
        <v>24</v>
      </c>
      <c r="BX69" s="215">
        <f>BW69</f>
        <v>24</v>
      </c>
      <c r="BY69" s="20">
        <f>BW69</f>
        <v>24</v>
      </c>
      <c r="BZ69" s="20">
        <f>BY69</f>
        <v>24</v>
      </c>
      <c r="CA69" s="20">
        <f>BZ69</f>
        <v>24</v>
      </c>
      <c r="CB69" s="20">
        <f>CA69</f>
        <v>24</v>
      </c>
      <c r="CC69" s="215">
        <f>CB69</f>
        <v>24</v>
      </c>
      <c r="CD69" s="20">
        <f>CB69</f>
        <v>24</v>
      </c>
      <c r="CE69" s="20">
        <f>CD69</f>
        <v>24</v>
      </c>
      <c r="CF69" s="20">
        <f>CE69</f>
        <v>24</v>
      </c>
      <c r="CG69" s="20">
        <f>CF69</f>
        <v>24</v>
      </c>
      <c r="CH69" s="215">
        <f>CG69</f>
        <v>24</v>
      </c>
      <c r="CI69" s="20">
        <f>CG69</f>
        <v>24</v>
      </c>
      <c r="CJ69" s="20">
        <f>CI69</f>
        <v>24</v>
      </c>
      <c r="CK69" s="20">
        <f>CJ69</f>
        <v>24</v>
      </c>
      <c r="CL69" s="20">
        <f>CK69</f>
        <v>24</v>
      </c>
      <c r="CM69" s="215">
        <f>CL69</f>
        <v>24</v>
      </c>
      <c r="CN69" s="20">
        <f>CL69</f>
        <v>24</v>
      </c>
      <c r="CO69" s="20">
        <f>CN69</f>
        <v>24</v>
      </c>
      <c r="CP69" s="20">
        <f>CO69</f>
        <v>24</v>
      </c>
      <c r="CQ69" s="20">
        <f>CP69</f>
        <v>24</v>
      </c>
      <c r="CR69" s="215">
        <f>CQ69</f>
        <v>24</v>
      </c>
      <c r="CS69" s="20">
        <f>CQ69</f>
        <v>24</v>
      </c>
      <c r="CT69" s="20">
        <f>CS69</f>
        <v>24</v>
      </c>
      <c r="CU69" s="20">
        <f>CT69</f>
        <v>24</v>
      </c>
      <c r="CV69" s="20">
        <f>CU69</f>
        <v>24</v>
      </c>
      <c r="CW69" s="215">
        <f>CV69</f>
        <v>24</v>
      </c>
      <c r="CX69" s="20">
        <f>CV69</f>
        <v>24</v>
      </c>
      <c r="CY69" s="20">
        <f>CX69</f>
        <v>24</v>
      </c>
      <c r="CZ69" s="20">
        <f>CY69</f>
        <v>24</v>
      </c>
      <c r="DA69" s="20">
        <f>CZ69</f>
        <v>24</v>
      </c>
      <c r="DB69" s="215">
        <f>DA69</f>
        <v>24</v>
      </c>
    </row>
    <row r="70" spans="1:106" ht="12.75" customHeight="1">
      <c r="A70" s="12" t="s">
        <v>60</v>
      </c>
      <c r="B70" s="19"/>
      <c r="C70" s="19"/>
      <c r="D70" s="19"/>
      <c r="E70" s="19" t="e">
        <f>((E11+D11+D11+C11+C11+B11+B11+#REF!)/8/E62)*365</f>
        <v>#REF!</v>
      </c>
      <c r="F70" s="217" t="e">
        <f>E70</f>
        <v>#REF!</v>
      </c>
      <c r="G70" s="19">
        <f>((G11+E11+E11+D11+D11+C11+C11+B11)/8/G62)*365</f>
        <v>12.058845418427049</v>
      </c>
      <c r="H70" s="19">
        <f>((H11+G11+G11+E11+E11+D11+D11+C11)/8/H62)*365</f>
        <v>18.295694366182211</v>
      </c>
      <c r="I70" s="19">
        <f>((I11+H11+H11+G11+G11+E11+E11+D11)/8/I62)*365</f>
        <v>28.632610205124742</v>
      </c>
      <c r="J70" s="19">
        <f>((J11+I11+I11+H11+H11+G11+G11+E11)/8/J62)*365</f>
        <v>30.060464575302404</v>
      </c>
      <c r="K70" s="217">
        <f>J70</f>
        <v>30.060464575302404</v>
      </c>
      <c r="L70" s="19">
        <f>((L11+J11+J11+I11+I11+H11+H11+G11)/8/L62)*365</f>
        <v>29.416148352196238</v>
      </c>
      <c r="M70" s="19">
        <f>((M11+L11+L11+J11+J11+I11+I11+H11)/8/M62)*365</f>
        <v>28.533290732025833</v>
      </c>
      <c r="N70" s="19">
        <f>((N11+M11+M11+L11+L11+J11+J11+I11)/8/N62)*365</f>
        <v>24.444785258292885</v>
      </c>
      <c r="O70" s="19">
        <f>((O11+N11+N11+M11+M11+K11+K11+J11)/8/O62)*365</f>
        <v>22.539909016478084</v>
      </c>
      <c r="P70" s="217">
        <f>O70</f>
        <v>22.539909016478084</v>
      </c>
      <c r="Q70" s="19">
        <f>((Q11+O11+O11+N11+N11+M11+M11+L11)/8/Q62)*365</f>
        <v>21.332138110330519</v>
      </c>
      <c r="R70" s="19">
        <f>((R11+Q11+Q11+O11+O11+N11+N11+M11)/8/R62)*365</f>
        <v>20.78775263307714</v>
      </c>
      <c r="S70" s="19">
        <f>((S11+R11+R11+Q11+Q11+O11+O11+N11)/8/S62)*365</f>
        <v>20.219371801151407</v>
      </c>
      <c r="T70" s="19">
        <f>((T11+S11+S11+R11+R11+Q11+Q11+O11)/8/T62)*365</f>
        <v>21.228652683457977</v>
      </c>
      <c r="U70" s="217">
        <f>T70</f>
        <v>21.228652683457977</v>
      </c>
      <c r="V70" s="19">
        <f>((V11+T11+T11+S11+S11+R11+R11+Q11)/8/V62)*365</f>
        <v>22.183352902626837</v>
      </c>
      <c r="W70" s="19">
        <f>((W11+V11+V11+T11+T11+S11+S11+R11)/8/W62)*365</f>
        <v>23.831368032486729</v>
      </c>
      <c r="X70" s="19">
        <f>((X11+W11+W11+V11+V11+T11+T11+S11)/8/X62)*365</f>
        <v>25.066074029164145</v>
      </c>
      <c r="Y70" s="19">
        <f>((Y11+X11+X11+W11+W11+V11+V11+T11)/8/Y62)*365</f>
        <v>26.263877179247839</v>
      </c>
      <c r="Z70" s="217">
        <f>Y70</f>
        <v>26.263877179247839</v>
      </c>
      <c r="AA70" s="19">
        <f>((AA11+Y11+Y11+X11+X11+W11+W11+V11)/8/AA62)*365</f>
        <v>27.591654272780062</v>
      </c>
      <c r="AB70" s="19">
        <f>((AB11+AA11+AA11+Y11+Y11+X11+X11+W11)/8/AB62)*365</f>
        <v>28.399299808853353</v>
      </c>
      <c r="AC70" s="19">
        <f>((AC11+AB11+AB11+AA11+AA11+Y11+Y11+X11)/8/AC62)*365</f>
        <v>28.874980580792535</v>
      </c>
      <c r="AD70" s="19">
        <f>((AD11+AC11+AC11+AB11+AB11+AA11+AA11+Y11)/8/AD62)*365</f>
        <v>28.347719695674474</v>
      </c>
      <c r="AE70" s="217">
        <f>AD70</f>
        <v>28.347719695674474</v>
      </c>
      <c r="AF70" s="19">
        <f>((AF11+AD11+AD11+AC11+AC11+AB11+AB11+AA11)/8/AF62)*365</f>
        <v>27.866934573372092</v>
      </c>
      <c r="AG70" s="19">
        <f>((AG11+AF11+AF11+AD11+AD11+AC11+AC11+AB11)/8/AG62)*365</f>
        <v>28.198006063497516</v>
      </c>
      <c r="AH70" s="19">
        <f>((AH11+AG11+AG11+AF11+AF11+AD11+AD11+AC11)/8/AH62)*365</f>
        <v>29.592491365568542</v>
      </c>
      <c r="AI70" s="19">
        <f>((AI11+AH11+AH11+AG11+AG11+AF11+AF11+AD11)/8/AI62)*365</f>
        <v>30.824547564089972</v>
      </c>
      <c r="AJ70" s="217">
        <f>AI70</f>
        <v>30.824547564089972</v>
      </c>
      <c r="AK70" s="19">
        <f>((AK11+AI11+AI11+AH11+AH11+AG11+AG11+AF11)/8/AK62)*365</f>
        <v>31.310258699075202</v>
      </c>
      <c r="AL70" s="19">
        <f>((AL11+AK11+AK11+AI11+AI11+AH11+AH11+AG11)/8/AL62)*365</f>
        <v>31.287137510407341</v>
      </c>
      <c r="AM70" s="19">
        <f>((AM11+AL11+AL11+AK11+AK11+AI11+AI11+AH11)/8/AM62)*365</f>
        <v>30.927057601221772</v>
      </c>
      <c r="AN70" s="19">
        <f>((AN11+AM11+AM11+AL11+AL11+AK11+AK11+AI11)/8/AN62)*365</f>
        <v>29.6823711285166</v>
      </c>
      <c r="AO70" s="217">
        <f>AN70</f>
        <v>29.6823711285166</v>
      </c>
      <c r="AP70" s="19">
        <f>((AP11+AN11+AN11+AM11+AM11+AL11+AL11+AK11)/8/AP62)*365</f>
        <v>27.698008849557507</v>
      </c>
      <c r="AQ70" s="19">
        <f>((AQ11+AP11+AP11+AN11+AN11+AM11+AM11+AL11)/8/AQ62)*365</f>
        <v>25.736148165332711</v>
      </c>
      <c r="AR70" s="19">
        <f>((AR11+AQ11+AQ11+AP11+AP11+AN11+AN11+AM11)/8/AR62)*365</f>
        <v>25.158097289912686</v>
      </c>
      <c r="AS70" s="19">
        <f>((AS11+AR11+AR11+AQ11+AQ11+AP11+AP11+AN11)/8/AS62)*365</f>
        <v>25.419365717930283</v>
      </c>
      <c r="AT70" s="217">
        <f>AS70</f>
        <v>25.419365717930283</v>
      </c>
      <c r="AU70" s="19">
        <f>((AU11+AS11+AS11+AR11+AR11+AQ11+AQ11+AP11)/8/AU62)*365</f>
        <v>25.338482585575605</v>
      </c>
      <c r="AV70" s="19">
        <f>((AV11+AU11+AU11+AS11+AS11+AR11+AR11+AQ11)/8/AV62)*365</f>
        <v>26.107984224700363</v>
      </c>
      <c r="AW70" s="19">
        <f>((AW11+AV11+AV11+AU11+AU11+AS11+AS11+AR11)/8/AW62)*365</f>
        <v>25.805381832769019</v>
      </c>
      <c r="AX70" s="19">
        <f>((AX11+AW11+AW11+AV11+AV11+AU11+AU11+AS11)/8/AX62)*365</f>
        <v>25.298885401072507</v>
      </c>
      <c r="AY70" s="217">
        <f>AX70</f>
        <v>25.298885401072507</v>
      </c>
      <c r="AZ70" s="19">
        <f>((AZ11+AX11+AX11+AW11+AW11+AV11+AV11+AU11)/8/AZ62)*365</f>
        <v>25.419292473791163</v>
      </c>
      <c r="BA70" s="19">
        <f>((BA11+AZ11+AZ11+AX11+AX11+AW11+AW11+AV11)/8/BA62)*365</f>
        <v>24.37135677051397</v>
      </c>
      <c r="BB70" s="19">
        <f>((BB11+BA11+BA11+AY11+AY11+AX11+AX11+AW11)/8/BB62)*365</f>
        <v>23.622713648495097</v>
      </c>
      <c r="BC70" s="19">
        <f>((BC11+BB11+BB11+AZ11+AZ11+AY11+AY11+AX11)/8/BC62)*365</f>
        <v>23.736203215421678</v>
      </c>
      <c r="BD70" s="217">
        <f>BC70</f>
        <v>23.736203215421678</v>
      </c>
      <c r="BE70" s="19">
        <f>((BE11+BC11+BC11+BB11+BB11+BA11+BA11+AZ11)/8/BE62)*365</f>
        <v>23.624868332289996</v>
      </c>
      <c r="BF70" s="19">
        <f>((BF11+BE11+BE11+BC11+BC11+BB11+BB11+BA11)/8/BF62)*365</f>
        <v>23.949505308466819</v>
      </c>
      <c r="BG70" s="19">
        <f>((BG11+BF11+BF11+BE11+BE11+BC11+BC11+BB11)/8/BG62)*365</f>
        <v>24.442974645287503</v>
      </c>
      <c r="BH70" s="19">
        <f>((BH11+BG11+BG11+BF11+BF11+BE11+BE11+BC11)/8/BH62)*365</f>
        <v>25.354156646365691</v>
      </c>
      <c r="BI70" s="217">
        <f>BH70</f>
        <v>25.354156646365691</v>
      </c>
      <c r="BJ70" s="275">
        <f>((BJ11+BH11+BH11+BG11+BG11+BF11+BF11+BE11)/8/BJ62)*365</f>
        <v>25.595878008790311</v>
      </c>
      <c r="BK70" s="19">
        <f>((BK11+BJ11+BJ11+BH11+BH11+BG11+BG11+BF11)/8/BK62)*365</f>
        <v>25.0164330381619</v>
      </c>
      <c r="BL70" s="19">
        <f>((BL11+BK11+BK11+BJ11+BJ11+BH11+BH11+BG11)/8/BL62)*365</f>
        <v>24.27045384459926</v>
      </c>
      <c r="BM70" s="19">
        <f>((BM11+BL11+BL11+BK11+BK11+BJ11+BJ11+BH11)/8/BM62)*365</f>
        <v>23.400553392702683</v>
      </c>
      <c r="BN70" s="217">
        <f>BM70</f>
        <v>23.400553392702683</v>
      </c>
      <c r="BO70" s="19">
        <f>((BO11+BM11+BM11+BL11+BL11+BK11+BK11+BJ11)/8/BO62)*365</f>
        <v>22.58301383164925</v>
      </c>
      <c r="BP70" s="19">
        <f>((BP11+BO11+BO11+BM11+BM11+BL11+BL11+BK11)/8/BP62)*365</f>
        <v>22.60550142629284</v>
      </c>
      <c r="BQ70" s="19">
        <f>((BQ11+BP11+BP11+BO11+BO11+BM11+BM11+BL11)/8/BQ62)*365</f>
        <v>22.5416196342888</v>
      </c>
      <c r="BR70" s="19">
        <f>((BR11+BQ11+BQ11+BP11+BP11+BO11+BO11+BM11)/8/BR62)*365</f>
        <v>22.651494086407276</v>
      </c>
      <c r="BS70" s="217">
        <f>BR70</f>
        <v>22.651494086407276</v>
      </c>
      <c r="BT70" s="19">
        <f>((BT11+BR11+BR11+BQ11+BQ11+BP11+BP11+BO11)/8/BT62)*365</f>
        <v>22.768367427717561</v>
      </c>
      <c r="BU70" s="19">
        <f>((BU11+BT11+BT11+BR11+BR11+BQ11+BQ11+BP11)/8/BU62)*365</f>
        <v>22.775787540979309</v>
      </c>
      <c r="BV70" s="19">
        <f>((BV11+BU11+BU11+BT11+BT11+BR11+BR11+BQ11)/8/BV62)*365</f>
        <v>22.820995168573923</v>
      </c>
      <c r="BW70" s="19">
        <f>((BW11+BV11+BV11+BU11+BU11+BT11+BT11+BR11)/8/BW62)*365</f>
        <v>22.864085027717572</v>
      </c>
      <c r="BX70" s="217">
        <f>BW70</f>
        <v>22.864085027717572</v>
      </c>
      <c r="BY70" s="19">
        <f>((BY11+BW11+BW11+BV11+BV11+BU11+BU11+BT11)/8/BY62)*365</f>
        <v>22.817629122834457</v>
      </c>
      <c r="BZ70" s="19">
        <f>((BZ11+BY11+BY11+BW11+BW11+BV11+BV11+BU11)/8/BZ62)*365</f>
        <v>22.816376191617614</v>
      </c>
      <c r="CA70" s="19">
        <f>((CA11+BZ11+BZ11+BY11+BY11+BW11+BW11+BV11)/8/CA62)*365</f>
        <v>22.800155364042045</v>
      </c>
      <c r="CB70" s="19">
        <f>((CB11+CA11+CA11+BZ11+BZ11+BY11+BY11+BW11)/8/CB62)*365</f>
        <v>22.846708874576411</v>
      </c>
      <c r="CC70" s="217">
        <f>CB70</f>
        <v>22.846708874576411</v>
      </c>
      <c r="CD70" s="19">
        <f>((CD11+CB11+CB11+CA11+CA11+BZ11+BZ11+BY11)/8/CD62)*365</f>
        <v>22.861529168423957</v>
      </c>
      <c r="CE70" s="19">
        <f>((CE11+CD11+CD11+CB11+CB11+CA11+CA11+BZ11)/8/CE62)*365</f>
        <v>22.857201315097942</v>
      </c>
      <c r="CF70" s="19">
        <f>((CF11+CE11+CE11+CD11+CD11+CB11+CB11+CA11)/8/CF62)*365</f>
        <v>22.876631648812019</v>
      </c>
      <c r="CG70" s="19">
        <f>((CG11+CF11+CF11+CE11+CE11+CD11+CD11+CB11)/8/CG62)*365</f>
        <v>22.913037111616422</v>
      </c>
      <c r="CH70" s="217">
        <f>CG70</f>
        <v>22.913037111616422</v>
      </c>
      <c r="CI70" s="19">
        <f>((CI11+CG11+CG11+CF11+CF11+CE11+CE11+CD11)/8/CI62)*365</f>
        <v>22.934491646127523</v>
      </c>
      <c r="CJ70" s="19">
        <f>((CJ11+CI11+CI11+CG11+CG11+CF11+CF11+CE11)/8/CJ62)*365</f>
        <v>22.951944623513668</v>
      </c>
      <c r="CK70" s="19">
        <f>((CK11+CJ11+CJ11+CI11+CI11+CG11+CG11+CF11)/8/CK62)*365</f>
        <v>22.986128500127755</v>
      </c>
      <c r="CL70" s="19">
        <f>((CL11+CK11+CK11+CJ11+CJ11+CI11+CI11+CG11)/8/CL62)*365</f>
        <v>23.043130853006559</v>
      </c>
      <c r="CM70" s="217">
        <f>CL70</f>
        <v>23.043130853006559</v>
      </c>
      <c r="CN70" s="19">
        <f>((CN11+CL11+CL11+CK11+CK11+CJ11+CJ11+CI11)/8/CN62)*365</f>
        <v>23.063679718819472</v>
      </c>
      <c r="CO70" s="19">
        <f>((CO11+CN11+CN11+CL11+CL11+CK11+CK11+CJ11)/8/CO62)*365</f>
        <v>23.067042230690088</v>
      </c>
      <c r="CP70" s="19">
        <f>((CP11+CO11+CO11+CN11+CN11+CL11+CL11+CK11)/8/CP62)*365</f>
        <v>23.080365055392416</v>
      </c>
      <c r="CQ70" s="19">
        <f>((CQ11+CP11+CP11+CO11+CO11+CN11+CN11+CL11)/8/CQ62)*365</f>
        <v>23.112526964456773</v>
      </c>
      <c r="CR70" s="217">
        <f>CQ70</f>
        <v>23.112526964456773</v>
      </c>
      <c r="CS70" s="19">
        <f>((CS11+CQ11+CQ11+CP11+CP11+CO11+CO11+CN11)/8/CS62)*365</f>
        <v>23.118354771240227</v>
      </c>
      <c r="CT70" s="19">
        <f>((CT11+CS11+CS11+CQ11+CQ11+CP11+CP11+CO11)/8/CT62)*365</f>
        <v>23.113862362943006</v>
      </c>
      <c r="CU70" s="19">
        <f>((CU11+CT11+CT11+CS11+CS11+CQ11+CQ11+CP11)/8/CU62)*365</f>
        <v>23.121342596662259</v>
      </c>
      <c r="CV70" s="19">
        <f>((CV11+CU11+CU11+CT11+CT11+CS11+CS11+CQ11)/8/CV62)*365</f>
        <v>23.148911191841613</v>
      </c>
      <c r="CW70" s="217">
        <f>CV70</f>
        <v>23.148911191841613</v>
      </c>
      <c r="CX70" s="19">
        <f>((CX11+CV11+CV11+CU11+CU11+CT11+CT11+CS11)/8/CX62)*365</f>
        <v>23.159545083609373</v>
      </c>
      <c r="CY70" s="19">
        <f>((CY11+CX11+CX11+CV11+CV11+CU11+CU11+CT11)/8/CY62)*365</f>
        <v>23.165811711356632</v>
      </c>
      <c r="CZ70" s="19">
        <f>((CZ11+CY11+CY11+CX11+CX11+CV11+CV11+CU11)/8/CZ62)*365</f>
        <v>23.186427926205841</v>
      </c>
      <c r="DA70" s="19">
        <f>((DA11+CZ11+CZ11+CY11+CY11+CX11+CX11+CV11)/8/DA62)*365</f>
        <v>23.225342132774873</v>
      </c>
      <c r="DB70" s="217">
        <f>DA70</f>
        <v>23.225342132774873</v>
      </c>
    </row>
    <row r="71" spans="1:106" ht="12.75" customHeight="1">
      <c r="F71" s="217"/>
      <c r="K71" s="217"/>
      <c r="P71" s="217"/>
      <c r="U71" s="217"/>
      <c r="Z71" s="217"/>
      <c r="AE71" s="217"/>
      <c r="AJ71" s="217"/>
      <c r="AO71" s="217"/>
      <c r="AT71" s="217"/>
      <c r="AY71" s="217"/>
      <c r="BD71" s="217"/>
      <c r="BI71" s="217"/>
      <c r="BJ71" s="356"/>
      <c r="BN71" s="217"/>
      <c r="BS71" s="217"/>
      <c r="BX71" s="217"/>
      <c r="CC71" s="217"/>
      <c r="CH71" s="217"/>
      <c r="CM71" s="217"/>
      <c r="CR71" s="217"/>
      <c r="CW71" s="217"/>
      <c r="DB71" s="217"/>
    </row>
    <row r="72" spans="1:106" ht="12.75" customHeight="1">
      <c r="A72" s="12" t="str">
        <f>A25</f>
        <v>Accounts payable</v>
      </c>
      <c r="F72" s="217"/>
      <c r="K72" s="217"/>
      <c r="P72" s="217"/>
      <c r="U72" s="217"/>
      <c r="Z72" s="217"/>
      <c r="AE72" s="217"/>
      <c r="AJ72" s="217"/>
      <c r="AO72" s="217"/>
      <c r="AT72" s="217"/>
      <c r="AY72" s="217"/>
      <c r="BD72" s="217"/>
      <c r="BI72" s="217"/>
      <c r="BJ72" s="356"/>
      <c r="BN72" s="217"/>
      <c r="BS72" s="217"/>
      <c r="BX72" s="217"/>
      <c r="CC72" s="217"/>
      <c r="CH72" s="217"/>
      <c r="CM72" s="217"/>
      <c r="CR72" s="217"/>
      <c r="CW72" s="217"/>
      <c r="DB72" s="217"/>
    </row>
    <row r="73" spans="1:106" s="19" customFormat="1" ht="12.75" customHeight="1">
      <c r="A73" s="19" t="s">
        <v>61</v>
      </c>
      <c r="D73" s="20"/>
      <c r="E73" s="19">
        <f>E25/E62*365</f>
        <v>41.283420072452685</v>
      </c>
      <c r="F73" s="215">
        <f>E73</f>
        <v>41.283420072452685</v>
      </c>
      <c r="G73" s="19">
        <f>G25/G62*365</f>
        <v>0</v>
      </c>
      <c r="H73" s="19">
        <f>H25/H62*365</f>
        <v>34.727718298478585</v>
      </c>
      <c r="I73" s="19">
        <f>I25/I62*365</f>
        <v>21.355877445922093</v>
      </c>
      <c r="J73" s="19">
        <f>J25/J62*365</f>
        <v>23.715539013691348</v>
      </c>
      <c r="K73" s="215">
        <f>J73</f>
        <v>23.715539013691348</v>
      </c>
      <c r="L73" s="19">
        <f>L25/L62*365</f>
        <v>27.236542520483294</v>
      </c>
      <c r="M73" s="19">
        <f>M25/M62*365</f>
        <v>26.721849294888642</v>
      </c>
      <c r="N73" s="19">
        <f>N25/N62*365</f>
        <v>24.855589390051627</v>
      </c>
      <c r="O73" s="19">
        <f>O25/O62*365</f>
        <v>30.90441382565978</v>
      </c>
      <c r="P73" s="215">
        <f>O73</f>
        <v>30.90441382565978</v>
      </c>
      <c r="Q73" s="19">
        <f>Q25/Q62*365</f>
        <v>17.619071961674965</v>
      </c>
      <c r="R73" s="19">
        <f>R25/R62*365</f>
        <v>26.985375747224591</v>
      </c>
      <c r="S73" s="19">
        <f>S25/S62*365</f>
        <v>9.7241092914794383</v>
      </c>
      <c r="T73" s="19">
        <f>T25/T62*365</f>
        <v>22.300674804435655</v>
      </c>
      <c r="U73" s="215">
        <f>T73</f>
        <v>22.300674804435655</v>
      </c>
      <c r="V73" s="19">
        <f>V25/V62*365</f>
        <v>21.448309759161162</v>
      </c>
      <c r="W73" s="19">
        <f>W25/W62*365</f>
        <v>18.352155318981978</v>
      </c>
      <c r="X73" s="19">
        <f>X25/X62*365</f>
        <v>22.549143389315653</v>
      </c>
      <c r="Y73" s="19">
        <f>Y25/Y62*365</f>
        <v>32.063201951160757</v>
      </c>
      <c r="Z73" s="215">
        <f>Y73</f>
        <v>32.063201951160757</v>
      </c>
      <c r="AA73" s="19">
        <f>AA25/AA62*365</f>
        <v>19.285312207435148</v>
      </c>
      <c r="AB73" s="19">
        <f>AB25/AB62*365</f>
        <v>17.695255134152315</v>
      </c>
      <c r="AC73" s="19">
        <f>AC25/AC62*365</f>
        <v>19.396997646679754</v>
      </c>
      <c r="AD73" s="19">
        <f>AD25/AD62*365</f>
        <v>17.897418362113179</v>
      </c>
      <c r="AE73" s="215">
        <f>AD73</f>
        <v>17.897418362113179</v>
      </c>
      <c r="AF73" s="19">
        <f>AF25/AF62*365</f>
        <v>17.243980919585645</v>
      </c>
      <c r="AG73" s="19">
        <f>AG25/AG62*365</f>
        <v>6.9857815698522669</v>
      </c>
      <c r="AH73" s="19">
        <f>AH25/AH62*365</f>
        <v>17.939691817215724</v>
      </c>
      <c r="AI73" s="19">
        <f>AI25/AI62*365</f>
        <v>14.512523327767411</v>
      </c>
      <c r="AJ73" s="215">
        <f>AI73</f>
        <v>14.512523327767411</v>
      </c>
      <c r="AK73" s="19">
        <f>AK25/AK62*365</f>
        <v>7.5799161695238517</v>
      </c>
      <c r="AL73" s="19">
        <f>AL25/AL62*365</f>
        <v>29.109347754371079</v>
      </c>
      <c r="AM73" s="19">
        <f>AM25/AM62*365</f>
        <v>10.507727551041953</v>
      </c>
      <c r="AN73" s="19">
        <f>AN25/AN62*365</f>
        <v>31.1860196345684</v>
      </c>
      <c r="AO73" s="215">
        <f>AN73</f>
        <v>31.1860196345684</v>
      </c>
      <c r="AP73" s="19">
        <f>AP25/AP62*365</f>
        <v>18.588439208612815</v>
      </c>
      <c r="AQ73" s="19">
        <f>AQ25/AQ62*365</f>
        <v>26.524584670507419</v>
      </c>
      <c r="AR73" s="19">
        <f>AR25/AR62*365</f>
        <v>29.526207437731337</v>
      </c>
      <c r="AS73" s="19">
        <f>AS25/AS62*365</f>
        <v>24.918072310281939</v>
      </c>
      <c r="AT73" s="215">
        <f>AS73</f>
        <v>24.918072310281939</v>
      </c>
      <c r="AU73" s="19">
        <f>AU25/AU62*365</f>
        <v>26.308491215467953</v>
      </c>
      <c r="AV73" s="19">
        <f>AV25/AV62*365</f>
        <v>14.398030563825392</v>
      </c>
      <c r="AW73" s="19">
        <f>AW25/AW62*365</f>
        <v>13.752421025100908</v>
      </c>
      <c r="AX73" s="19">
        <f>AX25/AX62*365</f>
        <v>9.2810822082935616</v>
      </c>
      <c r="AY73" s="215">
        <f>AX73</f>
        <v>9.2810822082935616</v>
      </c>
      <c r="AZ73" s="19">
        <f>AZ25/AZ62*365</f>
        <v>15.817454360261431</v>
      </c>
      <c r="BA73" s="19">
        <f>BA25/BA62*365</f>
        <v>19.241826026435113</v>
      </c>
      <c r="BB73" s="19">
        <f>BB25/BB62*365</f>
        <v>15.664153986342408</v>
      </c>
      <c r="BC73" s="19">
        <f>BC25/BC62*365</f>
        <v>18.918698692250722</v>
      </c>
      <c r="BD73" s="215">
        <f>BC73</f>
        <v>18.918698692250722</v>
      </c>
      <c r="BE73" s="19">
        <f t="shared" ref="BE73:BH73" si="103">BE25/BE62*365</f>
        <v>20.470273468652724</v>
      </c>
      <c r="BF73" s="19">
        <f t="shared" si="103"/>
        <v>18.452264922994676</v>
      </c>
      <c r="BG73" s="19">
        <f t="shared" si="103"/>
        <v>22.062220113481999</v>
      </c>
      <c r="BH73" s="19">
        <f t="shared" si="103"/>
        <v>14.886761885665853</v>
      </c>
      <c r="BI73" s="215">
        <f>BH73</f>
        <v>14.886761885665853</v>
      </c>
      <c r="BJ73" s="276">
        <v>20</v>
      </c>
      <c r="BK73" s="20">
        <v>20</v>
      </c>
      <c r="BL73" s="20">
        <v>20</v>
      </c>
      <c r="BM73" s="20">
        <v>20</v>
      </c>
      <c r="BN73" s="215">
        <f>BM73</f>
        <v>20</v>
      </c>
      <c r="BO73" s="20">
        <f>BM73</f>
        <v>20</v>
      </c>
      <c r="BP73" s="20">
        <f>BO73</f>
        <v>20</v>
      </c>
      <c r="BQ73" s="20">
        <f>BP73</f>
        <v>20</v>
      </c>
      <c r="BR73" s="20">
        <f>BQ73</f>
        <v>20</v>
      </c>
      <c r="BS73" s="215">
        <f>BR73</f>
        <v>20</v>
      </c>
      <c r="BT73" s="20">
        <f>BR73</f>
        <v>20</v>
      </c>
      <c r="BU73" s="20">
        <f>BT73</f>
        <v>20</v>
      </c>
      <c r="BV73" s="20">
        <f>BU73</f>
        <v>20</v>
      </c>
      <c r="BW73" s="20">
        <f>BV73</f>
        <v>20</v>
      </c>
      <c r="BX73" s="215">
        <f>BW73</f>
        <v>20</v>
      </c>
      <c r="BY73" s="20">
        <f>BW73</f>
        <v>20</v>
      </c>
      <c r="BZ73" s="20">
        <f>BY73</f>
        <v>20</v>
      </c>
      <c r="CA73" s="20">
        <f>BZ73</f>
        <v>20</v>
      </c>
      <c r="CB73" s="20">
        <f>CA73</f>
        <v>20</v>
      </c>
      <c r="CC73" s="215">
        <f>CB73</f>
        <v>20</v>
      </c>
      <c r="CD73" s="20">
        <f>CB73</f>
        <v>20</v>
      </c>
      <c r="CE73" s="20">
        <f>CD73</f>
        <v>20</v>
      </c>
      <c r="CF73" s="20">
        <f>CE73</f>
        <v>20</v>
      </c>
      <c r="CG73" s="20">
        <f>CF73</f>
        <v>20</v>
      </c>
      <c r="CH73" s="215">
        <f>CG73</f>
        <v>20</v>
      </c>
      <c r="CI73" s="20">
        <f>CG73</f>
        <v>20</v>
      </c>
      <c r="CJ73" s="20">
        <f>CI73</f>
        <v>20</v>
      </c>
      <c r="CK73" s="20">
        <f>CJ73</f>
        <v>20</v>
      </c>
      <c r="CL73" s="20">
        <f>CK73</f>
        <v>20</v>
      </c>
      <c r="CM73" s="215">
        <f>CL73</f>
        <v>20</v>
      </c>
      <c r="CN73" s="20">
        <f>CL73</f>
        <v>20</v>
      </c>
      <c r="CO73" s="20">
        <f>CN73</f>
        <v>20</v>
      </c>
      <c r="CP73" s="20">
        <f>CO73</f>
        <v>20</v>
      </c>
      <c r="CQ73" s="20">
        <f>CP73</f>
        <v>20</v>
      </c>
      <c r="CR73" s="215">
        <f>CQ73</f>
        <v>20</v>
      </c>
      <c r="CS73" s="20">
        <f>CQ73</f>
        <v>20</v>
      </c>
      <c r="CT73" s="20">
        <f>CS73</f>
        <v>20</v>
      </c>
      <c r="CU73" s="20">
        <f>CT73</f>
        <v>20</v>
      </c>
      <c r="CV73" s="20">
        <f>CU73</f>
        <v>20</v>
      </c>
      <c r="CW73" s="215">
        <f>CV73</f>
        <v>20</v>
      </c>
      <c r="CX73" s="20">
        <f>CV73</f>
        <v>20</v>
      </c>
      <c r="CY73" s="20">
        <f>CX73</f>
        <v>20</v>
      </c>
      <c r="CZ73" s="20">
        <f>CY73</f>
        <v>20</v>
      </c>
      <c r="DA73" s="20">
        <f>CZ73</f>
        <v>20</v>
      </c>
      <c r="DB73" s="215">
        <f>DA73</f>
        <v>20</v>
      </c>
    </row>
    <row r="74" spans="1:106" ht="12.75" customHeight="1">
      <c r="A74" s="12" t="s">
        <v>60</v>
      </c>
      <c r="B74" s="19"/>
      <c r="C74" s="19"/>
      <c r="D74" s="19"/>
      <c r="E74" s="19" t="e">
        <f>((E25+D25+D25+C25+C25+B25+B25+#REF!)/8/E62)*365</f>
        <v>#REF!</v>
      </c>
      <c r="F74" s="217" t="e">
        <f>E74</f>
        <v>#REF!</v>
      </c>
      <c r="G74" s="19">
        <f>((G25+E25+E25+D25+D25+C25+C25+B25)/8/G62)*365</f>
        <v>9.2640601564020688</v>
      </c>
      <c r="H74" s="19">
        <f>((H25+G25+G25+E25+E25+D25+D25+C25)/8/H62)*365</f>
        <v>12.943341537578281</v>
      </c>
      <c r="I74" s="19">
        <f>((I25+H25+H25+G25+G25+E25+E25+D25)/8/I62)*365</f>
        <v>18.347592171120517</v>
      </c>
      <c r="J74" s="19">
        <f>((J25+I25+I25+H25+H25+G25+G25+E25)/8/J62)*365</f>
        <v>18.691917010058042</v>
      </c>
      <c r="K74" s="217">
        <f>J74</f>
        <v>18.691917010058042</v>
      </c>
      <c r="L74" s="19">
        <f>((L25+J25+J25+I25+I25+H25+H25+G25)/8/L62)*365</f>
        <v>20.350064815276465</v>
      </c>
      <c r="M74" s="19">
        <f>((M25+L25+L25+J25+J25+I25+I25+H25)/8/M62)*365</f>
        <v>22.852281956952773</v>
      </c>
      <c r="N74" s="19">
        <f>((N25+M25+M25+L25+L25+J25+J25+I25)/8/N62)*365</f>
        <v>23.234235400500825</v>
      </c>
      <c r="O74" s="19">
        <f>((O25+N25+N25+M25+M25+K25+K25+J25)/8/O62)*365</f>
        <v>23.383931469160753</v>
      </c>
      <c r="P74" s="217">
        <f>O74</f>
        <v>23.383931469160753</v>
      </c>
      <c r="Q74" s="19">
        <f>((Q25+O25+O25+N25+N25+M25+M25+L25)/8/Q62)*365</f>
        <v>24.841958534768573</v>
      </c>
      <c r="R74" s="19">
        <f>((R25+Q25+Q25+O25+O25+N25+N25+M25)/8/R62)*365</f>
        <v>23.826497117847989</v>
      </c>
      <c r="S74" s="19">
        <f>((S25+R25+R25+Q25+Q25+O25+O25+N25)/8/S62)*365</f>
        <v>22.515989806276664</v>
      </c>
      <c r="T74" s="19">
        <f>((T25+S25+S25+R25+R25+Q25+Q25+O25)/8/T62)*365</f>
        <v>20.104336800481388</v>
      </c>
      <c r="U74" s="217">
        <f>T74</f>
        <v>20.104336800481388</v>
      </c>
      <c r="V74" s="19">
        <f>((V25+T25+T25+S25+S25+R25+R25+Q25)/8/V62)*365</f>
        <v>18.86195456283108</v>
      </c>
      <c r="W74" s="19">
        <f>((W25+V25+V25+T25+T25+S25+S25+R25)/8/W62)*365</f>
        <v>17.858683071329548</v>
      </c>
      <c r="X74" s="19">
        <f>((X25+W25+W25+V25+V25+T25+T25+S25)/8/X62)*365</f>
        <v>18.048269121388081</v>
      </c>
      <c r="Y74" s="19">
        <f>((Y25+X25+X25+W25+W25+V25+V25+T25)/8/Y62)*365</f>
        <v>20.738211737075069</v>
      </c>
      <c r="Z74" s="217">
        <f>Y74</f>
        <v>20.738211737075069</v>
      </c>
      <c r="AA74" s="19">
        <f>((AA25+Y25+Y25+X25+X25+W25+W25+V25)/8/AA62)*365</f>
        <v>22.126365055757677</v>
      </c>
      <c r="AB74" s="19">
        <f>((AB25+AA25+AA25+Y25+Y25+X25+X25+W25)/8/AB62)*365</f>
        <v>22.011119140306302</v>
      </c>
      <c r="AC74" s="19">
        <f>((AC25+AB25+AB25+AA25+AA25+Y25+Y25+X25)/8/AC62)*365</f>
        <v>21.727640580677463</v>
      </c>
      <c r="AD74" s="19">
        <f>((AD25+AC25+AC25+AB25+AB25+AA25+AA25+Y25)/8/AD62)*365</f>
        <v>19.79631489713341</v>
      </c>
      <c r="AE74" s="217">
        <f>AD74</f>
        <v>19.79631489713341</v>
      </c>
      <c r="AF74" s="19">
        <f>((AF25+AD25+AD25+AC25+AC25+AB25+AB25+AA25)/8/AF62)*365</f>
        <v>17.927023060204917</v>
      </c>
      <c r="AG74" s="19">
        <f>((AG25+AF25+AF25+AD25+AD25+AC25+AC25+AB25)/8/AG62)*365</f>
        <v>16.246244986380706</v>
      </c>
      <c r="AH74" s="19">
        <f>((AH25+AG25+AG25+AF25+AF25+AD25+AD25+AC25)/8/AH62)*365</f>
        <v>14.383753985122206</v>
      </c>
      <c r="AI74" s="19">
        <f>((AI25+AH25+AH25+AG25+AG25+AF25+AF25+AD25)/8/AI62)*365</f>
        <v>13.183792112759061</v>
      </c>
      <c r="AJ74" s="217">
        <f>AI74</f>
        <v>13.183792112759061</v>
      </c>
      <c r="AK74" s="19">
        <f>((AK25+AI25+AI25+AH25+AH25+AG25+AG25+AF25)/8/AK62)*365</f>
        <v>11.058024328579984</v>
      </c>
      <c r="AL74" s="19">
        <f>((AL25+AK25+AK25+AI25+AI25+AH25+AH25+AG25)/8/AL62)*365</f>
        <v>12.150934402343811</v>
      </c>
      <c r="AM74" s="19">
        <f>((AM25+AL25+AL25+AK25+AK25+AI25+AI25+AH25)/8/AM62)*365</f>
        <v>13.422205888562804</v>
      </c>
      <c r="AN74" s="19">
        <f>((AN25+AM25+AM25+AL25+AL25+AK25+AK25+AI25)/8/AN62)*365</f>
        <v>14.563926191358529</v>
      </c>
      <c r="AO74" s="217">
        <f>AN74</f>
        <v>14.563926191358529</v>
      </c>
      <c r="AP74" s="19">
        <f>((AP25+AN25+AN25+AM25+AM25+AL25+AL25+AK25)/8/AP62)*365</f>
        <v>17.248569697311307</v>
      </c>
      <c r="AQ74" s="19">
        <f>((AQ25+AP25+AP25+AN25+AN25+AM25+AM25+AL25)/8/AQ62)*365</f>
        <v>18.277637616156927</v>
      </c>
      <c r="AR74" s="19">
        <f>((AR25+AQ25+AQ25+AP25+AP25+AN25+AN25+AM25)/8/AR62)*365</f>
        <v>20.418375342129021</v>
      </c>
      <c r="AS74" s="19">
        <f>((AS25+AR25+AR25+AQ25+AQ25+AP25+AP25+AN25)/8/AS62)*365</f>
        <v>21.932511572450551</v>
      </c>
      <c r="AT74" s="217">
        <f>AS74</f>
        <v>21.932511572450551</v>
      </c>
      <c r="AU74" s="19">
        <f>((AU25+AS25+AS25+AR25+AR25+AQ25+AQ25+AP25)/8/AU62)*365</f>
        <v>21.969534734069615</v>
      </c>
      <c r="AV74" s="19">
        <f>((AV25+AU25+AU25+AS25+AS25+AR25+AR25+AQ25)/8/AV62)*365</f>
        <v>21.512374620848963</v>
      </c>
      <c r="AW74" s="19">
        <f>((AW25+AV25+AV25+AU25+AU25+AS25+AS25+AR25)/8/AW62)*365</f>
        <v>18.729860870579419</v>
      </c>
      <c r="AX74" s="19">
        <f>((AX25+AW25+AW25+AV25+AV25+AU25+AU25+AS25)/8/AX62)*365</f>
        <v>15.721774542199375</v>
      </c>
      <c r="AY74" s="217">
        <f>AX74</f>
        <v>15.721774542199375</v>
      </c>
      <c r="AZ74" s="19">
        <f>((AZ25+AX25+AX25+AW25+AW25+AV25+AV25+AU25)/8/AZ62)*365</f>
        <v>13.441388781170579</v>
      </c>
      <c r="BA74" s="19">
        <f>((BA25+AZ25+AZ25+AX25+AX25+AW25+AW25+AV25)/8/BA62)*365</f>
        <v>13.001385024455429</v>
      </c>
      <c r="BB74" s="19">
        <f>((BB25+BA25+BA25+AY25+AY25+AX25+AX25+AW25)/8/BB62)*365</f>
        <v>12.335014770798223</v>
      </c>
      <c r="BC74" s="19">
        <f>((BC25+BB25+BB25+AZ25+AZ25+AY25+AY25+AX25)/8/BC62)*365</f>
        <v>12.707902599320523</v>
      </c>
      <c r="BD74" s="217">
        <f>BC74</f>
        <v>12.707902599320523</v>
      </c>
      <c r="BE74" s="19">
        <f>((BE25+BC25+BC25+BB25+BB25+BA25+BA25+AZ25)/8/BE62)*365</f>
        <v>16.757949728303593</v>
      </c>
      <c r="BF74" s="19">
        <f>((BF25+BE25+BE25+BC25+BC25+BB25+BB25+BA25)/8/BF62)*365</f>
        <v>17.135041192880006</v>
      </c>
      <c r="BG74" s="19">
        <f>((BG25+BF25+BF25+BE25+BE25+BC25+BC25+BB25)/8/BG62)*365</f>
        <v>17.579875306290905</v>
      </c>
      <c r="BH74" s="19">
        <f>((BH25+BG25+BG25+BF25+BF25+BE25+BE25+BC25)/8/BH62)*365</f>
        <v>17.584415013291377</v>
      </c>
      <c r="BI74" s="217">
        <f>BH74</f>
        <v>17.584415013291377</v>
      </c>
      <c r="BJ74" s="275">
        <f>((BJ25+BH25+BH25+BG25+BG25+BF25+BF25+BE25)/8/BJ62)*365</f>
        <v>16.974842322871126</v>
      </c>
      <c r="BK74" s="19">
        <f>((BK25+BJ25+BJ25+BH25+BH25+BG25+BG25+BF25)/8/BK62)*365</f>
        <v>17.247272246097548</v>
      </c>
      <c r="BL74" s="19">
        <f>((BL25+BK25+BK25+BJ25+BJ25+BH25+BH25+BG25)/8/BL62)*365</f>
        <v>17.514009074086339</v>
      </c>
      <c r="BM74" s="19">
        <f>((BM25+BL25+BL25+BK25+BK25+BJ25+BJ25+BH25)/8/BM62)*365</f>
        <v>18.344425190314492</v>
      </c>
      <c r="BN74" s="217">
        <f>BM74</f>
        <v>18.344425190314492</v>
      </c>
      <c r="BO74" s="19">
        <f>((BO25+BM25+BM25+BL25+BL25+BK25+BK25+BJ25)/8/BO62)*365</f>
        <v>18.81917819304104</v>
      </c>
      <c r="BP74" s="19">
        <f>((BP25+BO25+BO25+BM25+BM25+BL25+BL25+BK25)/8/BP62)*365</f>
        <v>18.837917855244037</v>
      </c>
      <c r="BQ74" s="19">
        <f>((BQ25+BP25+BP25+BO25+BO25+BM25+BM25+BL25)/8/BQ62)*365</f>
        <v>18.784683028574001</v>
      </c>
      <c r="BR74" s="19">
        <f>((BR25+BQ25+BQ25+BP25+BP25+BO25+BO25+BM25)/8/BR62)*365</f>
        <v>18.876245072006068</v>
      </c>
      <c r="BS74" s="217">
        <f>BR74</f>
        <v>18.876245072006068</v>
      </c>
      <c r="BT74" s="19">
        <f>((BT25+BR25+BR25+BQ25+BQ25+BP25+BP25+BO25)/8/BT62)*365</f>
        <v>18.973639523097965</v>
      </c>
      <c r="BU74" s="19">
        <f>((BU25+BT25+BT25+BR25+BR25+BQ25+BQ25+BP25)/8/BU62)*365</f>
        <v>18.979822950816093</v>
      </c>
      <c r="BV74" s="19">
        <f>((BV25+BU25+BU25+BT25+BT25+BR25+BR25+BQ25)/8/BV62)*365</f>
        <v>19.017495973811599</v>
      </c>
      <c r="BW74" s="19">
        <f>((BW25+BV25+BV25+BU25+BU25+BT25+BT25+BR25)/8/BW62)*365</f>
        <v>19.053404189764645</v>
      </c>
      <c r="BX74" s="217">
        <f>BW74</f>
        <v>19.053404189764645</v>
      </c>
      <c r="BY74" s="19">
        <f>((BY25+BW25+BW25+BV25+BV25+BU25+BU25+BT25)/8/BY62)*365</f>
        <v>19.014690935695381</v>
      </c>
      <c r="BZ74" s="19">
        <f>((BZ25+BY25+BY25+BW25+BW25+BV25+BV25+BU25)/8/BZ62)*365</f>
        <v>19.013646826348015</v>
      </c>
      <c r="CA74" s="19">
        <f>((CA25+BZ25+BZ25+BY25+BY25+BW25+BW25+BV25)/8/CA62)*365</f>
        <v>19.000129470035038</v>
      </c>
      <c r="CB74" s="19">
        <f>((CB25+CA25+CA25+BZ25+BZ25+BY25+BY25+BW25)/8/CB62)*365</f>
        <v>19.038924062147014</v>
      </c>
      <c r="CC74" s="217">
        <f>CB74</f>
        <v>19.038924062147014</v>
      </c>
      <c r="CD74" s="19">
        <f>((CD25+CB25+CB25+CA25+CA25+BZ25+BZ25+BY25)/8/CD62)*365</f>
        <v>19.051274307019963</v>
      </c>
      <c r="CE74" s="19">
        <f>((CE25+CD25+CD25+CB25+CB25+CA25+CA25+BZ25)/8/CE62)*365</f>
        <v>19.047667762581618</v>
      </c>
      <c r="CF74" s="19">
        <f>((CF25+CE25+CE25+CD25+CD25+CB25+CB25+CA25)/8/CF62)*365</f>
        <v>19.063859707343351</v>
      </c>
      <c r="CG74" s="19">
        <f>((CG25+CF25+CF25+CE25+CE25+CD25+CD25+CB25)/8/CG62)*365</f>
        <v>19.094197593013689</v>
      </c>
      <c r="CH74" s="217">
        <f>CG74</f>
        <v>19.094197593013689</v>
      </c>
      <c r="CI74" s="19">
        <f>((CI25+CG25+CG25+CF25+CF25+CE25+CE25+CD25)/8/CI62)*365</f>
        <v>19.11207637177294</v>
      </c>
      <c r="CJ74" s="19">
        <f>((CJ25+CI25+CI25+CG25+CG25+CF25+CF25+CE25)/8/CJ62)*365</f>
        <v>19.126620519594724</v>
      </c>
      <c r="CK74" s="19">
        <f>((CK25+CJ25+CJ25+CI25+CI25+CG25+CG25+CF25)/8/CK62)*365</f>
        <v>19.155107083439795</v>
      </c>
      <c r="CL74" s="19">
        <f>((CL25+CK25+CK25+CJ25+CJ25+CI25+CI25+CG25)/8/CL62)*365</f>
        <v>19.202609044172139</v>
      </c>
      <c r="CM74" s="217">
        <f>CL74</f>
        <v>19.202609044172139</v>
      </c>
      <c r="CN74" s="19">
        <f>((CN25+CL25+CL25+CK25+CK25+CJ25+CJ25+CI25)/8/CN62)*365</f>
        <v>19.219733099016231</v>
      </c>
      <c r="CO74" s="19">
        <f>((CO25+CN25+CN25+CL25+CL25+CK25+CK25+CJ25)/8/CO62)*365</f>
        <v>19.222535192241743</v>
      </c>
      <c r="CP74" s="19">
        <f>((CP25+CO25+CO25+CN25+CN25+CL25+CL25+CK25)/8/CP62)*365</f>
        <v>19.233637546160345</v>
      </c>
      <c r="CQ74" s="19">
        <f>((CQ25+CP25+CP25+CO25+CO25+CN25+CN25+CL25)/8/CQ62)*365</f>
        <v>19.260439137047307</v>
      </c>
      <c r="CR74" s="217">
        <f>CQ74</f>
        <v>19.260439137047307</v>
      </c>
      <c r="CS74" s="19">
        <f>((CS25+CQ25+CQ25+CP25+CP25+CO25+CO25+CN25)/8/CS62)*365</f>
        <v>19.265295642700188</v>
      </c>
      <c r="CT74" s="19">
        <f>((CT25+CS25+CS25+CQ25+CQ25+CP25+CP25+CO25)/8/CT62)*365</f>
        <v>19.261551969119168</v>
      </c>
      <c r="CU74" s="19">
        <f>((CU25+CT25+CT25+CS25+CS25+CQ25+CQ25+CP25)/8/CU62)*365</f>
        <v>19.267785497218554</v>
      </c>
      <c r="CV74" s="19">
        <f>((CV25+CU25+CU25+CT25+CT25+CS25+CS25+CQ25)/8/CV62)*365</f>
        <v>19.29075932653468</v>
      </c>
      <c r="CW74" s="217">
        <f>CV74</f>
        <v>19.29075932653468</v>
      </c>
      <c r="CX74" s="19">
        <f>((CX25+CV25+CV25+CU25+CU25+CT25+CT25+CS25)/8/CX62)*365</f>
        <v>19.299620903007813</v>
      </c>
      <c r="CY74" s="19">
        <f>((CY25+CX25+CX25+CV25+CV25+CU25+CU25+CT25)/8/CY62)*365</f>
        <v>19.304843092797192</v>
      </c>
      <c r="CZ74" s="19">
        <f>((CZ25+CY25+CY25+CX25+CX25+CV25+CV25+CU25)/8/CZ62)*365</f>
        <v>19.322023271838198</v>
      </c>
      <c r="DA74" s="19">
        <f>((DA25+CZ25+CZ25+CY25+CY25+CX25+CX25+CV25)/8/DA62)*365</f>
        <v>19.354451777312391</v>
      </c>
      <c r="DB74" s="217">
        <f>DA74</f>
        <v>19.354451777312391</v>
      </c>
    </row>
    <row r="75" spans="1:106" ht="12.75" customHeight="1">
      <c r="F75" s="217"/>
      <c r="K75" s="217"/>
      <c r="P75" s="217"/>
      <c r="U75" s="217"/>
      <c r="Z75" s="217"/>
      <c r="AE75" s="217"/>
      <c r="AJ75" s="217"/>
      <c r="AO75" s="217"/>
      <c r="AT75" s="217"/>
      <c r="AY75" s="217"/>
      <c r="BD75" s="217"/>
      <c r="BI75" s="217"/>
      <c r="BJ75" s="356"/>
      <c r="BN75" s="217"/>
      <c r="BS75" s="217"/>
      <c r="BX75" s="217"/>
      <c r="CC75" s="217"/>
      <c r="CH75" s="217"/>
      <c r="CM75" s="217"/>
      <c r="CR75" s="217"/>
      <c r="CW75" s="217"/>
      <c r="DB75" s="217"/>
    </row>
    <row r="76" spans="1:106" ht="12.75" customHeight="1">
      <c r="A76" s="12" t="str">
        <f>A26</f>
        <v>Accrued liabilities</v>
      </c>
      <c r="F76" s="217"/>
      <c r="K76" s="217"/>
      <c r="P76" s="217"/>
      <c r="U76" s="217"/>
      <c r="Z76" s="217"/>
      <c r="AE76" s="217"/>
      <c r="AJ76" s="217"/>
      <c r="AO76" s="217"/>
      <c r="AT76" s="217"/>
      <c r="AY76" s="217"/>
      <c r="BD76" s="217"/>
      <c r="BI76" s="217"/>
      <c r="BJ76" s="356"/>
      <c r="BN76" s="217"/>
      <c r="BS76" s="217"/>
      <c r="BX76" s="217"/>
      <c r="CC76" s="217"/>
      <c r="CH76" s="217"/>
      <c r="CM76" s="217"/>
      <c r="CR76" s="217"/>
      <c r="CW76" s="217"/>
      <c r="DB76" s="217"/>
    </row>
    <row r="77" spans="1:106" s="19" customFormat="1" ht="12.75" customHeight="1">
      <c r="A77" s="19" t="s">
        <v>62</v>
      </c>
      <c r="E77" s="19">
        <f>E26/E61*365</f>
        <v>37.398470704191759</v>
      </c>
      <c r="F77" s="215">
        <f>E77</f>
        <v>37.398470704191759</v>
      </c>
      <c r="G77" s="19">
        <f>G26/G61*365</f>
        <v>0</v>
      </c>
      <c r="H77" s="19">
        <f>H26/H61*365</f>
        <v>40.692044731821071</v>
      </c>
      <c r="I77" s="19">
        <f>I26/I61*365</f>
        <v>48.935684658378129</v>
      </c>
      <c r="J77" s="19">
        <f>J26/J61*365</f>
        <v>52.270231935068701</v>
      </c>
      <c r="K77" s="215">
        <f>J77</f>
        <v>52.270231935068701</v>
      </c>
      <c r="L77" s="19">
        <f>L26/L61*365</f>
        <v>52.773188427024429</v>
      </c>
      <c r="M77" s="19">
        <f>M26/M61*365</f>
        <v>56.341495094913547</v>
      </c>
      <c r="N77" s="19">
        <f>N26/N61*365</f>
        <v>55.507415479842493</v>
      </c>
      <c r="O77" s="19">
        <f>O26/O61*365</f>
        <v>52.034283239816837</v>
      </c>
      <c r="P77" s="215">
        <f>O77</f>
        <v>52.034283239816837</v>
      </c>
      <c r="Q77" s="19">
        <f>Q26/Q61*365</f>
        <v>60.069578815576541</v>
      </c>
      <c r="R77" s="19">
        <f>R26/R61*365</f>
        <v>60.415844403208531</v>
      </c>
      <c r="S77" s="19">
        <f>S26/S61*365</f>
        <v>57.364643318981173</v>
      </c>
      <c r="T77" s="19">
        <f>T26/T61*365</f>
        <v>74.069707356155092</v>
      </c>
      <c r="U77" s="215">
        <f>T77</f>
        <v>74.069707356155092</v>
      </c>
      <c r="V77" s="19">
        <f>V26/V61*365</f>
        <v>66.84147752873514</v>
      </c>
      <c r="W77" s="19">
        <f>W26/W61*365</f>
        <v>60.570220073781968</v>
      </c>
      <c r="X77" s="19">
        <f>X26/X61*365</f>
        <v>60.701440761861129</v>
      </c>
      <c r="Y77" s="19">
        <f>Y26/Y61*365</f>
        <v>63.904111715711764</v>
      </c>
      <c r="Z77" s="215">
        <f>Y77</f>
        <v>63.904111715711764</v>
      </c>
      <c r="AA77" s="19">
        <f>AA26/AA61*365</f>
        <v>67.749830242086233</v>
      </c>
      <c r="AB77" s="19">
        <f>AB26/AB61*365</f>
        <v>65.819715899116389</v>
      </c>
      <c r="AC77" s="19">
        <f>AC26/AC61*365</f>
        <v>67.550768563867535</v>
      </c>
      <c r="AD77" s="19">
        <f>AD26/AD61*365</f>
        <v>78.63252824746634</v>
      </c>
      <c r="AE77" s="215">
        <f>AD77</f>
        <v>78.63252824746634</v>
      </c>
      <c r="AF77" s="19">
        <f>AF26/AF61*365</f>
        <v>73.490483011447097</v>
      </c>
      <c r="AG77" s="19">
        <f>AG26/AG61*365</f>
        <v>74.429943828611414</v>
      </c>
      <c r="AH77" s="19">
        <f>AH26/AH61*365</f>
        <v>86.081889202386535</v>
      </c>
      <c r="AI77" s="19">
        <f>AI26/AI61*365</f>
        <v>84.740527614736365</v>
      </c>
      <c r="AJ77" s="215">
        <f>AI77</f>
        <v>84.740527614736365</v>
      </c>
      <c r="AK77" s="19">
        <f>AK26/AK61*365</f>
        <v>83.807780391668089</v>
      </c>
      <c r="AL77" s="19">
        <f>AL26/AL61*365</f>
        <v>84.576459356300617</v>
      </c>
      <c r="AM77" s="19">
        <f>AM26/AM61*365</f>
        <v>85.180840102259765</v>
      </c>
      <c r="AN77" s="19">
        <f>AN26/AN61*365</f>
        <v>78.366758008972212</v>
      </c>
      <c r="AO77" s="215">
        <f>AN77</f>
        <v>78.366758008972212</v>
      </c>
      <c r="AP77" s="19">
        <f>AP26/AP61*365</f>
        <v>81.517758799226129</v>
      </c>
      <c r="AQ77" s="19">
        <f>AQ26/AQ61*365</f>
        <v>79.3747624319778</v>
      </c>
      <c r="AR77" s="19">
        <f>AR26/AR61*365</f>
        <v>82.302538150871527</v>
      </c>
      <c r="AS77" s="19">
        <f>AS26/AS61*365</f>
        <v>83.759957669996666</v>
      </c>
      <c r="AT77" s="215">
        <f>AS77</f>
        <v>83.759957669996666</v>
      </c>
      <c r="AU77" s="19">
        <f>AU26/AU61*365</f>
        <v>66.396862342929907</v>
      </c>
      <c r="AV77" s="19">
        <f>AV26/AV61*365</f>
        <v>62.602242202075303</v>
      </c>
      <c r="AW77" s="19">
        <f>AW26/AW61*365</f>
        <v>63.922751482222438</v>
      </c>
      <c r="AX77" s="19">
        <f>AX26/AX61*365</f>
        <v>65.834601148562072</v>
      </c>
      <c r="AY77" s="215">
        <f>AX77</f>
        <v>65.834601148562072</v>
      </c>
      <c r="AZ77" s="19">
        <f>AZ26/AZ61*365</f>
        <v>54.90753014341081</v>
      </c>
      <c r="BA77" s="19">
        <f>BA26/BA61*365</f>
        <v>49.020156515641631</v>
      </c>
      <c r="BB77" s="19">
        <f>BB26/BB61*365</f>
        <v>41.749173441778645</v>
      </c>
      <c r="BC77" s="19">
        <f>BC26/BC61*365</f>
        <v>44.956721360165623</v>
      </c>
      <c r="BD77" s="215">
        <f>BC77</f>
        <v>44.956721360165623</v>
      </c>
      <c r="BE77" s="19">
        <f t="shared" ref="BE77:BH77" si="104">BE26/BE61*365</f>
        <v>44.959188967777173</v>
      </c>
      <c r="BF77" s="19">
        <f t="shared" si="104"/>
        <v>45.723090606129865</v>
      </c>
      <c r="BG77" s="19">
        <f t="shared" si="104"/>
        <v>50.59227353857986</v>
      </c>
      <c r="BH77" s="19">
        <f t="shared" si="104"/>
        <v>44.516738772124356</v>
      </c>
      <c r="BI77" s="215">
        <f>BH77</f>
        <v>44.516738772124356</v>
      </c>
      <c r="BJ77" s="276">
        <v>53</v>
      </c>
      <c r="BK77" s="20">
        <v>52</v>
      </c>
      <c r="BL77" s="20">
        <v>52</v>
      </c>
      <c r="BM77" s="20">
        <v>52</v>
      </c>
      <c r="BN77" s="215">
        <f>BM77</f>
        <v>52</v>
      </c>
      <c r="BO77" s="20">
        <f>BJ77</f>
        <v>53</v>
      </c>
      <c r="BP77" s="20">
        <f>BK77</f>
        <v>52</v>
      </c>
      <c r="BQ77" s="20">
        <f>BL77</f>
        <v>52</v>
      </c>
      <c r="BR77" s="20">
        <f>BM77</f>
        <v>52</v>
      </c>
      <c r="BS77" s="215">
        <f>BR77</f>
        <v>52</v>
      </c>
      <c r="BT77" s="20">
        <f>BO77</f>
        <v>53</v>
      </c>
      <c r="BU77" s="20">
        <f>BP77</f>
        <v>52</v>
      </c>
      <c r="BV77" s="20">
        <f>BQ77</f>
        <v>52</v>
      </c>
      <c r="BW77" s="20">
        <f>BR77</f>
        <v>52</v>
      </c>
      <c r="BX77" s="215">
        <f>BW77</f>
        <v>52</v>
      </c>
      <c r="BY77" s="20">
        <f>BT77</f>
        <v>53</v>
      </c>
      <c r="BZ77" s="20">
        <f>BU77</f>
        <v>52</v>
      </c>
      <c r="CA77" s="20">
        <f>BV77</f>
        <v>52</v>
      </c>
      <c r="CB77" s="20">
        <f>BW77</f>
        <v>52</v>
      </c>
      <c r="CC77" s="215">
        <f>CB77</f>
        <v>52</v>
      </c>
      <c r="CD77" s="20">
        <f>BY77</f>
        <v>53</v>
      </c>
      <c r="CE77" s="20">
        <f>BZ77</f>
        <v>52</v>
      </c>
      <c r="CF77" s="20">
        <f>CA77</f>
        <v>52</v>
      </c>
      <c r="CG77" s="20">
        <f>CB77</f>
        <v>52</v>
      </c>
      <c r="CH77" s="215">
        <f>CG77</f>
        <v>52</v>
      </c>
      <c r="CI77" s="20">
        <f>CD77</f>
        <v>53</v>
      </c>
      <c r="CJ77" s="20">
        <f>CE77</f>
        <v>52</v>
      </c>
      <c r="CK77" s="20">
        <f>CF77</f>
        <v>52</v>
      </c>
      <c r="CL77" s="20">
        <f>CG77</f>
        <v>52</v>
      </c>
      <c r="CM77" s="215">
        <f>CL77</f>
        <v>52</v>
      </c>
      <c r="CN77" s="20">
        <f>CI77</f>
        <v>53</v>
      </c>
      <c r="CO77" s="20">
        <f>CJ77</f>
        <v>52</v>
      </c>
      <c r="CP77" s="20">
        <f>CK77</f>
        <v>52</v>
      </c>
      <c r="CQ77" s="20">
        <f>CL77</f>
        <v>52</v>
      </c>
      <c r="CR77" s="215">
        <f>CQ77</f>
        <v>52</v>
      </c>
      <c r="CS77" s="20">
        <f>CN77</f>
        <v>53</v>
      </c>
      <c r="CT77" s="20">
        <f>CO77</f>
        <v>52</v>
      </c>
      <c r="CU77" s="20">
        <f>CP77</f>
        <v>52</v>
      </c>
      <c r="CV77" s="20">
        <f>CQ77</f>
        <v>52</v>
      </c>
      <c r="CW77" s="215">
        <f>CV77</f>
        <v>52</v>
      </c>
      <c r="CX77" s="20">
        <f>CS77</f>
        <v>53</v>
      </c>
      <c r="CY77" s="20">
        <f>CT77</f>
        <v>52</v>
      </c>
      <c r="CZ77" s="20">
        <f>CU77</f>
        <v>52</v>
      </c>
      <c r="DA77" s="20">
        <f>CV77</f>
        <v>52</v>
      </c>
      <c r="DB77" s="215">
        <f>DA77</f>
        <v>52</v>
      </c>
    </row>
    <row r="78" spans="1:106" ht="12.75" customHeight="1">
      <c r="A78" s="12" t="s">
        <v>60</v>
      </c>
      <c r="B78" s="19"/>
      <c r="C78" s="19"/>
      <c r="D78" s="19"/>
      <c r="E78" s="19" t="e">
        <f>((E26+D26+D26+C26+C26+B26+B26+#REF!)/8/E61)*365</f>
        <v>#REF!</v>
      </c>
      <c r="F78" s="217" t="e">
        <f>E78</f>
        <v>#REF!</v>
      </c>
      <c r="G78" s="19">
        <f>((G26+E26+E26+D26+D26+C26+C26+B26)/8/G61)*365</f>
        <v>8.3001702623321751</v>
      </c>
      <c r="H78" s="19">
        <f>((H26+G26+G26+E26+E26+D26+D26+C26)/8/H61)*365</f>
        <v>12.979717643629423</v>
      </c>
      <c r="I78" s="19">
        <f>((I26+H26+H26+G26+G26+E26+E26+D26)/8/I61)*365</f>
        <v>24.31367007959344</v>
      </c>
      <c r="J78" s="19">
        <f>((J26+I26+I26+H26+H26+G26+G26+E26)/8/J61)*365</f>
        <v>32.56846746867695</v>
      </c>
      <c r="K78" s="217">
        <f>J78</f>
        <v>32.56846746867695</v>
      </c>
      <c r="L78" s="19">
        <f>((L26+J26+J26+I26+I26+H26+H26+G26)/8/L61)*365</f>
        <v>39.301448330745714</v>
      </c>
      <c r="M78" s="19">
        <f>((M26+L26+L26+J26+J26+I26+I26+H26)/8/M61)*365</f>
        <v>46.912599955601536</v>
      </c>
      <c r="N78" s="19">
        <f>((N26+M26+M26+L26+L26+J26+J26+I26)/8/N61)*365</f>
        <v>49.160060402289218</v>
      </c>
      <c r="O78" s="19">
        <f>((O26+N26+N26+M26+M26+K26+K26+J26)/8/O61)*365</f>
        <v>51.538674599445343</v>
      </c>
      <c r="P78" s="217">
        <f>O78</f>
        <v>51.538674599445343</v>
      </c>
      <c r="Q78" s="19">
        <f>((Q26+O26+O26+N26+N26+M26+M26+L26)/8/Q61)*365</f>
        <v>58.082221523904714</v>
      </c>
      <c r="R78" s="19">
        <f>((R26+Q26+Q26+O26+O26+N26+N26+M26)/8/R61)*365</f>
        <v>58.664585849214056</v>
      </c>
      <c r="S78" s="19">
        <f>((S26+R26+R26+Q26+Q26+O26+O26+N26)/8/S61)*365</f>
        <v>57.862053997374957</v>
      </c>
      <c r="T78" s="19">
        <f>((T26+S26+S26+R26+R26+Q26+Q26+O26)/8/T61)*365</f>
        <v>58.961951085384882</v>
      </c>
      <c r="U78" s="217">
        <f>T78</f>
        <v>58.961951085384882</v>
      </c>
      <c r="V78" s="19">
        <f>((V26+T26+T26+S26+S26+R26+R26+Q26)/8/V61)*365</f>
        <v>58.983702038183914</v>
      </c>
      <c r="W78" s="19">
        <f>((W26+V26+V26+T26+T26+S26+S26+R26)/8/W61)*365</f>
        <v>59.254073379129039</v>
      </c>
      <c r="X78" s="19">
        <f>((X26+W26+W26+V26+V26+T26+T26+S26)/8/X61)*365</f>
        <v>59.705900701154413</v>
      </c>
      <c r="Y78" s="19">
        <f>((Y26+X26+X26+W26+W26+V26+V26+T26)/8/Y61)*365</f>
        <v>58.507819595271172</v>
      </c>
      <c r="Z78" s="217">
        <f>Y78</f>
        <v>58.507819595271172</v>
      </c>
      <c r="AA78" s="19">
        <f>((AA26+Y26+Y26+X26+X26+W26+W26+V26)/8/AA61)*365</f>
        <v>59.161355373887048</v>
      </c>
      <c r="AB78" s="19">
        <f>((AB26+AA26+AA26+Y26+Y26+X26+X26+W26)/8/AB61)*365</f>
        <v>59.61816400535433</v>
      </c>
      <c r="AC78" s="19">
        <f>((AC26+AB26+AB26+AA26+AA26+Y26+Y26+X26)/8/AC61)*365</f>
        <v>60.567927971389921</v>
      </c>
      <c r="AD78" s="19">
        <f>((AD26+AC26+AC26+AB26+AB26+AA26+AA26+Y26)/8/AD61)*365</f>
        <v>62.182941623005476</v>
      </c>
      <c r="AE78" s="217">
        <f>AD78</f>
        <v>62.182941623005476</v>
      </c>
      <c r="AF78" s="19">
        <f>((AF26+AD26+AD26+AC26+AC26+AB26+AB26+AA26)/8/AF61)*365</f>
        <v>62.273647182534383</v>
      </c>
      <c r="AG78" s="19">
        <f>((AG26+AF26+AF26+AD26+AD26+AC26+AC26+AB26)/8/AG61)*365</f>
        <v>65.146233311770246</v>
      </c>
      <c r="AH78" s="19">
        <f>((AH26+AG26+AG26+AF26+AF26+AD26+AD26+AC26)/8/AH61)*365</f>
        <v>68.155895328946826</v>
      </c>
      <c r="AI78" s="19">
        <f>((AI26+AH26+AH26+AG26+AG26+AF26+AF26+AD26)/8/AI61)*365</f>
        <v>69.850515018989512</v>
      </c>
      <c r="AJ78" s="217">
        <f>AI78</f>
        <v>69.850515018989512</v>
      </c>
      <c r="AK78" s="19">
        <f>((AK26+AI26+AI26+AH26+AH26+AG26+AG26+AF26)/8/AK61)*365</f>
        <v>67.129653534649862</v>
      </c>
      <c r="AL78" s="19">
        <f>((AL26+AK26+AK26+AI26+AI26+AH26+AH26+AG26)/8/AL61)*365</f>
        <v>67.346676227016033</v>
      </c>
      <c r="AM78" s="19">
        <f>((AM26+AL26+AL26+AK26+AK26+AI26+AI26+AH26)/8/AM61)*365</f>
        <v>67.772231674326704</v>
      </c>
      <c r="AN78" s="19">
        <f>((AN26+AM26+AM26+AL26+AL26+AK26+AK26+AI26)/8/AN61)*365</f>
        <v>67.764890021519278</v>
      </c>
      <c r="AO78" s="217">
        <f>AN78</f>
        <v>67.764890021519278</v>
      </c>
      <c r="AP78" s="19">
        <f>((AP26+AN26+AN26+AM26+AM26+AL26+AL26+AK26)/8/AP61)*365</f>
        <v>69.629672540060511</v>
      </c>
      <c r="AQ78" s="19">
        <f>((AQ26+AP26+AP26+AN26+AN26+AM26+AM26+AL26)/8/AQ61)*365</f>
        <v>69.660206889783652</v>
      </c>
      <c r="AR78" s="19">
        <f>((AR26+AQ26+AQ26+AP26+AP26+AN26+AN26+AM26)/8/AR61)*365</f>
        <v>69.855229974819522</v>
      </c>
      <c r="AS78" s="19">
        <f>((AS26+AR26+AR26+AQ26+AQ26+AP26+AP26+AN26)/8/AS61)*365</f>
        <v>71.489486992545906</v>
      </c>
      <c r="AT78" s="217">
        <f>AS78</f>
        <v>71.489486992545906</v>
      </c>
      <c r="AU78" s="19">
        <f>((AU26+AS26+AS26+AR26+AR26+AQ26+AQ26+AP26)/8/AU61)*365</f>
        <v>70.866282285431154</v>
      </c>
      <c r="AV78" s="19">
        <f>((AV26+AU26+AU26+AS26+AS26+AR26+AR26+AQ26)/8/AV61)*365</f>
        <v>66.603995869175549</v>
      </c>
      <c r="AW78" s="19">
        <f>((AW26+AV26+AV26+AU26+AU26+AS26+AS26+AR26)/8/AW61)*365</f>
        <v>62.743823314635726</v>
      </c>
      <c r="AX78" s="19">
        <f>((AX26+AW26+AW26+AV26+AV26+AU26+AU26+AS26)/8/AX61)*365</f>
        <v>57.524104654567687</v>
      </c>
      <c r="AY78" s="217">
        <f>AX78</f>
        <v>57.524104654567687</v>
      </c>
      <c r="AZ78" s="19">
        <f>((AZ26+AX26+AX26+AW26+AW26+AV26+AV26+AU26)/8/AZ61)*365</f>
        <v>52.696868204700479</v>
      </c>
      <c r="BA78" s="19">
        <f>((BA26+AZ26+AZ26+AX26+AX26+AW26+AW26+AV26)/8/BA61)*365</f>
        <v>48.386505303553157</v>
      </c>
      <c r="BB78" s="19">
        <f>((BB26+BA26+BA26+AY26+AY26+AX26+AX26+AW26)/8/BB61)*365</f>
        <v>44.520407746963841</v>
      </c>
      <c r="BC78" s="19">
        <f>((BC26+BB26+BB26+AZ26+AZ26+AY26+AY26+AX26)/8/BC61)*365</f>
        <v>40.568775041826001</v>
      </c>
      <c r="BD78" s="217">
        <f>BC78</f>
        <v>40.568775041826001</v>
      </c>
      <c r="BE78" s="19">
        <f>((BE26+BC26+BC26+BB26+BB26+BA26+BA26+AZ26)/8/BE61)*365</f>
        <v>38.404837520480619</v>
      </c>
      <c r="BF78" s="19">
        <f>((BF26+BE26+BE26+BC26+BC26+BB26+BB26+BA26)/8/BF61)*365</f>
        <v>38.286577656396929</v>
      </c>
      <c r="BG78" s="19">
        <f>((BG26+BF26+BF26+BE26+BE26+BC26+BC26+BB26)/8/BG61)*365</f>
        <v>39.441828016501368</v>
      </c>
      <c r="BH78" s="19">
        <f>((BH26+BG26+BG26+BF26+BF26+BE26+BE26+BC26)/8/BH61)*365</f>
        <v>39.969122556006589</v>
      </c>
      <c r="BI78" s="217">
        <f>BH78</f>
        <v>39.969122556006589</v>
      </c>
      <c r="BJ78" s="275">
        <f>((BJ26+BH26+BH26+BG26+BG26+BF26+BF26+BE26)/8/BJ61)*365</f>
        <v>41.811448586422294</v>
      </c>
      <c r="BK78" s="19">
        <f>((BK26+BJ26+BJ26+BH26+BH26+BG26+BG26+BF26)/8/BK61)*365</f>
        <v>44.420683135292428</v>
      </c>
      <c r="BL78" s="19">
        <f>((BL26+BK26+BK26+BJ26+BJ26+BH26+BH26+BG26)/8/BL61)*365</f>
        <v>46.340327905519779</v>
      </c>
      <c r="BM78" s="19">
        <f>((BM26+BL26+BL26+BK26+BK26+BJ26+BJ26+BH26)/8/BM61)*365</f>
        <v>48.489979834565844</v>
      </c>
      <c r="BN78" s="217">
        <f>BM78</f>
        <v>48.489979834565844</v>
      </c>
      <c r="BO78" s="19">
        <f>((BO26+BM26+BM26+BL26+BL26+BK26+BK26+BJ26)/8/BO61)*365</f>
        <v>48.465650913595084</v>
      </c>
      <c r="BP78" s="19">
        <f>((BP26+BO26+BO26+BM26+BM26+BL26+BL26+BK26)/8/BP61)*365</f>
        <v>48.341327364002574</v>
      </c>
      <c r="BQ78" s="19">
        <f>((BQ26+BP26+BP26+BO26+BO26+BM26+BM26+BL26)/8/BQ61)*365</f>
        <v>48.267237845126765</v>
      </c>
      <c r="BR78" s="19">
        <f>((BR26+BQ26+BQ26+BP26+BP26+BO26+BO26+BM26)/8/BR61)*365</f>
        <v>48.611962869643541</v>
      </c>
      <c r="BS78" s="217">
        <f>BR78</f>
        <v>48.611962869643541</v>
      </c>
      <c r="BT78" s="19">
        <f>((BT26+BR26+BR26+BQ26+BQ26+BP26+BP26+BO26)/8/BT61)*365</f>
        <v>48.731605937010386</v>
      </c>
      <c r="BU78" s="19">
        <f>((BU26+BT26+BT26+BR26+BR26+BQ26+BQ26+BP26)/8/BU61)*365</f>
        <v>48.684201804918366</v>
      </c>
      <c r="BV78" s="19">
        <f>((BV26+BU26+BU26+BT26+BT26+BR26+BR26+BQ26)/8/BV61)*365</f>
        <v>48.661371783021671</v>
      </c>
      <c r="BW78" s="19">
        <f>((BW26+BV26+BV26+BU26+BU26+BT26+BT26+BR26)/8/BW61)*365</f>
        <v>48.6475824356015</v>
      </c>
      <c r="BX78" s="217">
        <f>BW78</f>
        <v>48.6475824356015</v>
      </c>
      <c r="BY78" s="19">
        <f>((BY26+BW26+BW26+BV26+BV26+BU26+BU26+BT26)/8/BY61)*365</f>
        <v>48.63003011027277</v>
      </c>
      <c r="BZ78" s="19">
        <f>((BZ26+BY26+BY26+BW26+BW26+BV26+BV26+BU26)/8/BZ61)*365</f>
        <v>48.725882800726424</v>
      </c>
      <c r="CA78" s="19">
        <f>((CA26+BZ26+BZ26+BY26+BY26+BW26+BW26+BV26)/8/CA61)*365</f>
        <v>48.751135372353446</v>
      </c>
      <c r="CB78" s="19">
        <f>((CB26+CA26+CA26+BZ26+BZ26+BY26+BY26+BW26)/8/CB61)*365</f>
        <v>48.833286352872491</v>
      </c>
      <c r="CC78" s="217">
        <f>CB78</f>
        <v>48.833286352872491</v>
      </c>
      <c r="CD78" s="19">
        <f>((CD26+CB26+CB26+CA26+CA26+BZ26+BZ26+BY26)/8/CD61)*365</f>
        <v>48.87816849760862</v>
      </c>
      <c r="CE78" s="19">
        <f>((CE26+CD26+CD26+CB26+CB26+CA26+CA26+BZ26)/8/CE61)*365</f>
        <v>48.920166346504182</v>
      </c>
      <c r="CF78" s="19">
        <f>((CF26+CE26+CE26+CD26+CD26+CB26+CB26+CA26)/8/CF61)*365</f>
        <v>48.972004242665918</v>
      </c>
      <c r="CG78" s="19">
        <f>((CG26+CF26+CF26+CE26+CE26+CD26+CD26+CB26)/8/CG61)*365</f>
        <v>49.010102448315692</v>
      </c>
      <c r="CH78" s="217">
        <f>CG78</f>
        <v>49.010102448315692</v>
      </c>
      <c r="CI78" s="19">
        <f>((CI26+CG26+CG26+CF26+CF26+CE26+CE26+CD26)/8/CI61)*365</f>
        <v>49.135057302475502</v>
      </c>
      <c r="CJ78" s="19">
        <f>((CJ26+CI26+CI26+CG26+CG26+CF26+CF26+CE26)/8/CJ61)*365</f>
        <v>49.287686176820564</v>
      </c>
      <c r="CK78" s="19">
        <f>((CK26+CJ26+CJ26+CI26+CI26+CG26+CG26+CF26)/8/CK61)*365</f>
        <v>49.428989877664513</v>
      </c>
      <c r="CL78" s="19">
        <f>((CL26+CK26+CK26+CJ26+CJ26+CI26+CI26+CG26)/8/CL61)*365</f>
        <v>49.562187597861119</v>
      </c>
      <c r="CM78" s="217">
        <f>CL78</f>
        <v>49.562187597861119</v>
      </c>
      <c r="CN78" s="19">
        <f>((CN26+CL26+CL26+CK26+CK26+CJ26+CJ26+CI26)/8/CN61)*365</f>
        <v>49.63792194900698</v>
      </c>
      <c r="CO78" s="19">
        <f>((CO26+CN26+CN26+CL26+CL26+CK26+CK26+CJ26)/8/CO61)*365</f>
        <v>49.699726939719838</v>
      </c>
      <c r="CP78" s="19">
        <f>((CP26+CO26+CO26+CN26+CN26+CL26+CL26+CK26)/8/CP61)*365</f>
        <v>49.738254165465101</v>
      </c>
      <c r="CQ78" s="19">
        <f>((CQ26+CP26+CP26+CO26+CO26+CN26+CN26+CL26)/8/CQ61)*365</f>
        <v>49.775010181442028</v>
      </c>
      <c r="CR78" s="217">
        <f>CQ78</f>
        <v>49.775010181442028</v>
      </c>
      <c r="CS78" s="19">
        <f>((CS26+CQ26+CQ26+CP26+CP26+CO26+CO26+CN26)/8/CS61)*365</f>
        <v>49.795052000851783</v>
      </c>
      <c r="CT78" s="19">
        <f>((CT26+CS26+CS26+CQ26+CQ26+CP26+CP26+CO26)/8/CT61)*365</f>
        <v>49.823409668164658</v>
      </c>
      <c r="CU78" s="19">
        <f>((CU26+CT26+CT26+CS26+CS26+CQ26+CQ26+CP26)/8/CU61)*365</f>
        <v>49.841194189299301</v>
      </c>
      <c r="CV78" s="19">
        <f>((CV26+CU26+CU26+CT26+CT26+CS26+CS26+CQ26)/8/CV61)*365</f>
        <v>49.862576214279862</v>
      </c>
      <c r="CW78" s="217">
        <f>CV78</f>
        <v>49.862576214279862</v>
      </c>
      <c r="CX78" s="19">
        <f>((CX26+CV26+CV26+CU26+CU26+CT26+CT26+CS26)/8/CX61)*365</f>
        <v>49.96831011375042</v>
      </c>
      <c r="CY78" s="19">
        <f>((CY26+CX26+CX26+CV26+CV26+CU26+CU26+CT26)/8/CY61)*365</f>
        <v>50.084062911966114</v>
      </c>
      <c r="CZ78" s="19">
        <f>((CZ26+CY26+CY26+CX26+CX26+CV26+CV26+CU26)/8/CZ61)*365</f>
        <v>50.182892262396351</v>
      </c>
      <c r="DA78" s="19">
        <f>((DA26+CZ26+CZ26+CY26+CY26+CX26+CX26+CV26)/8/DA61)*365</f>
        <v>50.26760949169315</v>
      </c>
      <c r="DB78" s="217">
        <f>DA78</f>
        <v>50.26760949169315</v>
      </c>
    </row>
    <row r="79" spans="1:106">
      <c r="F79" s="217"/>
      <c r="K79" s="217"/>
      <c r="P79" s="217"/>
      <c r="U79" s="217"/>
      <c r="Z79" s="217"/>
      <c r="AE79" s="217"/>
      <c r="AJ79" s="217"/>
      <c r="AO79" s="217"/>
      <c r="AT79" s="217"/>
      <c r="AY79" s="217"/>
      <c r="BD79" s="217"/>
      <c r="BI79" s="217"/>
      <c r="BJ79" s="356"/>
      <c r="BN79" s="217"/>
      <c r="BS79" s="217"/>
      <c r="BX79" s="217"/>
      <c r="CC79" s="217"/>
      <c r="CH79" s="217"/>
      <c r="CM79" s="217"/>
      <c r="CR79" s="217"/>
      <c r="CW79" s="217"/>
      <c r="DB79" s="217"/>
    </row>
    <row r="80" spans="1:106">
      <c r="F80" s="217"/>
      <c r="K80" s="217"/>
      <c r="P80" s="217"/>
      <c r="U80" s="217"/>
      <c r="Z80" s="217"/>
      <c r="AE80" s="217"/>
      <c r="AJ80" s="217"/>
      <c r="AO80" s="217"/>
      <c r="AT80" s="217"/>
      <c r="AY80" s="217"/>
      <c r="BD80" s="217"/>
      <c r="BI80" s="217"/>
      <c r="BJ80" s="356"/>
      <c r="BN80" s="217"/>
      <c r="BS80" s="217"/>
      <c r="BX80" s="217"/>
      <c r="CC80" s="217"/>
      <c r="CH80" s="217"/>
      <c r="CM80" s="217"/>
      <c r="CR80" s="217"/>
      <c r="CW80" s="217"/>
      <c r="DB80" s="217"/>
    </row>
    <row r="81" spans="1:106">
      <c r="A81" s="12" t="s">
        <v>156</v>
      </c>
      <c r="B81" s="17"/>
      <c r="C81" s="27"/>
      <c r="D81" s="27"/>
      <c r="E81" s="17">
        <f t="shared" ref="E81:E82" si="105">E65+E69-E73</f>
        <v>26.070090415938324</v>
      </c>
      <c r="F81" s="217"/>
      <c r="G81" s="17">
        <f t="shared" ref="G81:J82" si="106">G65+G69-G73</f>
        <v>0</v>
      </c>
      <c r="H81" s="17">
        <f t="shared" si="106"/>
        <v>32.258053483648787</v>
      </c>
      <c r="I81" s="17">
        <f t="shared" si="106"/>
        <v>34.772744185659434</v>
      </c>
      <c r="J81" s="17">
        <f t="shared" si="106"/>
        <v>13.701682785895841</v>
      </c>
      <c r="K81" s="217"/>
      <c r="L81" s="17">
        <f t="shared" ref="L81:O82" si="107">L65+L69-L73</f>
        <v>3.9306698190965399</v>
      </c>
      <c r="M81" s="17">
        <f t="shared" si="107"/>
        <v>9.7638606054081123</v>
      </c>
      <c r="N81" s="17">
        <f t="shared" si="107"/>
        <v>16.795723197327931</v>
      </c>
      <c r="O81" s="17">
        <f t="shared" si="107"/>
        <v>8.888481323697782</v>
      </c>
      <c r="P81" s="217"/>
      <c r="Q81" s="17">
        <f t="shared" ref="Q81:T82" si="108">Q65+Q69-Q73</f>
        <v>17.806826396509944</v>
      </c>
      <c r="R81" s="17">
        <f t="shared" si="108"/>
        <v>4.8638983617345168</v>
      </c>
      <c r="S81" s="17">
        <f t="shared" si="108"/>
        <v>27.061291975868372</v>
      </c>
      <c r="T81" s="17">
        <f t="shared" si="108"/>
        <v>15.505203476221372</v>
      </c>
      <c r="U81" s="217"/>
      <c r="V81" s="17">
        <f t="shared" ref="V81:Y82" si="109">V65+V69-V73</f>
        <v>89.372991296603729</v>
      </c>
      <c r="W81" s="17">
        <f t="shared" si="109"/>
        <v>99.286271864814978</v>
      </c>
      <c r="X81" s="17">
        <f t="shared" si="109"/>
        <v>95.564229900597496</v>
      </c>
      <c r="Y81" s="17">
        <f t="shared" si="109"/>
        <v>86.049919438942368</v>
      </c>
      <c r="Z81" s="217"/>
      <c r="AA81" s="17">
        <f t="shared" ref="AA81:AD82" si="110">AA65+AA69-AA73</f>
        <v>94.400037841444231</v>
      </c>
      <c r="AB81" s="17">
        <f t="shared" si="110"/>
        <v>98.778520207735738</v>
      </c>
      <c r="AC81" s="17">
        <f t="shared" si="110"/>
        <v>82.04632895652226</v>
      </c>
      <c r="AD81" s="17">
        <f t="shared" si="110"/>
        <v>72.294241228444548</v>
      </c>
      <c r="AE81" s="217"/>
      <c r="AF81" s="17">
        <f t="shared" ref="AF81:AI82" si="111">AF65+AF69-AF73</f>
        <v>80.142110455598726</v>
      </c>
      <c r="AG81" s="17">
        <f t="shared" si="111"/>
        <v>92.249965559722284</v>
      </c>
      <c r="AH81" s="17">
        <f t="shared" si="111"/>
        <v>92.865881490218896</v>
      </c>
      <c r="AI81" s="17">
        <f t="shared" si="111"/>
        <v>94.733932098313744</v>
      </c>
      <c r="AJ81" s="217"/>
      <c r="AK81" s="17">
        <f t="shared" ref="AK81:AN82" si="112">AK65+AK69-AK73</f>
        <v>101.88204278523868</v>
      </c>
      <c r="AL81" s="17">
        <f t="shared" si="112"/>
        <v>84.004749874744874</v>
      </c>
      <c r="AM81" s="17">
        <f t="shared" si="112"/>
        <v>96.8353055689103</v>
      </c>
      <c r="AN81" s="17">
        <f t="shared" si="112"/>
        <v>70.895374305665172</v>
      </c>
      <c r="AO81" s="217"/>
      <c r="AP81" s="17">
        <f>AP65+AP69-AP73</f>
        <v>98.995008891331281</v>
      </c>
      <c r="AQ81" s="17">
        <f t="shared" ref="AQ81:AS82" si="113">AQ65+AQ69-AQ73</f>
        <v>107.23365286466922</v>
      </c>
      <c r="AR81" s="17">
        <f t="shared" si="113"/>
        <v>116.52709425432064</v>
      </c>
      <c r="AS81" s="17">
        <f t="shared" si="113"/>
        <v>112.15804072338217</v>
      </c>
      <c r="AT81" s="217"/>
      <c r="AU81" s="17">
        <f t="shared" ref="AU81:AX82" si="114">AU65+AU69-AU73</f>
        <v>107.11439483654392</v>
      </c>
      <c r="AV81" s="17">
        <f t="shared" si="114"/>
        <v>116.67488952239401</v>
      </c>
      <c r="AW81" s="17">
        <f t="shared" si="114"/>
        <v>107.57866253195334</v>
      </c>
      <c r="AX81" s="17">
        <f t="shared" si="114"/>
        <v>109.76946831628533</v>
      </c>
      <c r="AY81" s="217"/>
      <c r="AZ81" s="17">
        <f>AZ65+AZ69-AZ73</f>
        <v>97.524323341789426</v>
      </c>
      <c r="BA81" s="17">
        <f t="shared" ref="BA81:BC82" si="115">BA65+BA69-BA73</f>
        <v>94.709700893426742</v>
      </c>
      <c r="BB81" s="17">
        <f t="shared" si="115"/>
        <v>84.871830622767177</v>
      </c>
      <c r="BC81" s="17">
        <f t="shared" si="115"/>
        <v>72.896848430993657</v>
      </c>
      <c r="BD81" s="217"/>
      <c r="BE81" s="17">
        <f>BE65+BE69-BE73</f>
        <v>69.242642424995097</v>
      </c>
      <c r="BF81" s="17">
        <f t="shared" ref="BE81:BH82" si="116">BF65+BF69-BF73</f>
        <v>66.163035680417963</v>
      </c>
      <c r="BG81" s="17">
        <f t="shared" si="116"/>
        <v>57.992489814316158</v>
      </c>
      <c r="BH81" s="17">
        <f t="shared" si="116"/>
        <v>62.77652744356903</v>
      </c>
      <c r="BI81" s="217"/>
      <c r="BJ81" s="359">
        <f t="shared" ref="BJ81:BM82" si="117">BJ65+BJ69-BJ73</f>
        <v>41</v>
      </c>
      <c r="BK81" s="17">
        <f t="shared" si="117"/>
        <v>41</v>
      </c>
      <c r="BL81" s="17">
        <f t="shared" si="117"/>
        <v>41</v>
      </c>
      <c r="BM81" s="17">
        <f t="shared" si="117"/>
        <v>41</v>
      </c>
      <c r="BN81" s="217"/>
      <c r="BO81" s="17">
        <f t="shared" ref="BO81:BR82" si="118">BO65+BO69-BO73</f>
        <v>41</v>
      </c>
      <c r="BP81" s="17">
        <f t="shared" si="118"/>
        <v>41</v>
      </c>
      <c r="BQ81" s="17">
        <f t="shared" si="118"/>
        <v>41</v>
      </c>
      <c r="BR81" s="17">
        <f t="shared" si="118"/>
        <v>41</v>
      </c>
      <c r="BS81" s="217"/>
      <c r="BT81" s="17">
        <f t="shared" ref="BT81:BW82" si="119">BT65+BT69-BT73</f>
        <v>41</v>
      </c>
      <c r="BU81" s="17">
        <f t="shared" si="119"/>
        <v>41</v>
      </c>
      <c r="BV81" s="17">
        <f t="shared" si="119"/>
        <v>41</v>
      </c>
      <c r="BW81" s="17">
        <f t="shared" si="119"/>
        <v>41</v>
      </c>
      <c r="BX81" s="217"/>
      <c r="BY81" s="17">
        <f t="shared" ref="BY81:CB82" si="120">BY65+BY69-BY73</f>
        <v>41</v>
      </c>
      <c r="BZ81" s="17">
        <f t="shared" si="120"/>
        <v>41</v>
      </c>
      <c r="CA81" s="17">
        <f t="shared" si="120"/>
        <v>41</v>
      </c>
      <c r="CB81" s="17">
        <f t="shared" si="120"/>
        <v>41</v>
      </c>
      <c r="CC81" s="217"/>
      <c r="CD81" s="17">
        <f t="shared" ref="CD81:CG82" si="121">CD65+CD69-CD73</f>
        <v>41</v>
      </c>
      <c r="CE81" s="17">
        <f t="shared" si="121"/>
        <v>41</v>
      </c>
      <c r="CF81" s="17">
        <f t="shared" si="121"/>
        <v>41</v>
      </c>
      <c r="CG81" s="17">
        <f t="shared" si="121"/>
        <v>41</v>
      </c>
      <c r="CH81" s="217"/>
      <c r="CI81" s="17">
        <f t="shared" ref="CI81:CL82" si="122">CI65+CI69-CI73</f>
        <v>41</v>
      </c>
      <c r="CJ81" s="17">
        <f t="shared" si="122"/>
        <v>41</v>
      </c>
      <c r="CK81" s="17">
        <f t="shared" si="122"/>
        <v>41</v>
      </c>
      <c r="CL81" s="17">
        <f t="shared" si="122"/>
        <v>41</v>
      </c>
      <c r="CM81" s="217"/>
      <c r="CN81" s="17">
        <f t="shared" ref="CN81:CQ82" si="123">CN65+CN69-CN73</f>
        <v>41</v>
      </c>
      <c r="CO81" s="17">
        <f t="shared" si="123"/>
        <v>41</v>
      </c>
      <c r="CP81" s="17">
        <f t="shared" si="123"/>
        <v>41</v>
      </c>
      <c r="CQ81" s="17">
        <f t="shared" si="123"/>
        <v>41</v>
      </c>
      <c r="CR81" s="217"/>
      <c r="CS81" s="17">
        <f t="shared" ref="CS81:CV82" si="124">CS65+CS69-CS73</f>
        <v>41</v>
      </c>
      <c r="CT81" s="17">
        <f t="shared" si="124"/>
        <v>41</v>
      </c>
      <c r="CU81" s="17">
        <f t="shared" si="124"/>
        <v>41</v>
      </c>
      <c r="CV81" s="17">
        <f t="shared" si="124"/>
        <v>41</v>
      </c>
      <c r="CW81" s="217"/>
      <c r="CX81" s="17">
        <f t="shared" ref="CX81:DA82" si="125">CX65+CX69-CX73</f>
        <v>41</v>
      </c>
      <c r="CY81" s="17">
        <f t="shared" si="125"/>
        <v>41</v>
      </c>
      <c r="CZ81" s="17">
        <f t="shared" si="125"/>
        <v>41</v>
      </c>
      <c r="DA81" s="17">
        <f t="shared" si="125"/>
        <v>41</v>
      </c>
      <c r="DB81" s="217"/>
    </row>
    <row r="82" spans="1:106">
      <c r="A82" s="12" t="s">
        <v>157</v>
      </c>
      <c r="B82" s="17"/>
      <c r="C82" s="27"/>
      <c r="D82" s="27"/>
      <c r="E82" s="17" t="e">
        <f t="shared" si="105"/>
        <v>#REF!</v>
      </c>
      <c r="F82" s="217"/>
      <c r="G82" s="17">
        <f t="shared" si="106"/>
        <v>5.8166351302179713</v>
      </c>
      <c r="H82" s="17">
        <f t="shared" si="106"/>
        <v>9.5011132960620621</v>
      </c>
      <c r="I82" s="17">
        <f t="shared" si="106"/>
        <v>17.165533122592628</v>
      </c>
      <c r="J82" s="17">
        <f t="shared" si="106"/>
        <v>19.51539818645211</v>
      </c>
      <c r="K82" s="217"/>
      <c r="L82" s="17">
        <f t="shared" si="107"/>
        <v>17.979600517517557</v>
      </c>
      <c r="M82" s="17">
        <f t="shared" si="107"/>
        <v>15.813289061679363</v>
      </c>
      <c r="N82" s="17">
        <f t="shared" si="107"/>
        <v>11.858526403759878</v>
      </c>
      <c r="O82" s="17">
        <f t="shared" si="107"/>
        <v>12.216673439040893</v>
      </c>
      <c r="P82" s="217"/>
      <c r="Q82" s="17">
        <f t="shared" si="108"/>
        <v>12.641239464809892</v>
      </c>
      <c r="R82" s="17">
        <f t="shared" si="108"/>
        <v>13.499998851213366</v>
      </c>
      <c r="S82" s="17">
        <f t="shared" si="108"/>
        <v>13.770785481044847</v>
      </c>
      <c r="T82" s="17">
        <f t="shared" si="108"/>
        <v>15.292055134608578</v>
      </c>
      <c r="U82" s="217"/>
      <c r="V82" s="17">
        <f t="shared" si="109"/>
        <v>24.121890216214844</v>
      </c>
      <c r="W82" s="17">
        <f t="shared" si="109"/>
        <v>43.882082090445238</v>
      </c>
      <c r="X82" s="17">
        <f t="shared" si="109"/>
        <v>62.804443191461353</v>
      </c>
      <c r="Y82" s="17">
        <f t="shared" si="109"/>
        <v>77.406281015771498</v>
      </c>
      <c r="Z82" s="217"/>
      <c r="AA82" s="17">
        <f t="shared" si="110"/>
        <v>87.244731247555933</v>
      </c>
      <c r="AB82" s="17">
        <f t="shared" si="110"/>
        <v>87.451716605407029</v>
      </c>
      <c r="AC82" s="17">
        <f t="shared" si="110"/>
        <v>85.346541721474409</v>
      </c>
      <c r="AD82" s="17">
        <f t="shared" si="110"/>
        <v>80.976912029098614</v>
      </c>
      <c r="AE82" s="217"/>
      <c r="AF82" s="17">
        <f t="shared" si="111"/>
        <v>75.339030979293256</v>
      </c>
      <c r="AG82" s="17">
        <f t="shared" si="111"/>
        <v>74.632799647746708</v>
      </c>
      <c r="AH82" s="17">
        <f t="shared" si="111"/>
        <v>75.330672718567797</v>
      </c>
      <c r="AI82" s="17">
        <f t="shared" si="111"/>
        <v>77.597773264402349</v>
      </c>
      <c r="AJ82" s="217"/>
      <c r="AK82" s="17">
        <f t="shared" si="112"/>
        <v>77.62800054700179</v>
      </c>
      <c r="AL82" s="17">
        <f t="shared" si="112"/>
        <v>76.290289959347945</v>
      </c>
      <c r="AM82" s="17">
        <f t="shared" si="112"/>
        <v>75.146684917341389</v>
      </c>
      <c r="AN82" s="17">
        <f t="shared" si="112"/>
        <v>73.243661768549984</v>
      </c>
      <c r="AO82" s="217"/>
      <c r="AP82" s="17">
        <f>AP66+AP70-AP74</f>
        <v>73.397297921051347</v>
      </c>
      <c r="AQ82" s="17">
        <f t="shared" si="113"/>
        <v>77.405151907505058</v>
      </c>
      <c r="AR82" s="17">
        <f t="shared" si="113"/>
        <v>83.717858811538463</v>
      </c>
      <c r="AS82" s="17">
        <f t="shared" si="113"/>
        <v>92.016059500859143</v>
      </c>
      <c r="AT82" s="217"/>
      <c r="AU82" s="17">
        <f t="shared" si="114"/>
        <v>97.619537674573465</v>
      </c>
      <c r="AV82" s="17">
        <f t="shared" si="114"/>
        <v>98.851653727200457</v>
      </c>
      <c r="AW82" s="17">
        <f t="shared" si="114"/>
        <v>99.088907868263931</v>
      </c>
      <c r="AX82" s="17">
        <f t="shared" si="114"/>
        <v>95.834019181745262</v>
      </c>
      <c r="AY82" s="217"/>
      <c r="AZ82" s="17">
        <f>AZ66+AZ70-AZ74</f>
        <v>92.107131775555914</v>
      </c>
      <c r="BA82" s="17">
        <f t="shared" si="115"/>
        <v>86.501622043779292</v>
      </c>
      <c r="BB82" s="17">
        <f t="shared" si="115"/>
        <v>81.188056182578535</v>
      </c>
      <c r="BC82" s="17">
        <f t="shared" si="115"/>
        <v>77.051541522666071</v>
      </c>
      <c r="BD82" s="217"/>
      <c r="BE82" s="17">
        <f t="shared" si="116"/>
        <v>69.683772440687648</v>
      </c>
      <c r="BF82" s="17">
        <f t="shared" si="116"/>
        <v>65.434413775736815</v>
      </c>
      <c r="BG82" s="17">
        <f t="shared" si="116"/>
        <v>60.244142841680528</v>
      </c>
      <c r="BH82" s="17">
        <f t="shared" si="116"/>
        <v>56.011264544137219</v>
      </c>
      <c r="BI82" s="217"/>
      <c r="BJ82" s="359">
        <f t="shared" si="117"/>
        <v>52.871657604747512</v>
      </c>
      <c r="BK82" s="17">
        <f t="shared" si="117"/>
        <v>47.919297982794632</v>
      </c>
      <c r="BL82" s="17">
        <f t="shared" si="117"/>
        <v>44.293070805234301</v>
      </c>
      <c r="BM82" s="17">
        <f t="shared" si="117"/>
        <v>41.050789937802463</v>
      </c>
      <c r="BN82" s="217"/>
      <c r="BO82" s="17">
        <f t="shared" si="118"/>
        <v>38.083295154937318</v>
      </c>
      <c r="BP82" s="17">
        <f t="shared" si="118"/>
        <v>37.993276625103725</v>
      </c>
      <c r="BQ82" s="17">
        <f t="shared" si="118"/>
        <v>37.936353365452902</v>
      </c>
      <c r="BR82" s="17">
        <f t="shared" si="118"/>
        <v>38.205095741087803</v>
      </c>
      <c r="BS82" s="217"/>
      <c r="BT82" s="17">
        <f t="shared" si="119"/>
        <v>38.303300260222123</v>
      </c>
      <c r="BU82" s="17">
        <f t="shared" si="119"/>
        <v>38.265259754478649</v>
      </c>
      <c r="BV82" s="17">
        <f t="shared" si="119"/>
        <v>38.262585205412286</v>
      </c>
      <c r="BW82" s="17">
        <f t="shared" si="119"/>
        <v>38.265781658137797</v>
      </c>
      <c r="BX82" s="217"/>
      <c r="BY82" s="17">
        <f t="shared" si="120"/>
        <v>38.239258749926222</v>
      </c>
      <c r="BZ82" s="17">
        <f t="shared" si="120"/>
        <v>38.3011768362325</v>
      </c>
      <c r="CA82" s="17">
        <f t="shared" si="120"/>
        <v>38.322334442050433</v>
      </c>
      <c r="CB82" s="17">
        <f t="shared" si="120"/>
        <v>38.39397762882534</v>
      </c>
      <c r="CC82" s="217"/>
      <c r="CD82" s="17">
        <f t="shared" si="121"/>
        <v>38.422380307661967</v>
      </c>
      <c r="CE82" s="17">
        <f t="shared" si="121"/>
        <v>38.446028641566905</v>
      </c>
      <c r="CF82" s="17">
        <f t="shared" si="121"/>
        <v>38.491595210181757</v>
      </c>
      <c r="CG82" s="17">
        <f t="shared" si="121"/>
        <v>38.530006903763308</v>
      </c>
      <c r="CH82" s="217"/>
      <c r="CI82" s="17">
        <f t="shared" si="122"/>
        <v>38.61662298972054</v>
      </c>
      <c r="CJ82" s="17">
        <f t="shared" si="122"/>
        <v>38.722455328503166</v>
      </c>
      <c r="CK82" s="17">
        <f t="shared" si="122"/>
        <v>38.833260057369984</v>
      </c>
      <c r="CL82" s="17">
        <f t="shared" si="122"/>
        <v>38.941766296604186</v>
      </c>
      <c r="CM82" s="217"/>
      <c r="CN82" s="17">
        <f t="shared" si="123"/>
        <v>38.994286454154491</v>
      </c>
      <c r="CO82" s="17">
        <f t="shared" si="123"/>
        <v>39.034266820916294</v>
      </c>
      <c r="CP82" s="17">
        <f t="shared" si="123"/>
        <v>39.068093911220181</v>
      </c>
      <c r="CQ82" s="17">
        <f t="shared" si="123"/>
        <v>39.103630430114173</v>
      </c>
      <c r="CR82" s="217"/>
      <c r="CS82" s="17">
        <f t="shared" si="124"/>
        <v>39.114549105383972</v>
      </c>
      <c r="CT82" s="17">
        <f t="shared" si="124"/>
        <v>39.129886836010058</v>
      </c>
      <c r="CU82" s="17">
        <f t="shared" si="124"/>
        <v>39.147833267447794</v>
      </c>
      <c r="CV82" s="17">
        <f t="shared" si="124"/>
        <v>39.171547318981681</v>
      </c>
      <c r="CW82" s="217"/>
      <c r="CX82" s="17">
        <f t="shared" si="125"/>
        <v>39.244234234717148</v>
      </c>
      <c r="CY82" s="17">
        <f t="shared" si="125"/>
        <v>39.323401537053385</v>
      </c>
      <c r="CZ82" s="17">
        <f t="shared" si="125"/>
        <v>39.400526838595233</v>
      </c>
      <c r="DA82" s="17">
        <f t="shared" si="125"/>
        <v>39.470464806299532</v>
      </c>
      <c r="DB82" s="217"/>
    </row>
    <row r="83" spans="1:106">
      <c r="F83" s="217"/>
      <c r="K83" s="217"/>
      <c r="P83" s="217"/>
      <c r="U83" s="217"/>
      <c r="Z83" s="217"/>
      <c r="AB83" s="19"/>
      <c r="AE83" s="217"/>
      <c r="AG83" s="19"/>
      <c r="AJ83" s="217"/>
      <c r="AO83" s="217"/>
      <c r="AT83" s="217"/>
      <c r="AY83" s="217"/>
      <c r="BD83" s="217"/>
      <c r="BI83" s="217"/>
      <c r="BJ83" s="356"/>
      <c r="BN83" s="217"/>
      <c r="BS83" s="217"/>
      <c r="BX83" s="217"/>
      <c r="CC83" s="217"/>
      <c r="CH83" s="217"/>
      <c r="CM83" s="217"/>
      <c r="CR83" s="217"/>
      <c r="CW83" s="217"/>
      <c r="DB83" s="217"/>
    </row>
    <row r="84" spans="1:106">
      <c r="A84" s="12" t="s">
        <v>148</v>
      </c>
      <c r="B84" s="55"/>
      <c r="C84" s="55"/>
      <c r="D84" s="55">
        <f>D45</f>
        <v>0</v>
      </c>
      <c r="E84" s="55">
        <f>E45</f>
        <v>-171.143</v>
      </c>
      <c r="F84" s="217"/>
      <c r="G84" s="55">
        <f>G45</f>
        <v>0</v>
      </c>
      <c r="H84" s="55">
        <f>H45</f>
        <v>-197.774</v>
      </c>
      <c r="I84" s="55">
        <f>I45</f>
        <v>206.06299999999999</v>
      </c>
      <c r="J84" s="55">
        <f>J45</f>
        <v>184.76500000000001</v>
      </c>
      <c r="K84" s="217"/>
      <c r="L84" s="55">
        <f>L45</f>
        <v>181.59499999999997</v>
      </c>
      <c r="M84" s="55">
        <f>M45</f>
        <v>163.81500000000005</v>
      </c>
      <c r="N84" s="55">
        <f>N45</f>
        <v>140.31400000000005</v>
      </c>
      <c r="O84" s="55">
        <f>O45</f>
        <v>106.47599999999997</v>
      </c>
      <c r="P84" s="217"/>
      <c r="Q84" s="55">
        <f>Q45</f>
        <v>73.671999999999969</v>
      </c>
      <c r="R84" s="55">
        <f>R45</f>
        <v>50.908000000000008</v>
      </c>
      <c r="S84" s="55">
        <f>S45</f>
        <v>30.183999999999955</v>
      </c>
      <c r="T84" s="55">
        <f>T45</f>
        <v>-10.369999999999957</v>
      </c>
      <c r="U84" s="217"/>
      <c r="V84" s="55">
        <f>V45</f>
        <v>-3.8760000000000088</v>
      </c>
      <c r="W84" s="55">
        <f>W45</f>
        <v>-22.037000000000003</v>
      </c>
      <c r="X84" s="55">
        <f>X45</f>
        <v>56.57099999999997</v>
      </c>
      <c r="Y84" s="55">
        <f>Y45</f>
        <v>32.161999999999992</v>
      </c>
      <c r="Z84" s="217"/>
      <c r="AA84" s="55">
        <f>AA45</f>
        <v>4.9860000000000042</v>
      </c>
      <c r="AB84" s="55">
        <f>AB45</f>
        <v>93.087999999999951</v>
      </c>
      <c r="AC84" s="55">
        <f>AC45</f>
        <v>84.69399999999996</v>
      </c>
      <c r="AD84" s="55">
        <f>AD45</f>
        <v>278.71099999999996</v>
      </c>
      <c r="AE84" s="217"/>
      <c r="AF84" s="55">
        <f>AF45</f>
        <v>258.92699999999991</v>
      </c>
      <c r="AG84" s="55">
        <f>AG45</f>
        <v>304.26699999999988</v>
      </c>
      <c r="AH84" s="55">
        <f>AH45</f>
        <v>536.00000000000011</v>
      </c>
      <c r="AI84" s="55">
        <f>AI45</f>
        <v>486.2360000000001</v>
      </c>
      <c r="AJ84" s="217"/>
      <c r="AK84" s="55">
        <f>AK45</f>
        <v>372.44500000000005</v>
      </c>
      <c r="AL84" s="55">
        <f>AL45</f>
        <v>299.11000000000007</v>
      </c>
      <c r="AM84" s="55">
        <f>AM45</f>
        <v>1</v>
      </c>
      <c r="AN84" s="55">
        <f>AN45</f>
        <v>653.30399999999986</v>
      </c>
      <c r="AO84" s="217"/>
      <c r="AP84" s="55">
        <f>AP45</f>
        <v>542.33499999999981</v>
      </c>
      <c r="AQ84" s="55">
        <f>AQ45</f>
        <v>444.58199999999982</v>
      </c>
      <c r="AR84" s="55">
        <f>AR45</f>
        <v>361.62100000000027</v>
      </c>
      <c r="AS84" s="55">
        <f>AS45</f>
        <v>705.74400000000003</v>
      </c>
      <c r="AT84" s="217"/>
      <c r="AU84" s="55">
        <f>AU45</f>
        <v>650.57299999999964</v>
      </c>
      <c r="AV84" s="55">
        <f>AV45</f>
        <v>596.14699999999993</v>
      </c>
      <c r="AW84" s="55">
        <f>AW45</f>
        <v>784.65799999999967</v>
      </c>
      <c r="AX84" s="55">
        <f>AX45</f>
        <v>765.32699999999977</v>
      </c>
      <c r="AY84" s="217"/>
      <c r="AZ84" s="55">
        <f>AZ45</f>
        <v>794.1110000000001</v>
      </c>
      <c r="BA84" s="55">
        <f>BA45</f>
        <v>836.52</v>
      </c>
      <c r="BB84" s="55">
        <f>BB45</f>
        <v>878.5250000000002</v>
      </c>
      <c r="BC84" s="55">
        <f>BC45</f>
        <v>1195.4199999999998</v>
      </c>
      <c r="BD84" s="217"/>
      <c r="BE84" s="55">
        <f>BE45</f>
        <v>1239.6750000000002</v>
      </c>
      <c r="BF84" s="55">
        <f>BF45</f>
        <v>1246.1819999999998</v>
      </c>
      <c r="BG84" s="55">
        <f>BG45</f>
        <v>1252.1879999999999</v>
      </c>
      <c r="BH84" s="55">
        <f>BH45</f>
        <v>1712.413</v>
      </c>
      <c r="BI84" s="217"/>
      <c r="BJ84" s="356"/>
      <c r="BN84" s="217"/>
      <c r="BS84" s="217"/>
      <c r="BX84" s="217"/>
      <c r="CC84" s="217"/>
      <c r="CH84" s="217"/>
      <c r="CM84" s="217"/>
      <c r="CR84" s="217"/>
      <c r="CW84" s="217"/>
      <c r="DB84" s="217"/>
    </row>
    <row r="85" spans="1:106">
      <c r="A85" s="12" t="s">
        <v>125</v>
      </c>
      <c r="B85" s="22"/>
      <c r="C85" s="22"/>
      <c r="D85" s="22">
        <f>D45/D57</f>
        <v>0</v>
      </c>
      <c r="E85" s="22">
        <f>E45/E57</f>
        <v>6.3283168170388997</v>
      </c>
      <c r="F85" s="217"/>
      <c r="G85" s="22">
        <f>G45/G57</f>
        <v>0</v>
      </c>
      <c r="H85" s="22">
        <f>H45/H57</f>
        <v>-35.998179832544594</v>
      </c>
      <c r="I85" s="22">
        <f>I45/I57</f>
        <v>4.5848834104663574</v>
      </c>
      <c r="J85" s="22">
        <f>J45/J57</f>
        <v>3.7638778545091571</v>
      </c>
      <c r="K85" s="217"/>
      <c r="L85" s="22">
        <f>L45/L57</f>
        <v>3.6002894585538963</v>
      </c>
      <c r="M85" s="22">
        <f>M45/M57</f>
        <v>3.1842744678783177</v>
      </c>
      <c r="N85" s="22">
        <f>N45/N57</f>
        <v>2.6977236022456363</v>
      </c>
      <c r="O85" s="22">
        <f>O45/O57</f>
        <v>2.0316745535032821</v>
      </c>
      <c r="P85" s="217"/>
      <c r="Q85" s="22">
        <f>Q45/Q57</f>
        <v>1.3889108836227206</v>
      </c>
      <c r="R85" s="22">
        <f>R45/R57</f>
        <v>0.95893610608800495</v>
      </c>
      <c r="S85" s="22">
        <f>S45/S57</f>
        <v>0.56474638426852686</v>
      </c>
      <c r="T85" s="22">
        <f>T45/T57</f>
        <v>-0.18910244720813957</v>
      </c>
      <c r="U85" s="217"/>
      <c r="V85" s="22">
        <f>V45/V57</f>
        <v>-7.1602748836178398E-2</v>
      </c>
      <c r="W85" s="22">
        <f>W45/W57</f>
        <v>-0.40397059632270721</v>
      </c>
      <c r="X85" s="22">
        <f>X45/X57</f>
        <v>0.93397721644378351</v>
      </c>
      <c r="Y85" s="22">
        <f>Y45/Y57</f>
        <v>0.51758155103879988</v>
      </c>
      <c r="Z85" s="217"/>
      <c r="AA85" s="22">
        <f>AA45/AA57</f>
        <v>7.9355732043099814E-2</v>
      </c>
      <c r="AB85" s="22">
        <f>AB45/AB57</f>
        <v>1.3644465290806747</v>
      </c>
      <c r="AC85" s="22">
        <f>AC45/AC57</f>
        <v>1.2020835698875887</v>
      </c>
      <c r="AD85" s="22">
        <f>AD45/AD57</f>
        <v>3.6333546259239458</v>
      </c>
      <c r="AE85" s="217"/>
      <c r="AF85" s="22">
        <f>AF45/AF57</f>
        <v>3.3074073600980993</v>
      </c>
      <c r="AG85" s="22">
        <f>AG45/AG57</f>
        <v>3.8481199964587876</v>
      </c>
      <c r="AH85" s="22">
        <f>AH45/AH57</f>
        <v>6.624808424383251</v>
      </c>
      <c r="AI85" s="22">
        <f>AI45/AI57</f>
        <v>5.6684075542084429</v>
      </c>
      <c r="AJ85" s="217"/>
      <c r="AK85" s="22">
        <f>AK45/AK57</f>
        <v>4.2963351751664005</v>
      </c>
      <c r="AL85" s="22">
        <f>AL45/AL57</f>
        <v>3.3960057676805531</v>
      </c>
      <c r="AM85" s="22">
        <f>AM45/AM57</f>
        <v>1.0804036387994554E-2</v>
      </c>
      <c r="AN85" s="22">
        <f>AN45/AN57</f>
        <v>6.8835503856366138</v>
      </c>
      <c r="AO85" s="217"/>
      <c r="AP85" s="22">
        <f>AP45/AP57</f>
        <v>5.674266044487223</v>
      </c>
      <c r="AQ85" s="22">
        <f>AQ45/AQ57</f>
        <v>4.6032988537880888</v>
      </c>
      <c r="AR85" s="22">
        <f>AR45/AR57</f>
        <v>3.726054074104606</v>
      </c>
      <c r="AS85" s="22">
        <f>AS45/AS57</f>
        <v>6.7585110559934112</v>
      </c>
      <c r="AT85" s="217"/>
      <c r="AU85" s="22">
        <f>AU45/AU57</f>
        <v>5.8207968362754627</v>
      </c>
      <c r="AV85" s="22">
        <f>AV45/AV57</f>
        <v>5.243618612015128</v>
      </c>
      <c r="AW85" s="22">
        <f>AW45/AW57</f>
        <v>6.812982434814316</v>
      </c>
      <c r="AX85" s="22">
        <f>AX45/AX57</f>
        <v>6.4119219168900781</v>
      </c>
      <c r="AY85" s="217"/>
      <c r="AZ85" s="22">
        <f>AZ45/AZ57</f>
        <v>6.5730047842137509</v>
      </c>
      <c r="BA85" s="22">
        <f>BA45/BA57</f>
        <v>6.8091133305657987</v>
      </c>
      <c r="BB85" s="22">
        <f>BB45/BB57</f>
        <v>7.097758028681076</v>
      </c>
      <c r="BC85" s="22">
        <f>BC45/BC57</f>
        <v>9.095488092520732</v>
      </c>
      <c r="BD85" s="217"/>
      <c r="BE85" s="22">
        <f>BE45/BE57</f>
        <v>9.1998144712430445</v>
      </c>
      <c r="BF85" s="22">
        <f>BF45/BF57</f>
        <v>9.1370355163210828</v>
      </c>
      <c r="BG85" s="22">
        <f>BG45/BG57</f>
        <v>9.1275995538935888</v>
      </c>
      <c r="BH85" s="22">
        <f>BH45/BH57</f>
        <v>12.358728050866421</v>
      </c>
      <c r="BI85" s="217"/>
      <c r="BJ85" s="356"/>
      <c r="BN85" s="217"/>
      <c r="BS85" s="217"/>
      <c r="BX85" s="217"/>
      <c r="CC85" s="217"/>
      <c r="CH85" s="217"/>
      <c r="CM85" s="217"/>
      <c r="CR85" s="217"/>
      <c r="CW85" s="217"/>
      <c r="DB85" s="217"/>
    </row>
    <row r="86" spans="1:106">
      <c r="B86" s="22"/>
      <c r="C86" s="22"/>
      <c r="D86" s="22"/>
      <c r="E86" s="22"/>
      <c r="F86" s="217"/>
      <c r="G86" s="22"/>
      <c r="H86" s="22"/>
      <c r="I86" s="22"/>
      <c r="J86" s="22"/>
      <c r="K86" s="217"/>
      <c r="L86" s="22"/>
      <c r="M86" s="22"/>
      <c r="N86" s="22"/>
      <c r="O86" s="22"/>
      <c r="P86" s="217"/>
      <c r="Q86" s="22"/>
      <c r="R86" s="22"/>
      <c r="S86" s="22"/>
      <c r="T86" s="22"/>
      <c r="U86" s="217"/>
      <c r="V86" s="22"/>
      <c r="W86" s="22"/>
      <c r="X86" s="22"/>
      <c r="Y86" s="22"/>
      <c r="Z86" s="217"/>
      <c r="AA86" s="22"/>
      <c r="AB86" s="22"/>
      <c r="AC86" s="22"/>
      <c r="AD86" s="22"/>
      <c r="AE86" s="217"/>
      <c r="AF86" s="22"/>
      <c r="AG86" s="22"/>
      <c r="AH86" s="22"/>
      <c r="AI86" s="22"/>
      <c r="AJ86" s="217"/>
      <c r="AK86" s="22"/>
      <c r="AL86" s="22"/>
      <c r="AM86" s="22"/>
      <c r="AN86" s="22"/>
      <c r="AO86" s="217"/>
      <c r="AQ86" s="22"/>
      <c r="AR86" s="22"/>
      <c r="AS86" s="22"/>
      <c r="AT86" s="217"/>
      <c r="AY86" s="217"/>
      <c r="BD86" s="217"/>
      <c r="BI86" s="217"/>
      <c r="BJ86" s="356"/>
      <c r="BN86" s="217"/>
      <c r="BS86" s="217"/>
      <c r="BX86" s="217"/>
      <c r="CC86" s="217"/>
      <c r="CH86" s="217"/>
      <c r="CM86" s="217"/>
      <c r="CR86" s="217"/>
      <c r="CW86" s="217"/>
      <c r="DB86" s="217"/>
    </row>
    <row r="87" spans="1:106">
      <c r="A87" s="12" t="s">
        <v>167</v>
      </c>
      <c r="B87" s="55"/>
      <c r="C87" s="55"/>
      <c r="D87" s="55"/>
      <c r="E87" s="55">
        <f>E33+E30</f>
        <v>26.813999999999997</v>
      </c>
      <c r="F87" s="217"/>
      <c r="G87" s="55">
        <f>G33+G30</f>
        <v>0</v>
      </c>
      <c r="H87" s="55">
        <f>H33+H30</f>
        <v>27.765999999999998</v>
      </c>
      <c r="I87" s="55">
        <f>I33+I30</f>
        <v>25.016999999999999</v>
      </c>
      <c r="J87" s="55">
        <f>J33+J30</f>
        <v>42.09</v>
      </c>
      <c r="K87" s="217"/>
      <c r="L87" s="55">
        <f>L33+L30</f>
        <v>42.204999999999998</v>
      </c>
      <c r="M87" s="55">
        <f>M33+M30</f>
        <v>49.326999999999998</v>
      </c>
      <c r="N87" s="55">
        <f>N33+N30</f>
        <v>49.472999999999999</v>
      </c>
      <c r="O87" s="55">
        <f>O33+O30</f>
        <v>49.624000000000002</v>
      </c>
      <c r="P87" s="217"/>
      <c r="Q87" s="55">
        <f>Q33+Q30</f>
        <v>49.807000000000002</v>
      </c>
      <c r="R87" s="55">
        <f>R33+R30</f>
        <v>50.021999999999998</v>
      </c>
      <c r="S87" s="55">
        <f>S33+S30</f>
        <v>123.29900000000001</v>
      </c>
      <c r="T87" s="55">
        <f>T33+T30</f>
        <v>123.17699999999999</v>
      </c>
      <c r="U87" s="217"/>
      <c r="V87" s="55">
        <f>V33+V30</f>
        <v>123.26300000000001</v>
      </c>
      <c r="W87" s="55">
        <f>W33+W30</f>
        <v>123.34299999999999</v>
      </c>
      <c r="X87" s="55">
        <f>X33+X30</f>
        <v>123.41900000000001</v>
      </c>
      <c r="Y87" s="55">
        <f>Y33+Y30</f>
        <v>123.50999999999999</v>
      </c>
      <c r="Z87" s="217"/>
      <c r="AA87" s="55">
        <f>AA33+AA30</f>
        <v>123.58500000000001</v>
      </c>
      <c r="AB87" s="55">
        <f>AB33+AB30</f>
        <v>123.657</v>
      </c>
      <c r="AC87" s="55">
        <f>AC33+AC30</f>
        <v>123.714</v>
      </c>
      <c r="AD87" s="55">
        <f>AD33+AD30</f>
        <v>123.779</v>
      </c>
      <c r="AE87" s="217"/>
      <c r="AF87" s="55">
        <f>AF33+AF30</f>
        <v>122.968</v>
      </c>
      <c r="AG87" s="55">
        <f>AG33+AG30</f>
        <v>247.529</v>
      </c>
      <c r="AH87" s="55">
        <f>AH33+AH30</f>
        <v>250.011</v>
      </c>
      <c r="AI87" s="55">
        <f>AI33+AI30</f>
        <v>252.547</v>
      </c>
      <c r="AJ87" s="217"/>
      <c r="AK87" s="55">
        <f>AK33+AK30</f>
        <v>329.52300000000002</v>
      </c>
      <c r="AL87" s="55">
        <f>AL33+AL30</f>
        <v>329.82599999999996</v>
      </c>
      <c r="AM87" s="55">
        <f>AM33+AM30</f>
        <v>330.13399999999996</v>
      </c>
      <c r="AN87" s="55">
        <f>AN33+AN30</f>
        <v>330.44600000000003</v>
      </c>
      <c r="AO87" s="217"/>
      <c r="AP87" s="55">
        <f>AP33+AP30</f>
        <v>330.76100000000002</v>
      </c>
      <c r="AQ87" s="55">
        <f>AQ33+AQ30</f>
        <v>331.10599999999999</v>
      </c>
      <c r="AR87" s="55">
        <f>AR33+AR30</f>
        <v>331.483</v>
      </c>
      <c r="AS87" s="55">
        <f>AS33+AS30</f>
        <v>362.00300000000004</v>
      </c>
      <c r="AT87" s="217"/>
      <c r="AU87" s="55">
        <f>AU33+AU30</f>
        <v>362.37099999999998</v>
      </c>
      <c r="AV87" s="55">
        <f>AV33+AV30</f>
        <v>362.71300000000002</v>
      </c>
      <c r="AW87" s="55">
        <f>AW33+AW30</f>
        <v>363.05400000000003</v>
      </c>
      <c r="AX87" s="55">
        <f>AX33+AX30</f>
        <v>363.34699999999998</v>
      </c>
      <c r="AY87" s="217"/>
      <c r="AZ87" s="55">
        <f>AZ33+AZ30</f>
        <v>363.67400000000004</v>
      </c>
      <c r="BA87" s="55">
        <f>BA33+BA30</f>
        <v>363.99299999999999</v>
      </c>
      <c r="BB87" s="55">
        <f>BB33+BB30</f>
        <v>367.01799999999997</v>
      </c>
      <c r="BC87" s="55">
        <f>BC33+BC30</f>
        <v>80.361999999999995</v>
      </c>
      <c r="BD87" s="217"/>
      <c r="BE87" s="55">
        <f>BE33+BE30</f>
        <v>80.344999999999999</v>
      </c>
      <c r="BF87" s="55">
        <f>BF33+BF30</f>
        <v>80.337999999999994</v>
      </c>
      <c r="BG87" s="55">
        <f>BG33+BG30</f>
        <v>80.340999999999994</v>
      </c>
      <c r="BH87" s="55">
        <f>BH33+BH30</f>
        <v>80.322999999999993</v>
      </c>
      <c r="BI87" s="217"/>
      <c r="BJ87" s="356"/>
      <c r="BN87" s="217"/>
      <c r="BS87" s="217"/>
      <c r="BX87" s="217"/>
      <c r="CC87" s="217"/>
      <c r="CH87" s="217"/>
      <c r="CM87" s="217"/>
      <c r="CR87" s="217"/>
      <c r="CW87" s="217"/>
      <c r="DB87" s="217"/>
    </row>
    <row r="88" spans="1:106">
      <c r="A88" s="12" t="s">
        <v>105</v>
      </c>
      <c r="B88" s="55"/>
      <c r="C88" s="55"/>
      <c r="D88" s="55"/>
      <c r="E88" s="55">
        <f>E9</f>
        <v>87.176000000000002</v>
      </c>
      <c r="F88" s="217"/>
      <c r="G88" s="55">
        <f>G9</f>
        <v>0</v>
      </c>
      <c r="H88" s="55">
        <f>H9</f>
        <v>62.243000000000002</v>
      </c>
      <c r="I88" s="55">
        <f>I9</f>
        <v>222.58100000000002</v>
      </c>
      <c r="J88" s="55">
        <f>J9</f>
        <v>230.53300000000002</v>
      </c>
      <c r="K88" s="217"/>
      <c r="L88" s="55">
        <f>L9</f>
        <v>230.58199999999999</v>
      </c>
      <c r="M88" s="55">
        <f>M9</f>
        <v>215.20399999999998</v>
      </c>
      <c r="N88" s="55">
        <f>N9</f>
        <v>183.03900000000002</v>
      </c>
      <c r="O88" s="55">
        <f>O9</f>
        <v>146.11600000000001</v>
      </c>
      <c r="P88" s="217"/>
      <c r="Q88" s="55">
        <f>Q9</f>
        <v>115.77799999999999</v>
      </c>
      <c r="R88" s="55">
        <f>R9</f>
        <v>102.126</v>
      </c>
      <c r="S88" s="55">
        <f>S9</f>
        <v>146.22800000000001</v>
      </c>
      <c r="T88" s="55">
        <f>T9</f>
        <v>118.867</v>
      </c>
      <c r="U88" s="217"/>
      <c r="V88" s="55">
        <f>V9</f>
        <v>113.697</v>
      </c>
      <c r="W88" s="55">
        <f>W9</f>
        <v>83.206999999999994</v>
      </c>
      <c r="X88" s="55">
        <f>X9</f>
        <v>165.42599999999999</v>
      </c>
      <c r="Y88" s="55">
        <f>Y9</f>
        <v>153.86799999999999</v>
      </c>
      <c r="Z88" s="217"/>
      <c r="AA88" s="55">
        <f>AA9</f>
        <v>128.08600000000001</v>
      </c>
      <c r="AB88" s="55">
        <f>AB9</f>
        <v>237.98099999999999</v>
      </c>
      <c r="AC88" s="55">
        <f>AC9</f>
        <v>238.309</v>
      </c>
      <c r="AD88" s="55">
        <f>AD9</f>
        <v>440.99099999999999</v>
      </c>
      <c r="AE88" s="217"/>
      <c r="AF88" s="55">
        <f>AF9</f>
        <v>405.82499999999999</v>
      </c>
      <c r="AG88" s="55">
        <f>AG9</f>
        <v>571.17399999999998</v>
      </c>
      <c r="AH88" s="55">
        <f>AH9</f>
        <v>809.55600000000004</v>
      </c>
      <c r="AI88" s="55">
        <f>AI9</f>
        <v>737.274</v>
      </c>
      <c r="AJ88" s="217"/>
      <c r="AK88" s="55">
        <f>AK9</f>
        <v>653.572</v>
      </c>
      <c r="AL88" s="55">
        <f>AL9</f>
        <v>580.24300000000005</v>
      </c>
      <c r="AM88" s="55">
        <f>AM9</f>
        <v>1023.699</v>
      </c>
      <c r="AN88" s="55">
        <f>AN9</f>
        <v>914.28199999999993</v>
      </c>
      <c r="AO88" s="217"/>
      <c r="AP88" s="55">
        <f>AP9</f>
        <v>751.95799999999997</v>
      </c>
      <c r="AQ88" s="55">
        <f>AQ9</f>
        <v>638.65099999999995</v>
      </c>
      <c r="AR88" s="55">
        <f>AR9</f>
        <v>521.154</v>
      </c>
      <c r="AS88" s="55">
        <f>AS9</f>
        <v>898.30600000000004</v>
      </c>
      <c r="AT88" s="217"/>
      <c r="AU88" s="55">
        <f>AU9</f>
        <v>812.01199999999994</v>
      </c>
      <c r="AV88" s="55">
        <f>AV9</f>
        <v>735.94100000000003</v>
      </c>
      <c r="AW88" s="55">
        <f>AW9</f>
        <v>936.55700000000002</v>
      </c>
      <c r="AX88" s="55">
        <f>AX9</f>
        <v>878.97700000000009</v>
      </c>
      <c r="AY88" s="217"/>
      <c r="AZ88" s="55">
        <f>AZ9</f>
        <v>882.93799999999999</v>
      </c>
      <c r="BA88" s="55">
        <f>BA9</f>
        <v>887.09699999999998</v>
      </c>
      <c r="BB88" s="55">
        <f>BB9</f>
        <v>922.33400000000006</v>
      </c>
      <c r="BC88" s="55">
        <f>BC9</f>
        <v>968.27599999999995</v>
      </c>
      <c r="BD88" s="217"/>
      <c r="BE88" s="55">
        <f>BE9</f>
        <v>991.6</v>
      </c>
      <c r="BF88" s="55">
        <f>BF9</f>
        <v>1015.996</v>
      </c>
      <c r="BG88" s="55">
        <f>BG9</f>
        <v>1042.4380000000001</v>
      </c>
      <c r="BH88" s="55">
        <f>BH9</f>
        <v>1076.1400000000001</v>
      </c>
      <c r="BI88" s="217"/>
      <c r="BJ88" s="356"/>
      <c r="BN88" s="217"/>
      <c r="BS88" s="217"/>
      <c r="BX88" s="217"/>
      <c r="CC88" s="217"/>
      <c r="CH88" s="217"/>
      <c r="CM88" s="217"/>
      <c r="CR88" s="217"/>
      <c r="CW88" s="217"/>
      <c r="DB88" s="217"/>
    </row>
    <row r="89" spans="1:106">
      <c r="A89" s="12" t="s">
        <v>166</v>
      </c>
      <c r="B89" s="55"/>
      <c r="C89" s="55"/>
      <c r="D89" s="55"/>
      <c r="E89" s="55">
        <f>(E9-E33-E30)</f>
        <v>60.362000000000009</v>
      </c>
      <c r="F89" s="217"/>
      <c r="G89" s="55">
        <f>(G9-G33-G30)</f>
        <v>0</v>
      </c>
      <c r="H89" s="55">
        <f>(H9-H33-H30)</f>
        <v>34.477000000000004</v>
      </c>
      <c r="I89" s="55">
        <f>(I9-I33-I30)</f>
        <v>197.56399999999999</v>
      </c>
      <c r="J89" s="55">
        <f>(J9-J33-J30)</f>
        <v>188.44300000000001</v>
      </c>
      <c r="K89" s="217"/>
      <c r="L89" s="55">
        <f>(L9-L33-L30)</f>
        <v>188.37700000000001</v>
      </c>
      <c r="M89" s="55">
        <f>(M9-M33-M30)</f>
        <v>165.87699999999998</v>
      </c>
      <c r="N89" s="55">
        <f>(N9-N33-N30)</f>
        <v>133.56600000000003</v>
      </c>
      <c r="O89" s="55">
        <f>(O9-O33-O30)</f>
        <v>96.492000000000019</v>
      </c>
      <c r="P89" s="217"/>
      <c r="Q89" s="55">
        <f>(Q9-Q33-Q30)</f>
        <v>65.970999999999989</v>
      </c>
      <c r="R89" s="55">
        <f>(R9-R33-R30)</f>
        <v>52.104000000000006</v>
      </c>
      <c r="S89" s="55">
        <f>(S9-S33-S30)</f>
        <v>22.929000000000009</v>
      </c>
      <c r="T89" s="55">
        <f>(T9-T33-T30)</f>
        <v>-4.3099999999999952</v>
      </c>
      <c r="U89" s="217"/>
      <c r="V89" s="55">
        <f>(V9-V33-V30)</f>
        <v>-9.5660000000000025</v>
      </c>
      <c r="W89" s="55">
        <f>(W9-W33-W30)</f>
        <v>-40.136000000000003</v>
      </c>
      <c r="X89" s="55">
        <f>(X9-X33-X30)</f>
        <v>42.006999999999984</v>
      </c>
      <c r="Y89" s="55">
        <f>(Y9-Y33-Y30)</f>
        <v>30.357999999999997</v>
      </c>
      <c r="Z89" s="217"/>
      <c r="AA89" s="55">
        <f>(AA9-AA33-AA30)</f>
        <v>4.5010000000000119</v>
      </c>
      <c r="AB89" s="55">
        <f>(AB9-AB33-AB30)</f>
        <v>114.324</v>
      </c>
      <c r="AC89" s="55">
        <f>(AC9-AC33-AC30)</f>
        <v>114.595</v>
      </c>
      <c r="AD89" s="55">
        <f>(AD9-AD33-AD30)</f>
        <v>317.21199999999999</v>
      </c>
      <c r="AE89" s="217"/>
      <c r="AF89" s="55">
        <f>(AF9-AF33-AF30)</f>
        <v>282.85699999999997</v>
      </c>
      <c r="AG89" s="55">
        <f>(AG9-AG33-AG30)</f>
        <v>323.64499999999998</v>
      </c>
      <c r="AH89" s="55">
        <f>(AH9-AH33-AH30)</f>
        <v>559.54499999999996</v>
      </c>
      <c r="AI89" s="55">
        <f>(AI9-AI33-AI30)</f>
        <v>484.72699999999998</v>
      </c>
      <c r="AJ89" s="217"/>
      <c r="AK89" s="55">
        <f>(AK9-AK33-AK30)</f>
        <v>324.04899999999998</v>
      </c>
      <c r="AL89" s="55">
        <f>(AL9-AL33-AL30)</f>
        <v>250.41700000000006</v>
      </c>
      <c r="AM89" s="55">
        <f>(AM9-AM33-AM30)</f>
        <v>693.56500000000005</v>
      </c>
      <c r="AN89" s="55">
        <f>(AN9-AN33-AN30)</f>
        <v>583.8359999999999</v>
      </c>
      <c r="AO89" s="217"/>
      <c r="AP89" s="55">
        <f>(AP9-AP33-AP30)</f>
        <v>421.19699999999995</v>
      </c>
      <c r="AQ89" s="55">
        <f>(AQ9-AQ33-AQ30)</f>
        <v>307.54499999999996</v>
      </c>
      <c r="AR89" s="55">
        <f>(AR9-AR33-AR30)</f>
        <v>189.67099999999999</v>
      </c>
      <c r="AS89" s="55">
        <f>(AS9-AS33-AS30)</f>
        <v>536.303</v>
      </c>
      <c r="AT89" s="217"/>
      <c r="AU89" s="55">
        <f>(AU9-AU33-AU30)</f>
        <v>449.64099999999996</v>
      </c>
      <c r="AV89" s="55">
        <f>(AV9-AV33-AV30)</f>
        <v>373.22800000000001</v>
      </c>
      <c r="AW89" s="55">
        <f>(AW9-AW33-AW30)</f>
        <v>573.50299999999993</v>
      </c>
      <c r="AX89" s="55">
        <f>(AX9-AX33-AX30)</f>
        <v>515.63000000000011</v>
      </c>
      <c r="AY89" s="217"/>
      <c r="AZ89" s="55">
        <f>(AZ9-AZ33-AZ30)</f>
        <v>519.26400000000001</v>
      </c>
      <c r="BA89" s="55">
        <f>(BA9-BA33-BA30)</f>
        <v>523.10399999999993</v>
      </c>
      <c r="BB89" s="55">
        <f>(BB9-BB33-BB30)</f>
        <v>555.31600000000003</v>
      </c>
      <c r="BC89" s="55">
        <f>(BC9-BC33-BC30)</f>
        <v>887.91399999999999</v>
      </c>
      <c r="BD89" s="217"/>
      <c r="BE89" s="55">
        <f>(BE9-BE33-BE30)</f>
        <v>911.255</v>
      </c>
      <c r="BF89" s="55">
        <f>(BF9-BF33-BF30)</f>
        <v>935.65800000000002</v>
      </c>
      <c r="BG89" s="55">
        <f>(BG9-BG33-BG30)</f>
        <v>962.09700000000009</v>
      </c>
      <c r="BH89" s="55">
        <f>(BH9-BH33-BH30)</f>
        <v>995.81700000000012</v>
      </c>
      <c r="BI89" s="217"/>
      <c r="BJ89" s="356"/>
      <c r="BN89" s="217"/>
      <c r="BS89" s="217"/>
      <c r="BX89" s="217"/>
      <c r="CC89" s="217"/>
      <c r="CH89" s="217"/>
      <c r="CM89" s="217"/>
      <c r="CR89" s="217"/>
      <c r="CW89" s="217"/>
      <c r="DB89" s="217"/>
    </row>
    <row r="90" spans="1:106">
      <c r="B90" s="57"/>
      <c r="C90" s="57"/>
      <c r="D90" s="57"/>
      <c r="E90" s="57"/>
      <c r="F90" s="217"/>
      <c r="G90" s="57"/>
      <c r="H90" s="57"/>
      <c r="I90" s="57"/>
      <c r="J90" s="57"/>
      <c r="K90" s="217"/>
      <c r="L90" s="57"/>
      <c r="M90" s="57"/>
      <c r="N90" s="57"/>
      <c r="O90" s="57"/>
      <c r="P90" s="217"/>
      <c r="Q90" s="57"/>
      <c r="R90" s="57"/>
      <c r="S90" s="57"/>
      <c r="T90" s="57"/>
      <c r="U90" s="217"/>
      <c r="V90" s="57"/>
      <c r="W90" s="57"/>
      <c r="X90" s="57"/>
      <c r="Y90" s="57"/>
      <c r="Z90" s="217"/>
      <c r="AA90" s="57"/>
      <c r="AB90" s="57"/>
      <c r="AC90" s="57"/>
      <c r="AD90" s="57"/>
      <c r="AE90" s="217"/>
      <c r="AF90" s="57"/>
      <c r="AG90" s="57"/>
      <c r="AH90" s="57"/>
      <c r="AI90" s="57"/>
      <c r="AJ90" s="217"/>
      <c r="AK90" s="57"/>
      <c r="AL90" s="57"/>
      <c r="AM90" s="57"/>
      <c r="AN90" s="57"/>
      <c r="AO90" s="217"/>
      <c r="AQ90" s="57"/>
      <c r="AR90" s="57"/>
      <c r="AS90" s="57"/>
      <c r="AT90" s="217"/>
      <c r="AY90" s="217"/>
      <c r="BD90" s="217"/>
      <c r="BI90" s="217"/>
      <c r="BJ90" s="356"/>
      <c r="BN90" s="217"/>
      <c r="BS90" s="217"/>
      <c r="BX90" s="217"/>
      <c r="CC90" s="217"/>
      <c r="CH90" s="217"/>
      <c r="CM90" s="217"/>
      <c r="CR90" s="217"/>
      <c r="CW90" s="217"/>
      <c r="DB90" s="217"/>
    </row>
    <row r="91" spans="1:106">
      <c r="A91" s="12" t="s">
        <v>63</v>
      </c>
      <c r="B91" s="22"/>
      <c r="C91" s="22"/>
      <c r="D91" s="22"/>
      <c r="E91" s="22">
        <f>(E9-E30-E33)/E57</f>
        <v>-2.2319923088300548</v>
      </c>
      <c r="F91" s="217"/>
      <c r="G91" s="22">
        <f>(G9-G30-G33)/G57</f>
        <v>0</v>
      </c>
      <c r="H91" s="22">
        <f>(H9-H30-H33)/H57</f>
        <v>6.2753913360029134</v>
      </c>
      <c r="I91" s="22">
        <f>(I9-I30-I33)/I57</f>
        <v>4.3957814168743319</v>
      </c>
      <c r="J91" s="22">
        <f>(J9-J30-J33)/J57</f>
        <v>3.8388029904866676</v>
      </c>
      <c r="K91" s="217"/>
      <c r="L91" s="22">
        <f>(L9-L30-L33)/L57</f>
        <v>3.7347489046174589</v>
      </c>
      <c r="M91" s="22">
        <f>(M9-M30-M33)/M57</f>
        <v>3.2243561084653511</v>
      </c>
      <c r="N91" s="22">
        <f>(N9-N30-N33)/N57</f>
        <v>2.5679843113127747</v>
      </c>
      <c r="O91" s="22">
        <f>(O9-O30-O33)/O57</f>
        <v>1.8411692871317364</v>
      </c>
      <c r="P91" s="217"/>
      <c r="Q91" s="22">
        <f>(Q9-Q30-Q33)/Q57</f>
        <v>1.2437267877005447</v>
      </c>
      <c r="R91" s="22">
        <f>(R9-R30-R33)/R57</f>
        <v>0.98146473779385179</v>
      </c>
      <c r="S91" s="22">
        <f>(S9-S30-S33)/S57</f>
        <v>0.42900443429939944</v>
      </c>
      <c r="T91" s="22">
        <f>(T9-T30-T33)/T57</f>
        <v>-7.8595134760567537E-2</v>
      </c>
      <c r="U91" s="217"/>
      <c r="V91" s="22">
        <f>(V9-V30-V33)/V57</f>
        <v>-0.17671617527525313</v>
      </c>
      <c r="W91" s="22">
        <f>(W9-W30-W33)/W57</f>
        <v>-0.73575186522703528</v>
      </c>
      <c r="X91" s="22">
        <f>(X9-X30-X33)/X57</f>
        <v>0.69352814924880291</v>
      </c>
      <c r="Y91" s="22">
        <f>(Y9-Y30-Y33)/Y57</f>
        <v>0.48854986401454803</v>
      </c>
      <c r="Z91" s="217"/>
      <c r="AA91" s="22">
        <f>(AA9-AA30-AA33)/AA57</f>
        <v>7.1636612500199245E-2</v>
      </c>
      <c r="AB91" s="22">
        <f>(AB9-AB30-AB33)/AB57</f>
        <v>1.6757152908067539</v>
      </c>
      <c r="AC91" s="22">
        <f>(AC9-AC30-AC33)/AC57</f>
        <v>1.6264760985579652</v>
      </c>
      <c r="AD91" s="22">
        <f>(AD9-AD30-AD33)/AD57</f>
        <v>4.1352644409391335</v>
      </c>
      <c r="AE91" s="217"/>
      <c r="AF91" s="22">
        <f>(AF9-AF30-AF33)/AF57</f>
        <v>3.6130775224494482</v>
      </c>
      <c r="AG91" s="22">
        <f>(AG9-AG30-AG33)/AG57</f>
        <v>4.0931970810304916</v>
      </c>
      <c r="AH91" s="22">
        <f>(AH9-AH30-AH33)/AH57</f>
        <v>6.915817966084937</v>
      </c>
      <c r="AI91" s="22">
        <f>(AI9-AI30-AI33)/AI57</f>
        <v>5.6508160410352088</v>
      </c>
      <c r="AJ91" s="217"/>
      <c r="AK91" s="22">
        <f>(AK9-AK30-AK33)/AK57</f>
        <v>3.738063652827925</v>
      </c>
      <c r="AL91" s="22">
        <f>(AL9-AL30-AL33)/AL57</f>
        <v>2.8431599623057107</v>
      </c>
      <c r="AM91" s="22">
        <f>(AM9-AM30-AM33)/AM57</f>
        <v>7.4933014974394432</v>
      </c>
      <c r="AN91" s="22">
        <f>(AN9-AN30-AN33)/AN57</f>
        <v>6.1515994436717643</v>
      </c>
      <c r="AO91" s="217"/>
      <c r="AP91" s="22">
        <f>(AP9-AP30-AP33)/AP57</f>
        <v>4.4068404863043797</v>
      </c>
      <c r="AQ91" s="22">
        <f>(AQ9-AQ30-AQ33)/AQ57</f>
        <v>3.1843879104153077</v>
      </c>
      <c r="AR91" s="22">
        <f>(AR9-AR30-AR33)/AR57</f>
        <v>1.954323455467172</v>
      </c>
      <c r="AS91" s="22">
        <f>(AS9-AS30-AS33)/AS57</f>
        <v>5.1358704499966485</v>
      </c>
      <c r="AT91" s="217"/>
      <c r="AU91" s="22">
        <f>(AU9-AU30-AU33)/AU57</f>
        <v>4.0230211064088675</v>
      </c>
      <c r="AV91" s="22">
        <f>(AV9-AV30-AV33)/AV57</f>
        <v>3.2828568915471901</v>
      </c>
      <c r="AW91" s="22">
        <f>(AW9-AW30-AW33)/AW57</f>
        <v>4.9795781924269127</v>
      </c>
      <c r="AX91" s="22">
        <f>(AX9-AX30-AX33)/AX57</f>
        <v>4.3199564343163539</v>
      </c>
      <c r="AY91" s="217"/>
      <c r="AZ91" s="22">
        <f>(AZ9-AZ30-AZ33)/AZ57</f>
        <v>4.2980449285678812</v>
      </c>
      <c r="BA91" s="22">
        <f>(BA9-BA30-BA33)/BA57</f>
        <v>4.2579668384166451</v>
      </c>
      <c r="BB91" s="22">
        <f>(BB9-BB30-BB33)/BB57</f>
        <v>4.4864956574429407</v>
      </c>
      <c r="BC91" s="22">
        <f>(BC9-BC30-BC33)/BC57</f>
        <v>6.7557939587613172</v>
      </c>
      <c r="BD91" s="217"/>
      <c r="BE91" s="22">
        <f>(BE9-BE30-BE33)/BE57</f>
        <v>6.7625602968460115</v>
      </c>
      <c r="BF91" s="22">
        <f>(BF9-BF30-BF33)/BF57</f>
        <v>6.860266299087896</v>
      </c>
      <c r="BG91" s="22">
        <f>(BG9-BG30-BG33)/BG57</f>
        <v>7.013033304904984</v>
      </c>
      <c r="BH91" s="22">
        <f>(BH9-BH30-BH33)/BH57</f>
        <v>7.1869528504102966</v>
      </c>
      <c r="BI91" s="217"/>
      <c r="BJ91" s="356"/>
      <c r="BN91" s="217"/>
      <c r="BS91" s="217"/>
      <c r="BX91" s="217"/>
      <c r="CC91" s="217"/>
      <c r="CH91" s="217"/>
      <c r="CM91" s="217"/>
      <c r="CR91" s="217"/>
      <c r="CW91" s="217"/>
      <c r="DB91" s="217"/>
    </row>
    <row r="92" spans="1:106">
      <c r="B92" s="22"/>
      <c r="C92" s="22"/>
      <c r="D92" s="22"/>
      <c r="E92" s="22"/>
      <c r="F92" s="217"/>
      <c r="G92" s="22"/>
      <c r="H92" s="22"/>
      <c r="I92" s="22"/>
      <c r="J92" s="22"/>
      <c r="K92" s="217"/>
      <c r="L92" s="22"/>
      <c r="M92" s="22"/>
      <c r="N92" s="22"/>
      <c r="O92" s="22"/>
      <c r="P92" s="217"/>
      <c r="Q92" s="22"/>
      <c r="R92" s="22"/>
      <c r="S92" s="22"/>
      <c r="T92" s="22"/>
      <c r="U92" s="217"/>
      <c r="V92" s="22"/>
      <c r="W92" s="22"/>
      <c r="X92" s="22"/>
      <c r="Y92" s="22"/>
      <c r="Z92" s="217"/>
      <c r="AA92" s="22"/>
      <c r="AB92" s="22"/>
      <c r="AC92" s="22"/>
      <c r="AD92" s="22"/>
      <c r="AE92" s="217"/>
      <c r="AF92" s="22"/>
      <c r="AG92" s="22"/>
      <c r="AH92" s="22"/>
      <c r="AI92" s="22"/>
      <c r="AJ92" s="217"/>
      <c r="AK92" s="22"/>
      <c r="AL92" s="22"/>
      <c r="AM92" s="22"/>
      <c r="AN92" s="22"/>
      <c r="AO92" s="217"/>
      <c r="AP92" s="22"/>
      <c r="AQ92" s="22"/>
      <c r="AR92" s="22"/>
      <c r="AS92" s="22"/>
      <c r="AT92" s="217"/>
      <c r="AU92" s="22"/>
      <c r="AV92" s="22"/>
      <c r="AW92" s="22"/>
      <c r="AX92" s="22"/>
      <c r="AY92" s="217"/>
      <c r="AZ92" s="22"/>
      <c r="BA92" s="22"/>
      <c r="BB92" s="22"/>
      <c r="BC92" s="22"/>
      <c r="BD92" s="217"/>
      <c r="BE92" s="22"/>
      <c r="BF92" s="22"/>
      <c r="BG92" s="22"/>
      <c r="BH92" s="22"/>
      <c r="BI92" s="217"/>
      <c r="BJ92" s="356"/>
      <c r="BN92" s="217"/>
      <c r="BS92" s="217"/>
      <c r="BX92" s="217"/>
      <c r="CC92" s="217"/>
      <c r="CH92" s="217"/>
      <c r="CM92" s="217"/>
      <c r="CR92" s="217"/>
      <c r="CW92" s="217"/>
      <c r="DB92" s="217"/>
    </row>
    <row r="93" spans="1:106">
      <c r="A93" s="12" t="s">
        <v>64</v>
      </c>
      <c r="B93" s="62"/>
      <c r="C93" s="62"/>
      <c r="D93" s="62"/>
      <c r="E93" s="62">
        <f>(E33+E30)/(E30+E33+E45)</f>
        <v>-0.18578386879975609</v>
      </c>
      <c r="F93" s="217"/>
      <c r="G93" s="62" t="e">
        <f>(G33+G30)/(G30+G33+G45)</f>
        <v>#DIV/0!</v>
      </c>
      <c r="H93" s="62">
        <f>(H33+H30)/(H30+H33+H45)</f>
        <v>-0.16332172603642178</v>
      </c>
      <c r="I93" s="62">
        <f>(I33+I30)/(I30+I33+I45)</f>
        <v>0.10826120823957072</v>
      </c>
      <c r="J93" s="62">
        <f>(J33+J30)/(J30+J33+J45)</f>
        <v>0.18553701703731459</v>
      </c>
      <c r="K93" s="217"/>
      <c r="L93" s="62">
        <f>(L33+L30)/(L30+L33+L45)</f>
        <v>0.18858355674709565</v>
      </c>
      <c r="M93" s="62">
        <f>(M33+M30)/(M30+M33+M45)</f>
        <v>0.23142787437482987</v>
      </c>
      <c r="N93" s="62">
        <f>(N33+N30)/(N30+N33+N45)</f>
        <v>0.26067644253821382</v>
      </c>
      <c r="O93" s="62">
        <f>(O33+O30)/(O30+O33+O45)</f>
        <v>0.31789878283151835</v>
      </c>
      <c r="P93" s="217"/>
      <c r="Q93" s="62">
        <f>(Q33+Q30)/(Q30+Q33+Q45)</f>
        <v>0.403364134792151</v>
      </c>
      <c r="R93" s="62">
        <f>(R33+R30)/(R30+R33+R45)</f>
        <v>0.49561081937976809</v>
      </c>
      <c r="S93" s="62">
        <f>(S33+S30)/(S30+S33+S45)</f>
        <v>0.80333978355909152</v>
      </c>
      <c r="T93" s="62">
        <f>(T33+T30)/(T30+T33+T45)</f>
        <v>1.0919269194287584</v>
      </c>
      <c r="U93" s="217"/>
      <c r="V93" s="62">
        <f>(V33+V30)/(V30+V33+V45)</f>
        <v>1.0324658463651821</v>
      </c>
      <c r="W93" s="62">
        <f>(W33+W30)/(W30+W33+W45)</f>
        <v>1.2175290703413422</v>
      </c>
      <c r="X93" s="62">
        <f>(X33+X30)/(X30+X33+X45)</f>
        <v>0.68569920551141739</v>
      </c>
      <c r="Y93" s="62">
        <f>(Y33+Y30)/(Y30+Y33+Y45)</f>
        <v>0.79339894136389344</v>
      </c>
      <c r="Z93" s="217"/>
      <c r="AA93" s="62">
        <f>(AA33+AA30)/(AA30+AA33+AA45)</f>
        <v>0.96121987073290227</v>
      </c>
      <c r="AB93" s="62">
        <f>(AB33+AB30)/(AB30+AB33+AB45)</f>
        <v>0.57051835105769466</v>
      </c>
      <c r="AC93" s="62">
        <f>(AC33+AC30)/(AC30+AC33+AC45)</f>
        <v>0.59361444858162848</v>
      </c>
      <c r="AD93" s="62">
        <f>(AD33+AD30)/(AD30+AD33+AD45)</f>
        <v>0.30753310641258169</v>
      </c>
      <c r="AE93" s="217"/>
      <c r="AF93" s="62">
        <f>(AF33+AF30)/(AF30+AF33+AF45)</f>
        <v>0.32199426543945331</v>
      </c>
      <c r="AG93" s="62">
        <f>(AG33+AG30)/(AG30+AG33+AG45)</f>
        <v>0.44858788392811849</v>
      </c>
      <c r="AH93" s="62">
        <f>(AH33+AH30)/(AH30+AH33+AH45)</f>
        <v>0.31807570123064433</v>
      </c>
      <c r="AI93" s="62">
        <f>(AI33+AI30)/(AI30+AI33+AI45)</f>
        <v>0.34184192110538542</v>
      </c>
      <c r="AJ93" s="217"/>
      <c r="AK93" s="62">
        <f>(AK33+AK30)/(AK30+AK33+AK45)</f>
        <v>0.46942738130513073</v>
      </c>
      <c r="AL93" s="62">
        <f>(AL33+AL30)/(AL30+AL33+AL45)</f>
        <v>0.52441901878728514</v>
      </c>
      <c r="AM93" s="62">
        <f>(AM33+AM30)/(AM30+AM33+AM45)</f>
        <v>0.99698007453176052</v>
      </c>
      <c r="AN93" s="62">
        <f>(AN33+AN30)/(AN30+AN33+AN45)</f>
        <v>0.33590444726810681</v>
      </c>
      <c r="AO93" s="217"/>
      <c r="AP93" s="62">
        <f>(AP33+AP30)/(AP30+AP33+AP45)</f>
        <v>0.37883692056772694</v>
      </c>
      <c r="AQ93" s="62">
        <f>(AQ33+AQ30)/(AQ30+AQ33+AQ45)</f>
        <v>0.42685461164798222</v>
      </c>
      <c r="AR93" s="62">
        <f>(AR33+AR30)/(AR30+AR33+AR45)</f>
        <v>0.47825867402294586</v>
      </c>
      <c r="AS93" s="62">
        <f>(AS33+AS30)/(AS30+AS33+AS45)</f>
        <v>0.33903443418712487</v>
      </c>
      <c r="AT93" s="217"/>
      <c r="AU93" s="62">
        <f>(AU33+AU30)/(AU30+AU33+AU45)</f>
        <v>0.35774040815681823</v>
      </c>
      <c r="AV93" s="62">
        <f>(AV33+AV30)/(AV30+AV33+AV45)</f>
        <v>0.37827524351834474</v>
      </c>
      <c r="AW93" s="62">
        <f>(AW33+AW30)/(AW30+AW33+AW45)</f>
        <v>0.31632848658897017</v>
      </c>
      <c r="AX93" s="62">
        <f>(AX33+AX30)/(AX30+AX33+AX45)</f>
        <v>0.32192377958560225</v>
      </c>
      <c r="AY93" s="217"/>
      <c r="AZ93" s="62">
        <f>(AZ33+AZ30)/(AZ30+AZ33+AZ45)</f>
        <v>0.31411186014674575</v>
      </c>
      <c r="BA93" s="62">
        <f>(BA33+BA30)/(BA30+BA33+BA45)</f>
        <v>0.30319788290505811</v>
      </c>
      <c r="BB93" s="62">
        <f>(BB33+BB30)/(BB30+BB33+BB45)</f>
        <v>0.29466505772984147</v>
      </c>
      <c r="BC93" s="62">
        <f>(BC33+BC30)/(BC30+BC33+BC45)</f>
        <v>6.299038550473357E-2</v>
      </c>
      <c r="BD93" s="217"/>
      <c r="BE93" s="62">
        <f>(BE33+BE30)/(BE30+BE33+BE45)</f>
        <v>6.0866502022696618E-2</v>
      </c>
      <c r="BF93" s="62">
        <f>(BF33+BF30)/(BF30+BF33+BF45)</f>
        <v>6.0562976811506804E-2</v>
      </c>
      <c r="BG93" s="62">
        <f>(BG33+BG30)/(BG30+BG33+BG45)</f>
        <v>6.0292121222127251E-2</v>
      </c>
      <c r="BH93" s="62">
        <f>(BH33+BH30)/(BH30+BH33+BH45)</f>
        <v>4.48047007479071E-2</v>
      </c>
      <c r="BI93" s="217"/>
      <c r="BJ93" s="356"/>
      <c r="BN93" s="217"/>
      <c r="BS93" s="217"/>
      <c r="BX93" s="217"/>
      <c r="CC93" s="217"/>
      <c r="CH93" s="217"/>
      <c r="CM93" s="217"/>
      <c r="CR93" s="217"/>
      <c r="CW93" s="217"/>
      <c r="DB93" s="217"/>
    </row>
    <row r="94" spans="1:106">
      <c r="A94" s="12" t="s">
        <v>150</v>
      </c>
      <c r="F94" s="217"/>
      <c r="K94" s="217"/>
      <c r="P94" s="217"/>
      <c r="U94" s="217"/>
      <c r="Z94" s="217"/>
      <c r="AE94" s="217"/>
      <c r="AJ94" s="217"/>
      <c r="AO94" s="217"/>
      <c r="AT94" s="217"/>
      <c r="AY94" s="217"/>
      <c r="BD94" s="217"/>
      <c r="BI94" s="217"/>
      <c r="BJ94" s="356"/>
      <c r="BN94" s="217"/>
      <c r="BS94" s="217"/>
      <c r="BX94" s="217"/>
      <c r="CC94" s="217"/>
      <c r="CH94" s="217"/>
      <c r="CM94" s="217"/>
      <c r="CR94" s="217"/>
      <c r="CW94" s="217"/>
      <c r="DB94" s="217"/>
    </row>
    <row r="95" spans="1:106">
      <c r="F95" s="217"/>
      <c r="K95" s="217"/>
      <c r="P95" s="217"/>
      <c r="U95" s="217"/>
      <c r="Z95" s="217"/>
      <c r="AE95" s="217"/>
      <c r="AJ95" s="217"/>
      <c r="AO95" s="217"/>
      <c r="AT95" s="217"/>
      <c r="AY95" s="217"/>
      <c r="BD95" s="217"/>
      <c r="BI95" s="217"/>
      <c r="BJ95" s="356"/>
      <c r="BN95" s="217"/>
      <c r="BS95" s="217"/>
      <c r="BX95" s="217"/>
      <c r="CC95" s="217"/>
      <c r="CH95" s="217"/>
      <c r="CM95" s="217"/>
      <c r="CR95" s="217"/>
      <c r="CW95" s="217"/>
      <c r="DB95" s="217"/>
    </row>
    <row r="96" spans="1:106">
      <c r="F96" s="220"/>
      <c r="K96" s="220"/>
      <c r="P96" s="220"/>
      <c r="U96" s="220"/>
      <c r="Z96" s="220"/>
      <c r="AE96" s="220"/>
      <c r="AJ96" s="220"/>
      <c r="AO96" s="220"/>
      <c r="AT96" s="220"/>
      <c r="AY96" s="220"/>
      <c r="BD96" s="220"/>
      <c r="BI96" s="220"/>
      <c r="BJ96" s="356"/>
      <c r="BN96" s="220"/>
      <c r="BS96" s="220"/>
      <c r="BX96" s="220"/>
      <c r="CC96" s="220"/>
      <c r="CH96" s="220"/>
      <c r="CM96" s="220"/>
      <c r="CR96" s="220"/>
      <c r="CW96" s="220"/>
      <c r="DB96" s="220"/>
    </row>
  </sheetData>
  <printOptions horizontalCentered="1" verticalCentered="1"/>
  <pageMargins left="0.5" right="0.5" top="0.5" bottom="0.5" header="0.5" footer="0.5"/>
  <pageSetup scale="59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B116"/>
  <sheetViews>
    <sheetView zoomScaleNormal="100" workbookViewId="0">
      <pane xSplit="1" ySplit="7" topLeftCell="AT30" activePane="bottomRight" state="frozen"/>
      <selection pane="topRight" activeCell="B1" sqref="B1"/>
      <selection pane="bottomLeft" activeCell="A8" sqref="A8"/>
      <selection pane="bottomRight" activeCell="BS61" sqref="BS61"/>
    </sheetView>
  </sheetViews>
  <sheetFormatPr defaultColWidth="8" defaultRowHeight="12.75" outlineLevelRow="1" outlineLevelCol="1"/>
  <cols>
    <col min="1" max="1" width="29.07421875" style="12" customWidth="1"/>
    <col min="2" max="2" width="8" style="12" hidden="1" customWidth="1" outlineLevel="1" collapsed="1"/>
    <col min="3" max="5" width="8" style="12" hidden="1" customWidth="1" outlineLevel="1"/>
    <col min="6" max="6" width="8" style="12" customWidth="1" collapsed="1"/>
    <col min="7" max="7" width="8" style="12" hidden="1" customWidth="1" outlineLevel="1" collapsed="1"/>
    <col min="8" max="10" width="8" style="12" hidden="1" customWidth="1" outlineLevel="1"/>
    <col min="11" max="11" width="8.3828125" style="12" customWidth="1" collapsed="1"/>
    <col min="12" max="12" width="8" style="12" hidden="1" customWidth="1" outlineLevel="1" collapsed="1"/>
    <col min="13" max="15" width="8" style="12" hidden="1" customWidth="1" outlineLevel="1"/>
    <col min="16" max="16" width="8" style="12" customWidth="1" collapsed="1"/>
    <col min="17" max="17" width="8" style="12" hidden="1" customWidth="1" outlineLevel="1" collapsed="1"/>
    <col min="18" max="20" width="8" style="12" hidden="1" customWidth="1" outlineLevel="1"/>
    <col min="21" max="21" width="8" style="12" customWidth="1" collapsed="1"/>
    <col min="22" max="25" width="8" style="12" hidden="1" customWidth="1" outlineLevel="1"/>
    <col min="26" max="26" width="8" style="12" customWidth="1" collapsed="1"/>
    <col min="27" max="27" width="8" style="12" hidden="1" customWidth="1" outlineLevel="1" collapsed="1"/>
    <col min="28" max="30" width="8" style="12" hidden="1" customWidth="1" outlineLevel="1"/>
    <col min="31" max="31" width="8" style="12" customWidth="1" collapsed="1"/>
    <col min="32" max="32" width="8" style="12" hidden="1" customWidth="1" outlineLevel="1" collapsed="1"/>
    <col min="33" max="35" width="8" style="12" hidden="1" customWidth="1" outlineLevel="1"/>
    <col min="36" max="36" width="8" style="12" customWidth="1" collapsed="1"/>
    <col min="37" max="37" width="8" style="12" hidden="1" customWidth="1" outlineLevel="1" collapsed="1"/>
    <col min="38" max="38" width="8" style="12" hidden="1" customWidth="1" outlineLevel="1"/>
    <col min="39" max="39" width="8.3046875" style="12" hidden="1" customWidth="1" outlineLevel="1"/>
    <col min="40" max="40" width="8" style="12" hidden="1" customWidth="1" outlineLevel="1"/>
    <col min="41" max="41" width="8" style="12" customWidth="1" collapsed="1"/>
    <col min="42" max="45" width="8" style="12" hidden="1" customWidth="1" outlineLevel="1"/>
    <col min="46" max="46" width="8" style="12" customWidth="1" collapsed="1"/>
    <col min="47" max="50" width="8" style="12" hidden="1" customWidth="1" outlineLevel="1"/>
    <col min="51" max="51" width="8" style="12" collapsed="1"/>
    <col min="52" max="55" width="8" style="12" customWidth="1" outlineLevel="1"/>
    <col min="56" max="56" width="8" style="12"/>
    <col min="57" max="60" width="8" style="12" customWidth="1" outlineLevel="1"/>
    <col min="61" max="61" width="8" style="12"/>
    <col min="62" max="65" width="8" style="12" outlineLevel="1"/>
    <col min="66" max="66" width="8" style="12"/>
    <col min="67" max="70" width="8" style="12" hidden="1" customWidth="1" outlineLevel="1"/>
    <col min="71" max="71" width="8" style="12" collapsed="1"/>
    <col min="72" max="75" width="8" style="12" hidden="1" customWidth="1" outlineLevel="1"/>
    <col min="76" max="76" width="8" style="12" collapsed="1"/>
    <col min="77" max="80" width="8" style="12" hidden="1" customWidth="1" outlineLevel="1"/>
    <col min="81" max="81" width="8" style="12" collapsed="1"/>
    <col min="82" max="85" width="8" style="12" hidden="1" customWidth="1" outlineLevel="1"/>
    <col min="86" max="86" width="8" style="12" collapsed="1"/>
    <col min="87" max="90" width="8" style="12" hidden="1" customWidth="1" outlineLevel="1"/>
    <col min="91" max="91" width="8" style="12" collapsed="1"/>
    <col min="92" max="95" width="8" style="12" hidden="1" customWidth="1" outlineLevel="1"/>
    <col min="96" max="96" width="8" style="12" customWidth="1" collapsed="1"/>
    <col min="97" max="100" width="8" style="12" hidden="1" customWidth="1" outlineLevel="1"/>
    <col min="101" max="101" width="8" style="12" collapsed="1"/>
    <col min="102" max="105" width="8" style="12" hidden="1" customWidth="1" outlineLevel="1"/>
    <col min="106" max="106" width="8" style="12" collapsed="1"/>
    <col min="107" max="16384" width="8" style="12"/>
  </cols>
  <sheetData>
    <row r="1" spans="1:106" s="1" customFormat="1" ht="12.75" customHeight="1">
      <c r="A1" s="137" t="str">
        <f>+IS!A1</f>
        <v>Natera Inc. (NASDAQ: NTRA)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106" s="1" customFormat="1">
      <c r="A2" s="138" t="s">
        <v>468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106" s="1" customFormat="1">
      <c r="A3" s="138" t="str">
        <f>+IS!A3</f>
        <v>$ millions except per share data, FY ending Dec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106" s="1" customFormat="1"/>
    <row r="5" spans="1:106" s="1" customFormat="1">
      <c r="B5" s="139" t="str">
        <f>+IS!B5</f>
        <v>Mar</v>
      </c>
      <c r="C5" s="139" t="str">
        <f>+IS!C5</f>
        <v>Jun</v>
      </c>
      <c r="D5" s="139" t="str">
        <f>+IS!D5</f>
        <v>Sep</v>
      </c>
      <c r="E5" s="139" t="str">
        <f>+IS!E5</f>
        <v>Dec</v>
      </c>
      <c r="F5" s="140">
        <f>+IS!F5</f>
        <v>41974</v>
      </c>
      <c r="G5" s="139" t="str">
        <f>+IS!G5</f>
        <v>Mar</v>
      </c>
      <c r="H5" s="139" t="str">
        <f>+IS!H5</f>
        <v>Jun</v>
      </c>
      <c r="I5" s="139" t="str">
        <f>+IS!I5</f>
        <v>Sep</v>
      </c>
      <c r="J5" s="139" t="str">
        <f>+IS!J5</f>
        <v>Dec</v>
      </c>
      <c r="K5" s="140">
        <f>+IS!K5</f>
        <v>42339</v>
      </c>
      <c r="L5" s="139" t="str">
        <f>+IS!L5</f>
        <v>Mar</v>
      </c>
      <c r="M5" s="139" t="str">
        <f>+IS!M5</f>
        <v>Jun</v>
      </c>
      <c r="N5" s="139" t="str">
        <f>+IS!N5</f>
        <v>Sep</v>
      </c>
      <c r="O5" s="139" t="str">
        <f>+IS!O5</f>
        <v>Dec</v>
      </c>
      <c r="P5" s="140">
        <f>+IS!P5</f>
        <v>42705</v>
      </c>
      <c r="Q5" s="139" t="str">
        <f>+IS!Q5</f>
        <v>Mar</v>
      </c>
      <c r="R5" s="139" t="str">
        <f>+IS!R5</f>
        <v>Jun</v>
      </c>
      <c r="S5" s="139" t="str">
        <f>+IS!S5</f>
        <v>Sep</v>
      </c>
      <c r="T5" s="139" t="str">
        <f>+IS!T5</f>
        <v>Dec</v>
      </c>
      <c r="U5" s="140">
        <f>+IS!U5</f>
        <v>43070</v>
      </c>
      <c r="V5" s="139" t="str">
        <f>+IS!V5</f>
        <v>Mar</v>
      </c>
      <c r="W5" s="139" t="str">
        <f>+IS!W5</f>
        <v>Jun</v>
      </c>
      <c r="X5" s="139" t="str">
        <f>+IS!X5</f>
        <v>Sep</v>
      </c>
      <c r="Y5" s="139" t="str">
        <f>+IS!Y5</f>
        <v>Dec</v>
      </c>
      <c r="Z5" s="140">
        <f>+IS!Z5</f>
        <v>43435</v>
      </c>
      <c r="AA5" s="139" t="str">
        <f>+IS!AA5</f>
        <v>Mar</v>
      </c>
      <c r="AB5" s="139" t="str">
        <f>+IS!AB5</f>
        <v>Jun</v>
      </c>
      <c r="AC5" s="139" t="str">
        <f>+IS!AC5</f>
        <v>Sep</v>
      </c>
      <c r="AD5" s="139" t="str">
        <f>+IS!AD5</f>
        <v>Dec</v>
      </c>
      <c r="AE5" s="140">
        <f>+IS!AE5</f>
        <v>43800</v>
      </c>
      <c r="AF5" s="139" t="str">
        <f>+IS!AF5</f>
        <v>Mar</v>
      </c>
      <c r="AG5" s="139" t="str">
        <f>+IS!AG5</f>
        <v>Jun</v>
      </c>
      <c r="AH5" s="139" t="str">
        <f>+IS!AH5</f>
        <v>Sep</v>
      </c>
      <c r="AI5" s="139" t="str">
        <f>+IS!AI5</f>
        <v>Dec</v>
      </c>
      <c r="AJ5" s="140">
        <f>+IS!AJ5</f>
        <v>44166</v>
      </c>
      <c r="AK5" s="139" t="str">
        <f>+IS!AK5</f>
        <v>Mar</v>
      </c>
      <c r="AL5" s="139" t="str">
        <f>+IS!AL5</f>
        <v>Jun</v>
      </c>
      <c r="AM5" s="139" t="str">
        <f>+IS!AM5</f>
        <v>Sep</v>
      </c>
      <c r="AN5" s="139" t="str">
        <f>+IS!AN5</f>
        <v>Dec</v>
      </c>
      <c r="AO5" s="140">
        <f>+IS!AO5</f>
        <v>44531</v>
      </c>
      <c r="AP5" s="139" t="str">
        <f>+IS!AP5</f>
        <v>Mar</v>
      </c>
      <c r="AQ5" s="139" t="str">
        <f>+IS!AQ5</f>
        <v>Jun</v>
      </c>
      <c r="AR5" s="139" t="str">
        <f>+IS!AR5</f>
        <v>Sep</v>
      </c>
      <c r="AS5" s="139" t="str">
        <f>+IS!AS5</f>
        <v>Dec</v>
      </c>
      <c r="AT5" s="140">
        <f>+IS!AT5</f>
        <v>44896</v>
      </c>
      <c r="AU5" s="139" t="str">
        <f>+IS!AU5</f>
        <v>Mar</v>
      </c>
      <c r="AV5" s="139" t="str">
        <f>+IS!AV5</f>
        <v>Jun</v>
      </c>
      <c r="AW5" s="139" t="str">
        <f>+IS!AW5</f>
        <v>Sep</v>
      </c>
      <c r="AX5" s="139" t="str">
        <f>+IS!AX5</f>
        <v>Dec</v>
      </c>
      <c r="AY5" s="140">
        <f>+IS!AY5</f>
        <v>45261</v>
      </c>
      <c r="AZ5" s="139" t="str">
        <f>+IS!AZ5</f>
        <v>Mar</v>
      </c>
      <c r="BA5" s="139" t="str">
        <f>+IS!BA5</f>
        <v>Jun</v>
      </c>
      <c r="BB5" s="139" t="str">
        <f>+IS!BB5</f>
        <v>Sep</v>
      </c>
      <c r="BC5" s="139" t="str">
        <f>+IS!BC5</f>
        <v>Dec</v>
      </c>
      <c r="BD5" s="140">
        <f>+IS!BD5</f>
        <v>45627</v>
      </c>
      <c r="BE5" s="139" t="str">
        <f>+IS!BE5</f>
        <v>Mar</v>
      </c>
      <c r="BF5" s="139" t="str">
        <f>+IS!BF5</f>
        <v>Jun</v>
      </c>
      <c r="BG5" s="139" t="str">
        <f>+IS!BG5</f>
        <v>Sep</v>
      </c>
      <c r="BH5" s="139" t="str">
        <f>+IS!BH5</f>
        <v>Dec</v>
      </c>
      <c r="BI5" s="140">
        <f>+IS!BI5</f>
        <v>45992</v>
      </c>
      <c r="BJ5" s="139" t="str">
        <f>+IS!BJ5</f>
        <v>Mar</v>
      </c>
      <c r="BK5" s="139" t="str">
        <f>+IS!BK5</f>
        <v>Jun</v>
      </c>
      <c r="BL5" s="139" t="str">
        <f>+IS!BL5</f>
        <v>Sep</v>
      </c>
      <c r="BM5" s="139" t="str">
        <f>+IS!BM5</f>
        <v>Dec</v>
      </c>
      <c r="BN5" s="140">
        <f>+IS!BN5</f>
        <v>46357</v>
      </c>
      <c r="BO5" s="139" t="str">
        <f>+IS!BO5</f>
        <v>Mar</v>
      </c>
      <c r="BP5" s="139" t="str">
        <f>+IS!BP5</f>
        <v>Jun</v>
      </c>
      <c r="BQ5" s="139" t="str">
        <f>+IS!BQ5</f>
        <v>Sep</v>
      </c>
      <c r="BR5" s="139" t="str">
        <f>+IS!BR5</f>
        <v>Dec</v>
      </c>
      <c r="BS5" s="140">
        <f>+IS!BS5</f>
        <v>46722</v>
      </c>
      <c r="BT5" s="139" t="str">
        <f>+IS!BT5</f>
        <v>Mar</v>
      </c>
      <c r="BU5" s="139" t="str">
        <f>+IS!BU5</f>
        <v>Jun</v>
      </c>
      <c r="BV5" s="139" t="str">
        <f>+IS!BV5</f>
        <v>Sep</v>
      </c>
      <c r="BW5" s="139" t="str">
        <f>+IS!BW5</f>
        <v>Dec</v>
      </c>
      <c r="BX5" s="140">
        <f>+IS!BX5</f>
        <v>47088</v>
      </c>
      <c r="BY5" s="139" t="str">
        <f>+IS!BY5</f>
        <v>Mar</v>
      </c>
      <c r="BZ5" s="139" t="str">
        <f>+IS!BZ5</f>
        <v>Jun</v>
      </c>
      <c r="CA5" s="139" t="str">
        <f>+IS!CA5</f>
        <v>Sep</v>
      </c>
      <c r="CB5" s="139" t="str">
        <f>+IS!CB5</f>
        <v>Dec</v>
      </c>
      <c r="CC5" s="140">
        <f>+IS!CC5</f>
        <v>47453</v>
      </c>
      <c r="CD5" s="139" t="str">
        <f>+IS!CD5</f>
        <v>Mar</v>
      </c>
      <c r="CE5" s="139" t="str">
        <f>+IS!CE5</f>
        <v>Jun</v>
      </c>
      <c r="CF5" s="139" t="str">
        <f>+IS!CF5</f>
        <v>Sep</v>
      </c>
      <c r="CG5" s="139" t="str">
        <f>+IS!CG5</f>
        <v>Dec</v>
      </c>
      <c r="CH5" s="140">
        <f>+IS!CH5</f>
        <v>47818</v>
      </c>
      <c r="CI5" s="139" t="str">
        <f>+IS!CI5</f>
        <v>Mar</v>
      </c>
      <c r="CJ5" s="139" t="str">
        <f>+IS!CJ5</f>
        <v>Jun</v>
      </c>
      <c r="CK5" s="139" t="str">
        <f>+IS!CK5</f>
        <v>Sep</v>
      </c>
      <c r="CL5" s="139" t="str">
        <f>+IS!CL5</f>
        <v>Dec</v>
      </c>
      <c r="CM5" s="140">
        <f>+IS!CM5</f>
        <v>48183</v>
      </c>
      <c r="CN5" s="139" t="str">
        <f>+IS!CN5</f>
        <v>Mar</v>
      </c>
      <c r="CO5" s="139" t="str">
        <f>+IS!CO5</f>
        <v>Jun</v>
      </c>
      <c r="CP5" s="139" t="str">
        <f>+IS!CP5</f>
        <v>Sep</v>
      </c>
      <c r="CQ5" s="139" t="str">
        <f>+IS!CQ5</f>
        <v>Dec</v>
      </c>
      <c r="CR5" s="140">
        <f>+IS!CR5</f>
        <v>48549</v>
      </c>
      <c r="CS5" s="139" t="str">
        <f>+IS!CS5</f>
        <v>Mar</v>
      </c>
      <c r="CT5" s="139" t="str">
        <f>+IS!CT5</f>
        <v>Jun</v>
      </c>
      <c r="CU5" s="139" t="str">
        <f>+IS!CU5</f>
        <v>Sep</v>
      </c>
      <c r="CV5" s="139" t="str">
        <f>+IS!CV5</f>
        <v>Dec</v>
      </c>
      <c r="CW5" s="140">
        <f>+IS!CW5</f>
        <v>48914</v>
      </c>
      <c r="CX5" s="139" t="str">
        <f>+IS!CX5</f>
        <v>Mar</v>
      </c>
      <c r="CY5" s="139" t="str">
        <f>+IS!CY5</f>
        <v>Jun</v>
      </c>
      <c r="CZ5" s="139" t="str">
        <f>+IS!CZ5</f>
        <v>Sep</v>
      </c>
      <c r="DA5" s="139" t="str">
        <f>+IS!DA5</f>
        <v>Dec</v>
      </c>
      <c r="DB5" s="140">
        <f>+IS!DB5</f>
        <v>49279</v>
      </c>
    </row>
    <row r="6" spans="1:106" s="4" customFormat="1">
      <c r="A6" s="153"/>
      <c r="B6" s="142" t="str">
        <f>+IS!B6</f>
        <v>1Q14A</v>
      </c>
      <c r="C6" s="142" t="str">
        <f>+IS!C6</f>
        <v>2Q14A</v>
      </c>
      <c r="D6" s="142" t="str">
        <f>+IS!D6</f>
        <v>3Q14A</v>
      </c>
      <c r="E6" s="142" t="str">
        <f>+IS!E6</f>
        <v>4Q14A</v>
      </c>
      <c r="F6" s="143" t="str">
        <f>+IS!F6</f>
        <v>FY14A</v>
      </c>
      <c r="G6" s="142" t="str">
        <f>+IS!G6</f>
        <v>1Q15A</v>
      </c>
      <c r="H6" s="142" t="str">
        <f>+IS!H6</f>
        <v>2Q15A</v>
      </c>
      <c r="I6" s="142" t="str">
        <f>+IS!I6</f>
        <v>3Q15A</v>
      </c>
      <c r="J6" s="142" t="str">
        <f>+IS!J6</f>
        <v>4Q15A</v>
      </c>
      <c r="K6" s="143" t="str">
        <f>+IS!K6</f>
        <v>FY15A</v>
      </c>
      <c r="L6" s="142" t="str">
        <f>+IS!L6</f>
        <v>1Q16A</v>
      </c>
      <c r="M6" s="142" t="str">
        <f>+IS!M6</f>
        <v>2Q16A</v>
      </c>
      <c r="N6" s="142" t="str">
        <f>+IS!N6</f>
        <v>3Q16A</v>
      </c>
      <c r="O6" s="142" t="str">
        <f>+IS!O6</f>
        <v>4Q16A</v>
      </c>
      <c r="P6" s="143" t="str">
        <f>+IS!P6</f>
        <v>FY16A</v>
      </c>
      <c r="Q6" s="142" t="str">
        <f>+IS!Q6</f>
        <v>1Q17A</v>
      </c>
      <c r="R6" s="142" t="str">
        <f>+IS!R6</f>
        <v>2Q17A</v>
      </c>
      <c r="S6" s="142" t="str">
        <f>+IS!S6</f>
        <v>3Q17A</v>
      </c>
      <c r="T6" s="142" t="str">
        <f>+IS!T6</f>
        <v>4Q17A</v>
      </c>
      <c r="U6" s="143" t="str">
        <f>+IS!U6</f>
        <v>FY17A</v>
      </c>
      <c r="V6" s="142" t="str">
        <f>+IS!V6</f>
        <v>1Q18A</v>
      </c>
      <c r="W6" s="142" t="str">
        <f>+IS!W6</f>
        <v>2Q18A</v>
      </c>
      <c r="X6" s="142" t="str">
        <f>+IS!X6</f>
        <v>3Q18A</v>
      </c>
      <c r="Y6" s="142" t="str">
        <f>+IS!Y6</f>
        <v>4Q18A</v>
      </c>
      <c r="Z6" s="143" t="str">
        <f>+IS!Z6</f>
        <v>FY18A</v>
      </c>
      <c r="AA6" s="142" t="str">
        <f>+IS!AA6</f>
        <v>1Q19A</v>
      </c>
      <c r="AB6" s="142" t="str">
        <f>+IS!AB6</f>
        <v>2Q19A</v>
      </c>
      <c r="AC6" s="142" t="str">
        <f>+IS!AC6</f>
        <v>3Q19A</v>
      </c>
      <c r="AD6" s="142" t="str">
        <f>+IS!AD6</f>
        <v>4Q19A</v>
      </c>
      <c r="AE6" s="143" t="str">
        <f>+IS!AE6</f>
        <v>FY19A</v>
      </c>
      <c r="AF6" s="142" t="str">
        <f>+IS!AF6</f>
        <v>1Q20A</v>
      </c>
      <c r="AG6" s="142" t="str">
        <f>+IS!AG6</f>
        <v>2Q20A</v>
      </c>
      <c r="AH6" s="142" t="str">
        <f>+IS!AH6</f>
        <v>3Q20A</v>
      </c>
      <c r="AI6" s="142" t="str">
        <f>+IS!AI6</f>
        <v>4Q20A</v>
      </c>
      <c r="AJ6" s="143" t="str">
        <f>+IS!AJ6</f>
        <v>FY20A</v>
      </c>
      <c r="AK6" s="142" t="str">
        <f>+IS!AK6</f>
        <v>1Q21A</v>
      </c>
      <c r="AL6" s="142" t="str">
        <f>+IS!AL6</f>
        <v>2Q21A</v>
      </c>
      <c r="AM6" s="142" t="str">
        <f>+IS!AM6</f>
        <v>3Q21A</v>
      </c>
      <c r="AN6" s="142" t="str">
        <f>+IS!AN6</f>
        <v>4Q21A</v>
      </c>
      <c r="AO6" s="143" t="str">
        <f>+IS!AO6</f>
        <v>FY21A</v>
      </c>
      <c r="AP6" s="142" t="str">
        <f>+IS!AP6</f>
        <v>1Q22A</v>
      </c>
      <c r="AQ6" s="142" t="str">
        <f>+IS!AQ6</f>
        <v>2Q22A</v>
      </c>
      <c r="AR6" s="142" t="str">
        <f>+IS!AR6</f>
        <v>3Q22A</v>
      </c>
      <c r="AS6" s="142" t="str">
        <f>+IS!AS6</f>
        <v>4Q22A</v>
      </c>
      <c r="AT6" s="143" t="str">
        <f>+IS!AT6</f>
        <v>FY22A</v>
      </c>
      <c r="AU6" s="142" t="str">
        <f>+IS!AU6</f>
        <v>1Q23A</v>
      </c>
      <c r="AV6" s="142" t="str">
        <f>+IS!AV6</f>
        <v>2Q23A</v>
      </c>
      <c r="AW6" s="142" t="str">
        <f>+IS!AW6</f>
        <v>3Q23A</v>
      </c>
      <c r="AX6" s="142" t="str">
        <f>+IS!AX6</f>
        <v>4Q23A</v>
      </c>
      <c r="AY6" s="143" t="str">
        <f>+IS!AY6</f>
        <v>FY23A</v>
      </c>
      <c r="AZ6" s="142" t="str">
        <f>+IS!AZ6</f>
        <v>1Q24A</v>
      </c>
      <c r="BA6" s="142" t="str">
        <f>+IS!BA6</f>
        <v>2Q24A</v>
      </c>
      <c r="BB6" s="142" t="str">
        <f>+IS!BB6</f>
        <v>3Q24A</v>
      </c>
      <c r="BC6" s="142" t="str">
        <f>+IS!BC6</f>
        <v>4Q24A</v>
      </c>
      <c r="BD6" s="143" t="str">
        <f>+IS!BD6</f>
        <v>FY24A</v>
      </c>
      <c r="BE6" s="142" t="str">
        <f>+IS!BE6</f>
        <v>1Q25A</v>
      </c>
      <c r="BF6" s="142" t="str">
        <f>+IS!BF6</f>
        <v>2Q25A</v>
      </c>
      <c r="BG6" s="142" t="str">
        <f>+IS!BG6</f>
        <v>3Q25A</v>
      </c>
      <c r="BH6" s="142" t="str">
        <f>+IS!BH6</f>
        <v>4Q25</v>
      </c>
      <c r="BI6" s="143" t="str">
        <f>+IS!BI6</f>
        <v>FY25</v>
      </c>
      <c r="BJ6" s="142" t="str">
        <f>+IS!BJ6</f>
        <v>1Q26E</v>
      </c>
      <c r="BK6" s="142" t="str">
        <f>+IS!BK6</f>
        <v>2Q26E</v>
      </c>
      <c r="BL6" s="142" t="str">
        <f>+IS!BL6</f>
        <v>3Q26E</v>
      </c>
      <c r="BM6" s="142" t="str">
        <f>+IS!BM6</f>
        <v>4Q26E</v>
      </c>
      <c r="BN6" s="143" t="str">
        <f>+IS!BN6</f>
        <v>FY26E</v>
      </c>
      <c r="BO6" s="142" t="str">
        <f>+IS!BO6</f>
        <v>1Q27E</v>
      </c>
      <c r="BP6" s="142" t="str">
        <f>+IS!BP6</f>
        <v>2Q27E</v>
      </c>
      <c r="BQ6" s="142" t="str">
        <f>+IS!BQ6</f>
        <v>3Q27E</v>
      </c>
      <c r="BR6" s="142" t="str">
        <f>+IS!BR6</f>
        <v>4Q27E</v>
      </c>
      <c r="BS6" s="143" t="str">
        <f>+IS!BS6</f>
        <v>FY27E</v>
      </c>
      <c r="BT6" s="142" t="str">
        <f>+IS!BT6</f>
        <v>1Q28E</v>
      </c>
      <c r="BU6" s="142" t="str">
        <f>+IS!BU6</f>
        <v>2Q28E</v>
      </c>
      <c r="BV6" s="142" t="str">
        <f>+IS!BV6</f>
        <v>3Q28E</v>
      </c>
      <c r="BW6" s="142" t="str">
        <f>+IS!BW6</f>
        <v>4Q28E</v>
      </c>
      <c r="BX6" s="143" t="str">
        <f>+IS!BX6</f>
        <v>FY28E</v>
      </c>
      <c r="BY6" s="142" t="str">
        <f>+IS!BY6</f>
        <v>1Q29E</v>
      </c>
      <c r="BZ6" s="142" t="str">
        <f>+IS!BZ6</f>
        <v>2Q29E</v>
      </c>
      <c r="CA6" s="142" t="str">
        <f>+IS!CA6</f>
        <v>3Q29E</v>
      </c>
      <c r="CB6" s="142" t="str">
        <f>+IS!CB6</f>
        <v>4Q29E</v>
      </c>
      <c r="CC6" s="143" t="str">
        <f>+IS!CC6</f>
        <v>FY29E</v>
      </c>
      <c r="CD6" s="142" t="str">
        <f>+IS!CD6</f>
        <v>1Q30E</v>
      </c>
      <c r="CE6" s="142" t="str">
        <f>+IS!CE6</f>
        <v>2Q30E</v>
      </c>
      <c r="CF6" s="142" t="str">
        <f>+IS!CF6</f>
        <v>3Q30E</v>
      </c>
      <c r="CG6" s="142" t="str">
        <f>+IS!CG6</f>
        <v>4Q30E</v>
      </c>
      <c r="CH6" s="143" t="str">
        <f>+IS!CH6</f>
        <v>FY30E</v>
      </c>
      <c r="CI6" s="142" t="str">
        <f>+IS!CI6</f>
        <v>1Q31E</v>
      </c>
      <c r="CJ6" s="142" t="str">
        <f>+IS!CJ6</f>
        <v>2Q31E</v>
      </c>
      <c r="CK6" s="142" t="str">
        <f>+IS!CK6</f>
        <v>3Q31E</v>
      </c>
      <c r="CL6" s="142" t="str">
        <f>+IS!CL6</f>
        <v>4Q31E</v>
      </c>
      <c r="CM6" s="143" t="str">
        <f>+IS!CM6</f>
        <v>FY31E</v>
      </c>
      <c r="CN6" s="142" t="str">
        <f>+IS!CN6</f>
        <v>1Q32E</v>
      </c>
      <c r="CO6" s="142" t="str">
        <f>+IS!CO6</f>
        <v>2Q32E</v>
      </c>
      <c r="CP6" s="142" t="str">
        <f>+IS!CP6</f>
        <v>3Q32E</v>
      </c>
      <c r="CQ6" s="142" t="str">
        <f>+IS!CQ6</f>
        <v>4Q32E</v>
      </c>
      <c r="CR6" s="143" t="str">
        <f>+IS!CR6</f>
        <v>FY32E</v>
      </c>
      <c r="CS6" s="142" t="str">
        <f>+IS!CS6</f>
        <v>1Q33E</v>
      </c>
      <c r="CT6" s="142" t="str">
        <f>+IS!CT6</f>
        <v>2Q33E</v>
      </c>
      <c r="CU6" s="142" t="str">
        <f>+IS!CU6</f>
        <v>3Q33E</v>
      </c>
      <c r="CV6" s="142" t="str">
        <f>+IS!CV6</f>
        <v>4Q33E</v>
      </c>
      <c r="CW6" s="143" t="str">
        <f>+IS!CW6</f>
        <v>FY33E</v>
      </c>
      <c r="CX6" s="142" t="str">
        <f>+IS!CX6</f>
        <v>1Q34E</v>
      </c>
      <c r="CY6" s="142" t="str">
        <f>+IS!CY6</f>
        <v>2Q34E</v>
      </c>
      <c r="CZ6" s="142" t="str">
        <f>+IS!CZ6</f>
        <v>3Q34E</v>
      </c>
      <c r="DA6" s="142" t="str">
        <f>+IS!DA6</f>
        <v>4Q34E</v>
      </c>
      <c r="DB6" s="143" t="str">
        <f>+IS!DB6</f>
        <v>FY34E</v>
      </c>
    </row>
    <row r="7" spans="1:106" s="11" customFormat="1">
      <c r="A7" s="10" t="s">
        <v>67</v>
      </c>
      <c r="C7" s="134" t="s">
        <v>207</v>
      </c>
      <c r="F7" s="214"/>
      <c r="K7" s="214"/>
      <c r="P7" s="214"/>
      <c r="U7" s="214"/>
      <c r="Z7" s="214"/>
      <c r="AE7" s="214"/>
      <c r="AJ7" s="214"/>
      <c r="AO7" s="214"/>
      <c r="AT7" s="214"/>
      <c r="AY7" s="214"/>
      <c r="BD7" s="214"/>
      <c r="BI7" s="214"/>
      <c r="BN7" s="214"/>
      <c r="BS7" s="214"/>
      <c r="BX7" s="214"/>
      <c r="CC7" s="214"/>
      <c r="CH7" s="214"/>
      <c r="CM7" s="214"/>
      <c r="CR7" s="214"/>
      <c r="CW7" s="214"/>
      <c r="DB7" s="214"/>
    </row>
    <row r="8" spans="1:106" s="11" customFormat="1">
      <c r="A8" s="11" t="s">
        <v>6</v>
      </c>
      <c r="C8" s="155">
        <v>-10.130000000000001</v>
      </c>
      <c r="D8" s="155">
        <f>-6.406-C8</f>
        <v>3.7240000000000011</v>
      </c>
      <c r="E8" s="19">
        <f t="shared" ref="E8:E14" si="0">F8-SUM(C8:D8)</f>
        <v>1.2539999999999996</v>
      </c>
      <c r="F8" s="215">
        <v>-5.1520000000000001</v>
      </c>
      <c r="G8" s="19">
        <v>-10.004</v>
      </c>
      <c r="H8" s="155">
        <f>-29.685-G8</f>
        <v>-19.680999999999997</v>
      </c>
      <c r="I8" s="155">
        <f>-47.315-H8-G8</f>
        <v>-17.630000000000003</v>
      </c>
      <c r="J8" s="19">
        <f>K8-SUM(G8:I8)</f>
        <v>-22.960000000000008</v>
      </c>
      <c r="K8" s="215">
        <v>-70.275000000000006</v>
      </c>
      <c r="L8" s="19">
        <v>-8.6850000000000005</v>
      </c>
      <c r="M8" s="19">
        <f>-31.841-L8</f>
        <v>-23.155999999999999</v>
      </c>
      <c r="N8" s="19">
        <f>-57.858-M8-L8</f>
        <v>-26.016999999999996</v>
      </c>
      <c r="O8" s="19">
        <f>P8-SUM(L8:N8)</f>
        <v>-37.907000000000004</v>
      </c>
      <c r="P8" s="215">
        <v>-95.765000000000001</v>
      </c>
      <c r="Q8" s="19">
        <v>-35.960999999999999</v>
      </c>
      <c r="R8" s="19">
        <f>-63.693-Q8</f>
        <v>-27.731999999999999</v>
      </c>
      <c r="S8" s="19">
        <f>-90.812-R8-Q8</f>
        <v>-27.119</v>
      </c>
      <c r="T8" s="19">
        <f>U8-SUM(Q8:S8)</f>
        <v>-45.501999999999995</v>
      </c>
      <c r="U8" s="215">
        <v>-136.31399999999999</v>
      </c>
      <c r="V8" s="19">
        <v>-32.872999999999998</v>
      </c>
      <c r="W8" s="19">
        <f>-66.697-V8</f>
        <v>-33.824000000000005</v>
      </c>
      <c r="X8" s="19">
        <f>-96.313-W8-V8</f>
        <v>-29.616</v>
      </c>
      <c r="Y8" s="19">
        <f>Z8-SUM(V8:X8)</f>
        <v>-31.840999999999994</v>
      </c>
      <c r="Z8" s="215">
        <v>-128.154</v>
      </c>
      <c r="AA8" s="19">
        <v>-34.091000000000001</v>
      </c>
      <c r="AB8" s="19">
        <f>-66.507-AA8</f>
        <v>-32.416000000000004</v>
      </c>
      <c r="AC8" s="19">
        <f>-89.644-AB8-AA8</f>
        <v>-23.137</v>
      </c>
      <c r="AD8" s="19">
        <f>AE8-SUM(AA8:AC8)</f>
        <v>-35.182999999999993</v>
      </c>
      <c r="AE8" s="215">
        <v>-124.827</v>
      </c>
      <c r="AF8" s="19">
        <v>-35.372</v>
      </c>
      <c r="AG8" s="19">
        <f>-95.009-AF8</f>
        <v>-59.637</v>
      </c>
      <c r="AH8" s="19">
        <f>-153.331-AG8-AF8</f>
        <v>-58.321999999999989</v>
      </c>
      <c r="AI8" s="19">
        <f>AJ8-SUM(AF8:AH8)</f>
        <v>-76.412000000000006</v>
      </c>
      <c r="AJ8" s="215">
        <v>-229.74299999999999</v>
      </c>
      <c r="AK8" s="19">
        <v>-63.853000000000002</v>
      </c>
      <c r="AL8" s="19">
        <f>-179.879-AK8</f>
        <v>-116.02599999999998</v>
      </c>
      <c r="AM8" s="19">
        <f>-331.152-AL8-AK8</f>
        <v>-151.273</v>
      </c>
      <c r="AN8" s="19">
        <f>AO8-SUM(AK8:AM8)</f>
        <v>-140.56400000000002</v>
      </c>
      <c r="AO8" s="215">
        <v>-471.71600000000001</v>
      </c>
      <c r="AP8" s="19">
        <v>-138.595</v>
      </c>
      <c r="AQ8" s="19">
        <f>-283.746-AP8</f>
        <v>-145.15099999999998</v>
      </c>
      <c r="AR8" s="19">
        <f>-405.226-AQ8-AP8</f>
        <v>-121.48000000000005</v>
      </c>
      <c r="AS8" s="19">
        <f>AT8-SUM(AP8:AR8)</f>
        <v>-142.57299999999998</v>
      </c>
      <c r="AT8" s="215">
        <v>-547.79899999999998</v>
      </c>
      <c r="AU8" s="19">
        <v>-136.93700000000001</v>
      </c>
      <c r="AV8" s="19">
        <f>-247.74-AU8</f>
        <v>-110.803</v>
      </c>
      <c r="AW8" s="19">
        <f>-356.77-AV8-AU8</f>
        <v>-109.02999999999997</v>
      </c>
      <c r="AX8" s="19">
        <f>AY8-SUM(AU8:AW8)</f>
        <v>-78.031000000000006</v>
      </c>
      <c r="AY8" s="215">
        <v>-434.80099999999999</v>
      </c>
      <c r="AZ8" s="19">
        <v>-67.599000000000004</v>
      </c>
      <c r="BA8" s="19">
        <f>-105.063-AZ8</f>
        <v>-37.463999999999999</v>
      </c>
      <c r="BB8" s="19">
        <f>-136.655-BA8-AZ8</f>
        <v>-31.591999999999999</v>
      </c>
      <c r="BC8" s="19">
        <f>BD8-SUM(AZ8:BB8)</f>
        <v>-53.770999999999987</v>
      </c>
      <c r="BD8" s="215">
        <v>-190.42599999999999</v>
      </c>
      <c r="BE8" s="19">
        <v>-66.936000000000007</v>
      </c>
      <c r="BF8" s="19">
        <f>-167.874-BE8</f>
        <v>-100.93799999999999</v>
      </c>
      <c r="BG8" s="19">
        <f>-255.418-SUM(BE8:BF8)</f>
        <v>-87.544000000000011</v>
      </c>
      <c r="BH8" s="19">
        <f>+IS!BH23</f>
        <v>47.186999999999998</v>
      </c>
      <c r="BI8" s="215">
        <f>SUM(BE8:BH8)</f>
        <v>-208.23099999999999</v>
      </c>
      <c r="BJ8" s="275">
        <f>+IS!BJ23</f>
        <v>-82.560079905126628</v>
      </c>
      <c r="BK8" s="19">
        <f>+IS!BK23</f>
        <v>-67.153722193824223</v>
      </c>
      <c r="BL8" s="19">
        <f>+IS!BL23</f>
        <v>-55.290224319161581</v>
      </c>
      <c r="BM8" s="19">
        <f>+IS!BM23</f>
        <v>-28.046696310514339</v>
      </c>
      <c r="BN8" s="215">
        <f>SUM(BJ8:BM8)</f>
        <v>-233.05072272862677</v>
      </c>
      <c r="BO8" s="19">
        <f>+IS!BO23</f>
        <v>-19.994637521851409</v>
      </c>
      <c r="BP8" s="19">
        <f>+IS!BP23</f>
        <v>-33.114636351996261</v>
      </c>
      <c r="BQ8" s="19">
        <f>+IS!BQ23</f>
        <v>-23.84189048191913</v>
      </c>
      <c r="BR8" s="19">
        <f>+IS!BR23</f>
        <v>-7.9727469359865974</v>
      </c>
      <c r="BS8" s="215">
        <f>SUM(BO8:BR8)</f>
        <v>-84.923911291753384</v>
      </c>
      <c r="BT8" s="19">
        <f>+IS!BT23</f>
        <v>25.452777368399545</v>
      </c>
      <c r="BU8" s="19">
        <f>+IS!BU23</f>
        <v>17.413183010773821</v>
      </c>
      <c r="BV8" s="19">
        <f>+IS!BV23</f>
        <v>28.007071506302474</v>
      </c>
      <c r="BW8" s="19">
        <f>+IS!BW23</f>
        <v>48.144827475659397</v>
      </c>
      <c r="BX8" s="215">
        <f>SUM(BT8:BW8)</f>
        <v>119.01785936113524</v>
      </c>
      <c r="BY8" s="19">
        <f>+IS!BY23</f>
        <v>87.830807778746433</v>
      </c>
      <c r="BZ8" s="19">
        <f>+IS!BZ23</f>
        <v>75.5909723427377</v>
      </c>
      <c r="CA8" s="19">
        <f>+IS!CA23</f>
        <v>90.49941188430445</v>
      </c>
      <c r="CB8" s="19">
        <f>+IS!CB23</f>
        <v>110.35831469974848</v>
      </c>
      <c r="CC8" s="215">
        <f>SUM(BY8:CB8)</f>
        <v>364.27950670553702</v>
      </c>
      <c r="CD8" s="19">
        <f>+IS!CD23</f>
        <v>157.82482552187136</v>
      </c>
      <c r="CE8" s="19">
        <f>+IS!CE23</f>
        <v>146.34077175651177</v>
      </c>
      <c r="CF8" s="19">
        <f>+IS!CF23</f>
        <v>161.56767092125639</v>
      </c>
      <c r="CG8" s="19">
        <f>+IS!CG23</f>
        <v>185.17798255242747</v>
      </c>
      <c r="CH8" s="215">
        <f>SUM(CD8:CG8)</f>
        <v>650.91125075206696</v>
      </c>
      <c r="CI8" s="19">
        <f>+IS!CI23</f>
        <v>230.73806803869755</v>
      </c>
      <c r="CJ8" s="19">
        <f>+IS!CJ23</f>
        <v>214.49732469211278</v>
      </c>
      <c r="CK8" s="19">
        <f>+IS!CK23</f>
        <v>226.98744345211259</v>
      </c>
      <c r="CL8" s="19">
        <f>+IS!CL23</f>
        <v>248.6064980618969</v>
      </c>
      <c r="CM8" s="215">
        <f>SUM(CI8:CL8)</f>
        <v>920.82933424481985</v>
      </c>
      <c r="CN8" s="19">
        <f>+IS!CN23</f>
        <v>297.2796786498028</v>
      </c>
      <c r="CO8" s="19">
        <f>+IS!CO23</f>
        <v>279.62977768517999</v>
      </c>
      <c r="CP8" s="19">
        <f>+IS!CP23</f>
        <v>292.67677327202131</v>
      </c>
      <c r="CQ8" s="19">
        <f>+IS!CQ23</f>
        <v>315.68964870366779</v>
      </c>
      <c r="CR8" s="215">
        <f>SUM(CN8:CQ8)</f>
        <v>1185.2758783106719</v>
      </c>
      <c r="CS8" s="19">
        <f>+IS!CS23</f>
        <v>368.22621751913624</v>
      </c>
      <c r="CT8" s="19">
        <f>+IS!CT23</f>
        <v>349.74884319732001</v>
      </c>
      <c r="CU8" s="19">
        <f>+IS!CU23</f>
        <v>364.07179886392873</v>
      </c>
      <c r="CV8" s="19">
        <f>+IS!CV23</f>
        <v>389.1395166701019</v>
      </c>
      <c r="CW8" s="215">
        <f>SUM(CS8:CV8)</f>
        <v>1471.1863762504868</v>
      </c>
      <c r="CX8" s="19">
        <f>+IS!CX23</f>
        <v>432.10959099135607</v>
      </c>
      <c r="CY8" s="19">
        <f>+IS!CY23</f>
        <v>408.81606245367965</v>
      </c>
      <c r="CZ8" s="19">
        <f>+IS!CZ23</f>
        <v>420.2736142183324</v>
      </c>
      <c r="DA8" s="19">
        <f>+IS!DA23</f>
        <v>443.25492552417973</v>
      </c>
      <c r="DB8" s="215">
        <f>SUM(CX8:DA8)</f>
        <v>1704.4541931875478</v>
      </c>
    </row>
    <row r="9" spans="1:106" s="11" customFormat="1">
      <c r="A9" s="11" t="s">
        <v>397</v>
      </c>
      <c r="C9" s="155">
        <v>2.3079999999999998</v>
      </c>
      <c r="D9" s="155">
        <f>3.67-C9</f>
        <v>1.3620000000000001</v>
      </c>
      <c r="E9" s="19">
        <f t="shared" si="0"/>
        <v>1.4779999999999998</v>
      </c>
      <c r="F9" s="215">
        <v>5.1479999999999997</v>
      </c>
      <c r="G9" s="19">
        <v>1.641</v>
      </c>
      <c r="H9" s="155">
        <f>2.974-G9</f>
        <v>1.3330000000000002</v>
      </c>
      <c r="I9" s="155">
        <f>4.363-H9-G9</f>
        <v>1.3890000000000002</v>
      </c>
      <c r="J9" s="19">
        <f t="shared" ref="J9:J14" si="1">K9-SUM(G9:I9)</f>
        <v>1.1719999999999997</v>
      </c>
      <c r="K9" s="215">
        <v>5.5350000000000001</v>
      </c>
      <c r="L9" s="19">
        <v>1.194</v>
      </c>
      <c r="M9" s="19">
        <f>2.428-L9</f>
        <v>1.234</v>
      </c>
      <c r="N9" s="19">
        <f>4.177-M9-L9</f>
        <v>1.7489999999999997</v>
      </c>
      <c r="O9" s="19">
        <f t="shared" ref="O9:O14" si="2">P9-SUM(L9:N9)</f>
        <v>1.9990000000000006</v>
      </c>
      <c r="P9" s="215">
        <v>6.1760000000000002</v>
      </c>
      <c r="Q9" s="19">
        <v>1.758</v>
      </c>
      <c r="R9" s="19">
        <f>3.62-Q9</f>
        <v>1.8620000000000001</v>
      </c>
      <c r="S9" s="19">
        <f>5.32-R9-Q9</f>
        <v>1.7000000000000002</v>
      </c>
      <c r="T9" s="19">
        <f>U9-SUM(Q9:S9)</f>
        <v>1.8229999999999995</v>
      </c>
      <c r="U9" s="215">
        <v>7.1429999999999998</v>
      </c>
      <c r="V9" s="19">
        <v>1.86</v>
      </c>
      <c r="W9" s="19">
        <f>3.679-V9</f>
        <v>1.8189999999999997</v>
      </c>
      <c r="X9" s="19">
        <f>5.574-W9-V9</f>
        <v>1.8949999999999998</v>
      </c>
      <c r="Y9" s="19">
        <f t="shared" ref="Y9:Y14" si="3">Z9-SUM(V9:X9)</f>
        <v>1.9270000000000005</v>
      </c>
      <c r="Z9" s="215">
        <v>7.5010000000000003</v>
      </c>
      <c r="AA9" s="19">
        <v>1.92</v>
      </c>
      <c r="AB9" s="19">
        <f>3.952-AA9</f>
        <v>2.032</v>
      </c>
      <c r="AC9" s="19">
        <f>5.921-AB9-AA9</f>
        <v>1.9690000000000003</v>
      </c>
      <c r="AD9" s="19">
        <f t="shared" ref="AD9:AD14" si="4">AE9-SUM(AA9:AC9)</f>
        <v>1.8090000000000002</v>
      </c>
      <c r="AE9" s="215">
        <v>7.73</v>
      </c>
      <c r="AF9" s="19">
        <v>1.8260000000000001</v>
      </c>
      <c r="AG9" s="19">
        <f>4.036-AF9</f>
        <v>2.2099999999999995</v>
      </c>
      <c r="AH9" s="19">
        <f>6.215-AG9-AF9</f>
        <v>2.1790000000000007</v>
      </c>
      <c r="AI9" s="19">
        <f t="shared" ref="AI9:AI14" si="5">AJ9-SUM(AF9:AH9)</f>
        <v>2.3979999999999997</v>
      </c>
      <c r="AJ9" s="215">
        <v>8.6129999999999995</v>
      </c>
      <c r="AK9" s="19">
        <v>2.5489999999999999</v>
      </c>
      <c r="AL9" s="19">
        <f>5.262-AK9</f>
        <v>2.7129999999999996</v>
      </c>
      <c r="AM9" s="19">
        <f>8.259-AL9-AK9</f>
        <v>2.9970000000000012</v>
      </c>
      <c r="AN9" s="19">
        <f t="shared" ref="AN9:AN14" si="6">AO9-SUM(AK9:AM9)</f>
        <v>2.9949999999999992</v>
      </c>
      <c r="AO9" s="215">
        <v>11.254</v>
      </c>
      <c r="AP9" s="19">
        <v>3.0019999999999998</v>
      </c>
      <c r="AQ9" s="19">
        <f>7.631-AP9</f>
        <v>4.6290000000000004</v>
      </c>
      <c r="AR9" s="19">
        <f>12.772-AQ9-AP9</f>
        <v>5.1410000000000009</v>
      </c>
      <c r="AS9" s="19">
        <f t="shared" ref="AS9:AS14" si="7">AT9-SUM(AP9:AR9)</f>
        <v>3.9299999999999997</v>
      </c>
      <c r="AT9" s="215">
        <v>16.702000000000002</v>
      </c>
      <c r="AU9" s="19">
        <v>5.077</v>
      </c>
      <c r="AV9" s="19">
        <f>10.201-AU9</f>
        <v>5.1240000000000006</v>
      </c>
      <c r="AW9" s="19">
        <f>17.186-AV9-AU9</f>
        <v>6.9849999999999994</v>
      </c>
      <c r="AX9" s="19">
        <f t="shared" ref="AX9:AX14" si="8">AY9-SUM(AU9:AW9)</f>
        <v>6.9110000000000014</v>
      </c>
      <c r="AY9" s="215">
        <v>24.097000000000001</v>
      </c>
      <c r="AZ9" s="19">
        <v>7.0629999999999997</v>
      </c>
      <c r="BA9" s="19">
        <f>14.978-AZ9</f>
        <v>7.915</v>
      </c>
      <c r="BB9" s="19">
        <f>23.178-BA9-AZ9</f>
        <v>8.2000000000000028</v>
      </c>
      <c r="BC9" s="19">
        <f t="shared" ref="BC9:BC14" si="9">BD9-SUM(AZ9:BB9)</f>
        <v>7.7899999999999956</v>
      </c>
      <c r="BD9" s="215">
        <v>30.968</v>
      </c>
      <c r="BE9" s="19">
        <v>9.2370000000000001</v>
      </c>
      <c r="BF9" s="19">
        <f>19.096-BE9</f>
        <v>9.859</v>
      </c>
      <c r="BG9" s="19">
        <f>29.388-SUM(BE9:BF9)</f>
        <v>10.292000000000002</v>
      </c>
      <c r="BH9" s="19">
        <f>-'Other Accts'!BH39-'Other Accts'!BH47</f>
        <v>9.9689066666666619</v>
      </c>
      <c r="BI9" s="215">
        <f>SUM(BE9:BH9)</f>
        <v>39.35690666666666</v>
      </c>
      <c r="BJ9" s="275">
        <f>-'Other Accts'!BJ39-'Other Accts'!BJ47</f>
        <v>13.377545833333325</v>
      </c>
      <c r="BK9" s="19">
        <f>-'Other Accts'!BK39-'Other Accts'!BK47</f>
        <v>13.695615399305547</v>
      </c>
      <c r="BL9" s="19">
        <f>-'Other Accts'!BL39-'Other Accts'!BL47</f>
        <v>14.001866132740155</v>
      </c>
      <c r="BM9" s="19">
        <f>-'Other Accts'!BM39-'Other Accts'!BM47</f>
        <v>14.296707201142631</v>
      </c>
      <c r="BN9" s="215">
        <f>SUM(BJ9:BM9)</f>
        <v>55.37173456652166</v>
      </c>
      <c r="BO9" s="19">
        <f>-'Other Accts'!BO39-'Other Accts'!BO47</f>
        <v>14.613867276354686</v>
      </c>
      <c r="BP9" s="19">
        <f>-'Other Accts'!BP39-'Other Accts'!BP47</f>
        <v>14.919283886785712</v>
      </c>
      <c r="BQ9" s="19">
        <f>-'Other Accts'!BQ39-'Other Accts'!BQ47</f>
        <v>15.213363124540169</v>
      </c>
      <c r="BR9" s="19">
        <f>-'Other Accts'!BR39-'Other Accts'!BR47</f>
        <v>15.496497362278049</v>
      </c>
      <c r="BS9" s="215">
        <f>SUM(BO9:BR9)</f>
        <v>60.243011649958618</v>
      </c>
      <c r="BT9" s="19">
        <f>-'Other Accts'!BT39-'Other Accts'!BT47</f>
        <v>15.804065712817723</v>
      </c>
      <c r="BU9" s="19">
        <f>-'Other Accts'!BU39-'Other Accts'!BU47</f>
        <v>16.100267806723377</v>
      </c>
      <c r="BV9" s="19">
        <f>-'Other Accts'!BV39-'Other Accts'!BV47</f>
        <v>16.385496443944682</v>
      </c>
      <c r="BW9" s="19">
        <f>-'Other Accts'!BW39-'Other Accts'!BW47</f>
        <v>16.660131157040542</v>
      </c>
      <c r="BX9" s="215">
        <f>SUM(BT9:BW9)</f>
        <v>64.949961120526325</v>
      </c>
      <c r="BY9" s="19">
        <f>-'Other Accts'!BY39-'Other Accts'!BY47</f>
        <v>16.961288655601198</v>
      </c>
      <c r="BZ9" s="19">
        <f>-'Other Accts'!BZ39-'Other Accts'!BZ47</f>
        <v>17.251348255829058</v>
      </c>
      <c r="CA9" s="19">
        <f>-'Other Accts'!CA39-'Other Accts'!CA47</f>
        <v>17.530693129106638</v>
      </c>
      <c r="CB9" s="19">
        <f>-'Other Accts'!CB39-'Other Accts'!CB47</f>
        <v>17.79969350891907</v>
      </c>
      <c r="CC9" s="215">
        <f>SUM(BY9:CB9)</f>
        <v>69.543023549455967</v>
      </c>
      <c r="CD9" s="19">
        <f>-'Other Accts'!CD39-'Other Accts'!CD47</f>
        <v>18.097294624186301</v>
      </c>
      <c r="CE9" s="19">
        <f>-'Other Accts'!CE39-'Other Accts'!CE47</f>
        <v>18.383968368125071</v>
      </c>
      <c r="CF9" s="19">
        <f>-'Other Accts'!CF39-'Other Accts'!CF47</f>
        <v>18.660091578123236</v>
      </c>
      <c r="CG9" s="19">
        <f>-'Other Accts'!CG39-'Other Accts'!CG47</f>
        <v>18.926028372926432</v>
      </c>
      <c r="CH9" s="215">
        <f>SUM(CD9:CG9)</f>
        <v>74.067382943361039</v>
      </c>
      <c r="CI9" s="19">
        <f>-'Other Accts'!CI39-'Other Accts'!CI47</f>
        <v>19.222647453560263</v>
      </c>
      <c r="CJ9" s="19">
        <f>-'Other Accts'!CJ39-'Other Accts'!CJ47</f>
        <v>19.508421327530492</v>
      </c>
      <c r="CK9" s="19">
        <f>-'Other Accts'!CK39-'Other Accts'!CK47</f>
        <v>19.783723475525601</v>
      </c>
      <c r="CL9" s="19">
        <f>-'Other Accts'!CL39-'Other Accts'!CL47</f>
        <v>20.048914779205294</v>
      </c>
      <c r="CM9" s="215">
        <f>SUM(CI9:CL9)</f>
        <v>78.56370703582165</v>
      </c>
      <c r="CN9" s="19">
        <f>-'Other Accts'!CN39-'Other Accts'!CN47</f>
        <v>20.346886661789039</v>
      </c>
      <c r="CO9" s="19">
        <f>-'Other Accts'!CO39-'Other Accts'!CO47</f>
        <v>20.634015248934897</v>
      </c>
      <c r="CP9" s="19">
        <f>-'Other Accts'!CP39-'Other Accts'!CP47</f>
        <v>20.910673370066036</v>
      </c>
      <c r="CQ9" s="19">
        <f>-'Other Accts'!CQ39-'Other Accts'!CQ47</f>
        <v>21.17722128463015</v>
      </c>
      <c r="CR9" s="215">
        <f>SUM(CN9:CQ9)</f>
        <v>83.068796565420115</v>
      </c>
      <c r="CS9" s="19">
        <f>-'Other Accts'!CS39-'Other Accts'!CS47</f>
        <v>21.478676957565252</v>
      </c>
      <c r="CT9" s="19">
        <f>-'Other Accts'!CT39-'Other Accts'!CT47</f>
        <v>21.769217906811036</v>
      </c>
      <c r="CU9" s="19">
        <f>-'Other Accts'!CU39-'Other Accts'!CU47</f>
        <v>22.049218784006204</v>
      </c>
      <c r="CV9" s="19">
        <f>-'Other Accts'!CV39-'Other Accts'!CV47</f>
        <v>22.319041617057557</v>
      </c>
      <c r="CW9" s="215">
        <f>SUM(CS9:CV9)</f>
        <v>87.616155265440057</v>
      </c>
      <c r="CX9" s="19">
        <f>-'Other Accts'!CX39-'Other Accts'!CX47</f>
        <v>22.625939580044729</v>
      </c>
      <c r="CY9" s="19">
        <f>-'Other Accts'!CY39-'Other Accts'!CY47</f>
        <v>22.921783914419464</v>
      </c>
      <c r="CZ9" s="19">
        <f>-'Other Accts'!CZ39-'Other Accts'!CZ47</f>
        <v>23.206953370675244</v>
      </c>
      <c r="DA9" s="19">
        <f>-'Other Accts'!DA39-'Other Accts'!DA47</f>
        <v>23.481813945586534</v>
      </c>
      <c r="DB9" s="215">
        <f>SUM(CX9:DA9)</f>
        <v>92.236490810725968</v>
      </c>
    </row>
    <row r="10" spans="1:106" s="11" customFormat="1">
      <c r="A10" s="11" t="s">
        <v>153</v>
      </c>
      <c r="C10" s="19">
        <v>0</v>
      </c>
      <c r="D10" s="155">
        <f>0-C10</f>
        <v>0</v>
      </c>
      <c r="E10" s="19">
        <f t="shared" si="0"/>
        <v>0</v>
      </c>
      <c r="F10" s="215">
        <v>0</v>
      </c>
      <c r="G10" s="19">
        <v>0</v>
      </c>
      <c r="H10" s="19">
        <f>0-G10</f>
        <v>0</v>
      </c>
      <c r="I10" s="155">
        <f>0-H10-G10</f>
        <v>0</v>
      </c>
      <c r="J10" s="19">
        <f t="shared" si="1"/>
        <v>0</v>
      </c>
      <c r="K10" s="215">
        <v>0</v>
      </c>
      <c r="L10" s="19">
        <v>0</v>
      </c>
      <c r="M10" s="19">
        <f>0-L10</f>
        <v>0</v>
      </c>
      <c r="N10" s="19">
        <f>0-M10-L10</f>
        <v>0</v>
      </c>
      <c r="O10" s="19">
        <f t="shared" si="2"/>
        <v>0</v>
      </c>
      <c r="P10" s="215">
        <v>0</v>
      </c>
      <c r="Q10" s="19">
        <v>0</v>
      </c>
      <c r="R10" s="19">
        <f>0-Q10</f>
        <v>0</v>
      </c>
      <c r="S10" s="19">
        <f>0-R10-Q10</f>
        <v>0</v>
      </c>
      <c r="T10" s="19">
        <f t="shared" ref="T10:T14" si="10">U10-SUM(Q10:S10)</f>
        <v>0</v>
      </c>
      <c r="U10" s="215">
        <v>0</v>
      </c>
      <c r="V10" s="19">
        <v>0</v>
      </c>
      <c r="W10" s="19">
        <f>0-V10</f>
        <v>0</v>
      </c>
      <c r="X10" s="19">
        <f t="shared" ref="X10:X13" si="11">0-W10-V10</f>
        <v>0</v>
      </c>
      <c r="Y10" s="19">
        <f t="shared" si="3"/>
        <v>0</v>
      </c>
      <c r="Z10" s="215">
        <v>0</v>
      </c>
      <c r="AA10" s="19">
        <v>0</v>
      </c>
      <c r="AB10" s="19">
        <f>0-AA10</f>
        <v>0</v>
      </c>
      <c r="AC10" s="19">
        <f>0-AB10-AA10</f>
        <v>0</v>
      </c>
      <c r="AD10" s="19">
        <f t="shared" si="4"/>
        <v>0</v>
      </c>
      <c r="AE10" s="215">
        <v>0</v>
      </c>
      <c r="AF10" s="19">
        <v>0</v>
      </c>
      <c r="AG10" s="19">
        <f>0-AF10</f>
        <v>0</v>
      </c>
      <c r="AH10" s="19">
        <f>0-AG10-AF10</f>
        <v>0</v>
      </c>
      <c r="AI10" s="19">
        <f t="shared" si="5"/>
        <v>0</v>
      </c>
      <c r="AJ10" s="215">
        <v>0</v>
      </c>
      <c r="AK10" s="19">
        <v>0</v>
      </c>
      <c r="AL10" s="19">
        <f>0-AK10</f>
        <v>0</v>
      </c>
      <c r="AM10" s="19">
        <f>0-AL10-AK10</f>
        <v>0</v>
      </c>
      <c r="AN10" s="19">
        <f t="shared" si="6"/>
        <v>0</v>
      </c>
      <c r="AO10" s="215">
        <v>0</v>
      </c>
      <c r="AP10" s="19">
        <v>0</v>
      </c>
      <c r="AQ10" s="19">
        <f>0-AP10</f>
        <v>0</v>
      </c>
      <c r="AR10" s="19">
        <f t="shared" ref="AR10:AR13" si="12">0-AQ10-AP10</f>
        <v>0</v>
      </c>
      <c r="AS10" s="19">
        <f t="shared" si="7"/>
        <v>0</v>
      </c>
      <c r="AT10" s="215">
        <v>0</v>
      </c>
      <c r="AU10" s="19">
        <v>0</v>
      </c>
      <c r="AV10" s="19">
        <f t="shared" ref="AV10:AV13" si="13">0-AU10</f>
        <v>0</v>
      </c>
      <c r="AW10" s="19">
        <f t="shared" ref="AW10:AW11" si="14">0-AV10-AU10</f>
        <v>0</v>
      </c>
      <c r="AX10" s="19">
        <f t="shared" si="8"/>
        <v>0</v>
      </c>
      <c r="AY10" s="215">
        <v>0</v>
      </c>
      <c r="AZ10" s="19">
        <v>0</v>
      </c>
      <c r="BA10" s="19">
        <f t="shared" ref="BA10:BA13" si="15">0-AZ10</f>
        <v>0</v>
      </c>
      <c r="BB10" s="19">
        <f t="shared" ref="BB10:BB11" si="16">0-BA10-AZ10</f>
        <v>0</v>
      </c>
      <c r="BC10" s="19">
        <f t="shared" si="9"/>
        <v>0</v>
      </c>
      <c r="BD10" s="215">
        <v>0</v>
      </c>
      <c r="BE10" s="19">
        <v>0</v>
      </c>
      <c r="BF10" s="19">
        <f>0-BE10</f>
        <v>0</v>
      </c>
      <c r="BG10" s="19">
        <f>0-SUM(BE10:BF10)</f>
        <v>0</v>
      </c>
      <c r="BH10" s="132">
        <v>0</v>
      </c>
      <c r="BI10" s="215">
        <f>+BE10+BF10+BG10+BH10</f>
        <v>0</v>
      </c>
      <c r="BJ10" s="285">
        <v>0</v>
      </c>
      <c r="BK10" s="132">
        <v>0</v>
      </c>
      <c r="BL10" s="132">
        <v>0</v>
      </c>
      <c r="BM10" s="132">
        <v>0</v>
      </c>
      <c r="BN10" s="215">
        <f>+BJ10+BK10+BL10+BM10</f>
        <v>0</v>
      </c>
      <c r="BO10" s="158">
        <v>0</v>
      </c>
      <c r="BP10" s="158">
        <v>0</v>
      </c>
      <c r="BQ10" s="158">
        <v>0</v>
      </c>
      <c r="BR10" s="158">
        <v>0</v>
      </c>
      <c r="BS10" s="215">
        <f>+BO10+BP10+BQ10+BR10</f>
        <v>0</v>
      </c>
      <c r="BT10" s="158">
        <v>0</v>
      </c>
      <c r="BU10" s="158">
        <v>0</v>
      </c>
      <c r="BV10" s="158">
        <v>0</v>
      </c>
      <c r="BW10" s="158">
        <v>0</v>
      </c>
      <c r="BX10" s="215">
        <f>+BT10+BU10+BV10+BW10</f>
        <v>0</v>
      </c>
      <c r="BY10" s="158">
        <v>0</v>
      </c>
      <c r="BZ10" s="158">
        <v>0</v>
      </c>
      <c r="CA10" s="158">
        <v>0</v>
      </c>
      <c r="CB10" s="158">
        <v>0</v>
      </c>
      <c r="CC10" s="215">
        <f>+BY10+BZ10+CA10+CB10</f>
        <v>0</v>
      </c>
      <c r="CD10" s="158">
        <v>0</v>
      </c>
      <c r="CE10" s="158">
        <v>0</v>
      </c>
      <c r="CF10" s="158">
        <v>0</v>
      </c>
      <c r="CG10" s="158">
        <v>0</v>
      </c>
      <c r="CH10" s="215">
        <f>+CD10+CE10+CF10+CG10</f>
        <v>0</v>
      </c>
      <c r="CI10" s="158">
        <v>0</v>
      </c>
      <c r="CJ10" s="158">
        <v>0</v>
      </c>
      <c r="CK10" s="158">
        <v>0</v>
      </c>
      <c r="CL10" s="158">
        <v>0</v>
      </c>
      <c r="CM10" s="215">
        <f>+CI10+CJ10+CK10+CL10</f>
        <v>0</v>
      </c>
      <c r="CN10" s="158">
        <v>0</v>
      </c>
      <c r="CO10" s="158">
        <v>0</v>
      </c>
      <c r="CP10" s="158">
        <v>0</v>
      </c>
      <c r="CQ10" s="158">
        <v>0</v>
      </c>
      <c r="CR10" s="215">
        <f>+CN10+CO10+CP10+CQ10</f>
        <v>0</v>
      </c>
      <c r="CS10" s="158">
        <v>0</v>
      </c>
      <c r="CT10" s="158">
        <v>0</v>
      </c>
      <c r="CU10" s="158">
        <v>0</v>
      </c>
      <c r="CV10" s="158">
        <v>0</v>
      </c>
      <c r="CW10" s="215">
        <f>+CS10+CT10+CU10+CV10</f>
        <v>0</v>
      </c>
      <c r="CX10" s="158">
        <v>0</v>
      </c>
      <c r="CY10" s="158">
        <v>0</v>
      </c>
      <c r="CZ10" s="158">
        <v>0</v>
      </c>
      <c r="DA10" s="158">
        <v>0</v>
      </c>
      <c r="DB10" s="215">
        <f>+CX10+CY10+CZ10+DA10</f>
        <v>0</v>
      </c>
    </row>
    <row r="11" spans="1:106" s="11" customFormat="1">
      <c r="A11" s="11" t="s">
        <v>68</v>
      </c>
      <c r="C11" s="19">
        <v>0</v>
      </c>
      <c r="D11" s="19">
        <f>0-C11</f>
        <v>0</v>
      </c>
      <c r="E11" s="19">
        <f t="shared" si="0"/>
        <v>0</v>
      </c>
      <c r="F11" s="215">
        <v>0</v>
      </c>
      <c r="G11" s="19">
        <v>0</v>
      </c>
      <c r="H11" s="19">
        <f>0-G11</f>
        <v>0</v>
      </c>
      <c r="I11" s="19">
        <f>0-H11-G11</f>
        <v>0</v>
      </c>
      <c r="J11" s="19">
        <f t="shared" si="1"/>
        <v>0</v>
      </c>
      <c r="K11" s="215">
        <v>0</v>
      </c>
      <c r="L11" s="19">
        <v>0</v>
      </c>
      <c r="M11" s="19">
        <f>0-L11</f>
        <v>0</v>
      </c>
      <c r="N11" s="19">
        <f>0-M11-L11</f>
        <v>0</v>
      </c>
      <c r="O11" s="19">
        <f t="shared" si="2"/>
        <v>0</v>
      </c>
      <c r="P11" s="215">
        <v>0</v>
      </c>
      <c r="Q11" s="19">
        <v>0</v>
      </c>
      <c r="R11" s="19">
        <f>0-Q11</f>
        <v>0</v>
      </c>
      <c r="S11" s="19">
        <f>0-R11-Q11</f>
        <v>0</v>
      </c>
      <c r="T11" s="19">
        <f t="shared" si="10"/>
        <v>0</v>
      </c>
      <c r="U11" s="215">
        <v>0</v>
      </c>
      <c r="V11" s="19">
        <v>0</v>
      </c>
      <c r="W11" s="19">
        <f>0-V11</f>
        <v>0</v>
      </c>
      <c r="X11" s="19">
        <f t="shared" si="11"/>
        <v>0</v>
      </c>
      <c r="Y11" s="19">
        <f t="shared" si="3"/>
        <v>0</v>
      </c>
      <c r="Z11" s="215">
        <v>0</v>
      </c>
      <c r="AA11" s="19">
        <v>0</v>
      </c>
      <c r="AB11" s="19">
        <f>0-AA11</f>
        <v>0</v>
      </c>
      <c r="AC11" s="19">
        <f>0-AB11-AA11</f>
        <v>0</v>
      </c>
      <c r="AD11" s="19">
        <f t="shared" si="4"/>
        <v>0</v>
      </c>
      <c r="AE11" s="215">
        <v>0</v>
      </c>
      <c r="AF11" s="19">
        <v>0</v>
      </c>
      <c r="AG11" s="19">
        <f>0-AF11</f>
        <v>0</v>
      </c>
      <c r="AH11" s="19">
        <f>0-AG11-AF11</f>
        <v>0</v>
      </c>
      <c r="AI11" s="19">
        <f t="shared" si="5"/>
        <v>0</v>
      </c>
      <c r="AJ11" s="215">
        <v>0</v>
      </c>
      <c r="AK11" s="19">
        <v>0</v>
      </c>
      <c r="AL11" s="19">
        <f>0-AK11</f>
        <v>0</v>
      </c>
      <c r="AM11" s="19">
        <f>0-AL11-AK11</f>
        <v>0</v>
      </c>
      <c r="AN11" s="19">
        <f t="shared" si="6"/>
        <v>0</v>
      </c>
      <c r="AO11" s="215">
        <v>0</v>
      </c>
      <c r="AP11" s="19">
        <v>0</v>
      </c>
      <c r="AQ11" s="19">
        <f>0-AP11</f>
        <v>0</v>
      </c>
      <c r="AR11" s="19">
        <f t="shared" si="12"/>
        <v>0</v>
      </c>
      <c r="AS11" s="19">
        <f t="shared" si="7"/>
        <v>0</v>
      </c>
      <c r="AT11" s="215">
        <v>0</v>
      </c>
      <c r="AU11" s="19">
        <v>0</v>
      </c>
      <c r="AV11" s="19">
        <f t="shared" si="13"/>
        <v>0</v>
      </c>
      <c r="AW11" s="19">
        <f t="shared" si="14"/>
        <v>0</v>
      </c>
      <c r="AX11" s="19">
        <f t="shared" si="8"/>
        <v>0</v>
      </c>
      <c r="AY11" s="215">
        <v>0</v>
      </c>
      <c r="AZ11" s="19">
        <v>0</v>
      </c>
      <c r="BA11" s="19">
        <f t="shared" si="15"/>
        <v>0</v>
      </c>
      <c r="BB11" s="19">
        <f t="shared" si="16"/>
        <v>0</v>
      </c>
      <c r="BC11" s="19">
        <f t="shared" si="9"/>
        <v>0</v>
      </c>
      <c r="BD11" s="215">
        <v>0</v>
      </c>
      <c r="BE11" s="19">
        <v>0</v>
      </c>
      <c r="BF11" s="19">
        <f>0</f>
        <v>0</v>
      </c>
      <c r="BG11" s="19">
        <f>0-SUM(BE11:BF11)</f>
        <v>0</v>
      </c>
      <c r="BH11" s="132">
        <v>0</v>
      </c>
      <c r="BI11" s="215">
        <f>+BE11+BF11+BG11+BH11</f>
        <v>0</v>
      </c>
      <c r="BJ11" s="285">
        <v>0</v>
      </c>
      <c r="BK11" s="132">
        <v>0</v>
      </c>
      <c r="BL11" s="132">
        <v>0</v>
      </c>
      <c r="BM11" s="132">
        <v>0</v>
      </c>
      <c r="BN11" s="215">
        <f>+BJ11+BK11+BL11+BM11</f>
        <v>0</v>
      </c>
      <c r="BO11" s="158">
        <v>0</v>
      </c>
      <c r="BP11" s="158">
        <v>0</v>
      </c>
      <c r="BQ11" s="158">
        <v>0</v>
      </c>
      <c r="BR11" s="158">
        <v>0</v>
      </c>
      <c r="BS11" s="215">
        <f>+BO11+BP11+BQ11+BR11</f>
        <v>0</v>
      </c>
      <c r="BT11" s="158">
        <v>0</v>
      </c>
      <c r="BU11" s="158">
        <v>0</v>
      </c>
      <c r="BV11" s="158">
        <v>0</v>
      </c>
      <c r="BW11" s="158">
        <v>0</v>
      </c>
      <c r="BX11" s="215">
        <f>+BT11+BU11+BV11+BW11</f>
        <v>0</v>
      </c>
      <c r="BY11" s="158">
        <v>0</v>
      </c>
      <c r="BZ11" s="158">
        <v>0</v>
      </c>
      <c r="CA11" s="158">
        <v>0</v>
      </c>
      <c r="CB11" s="158">
        <v>0</v>
      </c>
      <c r="CC11" s="215">
        <f>+BY11+BZ11+CA11+CB11</f>
        <v>0</v>
      </c>
      <c r="CD11" s="158">
        <v>0</v>
      </c>
      <c r="CE11" s="158">
        <v>0</v>
      </c>
      <c r="CF11" s="158">
        <v>0</v>
      </c>
      <c r="CG11" s="158">
        <v>0</v>
      </c>
      <c r="CH11" s="215">
        <f>+CD11+CE11+CF11+CG11</f>
        <v>0</v>
      </c>
      <c r="CI11" s="158">
        <v>0</v>
      </c>
      <c r="CJ11" s="158">
        <v>0</v>
      </c>
      <c r="CK11" s="158">
        <v>0</v>
      </c>
      <c r="CL11" s="158">
        <v>0</v>
      </c>
      <c r="CM11" s="215">
        <f>+CI11+CJ11+CK11+CL11</f>
        <v>0</v>
      </c>
      <c r="CN11" s="158">
        <v>0</v>
      </c>
      <c r="CO11" s="158">
        <v>0</v>
      </c>
      <c r="CP11" s="158">
        <v>0</v>
      </c>
      <c r="CQ11" s="158">
        <v>0</v>
      </c>
      <c r="CR11" s="215">
        <f>+CN11+CO11+CP11+CQ11</f>
        <v>0</v>
      </c>
      <c r="CS11" s="158">
        <v>0</v>
      </c>
      <c r="CT11" s="158">
        <v>0</v>
      </c>
      <c r="CU11" s="158">
        <v>0</v>
      </c>
      <c r="CV11" s="158">
        <v>0</v>
      </c>
      <c r="CW11" s="215">
        <f>+CS11+CT11+CU11+CV11</f>
        <v>0</v>
      </c>
      <c r="CX11" s="158">
        <v>0</v>
      </c>
      <c r="CY11" s="158">
        <v>0</v>
      </c>
      <c r="CZ11" s="158">
        <v>0</v>
      </c>
      <c r="DA11" s="158">
        <v>0</v>
      </c>
      <c r="DB11" s="215">
        <f>+CX11+CY11+CZ11+DA11</f>
        <v>0</v>
      </c>
    </row>
    <row r="12" spans="1:106" s="11" customFormat="1">
      <c r="A12" s="11" t="s">
        <v>69</v>
      </c>
      <c r="C12" s="155">
        <v>3.028</v>
      </c>
      <c r="D12" s="155">
        <f>4.092-C12</f>
        <v>1.0639999999999996</v>
      </c>
      <c r="E12" s="19">
        <f t="shared" si="0"/>
        <v>1.0650000000000004</v>
      </c>
      <c r="F12" s="215">
        <f>5.157</f>
        <v>5.157</v>
      </c>
      <c r="G12" s="19">
        <v>1.147</v>
      </c>
      <c r="H12" s="155">
        <f>2.7-G12</f>
        <v>1.5530000000000002</v>
      </c>
      <c r="I12" s="155">
        <f>4.906-H12-G12</f>
        <v>2.2059999999999995</v>
      </c>
      <c r="J12" s="19">
        <f t="shared" si="1"/>
        <v>2.42</v>
      </c>
      <c r="K12" s="215">
        <v>7.3259999999999996</v>
      </c>
      <c r="L12" s="19">
        <v>2.3959999999999999</v>
      </c>
      <c r="M12" s="19">
        <f>5.292-L12</f>
        <v>2.8959999999999999</v>
      </c>
      <c r="N12" s="19">
        <f>7.965-M12-L12</f>
        <v>2.673</v>
      </c>
      <c r="O12" s="19">
        <f t="shared" si="2"/>
        <v>2.636000000000001</v>
      </c>
      <c r="P12" s="215">
        <v>10.601000000000001</v>
      </c>
      <c r="Q12" s="19">
        <v>2.5430000000000001</v>
      </c>
      <c r="R12" s="19">
        <f>5.42-Q12</f>
        <v>2.8769999999999998</v>
      </c>
      <c r="S12" s="19">
        <f>8.406-R12-Q12</f>
        <v>2.9860000000000007</v>
      </c>
      <c r="T12" s="19">
        <f>U12-SUM(Q12:S12)</f>
        <v>2.9959999999999987</v>
      </c>
      <c r="U12" s="215">
        <v>11.401999999999999</v>
      </c>
      <c r="V12" s="19">
        <v>3.1539999999999999</v>
      </c>
      <c r="W12" s="19">
        <f>6.522-V12</f>
        <v>3.3680000000000003</v>
      </c>
      <c r="X12" s="19">
        <f>10.138-W12-V12</f>
        <v>3.6159999999999997</v>
      </c>
      <c r="Y12" s="19">
        <f t="shared" si="3"/>
        <v>4.0600000000000005</v>
      </c>
      <c r="Z12" s="215">
        <v>14.198</v>
      </c>
      <c r="AA12" s="19">
        <v>4.0510000000000002</v>
      </c>
      <c r="AB12" s="19">
        <f>9.855-AA12</f>
        <v>5.8040000000000003</v>
      </c>
      <c r="AC12" s="19">
        <f>20.102-AB12-AA12</f>
        <v>10.247</v>
      </c>
      <c r="AD12" s="19">
        <f t="shared" si="4"/>
        <v>8.5219999999999985</v>
      </c>
      <c r="AE12" s="215">
        <v>28.623999999999999</v>
      </c>
      <c r="AF12" s="19">
        <v>7.4169999999999998</v>
      </c>
      <c r="AG12" s="19">
        <f>19.374-AF12</f>
        <v>11.956999999999999</v>
      </c>
      <c r="AH12" s="19">
        <f>34.406-AG12-AF12</f>
        <v>15.031999999999998</v>
      </c>
      <c r="AI12" s="19">
        <f t="shared" si="5"/>
        <v>15.765000000000001</v>
      </c>
      <c r="AJ12" s="215">
        <v>50.170999999999999</v>
      </c>
      <c r="AK12" s="19">
        <v>23.231999999999999</v>
      </c>
      <c r="AL12" s="19">
        <f>58.335-AK12</f>
        <v>35.103000000000002</v>
      </c>
      <c r="AM12" s="19">
        <f>84.797-AL12-AK12</f>
        <v>26.461999999999996</v>
      </c>
      <c r="AN12" s="19">
        <f t="shared" si="6"/>
        <v>30.421999999999997</v>
      </c>
      <c r="AO12" s="215">
        <v>115.21899999999999</v>
      </c>
      <c r="AP12" s="19">
        <v>35.087000000000003</v>
      </c>
      <c r="AQ12" s="19">
        <f>76.06-AP12</f>
        <v>40.972999999999999</v>
      </c>
      <c r="AR12" s="19">
        <f>116.398-AQ12-AP12</f>
        <v>40.337999999999994</v>
      </c>
      <c r="AS12" s="19">
        <f t="shared" si="7"/>
        <v>35.98599999999999</v>
      </c>
      <c r="AT12" s="215">
        <v>152.38399999999999</v>
      </c>
      <c r="AU12" s="19">
        <v>40.695</v>
      </c>
      <c r="AV12" s="19">
        <f>85.165-AU12</f>
        <v>44.470000000000006</v>
      </c>
      <c r="AW12" s="19">
        <f>142.896-AV12-AU12</f>
        <v>57.730999999999987</v>
      </c>
      <c r="AX12" s="19">
        <f t="shared" si="8"/>
        <v>48.912000000000006</v>
      </c>
      <c r="AY12" s="215">
        <v>191.80799999999999</v>
      </c>
      <c r="AZ12" s="19">
        <v>64.447000000000003</v>
      </c>
      <c r="BA12" s="19">
        <f>131.858-AZ12</f>
        <v>67.411000000000001</v>
      </c>
      <c r="BB12" s="19">
        <f>202.502-BA12-AZ12</f>
        <v>70.644000000000005</v>
      </c>
      <c r="BC12" s="19">
        <f t="shared" si="9"/>
        <v>71.925999999999988</v>
      </c>
      <c r="BD12" s="215">
        <v>274.428</v>
      </c>
      <c r="BE12" s="19">
        <v>77.826999999999998</v>
      </c>
      <c r="BF12" s="19">
        <f>171.185-BE12</f>
        <v>93.358000000000004</v>
      </c>
      <c r="BG12" s="19">
        <f>261.822-SUM(BE12:BF12)</f>
        <v>90.637</v>
      </c>
      <c r="BH12" s="132">
        <f>215.3-BE22-BF22-BG22-BH21-BH20-BH19-BH18-BH17-BH9-BH8</f>
        <v>33.415093333333331</v>
      </c>
      <c r="BI12" s="215">
        <f>SUM(BE12:BH12)</f>
        <v>295.23709333333335</v>
      </c>
      <c r="BJ12" s="285">
        <f>+BH12</f>
        <v>33.415093333333331</v>
      </c>
      <c r="BK12" s="132">
        <f>BJ12</f>
        <v>33.415093333333331</v>
      </c>
      <c r="BL12" s="132">
        <f>BK12</f>
        <v>33.415093333333331</v>
      </c>
      <c r="BM12" s="132">
        <f>BL12</f>
        <v>33.415093333333331</v>
      </c>
      <c r="BN12" s="215">
        <f>SUM(BJ12:BM12)</f>
        <v>133.66037333333333</v>
      </c>
      <c r="BO12" s="132">
        <f>+BJ12*1.06</f>
        <v>35.419998933333332</v>
      </c>
      <c r="BP12" s="132">
        <f>+BK12*1.06</f>
        <v>35.419998933333332</v>
      </c>
      <c r="BQ12" s="132">
        <f>+BL12*1.06</f>
        <v>35.419998933333332</v>
      </c>
      <c r="BR12" s="132">
        <f>+BM12*1.06</f>
        <v>35.419998933333332</v>
      </c>
      <c r="BS12" s="215">
        <f>SUM(BO12:BR12)</f>
        <v>141.67999573333333</v>
      </c>
      <c r="BT12" s="132">
        <f>+BO12*1.06</f>
        <v>37.545198869333333</v>
      </c>
      <c r="BU12" s="132">
        <f t="shared" ref="BU12" si="17">+BP12*1.06</f>
        <v>37.545198869333333</v>
      </c>
      <c r="BV12" s="132">
        <f t="shared" ref="BV12" si="18">+BQ12*1.06</f>
        <v>37.545198869333333</v>
      </c>
      <c r="BW12" s="132">
        <f t="shared" ref="BW12" si="19">+BR12*1.06</f>
        <v>37.545198869333333</v>
      </c>
      <c r="BX12" s="215">
        <f>SUM(BT12:BW12)</f>
        <v>150.18079547733333</v>
      </c>
      <c r="BY12" s="132">
        <f>+BT12*1.06</f>
        <v>39.797910801493337</v>
      </c>
      <c r="BZ12" s="132">
        <f t="shared" ref="BZ12" si="20">+BU12*1.06</f>
        <v>39.797910801493337</v>
      </c>
      <c r="CA12" s="132">
        <f t="shared" ref="CA12" si="21">+BV12*1.06</f>
        <v>39.797910801493337</v>
      </c>
      <c r="CB12" s="132">
        <f t="shared" ref="CB12" si="22">+BW12*1.06</f>
        <v>39.797910801493337</v>
      </c>
      <c r="CC12" s="215">
        <f>SUM(BY12:CB12)</f>
        <v>159.19164320597335</v>
      </c>
      <c r="CD12" s="132">
        <f>+BY12*1.06</f>
        <v>42.185785449582937</v>
      </c>
      <c r="CE12" s="132">
        <f t="shared" ref="CE12" si="23">+BZ12*1.06</f>
        <v>42.185785449582937</v>
      </c>
      <c r="CF12" s="132">
        <f t="shared" ref="CF12" si="24">+CA12*1.06</f>
        <v>42.185785449582937</v>
      </c>
      <c r="CG12" s="132">
        <f t="shared" ref="CG12" si="25">+CB12*1.06</f>
        <v>42.185785449582937</v>
      </c>
      <c r="CH12" s="215">
        <f>SUM(CD12:CG12)</f>
        <v>168.74314179833175</v>
      </c>
      <c r="CI12" s="132">
        <f>+CD12*1.06</f>
        <v>44.716932576557916</v>
      </c>
      <c r="CJ12" s="132">
        <f t="shared" ref="CJ12" si="26">+CE12*1.06</f>
        <v>44.716932576557916</v>
      </c>
      <c r="CK12" s="132">
        <f t="shared" ref="CK12" si="27">+CF12*1.06</f>
        <v>44.716932576557916</v>
      </c>
      <c r="CL12" s="132">
        <f t="shared" ref="CL12" si="28">+CG12*1.06</f>
        <v>44.716932576557916</v>
      </c>
      <c r="CM12" s="215">
        <f>SUM(CI12:CL12)</f>
        <v>178.86773030623166</v>
      </c>
      <c r="CN12" s="132">
        <f>+CI12*1.06</f>
        <v>47.399948531151395</v>
      </c>
      <c r="CO12" s="132">
        <f t="shared" ref="CO12" si="29">+CJ12*1.06</f>
        <v>47.399948531151395</v>
      </c>
      <c r="CP12" s="132">
        <f t="shared" ref="CP12" si="30">+CK12*1.06</f>
        <v>47.399948531151395</v>
      </c>
      <c r="CQ12" s="132">
        <f t="shared" ref="CQ12" si="31">+CL12*1.06</f>
        <v>47.399948531151395</v>
      </c>
      <c r="CR12" s="215">
        <f>SUM(CN12:CQ12)</f>
        <v>189.59979412460558</v>
      </c>
      <c r="CS12" s="132">
        <f>+CN12*1.06</f>
        <v>50.243945443020479</v>
      </c>
      <c r="CT12" s="132">
        <f t="shared" ref="CT12" si="32">+CO12*1.06</f>
        <v>50.243945443020479</v>
      </c>
      <c r="CU12" s="132">
        <f t="shared" ref="CU12" si="33">+CP12*1.06</f>
        <v>50.243945443020479</v>
      </c>
      <c r="CV12" s="132">
        <f t="shared" ref="CV12" si="34">+CQ12*1.06</f>
        <v>50.243945443020479</v>
      </c>
      <c r="CW12" s="215">
        <f>SUM(CS12:CV12)</f>
        <v>200.97578177208192</v>
      </c>
      <c r="CX12" s="132">
        <f>+CS12*1.06</f>
        <v>53.258582169601709</v>
      </c>
      <c r="CY12" s="132">
        <f t="shared" ref="CY12" si="35">+CT12*1.06</f>
        <v>53.258582169601709</v>
      </c>
      <c r="CZ12" s="132">
        <f t="shared" ref="CZ12" si="36">+CU12*1.06</f>
        <v>53.258582169601709</v>
      </c>
      <c r="DA12" s="132">
        <f t="shared" ref="DA12" si="37">+CV12*1.06</f>
        <v>53.258582169601709</v>
      </c>
      <c r="DB12" s="215">
        <f>SUM(CX12:DA12)</f>
        <v>213.03432867840684</v>
      </c>
    </row>
    <row r="13" spans="1:106" s="11" customFormat="1">
      <c r="A13" s="11" t="s">
        <v>151</v>
      </c>
      <c r="C13" s="155">
        <v>0</v>
      </c>
      <c r="D13" s="155">
        <f>0-C13</f>
        <v>0</v>
      </c>
      <c r="E13" s="19">
        <f t="shared" si="0"/>
        <v>0</v>
      </c>
      <c r="F13" s="215">
        <v>0</v>
      </c>
      <c r="G13" s="19">
        <v>0</v>
      </c>
      <c r="H13" s="155">
        <f>0-G13</f>
        <v>0</v>
      </c>
      <c r="I13" s="155">
        <f>0-H13-G13</f>
        <v>0</v>
      </c>
      <c r="J13" s="19">
        <f t="shared" si="1"/>
        <v>0</v>
      </c>
      <c r="K13" s="215">
        <v>0</v>
      </c>
      <c r="L13" s="19">
        <v>0</v>
      </c>
      <c r="M13" s="19">
        <f>0-L13</f>
        <v>0</v>
      </c>
      <c r="N13" s="19">
        <f>0-M13-L13</f>
        <v>0</v>
      </c>
      <c r="O13" s="19">
        <f t="shared" si="2"/>
        <v>0</v>
      </c>
      <c r="P13" s="215">
        <v>0</v>
      </c>
      <c r="Q13" s="19">
        <v>0</v>
      </c>
      <c r="R13" s="19">
        <f>0-Q13</f>
        <v>0</v>
      </c>
      <c r="S13" s="19">
        <f>0-R13-Q13</f>
        <v>0</v>
      </c>
      <c r="T13" s="19">
        <f t="shared" si="10"/>
        <v>0</v>
      </c>
      <c r="U13" s="215">
        <v>0</v>
      </c>
      <c r="V13" s="19">
        <v>0</v>
      </c>
      <c r="W13" s="19">
        <f>0-V13</f>
        <v>0</v>
      </c>
      <c r="X13" s="19">
        <f t="shared" si="11"/>
        <v>0</v>
      </c>
      <c r="Y13" s="19">
        <f t="shared" si="3"/>
        <v>0</v>
      </c>
      <c r="Z13" s="215">
        <v>0</v>
      </c>
      <c r="AA13" s="19">
        <v>0</v>
      </c>
      <c r="AB13" s="19">
        <f>0-AA13</f>
        <v>0</v>
      </c>
      <c r="AC13" s="19">
        <f>0-AB13-AA13</f>
        <v>0</v>
      </c>
      <c r="AD13" s="19">
        <f t="shared" si="4"/>
        <v>0</v>
      </c>
      <c r="AE13" s="215">
        <v>0</v>
      </c>
      <c r="AF13" s="19">
        <v>0</v>
      </c>
      <c r="AG13" s="19">
        <f>0-AF13</f>
        <v>0</v>
      </c>
      <c r="AH13" s="19">
        <f>0-AG13-AF13</f>
        <v>0</v>
      </c>
      <c r="AI13" s="19">
        <f t="shared" si="5"/>
        <v>0</v>
      </c>
      <c r="AJ13" s="215">
        <v>0</v>
      </c>
      <c r="AK13" s="19">
        <v>0</v>
      </c>
      <c r="AL13" s="19">
        <f>0-AK13</f>
        <v>0</v>
      </c>
      <c r="AM13" s="19">
        <f>0-AL13-AK13</f>
        <v>0</v>
      </c>
      <c r="AN13" s="19">
        <f t="shared" si="6"/>
        <v>0</v>
      </c>
      <c r="AO13" s="215">
        <v>0</v>
      </c>
      <c r="AP13" s="19">
        <v>0</v>
      </c>
      <c r="AQ13" s="19">
        <f>0-AP13</f>
        <v>0</v>
      </c>
      <c r="AR13" s="19">
        <f t="shared" si="12"/>
        <v>0</v>
      </c>
      <c r="AS13" s="19">
        <f t="shared" si="7"/>
        <v>0</v>
      </c>
      <c r="AT13" s="215">
        <v>0</v>
      </c>
      <c r="AU13" s="19">
        <v>0</v>
      </c>
      <c r="AV13" s="19">
        <f t="shared" si="13"/>
        <v>0</v>
      </c>
      <c r="AW13" s="19">
        <f>0-AV13-AU13</f>
        <v>0</v>
      </c>
      <c r="AX13" s="19">
        <f t="shared" si="8"/>
        <v>0</v>
      </c>
      <c r="AY13" s="215">
        <v>0</v>
      </c>
      <c r="AZ13" s="19">
        <v>0</v>
      </c>
      <c r="BA13" s="19">
        <f t="shared" si="15"/>
        <v>0</v>
      </c>
      <c r="BB13" s="19">
        <f>0-BA13-AZ13</f>
        <v>0</v>
      </c>
      <c r="BC13" s="19">
        <f t="shared" si="9"/>
        <v>0</v>
      </c>
      <c r="BD13" s="215">
        <v>0</v>
      </c>
      <c r="BE13" s="19">
        <v>0</v>
      </c>
      <c r="BF13" s="19">
        <f>0-BE13</f>
        <v>0</v>
      </c>
      <c r="BG13" s="19">
        <f>0-SUM(BE13:BF13)</f>
        <v>0</v>
      </c>
      <c r="BH13" s="132">
        <v>0</v>
      </c>
      <c r="BI13" s="215">
        <f>SUM(BE13:BH13)</f>
        <v>0</v>
      </c>
      <c r="BJ13" s="285">
        <v>0</v>
      </c>
      <c r="BK13" s="132">
        <v>0</v>
      </c>
      <c r="BL13" s="132">
        <v>0</v>
      </c>
      <c r="BM13" s="132">
        <v>0</v>
      </c>
      <c r="BN13" s="215">
        <f>SUM(BJ13:BM13)</f>
        <v>0</v>
      </c>
      <c r="BO13" s="20">
        <v>0</v>
      </c>
      <c r="BP13" s="20">
        <v>0</v>
      </c>
      <c r="BQ13" s="20">
        <v>0</v>
      </c>
      <c r="BR13" s="20">
        <v>0</v>
      </c>
      <c r="BS13" s="215">
        <f>SUM(BO13:BR13)</f>
        <v>0</v>
      </c>
      <c r="BT13" s="20">
        <v>0</v>
      </c>
      <c r="BU13" s="20">
        <v>0</v>
      </c>
      <c r="BV13" s="20">
        <v>0</v>
      </c>
      <c r="BW13" s="20">
        <v>0</v>
      </c>
      <c r="BX13" s="215">
        <f>SUM(BT13:BW13)</f>
        <v>0</v>
      </c>
      <c r="BY13" s="20">
        <v>0</v>
      </c>
      <c r="BZ13" s="20">
        <v>0</v>
      </c>
      <c r="CA13" s="20">
        <v>0</v>
      </c>
      <c r="CB13" s="20">
        <v>0</v>
      </c>
      <c r="CC13" s="215">
        <f>SUM(BY13:CB13)</f>
        <v>0</v>
      </c>
      <c r="CD13" s="20">
        <v>0</v>
      </c>
      <c r="CE13" s="20">
        <v>0</v>
      </c>
      <c r="CF13" s="20">
        <v>0</v>
      </c>
      <c r="CG13" s="20">
        <v>0</v>
      </c>
      <c r="CH13" s="215">
        <f>SUM(CD13:CG13)</f>
        <v>0</v>
      </c>
      <c r="CI13" s="20">
        <v>0</v>
      </c>
      <c r="CJ13" s="20">
        <v>0</v>
      </c>
      <c r="CK13" s="20">
        <v>0</v>
      </c>
      <c r="CL13" s="20">
        <v>0</v>
      </c>
      <c r="CM13" s="215">
        <f>SUM(CI13:CL13)</f>
        <v>0</v>
      </c>
      <c r="CN13" s="20">
        <v>0</v>
      </c>
      <c r="CO13" s="20">
        <v>0</v>
      </c>
      <c r="CP13" s="20">
        <v>0</v>
      </c>
      <c r="CQ13" s="20">
        <v>0</v>
      </c>
      <c r="CR13" s="215">
        <f>SUM(CN13:CQ13)</f>
        <v>0</v>
      </c>
      <c r="CS13" s="20">
        <v>0</v>
      </c>
      <c r="CT13" s="20">
        <v>0</v>
      </c>
      <c r="CU13" s="20">
        <v>0</v>
      </c>
      <c r="CV13" s="20">
        <v>0</v>
      </c>
      <c r="CW13" s="215">
        <f>SUM(CS13:CV13)</f>
        <v>0</v>
      </c>
      <c r="CX13" s="20">
        <v>0</v>
      </c>
      <c r="CY13" s="20">
        <v>0</v>
      </c>
      <c r="CZ13" s="20">
        <v>0</v>
      </c>
      <c r="DA13" s="20">
        <v>0</v>
      </c>
      <c r="DB13" s="215">
        <f>SUM(CX13:DA13)</f>
        <v>0</v>
      </c>
    </row>
    <row r="14" spans="1:106" s="11" customFormat="1">
      <c r="A14" s="11" t="s">
        <v>70</v>
      </c>
      <c r="C14" s="155">
        <f>0.452-0.534+0.315</f>
        <v>0.23299999999999998</v>
      </c>
      <c r="D14" s="155">
        <f>0.99-1.242+0.206-C14</f>
        <v>-0.27900000000000003</v>
      </c>
      <c r="E14" s="19">
        <f t="shared" si="0"/>
        <v>1.952</v>
      </c>
      <c r="F14" s="215">
        <f>0.011+1.664-0.118+0.349</f>
        <v>1.9059999999999999</v>
      </c>
      <c r="G14" s="19">
        <f>0.963+0.091+1.8</f>
        <v>2.8540000000000001</v>
      </c>
      <c r="H14" s="155">
        <f>-0.005+3.925+2.122+0.119-G14</f>
        <v>3.3069999999999995</v>
      </c>
      <c r="I14" s="155">
        <f>0.028 - 0.002+1.258+1.509+0.312+0.279-H14-G14</f>
        <v>-2.7769999999999997</v>
      </c>
      <c r="J14" s="19">
        <f t="shared" si="1"/>
        <v>6.8460000000000001</v>
      </c>
      <c r="K14" s="215">
        <f>0.028+0.288-0.002+1.557+1.481-0.964+0.529+7.313</f>
        <v>10.23</v>
      </c>
      <c r="L14" s="19">
        <f>-0.51+0.234+0.364-0.084+0.02</f>
        <v>2.3999999999999962E-2</v>
      </c>
      <c r="M14" s="19">
        <f>0.761+0.02+0.237-0.112+0.306+0.479-L14</f>
        <v>1.6669999999999998</v>
      </c>
      <c r="N14" s="19">
        <f>1.145+0.407+0.383-0.192-0.091+0.354-M14-L14</f>
        <v>0.31500000000000045</v>
      </c>
      <c r="O14" s="19">
        <f t="shared" si="2"/>
        <v>5.1559999999999997</v>
      </c>
      <c r="P14" s="215">
        <f>1.445-0.191+2.138+2.11+0.143+0.984+0.533</f>
        <v>7.1619999999999999</v>
      </c>
      <c r="Q14" s="19">
        <f>0.269+0.145+0.012+0.576+0.184+0.04-1.042-0.101</f>
        <v>8.2999999999999935E-2</v>
      </c>
      <c r="R14" s="19">
        <f>0.515+0.187+0.012+0.576+0.399+0.047-0.32-0.24-Q14</f>
        <v>1.093</v>
      </c>
      <c r="S14" s="19">
        <f>0.703+0.051+0.413+0.012+0.576+1.825+0.055+0.397-0.093-R14-Q14</f>
        <v>2.7630000000000003</v>
      </c>
      <c r="T14" s="19">
        <f t="shared" si="10"/>
        <v>-2.2910000000000004</v>
      </c>
      <c r="U14" s="215">
        <f>0.576+0.502+0.143+0.857+0.064+0.012-1.148+0.488+0.154</f>
        <v>1.6479999999999999</v>
      </c>
      <c r="V14" s="19">
        <f>0.144+0.098+0.013+0.045+1.544+0.032+0.108+0.048</f>
        <v>2.032</v>
      </c>
      <c r="W14" s="19">
        <f>0.31+0.195+0.02+0.152-0.012+1.544+0.032+4.119-0.058-V14</f>
        <v>4.2699999999999996</v>
      </c>
      <c r="X14" s="19">
        <f>0.264+0.293+0.189+0.23-0.012+1.544+0.042+4.119+0.152-W14-V14</f>
        <v>0.51900000000000013</v>
      </c>
      <c r="Y14" s="19">
        <f t="shared" si="3"/>
        <v>1.897000000000002</v>
      </c>
      <c r="Z14" s="215">
        <f>1.544+0.265-0.041+0.238+0.043-0.012+4.118+2.172+0.391</f>
        <v>8.7180000000000017</v>
      </c>
      <c r="AA14" s="19">
        <f>1.89+0.07+0.098+0.101+0.008</f>
        <v>2.1669999999999998</v>
      </c>
      <c r="AB14" s="19">
        <f>3.849+0.151+0.215+0.212+0.203-AA14</f>
        <v>2.4630000000000001</v>
      </c>
      <c r="AC14" s="19">
        <f>5.807+0.4+0.336+0.719+1.31+0.361+0.497-0.022-14.388-AB14-AA14</f>
        <v>-9.61</v>
      </c>
      <c r="AD14" s="19">
        <f t="shared" si="4"/>
        <v>2.8080000000000007</v>
      </c>
      <c r="AE14" s="215">
        <f>7.748+1.671+0.321+1.141+0.945-0.016+0.457-0.051-14.388</f>
        <v>-2.1719999999999988</v>
      </c>
      <c r="AF14" s="19">
        <f>-0.064+0.721+1.94+0.121-0.057+1.387</f>
        <v>4.048</v>
      </c>
      <c r="AG14" s="19">
        <f>1.887+3.88+2.18-0.341+5.848+1.445-AF14</f>
        <v>10.850999999999999</v>
      </c>
      <c r="AH14" s="19">
        <f>3.333+5.819+0.149-0.18-0.135+1.445+5.848+4.514-AG14-AF14</f>
        <v>5.8940000000000001</v>
      </c>
      <c r="AI14" s="19">
        <f t="shared" si="5"/>
        <v>6.7839999999999989</v>
      </c>
      <c r="AJ14" s="215">
        <f>7.834-0.163+5.761-0.105+0.149-0.149+1.354+5.848+7.048</f>
        <v>27.576999999999998</v>
      </c>
      <c r="AK14" s="19">
        <f>2.097+2.671+0.304+0.316+0.056</f>
        <v>5.444</v>
      </c>
      <c r="AL14" s="19">
        <f>3.79-0.035+5.357+0.61+0.612+0.117+0.063-AK14</f>
        <v>5.0700000000000012</v>
      </c>
      <c r="AM14" s="19">
        <f>35.604+5.707-0.058+8.106+0.917+0.726+0.133+0.38-AL14-AK14</f>
        <v>41.001000000000005</v>
      </c>
      <c r="AN14" s="19">
        <f t="shared" si="6"/>
        <v>4.5649999999999906</v>
      </c>
      <c r="AO14" s="215">
        <f>35.604+10.926+0.628+7.814-0.046-0.011+1.227+0.094-0.156</f>
        <v>56.08</v>
      </c>
      <c r="AP14" s="19">
        <f>1.79+3.305+0.312+0.128+0.004+0.331-0.281+0.046+0.143</f>
        <v>5.7780000000000014</v>
      </c>
      <c r="AQ14" s="19">
        <f>2.96+6.652+0.625+0.181+0.039+1.501+0.203-AP14</f>
        <v>6.3829999999999965</v>
      </c>
      <c r="AR14" s="19">
        <f>3.971+9.989+0.941-0.148+0.1+2.615-0.012+0.532-AQ14-AP14</f>
        <v>5.8270000000000062</v>
      </c>
      <c r="AS14" s="19">
        <f t="shared" si="7"/>
        <v>13.903999999999996</v>
      </c>
      <c r="AT14" s="215">
        <f>9.29+13.77-0.24+4.837+0.906-0.002+1.259+0.302+1.77</f>
        <v>31.891999999999999</v>
      </c>
      <c r="AU14" s="19">
        <f>2.679+0.787+3.806+0.32+0.265+0.048</f>
        <v>7.9050000000000002</v>
      </c>
      <c r="AV14" s="19">
        <f>2.679+1.45+7.451+0.642+0.265+0.068-AU14</f>
        <v>4.6499999999999977</v>
      </c>
      <c r="AW14" s="19">
        <f>2.679+1.929+11.011+0.966+0.265+0.085-AV14-AU14</f>
        <v>4.3800000000000034</v>
      </c>
      <c r="AX14" s="19">
        <f t="shared" si="8"/>
        <v>2.9589999999999996</v>
      </c>
      <c r="AY14" s="215">
        <f>2.679+14.519+1.087+0.265+1.292+0.052</f>
        <v>19.894000000000002</v>
      </c>
      <c r="AZ14" s="19">
        <f>-0.46+3.593+0.328+0.359-0.001</f>
        <v>3.819</v>
      </c>
      <c r="BA14" s="19">
        <f>-0.556+7.204+0.658+0.377-0.013-AZ14</f>
        <v>3.851</v>
      </c>
      <c r="BB14" s="19">
        <f>11.169-0.633-0.08+0.991+0.356+2.68-BA14-AZ14</f>
        <v>6.8130000000000015</v>
      </c>
      <c r="BC14" s="19">
        <f t="shared" si="9"/>
        <v>4.07</v>
      </c>
      <c r="BD14" s="215">
        <f>15.325-0.618+0.462+0.991+2.835-0.442</f>
        <v>18.553000000000001</v>
      </c>
      <c r="BE14" s="19">
        <f>0.009+4.389-0.361-3.235+0.138-0.017</f>
        <v>0.92300000000000093</v>
      </c>
      <c r="BF14" s="19">
        <f>0.019+9.348-0.722-3.235+0.032-0.024-BE14</f>
        <v>4.495000000000001</v>
      </c>
      <c r="BG14" s="19">
        <f>0.032+14.751-1.084-3.235+0.049-0.02-SUM(BE14:BF14)</f>
        <v>5.0749999999999984</v>
      </c>
      <c r="BH14" s="132">
        <f>'Other Accts'!BH33</f>
        <v>0</v>
      </c>
      <c r="BI14" s="215">
        <f>SUM(BE14:BH14)</f>
        <v>10.493</v>
      </c>
      <c r="BJ14" s="285">
        <f>'Other Accts'!BJ33</f>
        <v>0</v>
      </c>
      <c r="BK14" s="132">
        <f>'Other Accts'!BK33</f>
        <v>0</v>
      </c>
      <c r="BL14" s="132">
        <f>'Other Accts'!BL33</f>
        <v>0</v>
      </c>
      <c r="BM14" s="132">
        <f>'Other Accts'!BM33</f>
        <v>0</v>
      </c>
      <c r="BN14" s="215">
        <f>SUM(BJ14:BM14)</f>
        <v>0</v>
      </c>
      <c r="BO14" s="20">
        <f>'Other Accts'!BO33</f>
        <v>0</v>
      </c>
      <c r="BP14" s="20">
        <f>'Other Accts'!BP33</f>
        <v>0</v>
      </c>
      <c r="BQ14" s="20">
        <f>'Other Accts'!BQ33</f>
        <v>0</v>
      </c>
      <c r="BR14" s="20">
        <f>'Other Accts'!BR33</f>
        <v>0</v>
      </c>
      <c r="BS14" s="215">
        <f>SUM(BO14:BR14)</f>
        <v>0</v>
      </c>
      <c r="BT14" s="20">
        <f>'Other Accts'!BT33</f>
        <v>0</v>
      </c>
      <c r="BU14" s="20">
        <f>'Other Accts'!BU33</f>
        <v>0</v>
      </c>
      <c r="BV14" s="20">
        <f>'Other Accts'!BV33</f>
        <v>0</v>
      </c>
      <c r="BW14" s="20">
        <f>'Other Accts'!BW33</f>
        <v>0</v>
      </c>
      <c r="BX14" s="215">
        <f>SUM(BT14:BW14)</f>
        <v>0</v>
      </c>
      <c r="BY14" s="20">
        <f>'Other Accts'!BY33</f>
        <v>0</v>
      </c>
      <c r="BZ14" s="20">
        <f>'Other Accts'!BZ33</f>
        <v>0</v>
      </c>
      <c r="CA14" s="20">
        <f>'Other Accts'!CA33</f>
        <v>0</v>
      </c>
      <c r="CB14" s="20">
        <f>'Other Accts'!CB33</f>
        <v>0</v>
      </c>
      <c r="CC14" s="215">
        <f>SUM(BY14:CB14)</f>
        <v>0</v>
      </c>
      <c r="CD14" s="20">
        <f>'Other Accts'!CD33</f>
        <v>0</v>
      </c>
      <c r="CE14" s="20">
        <f>'Other Accts'!CE33</f>
        <v>0</v>
      </c>
      <c r="CF14" s="20">
        <f>'Other Accts'!CF33</f>
        <v>0</v>
      </c>
      <c r="CG14" s="20">
        <f>'Other Accts'!CG33</f>
        <v>0</v>
      </c>
      <c r="CH14" s="215">
        <f>SUM(CD14:CG14)</f>
        <v>0</v>
      </c>
      <c r="CI14" s="20">
        <f>'Other Accts'!CI33</f>
        <v>0</v>
      </c>
      <c r="CJ14" s="20">
        <f>'Other Accts'!CJ33</f>
        <v>0</v>
      </c>
      <c r="CK14" s="20">
        <f>'Other Accts'!CK33</f>
        <v>0</v>
      </c>
      <c r="CL14" s="20">
        <f>'Other Accts'!CL33</f>
        <v>0</v>
      </c>
      <c r="CM14" s="215">
        <f>SUM(CI14:CL14)</f>
        <v>0</v>
      </c>
      <c r="CN14" s="20">
        <f>'Other Accts'!CN33</f>
        <v>0</v>
      </c>
      <c r="CO14" s="20">
        <f>'Other Accts'!CO33</f>
        <v>0</v>
      </c>
      <c r="CP14" s="20">
        <f>'Other Accts'!CP33</f>
        <v>0</v>
      </c>
      <c r="CQ14" s="20">
        <f>'Other Accts'!CQ33</f>
        <v>0</v>
      </c>
      <c r="CR14" s="215">
        <f>SUM(CN14:CQ14)</f>
        <v>0</v>
      </c>
      <c r="CS14" s="20">
        <f>'Other Accts'!CS33</f>
        <v>0</v>
      </c>
      <c r="CT14" s="20">
        <f>'Other Accts'!CT33</f>
        <v>0</v>
      </c>
      <c r="CU14" s="20">
        <f>'Other Accts'!CU33</f>
        <v>0</v>
      </c>
      <c r="CV14" s="20">
        <f>'Other Accts'!CV33</f>
        <v>0</v>
      </c>
      <c r="CW14" s="215">
        <f>SUM(CS14:CV14)</f>
        <v>0</v>
      </c>
      <c r="CX14" s="20">
        <f>'Other Accts'!CX33</f>
        <v>0</v>
      </c>
      <c r="CY14" s="20">
        <f>'Other Accts'!CY33</f>
        <v>0</v>
      </c>
      <c r="CZ14" s="20">
        <f>'Other Accts'!CZ33</f>
        <v>0</v>
      </c>
      <c r="DA14" s="20">
        <f>'Other Accts'!DA33</f>
        <v>0</v>
      </c>
      <c r="DB14" s="215">
        <f>SUM(CX14:DA14)</f>
        <v>0</v>
      </c>
    </row>
    <row r="15" spans="1:106" s="11" customFormat="1">
      <c r="C15" s="155"/>
      <c r="D15" s="155"/>
      <c r="E15" s="19"/>
      <c r="F15" s="215"/>
      <c r="G15" s="19"/>
      <c r="H15" s="155"/>
      <c r="I15" s="155"/>
      <c r="J15" s="19"/>
      <c r="K15" s="215"/>
      <c r="L15" s="19"/>
      <c r="M15" s="19"/>
      <c r="N15" s="19"/>
      <c r="O15" s="19"/>
      <c r="P15" s="215"/>
      <c r="Q15" s="19"/>
      <c r="R15" s="19"/>
      <c r="S15" s="19"/>
      <c r="T15" s="19"/>
      <c r="U15" s="215"/>
      <c r="V15" s="19"/>
      <c r="W15" s="19"/>
      <c r="X15" s="19"/>
      <c r="Y15" s="19"/>
      <c r="Z15" s="215"/>
      <c r="AA15" s="19"/>
      <c r="AB15" s="19"/>
      <c r="AC15" s="19"/>
      <c r="AD15" s="19"/>
      <c r="AE15" s="215"/>
      <c r="AF15" s="19"/>
      <c r="AG15" s="19"/>
      <c r="AH15" s="19"/>
      <c r="AI15" s="19"/>
      <c r="AJ15" s="215"/>
      <c r="AK15" s="19"/>
      <c r="AL15" s="19"/>
      <c r="AM15" s="19"/>
      <c r="AN15" s="19"/>
      <c r="AO15" s="215"/>
      <c r="AP15" s="19"/>
      <c r="AQ15" s="19"/>
      <c r="AR15" s="19"/>
      <c r="AS15" s="19"/>
      <c r="AT15" s="215"/>
      <c r="AU15" s="19"/>
      <c r="AV15" s="19"/>
      <c r="AW15" s="19"/>
      <c r="AX15" s="19"/>
      <c r="AY15" s="215"/>
      <c r="AZ15" s="19"/>
      <c r="BA15" s="19"/>
      <c r="BB15" s="19"/>
      <c r="BC15" s="19"/>
      <c r="BD15" s="215"/>
      <c r="BE15" s="19"/>
      <c r="BF15" s="19"/>
      <c r="BG15" s="19"/>
      <c r="BH15" s="20"/>
      <c r="BI15" s="215"/>
      <c r="BJ15" s="276"/>
      <c r="BK15" s="20"/>
      <c r="BL15" s="20"/>
      <c r="BM15" s="20"/>
      <c r="BN15" s="215"/>
      <c r="BO15" s="294"/>
      <c r="BP15" s="20"/>
      <c r="BQ15" s="20"/>
      <c r="BR15" s="20"/>
      <c r="BS15" s="215"/>
      <c r="BT15" s="20"/>
      <c r="BU15" s="20"/>
      <c r="BV15" s="20"/>
      <c r="BW15" s="20"/>
      <c r="BX15" s="215"/>
      <c r="BY15" s="20"/>
      <c r="BZ15" s="20"/>
      <c r="CA15" s="20"/>
      <c r="CB15" s="20"/>
      <c r="CC15" s="215"/>
      <c r="CD15" s="20"/>
      <c r="CE15" s="20"/>
      <c r="CF15" s="20"/>
      <c r="CG15" s="20"/>
      <c r="CH15" s="215"/>
      <c r="CI15" s="20"/>
      <c r="CJ15" s="20"/>
      <c r="CK15" s="20"/>
      <c r="CL15" s="20"/>
      <c r="CM15" s="215"/>
      <c r="CN15" s="20"/>
      <c r="CO15" s="20"/>
      <c r="CP15" s="20"/>
      <c r="CQ15" s="20"/>
      <c r="CR15" s="215"/>
      <c r="CS15" s="20"/>
      <c r="CT15" s="20"/>
      <c r="CU15" s="20"/>
      <c r="CV15" s="20"/>
      <c r="CW15" s="215"/>
      <c r="CX15" s="20"/>
      <c r="CY15" s="20"/>
      <c r="CZ15" s="20"/>
      <c r="DA15" s="20"/>
      <c r="DB15" s="215"/>
    </row>
    <row r="16" spans="1:106" s="11" customFormat="1">
      <c r="A16" s="10" t="s">
        <v>71</v>
      </c>
      <c r="C16" s="19"/>
      <c r="D16" s="19"/>
      <c r="E16" s="19"/>
      <c r="F16" s="215"/>
      <c r="G16" s="19"/>
      <c r="H16" s="19"/>
      <c r="I16" s="19"/>
      <c r="J16" s="19"/>
      <c r="K16" s="215"/>
      <c r="L16" s="19"/>
      <c r="M16" s="19"/>
      <c r="N16" s="19"/>
      <c r="O16" s="19"/>
      <c r="P16" s="215"/>
      <c r="Q16" s="19"/>
      <c r="R16" s="19"/>
      <c r="S16" s="19"/>
      <c r="T16" s="19"/>
      <c r="U16" s="215"/>
      <c r="V16" s="19"/>
      <c r="W16" s="19"/>
      <c r="X16" s="19"/>
      <c r="Y16" s="19"/>
      <c r="Z16" s="215"/>
      <c r="AA16" s="19"/>
      <c r="AB16" s="19"/>
      <c r="AC16" s="19"/>
      <c r="AD16" s="19"/>
      <c r="AE16" s="215"/>
      <c r="AF16" s="19"/>
      <c r="AG16" s="19"/>
      <c r="AH16" s="19"/>
      <c r="AI16" s="19"/>
      <c r="AJ16" s="215"/>
      <c r="AK16" s="19"/>
      <c r="AL16" s="19"/>
      <c r="AM16" s="19"/>
      <c r="AN16" s="19"/>
      <c r="AO16" s="215"/>
      <c r="AP16" s="19"/>
      <c r="AQ16" s="19"/>
      <c r="AR16" s="19"/>
      <c r="AS16" s="19"/>
      <c r="AT16" s="215"/>
      <c r="AU16" s="19"/>
      <c r="AV16" s="19"/>
      <c r="AW16" s="19"/>
      <c r="AX16" s="19"/>
      <c r="AY16" s="215"/>
      <c r="AZ16" s="19"/>
      <c r="BA16" s="19"/>
      <c r="BB16" s="19"/>
      <c r="BC16" s="19"/>
      <c r="BD16" s="215"/>
      <c r="BE16" s="19"/>
      <c r="BF16" s="19"/>
      <c r="BG16" s="19"/>
      <c r="BH16" s="19"/>
      <c r="BI16" s="215"/>
      <c r="BJ16" s="275"/>
      <c r="BK16" s="19"/>
      <c r="BL16" s="19"/>
      <c r="BM16" s="19"/>
      <c r="BN16" s="215"/>
      <c r="BO16" s="19"/>
      <c r="BP16" s="19"/>
      <c r="BQ16" s="19"/>
      <c r="BR16" s="19"/>
      <c r="BS16" s="215"/>
      <c r="BT16" s="19"/>
      <c r="BU16" s="19"/>
      <c r="BV16" s="19"/>
      <c r="BW16" s="19"/>
      <c r="BX16" s="215"/>
      <c r="BY16" s="19"/>
      <c r="BZ16" s="19"/>
      <c r="CA16" s="19"/>
      <c r="CB16" s="19"/>
      <c r="CC16" s="215"/>
      <c r="CD16" s="19"/>
      <c r="CE16" s="19"/>
      <c r="CF16" s="19"/>
      <c r="CG16" s="19"/>
      <c r="CH16" s="215"/>
      <c r="CI16" s="19"/>
      <c r="CJ16" s="19"/>
      <c r="CK16" s="19"/>
      <c r="CL16" s="19"/>
      <c r="CM16" s="215"/>
      <c r="CN16" s="19"/>
      <c r="CO16" s="19"/>
      <c r="CP16" s="19"/>
      <c r="CQ16" s="19"/>
      <c r="CR16" s="215"/>
      <c r="CS16" s="19"/>
      <c r="CT16" s="19"/>
      <c r="CU16" s="19"/>
      <c r="CV16" s="19"/>
      <c r="CW16" s="215"/>
      <c r="CX16" s="19"/>
      <c r="CY16" s="19"/>
      <c r="CZ16" s="19"/>
      <c r="DA16" s="19"/>
      <c r="DB16" s="215"/>
    </row>
    <row r="17" spans="1:106" s="11" customFormat="1">
      <c r="A17" s="11" t="s">
        <v>72</v>
      </c>
      <c r="C17" s="19">
        <v>-2.8069999999999999</v>
      </c>
      <c r="D17" s="19">
        <f>-0.371-C17</f>
        <v>2.4359999999999999</v>
      </c>
      <c r="E17" s="19">
        <f>F17-SUM(C17:D17)</f>
        <v>0.71199999999999997</v>
      </c>
      <c r="F17" s="215">
        <v>0.34100000000000003</v>
      </c>
      <c r="G17" s="19">
        <v>0.46300000000000002</v>
      </c>
      <c r="H17" s="19">
        <f>0.549-G17</f>
        <v>8.6000000000000021E-2</v>
      </c>
      <c r="I17" s="19">
        <f>-0.157-H17-G17</f>
        <v>-0.70600000000000007</v>
      </c>
      <c r="J17" s="19">
        <f>K17-SUM(G17:I17)</f>
        <v>-0.29299999999999998</v>
      </c>
      <c r="K17" s="215">
        <v>-0.45</v>
      </c>
      <c r="L17" s="19">
        <f>-0.478</f>
        <v>-0.47799999999999998</v>
      </c>
      <c r="M17" s="19">
        <f>-0.789-L17</f>
        <v>-0.31100000000000005</v>
      </c>
      <c r="N17" s="19">
        <f>-3.9-M17-L17</f>
        <v>-3.1109999999999998</v>
      </c>
      <c r="O17" s="19">
        <f>P17-SUM(L17:N17)</f>
        <v>-4.6180000000000003</v>
      </c>
      <c r="P17" s="215">
        <v>-8.5180000000000007</v>
      </c>
      <c r="Q17" s="19">
        <v>6.0190000000000001</v>
      </c>
      <c r="R17" s="19">
        <f>6.53-Q17</f>
        <v>0.51100000000000012</v>
      </c>
      <c r="S17" s="19">
        <f>6.147-R17-Q17</f>
        <v>-0.38300000000000001</v>
      </c>
      <c r="T17" s="19">
        <f>U17-SUM(Q17:S17)</f>
        <v>-1.1459999999999999</v>
      </c>
      <c r="U17" s="215">
        <v>5.0010000000000003</v>
      </c>
      <c r="V17" s="19">
        <v>-6.2839999999999998</v>
      </c>
      <c r="W17" s="19">
        <f>-12.854-V17</f>
        <v>-6.5699999999999994</v>
      </c>
      <c r="X17" s="19">
        <f>-16.46-W17-V17</f>
        <v>-3.6060000000000008</v>
      </c>
      <c r="Y17" s="19">
        <f>Z17-SUM(V17:X17)</f>
        <v>-1.6329999999999991</v>
      </c>
      <c r="Z17" s="215">
        <v>-18.093</v>
      </c>
      <c r="AA17" s="19">
        <v>2.145</v>
      </c>
      <c r="AB17" s="19">
        <f>-0.829-AA17</f>
        <v>-2.9740000000000002</v>
      </c>
      <c r="AC17" s="19">
        <f>-2.491-AB17-AA17</f>
        <v>-1.6619999999999999</v>
      </c>
      <c r="AD17" s="19">
        <f>AE17-SUM(AA17:AC17)</f>
        <v>4.9090000000000007</v>
      </c>
      <c r="AE17" s="215">
        <v>2.4180000000000001</v>
      </c>
      <c r="AF17" s="19">
        <v>-8.7859999999999996</v>
      </c>
      <c r="AG17" s="19">
        <f>-5.972-AF17</f>
        <v>2.8139999999999992</v>
      </c>
      <c r="AH17" s="19">
        <f>-17.94-AG17-AF17</f>
        <v>-11.968000000000002</v>
      </c>
      <c r="AI17" s="19">
        <f>AJ17-SUM(AF17:AH17)</f>
        <v>-7.8909999999999982</v>
      </c>
      <c r="AJ17" s="215">
        <v>-25.831</v>
      </c>
      <c r="AK17" s="19">
        <v>-8.9969999999999999</v>
      </c>
      <c r="AL17" s="19">
        <f>-21.628-AK17</f>
        <v>-12.631</v>
      </c>
      <c r="AM17" s="19">
        <f>-32.232-AL17-AK17</f>
        <v>-10.603999999999999</v>
      </c>
      <c r="AN17" s="19">
        <f>AO17-SUM(AK17:AM17)</f>
        <v>-11.121000000000002</v>
      </c>
      <c r="AO17" s="215">
        <v>-43.353000000000002</v>
      </c>
      <c r="AP17" s="19">
        <v>-46.119</v>
      </c>
      <c r="AQ17" s="19">
        <f>-87.738-AP17</f>
        <v>-41.619</v>
      </c>
      <c r="AR17" s="19">
        <f>-116.903-AQ17-AP17</f>
        <v>-29.165000000000006</v>
      </c>
      <c r="AS17" s="19">
        <f>AT17-SUM(AP17:AR17)</f>
        <v>-7.1779999999999973</v>
      </c>
      <c r="AT17" s="215">
        <v>-124.081</v>
      </c>
      <c r="AU17" s="19">
        <v>-2.4</v>
      </c>
      <c r="AV17" s="19">
        <f>-15.68-AU17</f>
        <v>-13.28</v>
      </c>
      <c r="AW17" s="19">
        <f>-10.762-AV17-AU17</f>
        <v>4.9179999999999993</v>
      </c>
      <c r="AX17" s="19">
        <f>AY17-SUM(AU17:AW17)</f>
        <v>-23.142000000000003</v>
      </c>
      <c r="AY17" s="215">
        <v>-33.904000000000003</v>
      </c>
      <c r="AZ17" s="19">
        <v>-10.459</v>
      </c>
      <c r="BA17" s="19">
        <f>-57.647-AZ17</f>
        <v>-47.188000000000002</v>
      </c>
      <c r="BB17" s="19">
        <f>-28.587-BA17-AZ17</f>
        <v>29.060000000000002</v>
      </c>
      <c r="BC17" s="19">
        <f>BD17-SUM(AZ17:BB17)</f>
        <v>-7.2889999999999944</v>
      </c>
      <c r="BD17" s="215">
        <v>-35.875999999999998</v>
      </c>
      <c r="BE17" s="19">
        <v>-4.0679999999999996</v>
      </c>
      <c r="BF17" s="19">
        <f>4.941-BE17</f>
        <v>9.0090000000000003</v>
      </c>
      <c r="BG17" s="19">
        <f>27.786-SUM(BE17:BF17)</f>
        <v>22.844999999999999</v>
      </c>
      <c r="BH17" s="19">
        <f>BS!BG10-BS!BH10</f>
        <v>-10.149000000000001</v>
      </c>
      <c r="BI17" s="215">
        <f t="shared" ref="BI17:BI22" si="38">SUM(BE17:BH17)</f>
        <v>17.637</v>
      </c>
      <c r="BJ17" s="275">
        <f>BS!BI10-BS!BJ10</f>
        <v>51.130226939949381</v>
      </c>
      <c r="BK17" s="19">
        <f>BS!BJ10-BS!BK10</f>
        <v>-10.533121787496214</v>
      </c>
      <c r="BL17" s="19">
        <f>BS!BK10-BS!BL10</f>
        <v>-8.5554919375346401</v>
      </c>
      <c r="BM17" s="19">
        <f>BS!BL10-BS!BM10</f>
        <v>-5.0489154194011689</v>
      </c>
      <c r="BN17" s="215">
        <f t="shared" ref="BN17:BN22" si="39">SUM(BJ17:BM17)</f>
        <v>26.992697795517358</v>
      </c>
      <c r="BO17" s="19">
        <f>BS!BN10-BS!BO10</f>
        <v>-14.76103584651662</v>
      </c>
      <c r="BP17" s="19">
        <f>BS!BO10-BS!BP10</f>
        <v>-11.410324046767016</v>
      </c>
      <c r="BQ17" s="19">
        <f>BS!BP10-BS!BQ10</f>
        <v>-11.573258513633505</v>
      </c>
      <c r="BR17" s="19">
        <f>BS!BQ10-BS!BR10</f>
        <v>-9.9157313716848989</v>
      </c>
      <c r="BS17" s="215">
        <f t="shared" ref="BS17:BS22" si="40">SUM(BO17:BR17)</f>
        <v>-47.66034977860204</v>
      </c>
      <c r="BT17" s="19">
        <f>BS!BS10-BS!BT10</f>
        <v>-11.63237826233285</v>
      </c>
      <c r="BU17" s="19">
        <f>BS!BT10-BS!BU10</f>
        <v>-12.466732535585152</v>
      </c>
      <c r="BV17" s="19">
        <f>BS!BU10-BS!BV10</f>
        <v>-12.457158608450982</v>
      </c>
      <c r="BW17" s="19">
        <f>BS!BV10-BS!BW10</f>
        <v>-12.920355875106168</v>
      </c>
      <c r="BX17" s="215">
        <f t="shared" ref="BX17:BX22" si="41">SUM(BT17:BW17)</f>
        <v>-49.476625281475151</v>
      </c>
      <c r="BY17" s="19">
        <f>BS!BX10-BS!BY10</f>
        <v>-13.778163005993008</v>
      </c>
      <c r="BZ17" s="19">
        <f>BS!BY10-BS!BZ10</f>
        <v>-13.263030508026475</v>
      </c>
      <c r="CA17" s="19">
        <f>BS!BZ10-BS!CA10</f>
        <v>-13.976651519253892</v>
      </c>
      <c r="CB17" s="19">
        <f>BS!CA10-BS!CB10</f>
        <v>-13.78872763291713</v>
      </c>
      <c r="CC17" s="215">
        <f t="shared" ref="CC17:CC22" si="42">SUM(BY17:CB17)</f>
        <v>-54.806572666190505</v>
      </c>
      <c r="CD17" s="19">
        <f>BS!CC10-BS!CD10</f>
        <v>-14.416411437114277</v>
      </c>
      <c r="CE17" s="19">
        <f>BS!CD10-BS!CE10</f>
        <v>-14.691053075754439</v>
      </c>
      <c r="CF17" s="19">
        <f>BS!CE10-BS!CF10</f>
        <v>-14.718902423783845</v>
      </c>
      <c r="CG17" s="19">
        <f>BS!CF10-BS!CG10</f>
        <v>-15.093875784666352</v>
      </c>
      <c r="CH17" s="215">
        <f t="shared" ref="CH17:CH22" si="43">SUM(CD17:CG17)</f>
        <v>-58.920242721318914</v>
      </c>
      <c r="CI17" s="19">
        <f>BS!CH10-BS!CI10</f>
        <v>-14.532825890818458</v>
      </c>
      <c r="CJ17" s="19">
        <f>BS!CI10-BS!CJ10</f>
        <v>-14.112083002801739</v>
      </c>
      <c r="CK17" s="19">
        <f>BS!CJ10-BS!CK10</f>
        <v>-13.798304291564421</v>
      </c>
      <c r="CL17" s="19">
        <f>BS!CK10-BS!CL10</f>
        <v>-13.474247204215317</v>
      </c>
      <c r="CM17" s="215">
        <f t="shared" ref="CM17:CM22" si="44">SUM(CI17:CL17)</f>
        <v>-55.917460389399935</v>
      </c>
      <c r="CN17" s="19">
        <f>BS!CM10-BS!CN10</f>
        <v>-13.879994264016659</v>
      </c>
      <c r="CO17" s="19">
        <f>BS!CN10-BS!CO10</f>
        <v>-13.880060430268941</v>
      </c>
      <c r="CP17" s="19">
        <f>BS!CO10-BS!CP10</f>
        <v>-13.969171684416665</v>
      </c>
      <c r="CQ17" s="19">
        <f>BS!CP10-BS!CQ10</f>
        <v>-14.068532561728944</v>
      </c>
      <c r="CR17" s="215">
        <f t="shared" ref="CR17:CR22" si="45">SUM(CN17:CQ17)</f>
        <v>-55.797758940431208</v>
      </c>
      <c r="CS17" s="19">
        <f>BS!CR10-BS!CS10</f>
        <v>-14.55924991637653</v>
      </c>
      <c r="CT17" s="19">
        <f>BS!CS10-BS!CT10</f>
        <v>-14.630348385611228</v>
      </c>
      <c r="CU17" s="19">
        <f>BS!CT10-BS!CU10</f>
        <v>-14.815136884531967</v>
      </c>
      <c r="CV17" s="19">
        <f>BS!CU10-BS!CV10</f>
        <v>-14.987705124051217</v>
      </c>
      <c r="CW17" s="215">
        <f t="shared" ref="CW17:CW22" si="46">SUM(CS17:CV17)</f>
        <v>-58.992440310570942</v>
      </c>
      <c r="CX17" s="19">
        <f>BS!CW10-BS!CX10</f>
        <v>-14.050073492092451</v>
      </c>
      <c r="CY17" s="19">
        <f>BS!CX10-BS!CY10</f>
        <v>-13.6632927353985</v>
      </c>
      <c r="CZ17" s="19">
        <f>BS!CY10-BS!CZ10</f>
        <v>-13.376517343156934</v>
      </c>
      <c r="DA17" s="19">
        <f>BS!CZ10-BS!DA10</f>
        <v>-13.090675850473644</v>
      </c>
      <c r="DB17" s="215">
        <f t="shared" ref="DB17:DB22" si="47">SUM(CX17:DA17)</f>
        <v>-54.180559421121529</v>
      </c>
    </row>
    <row r="18" spans="1:106" s="11" customFormat="1" ht="12.75" customHeight="1">
      <c r="A18" s="11" t="s">
        <v>20</v>
      </c>
      <c r="C18" s="19">
        <v>-0.106</v>
      </c>
      <c r="D18" s="19">
        <f>-0.052-C18</f>
        <v>5.3999999999999999E-2</v>
      </c>
      <c r="E18" s="19">
        <f>F18-SUM(C18:D18)</f>
        <v>-0.83799999999999997</v>
      </c>
      <c r="F18" s="215">
        <v>-0.89</v>
      </c>
      <c r="G18" s="19">
        <v>-1.78</v>
      </c>
      <c r="H18" s="19">
        <f>-3.091-G18</f>
        <v>-1.3110000000000002</v>
      </c>
      <c r="I18" s="19">
        <f>-1.863-H18-G18</f>
        <v>1.2280000000000002</v>
      </c>
      <c r="J18" s="19">
        <f>K18-SUM(G18:I18)</f>
        <v>4.7919999999999998</v>
      </c>
      <c r="K18" s="215">
        <v>2.9289999999999998</v>
      </c>
      <c r="L18" s="19">
        <v>1.4039999999999999</v>
      </c>
      <c r="M18" s="19">
        <f>-0.8-L18</f>
        <v>-2.2039999999999997</v>
      </c>
      <c r="N18" s="19">
        <f>-1.156-M18-L18</f>
        <v>-0.35600000000000009</v>
      </c>
      <c r="O18" s="19">
        <f>P18-SUM(L18:N18)</f>
        <v>0.72499999999999987</v>
      </c>
      <c r="P18" s="215">
        <v>-0.43099999999999999</v>
      </c>
      <c r="Q18" s="19">
        <v>-1.954</v>
      </c>
      <c r="R18" s="19">
        <f>-1.132-Q18</f>
        <v>0.82200000000000006</v>
      </c>
      <c r="S18" s="19">
        <f>-3.187-R18-Q18</f>
        <v>-2.0550000000000006</v>
      </c>
      <c r="T18" s="19">
        <f>U18-SUM(Q18:S18)</f>
        <v>0.10100000000000042</v>
      </c>
      <c r="U18" s="215">
        <v>-3.0859999999999999</v>
      </c>
      <c r="V18" s="19">
        <v>-2.9590000000000001</v>
      </c>
      <c r="W18" s="19">
        <f>-3.477-V18</f>
        <v>-0.51799999999999979</v>
      </c>
      <c r="X18" s="19">
        <f>-3.477-W18-V18</f>
        <v>0</v>
      </c>
      <c r="Y18" s="19">
        <f>Z18-SUM(V18:X18)</f>
        <v>-1.4230000000000005</v>
      </c>
      <c r="Z18" s="215">
        <v>-4.9000000000000004</v>
      </c>
      <c r="AA18" s="19">
        <v>-0.216</v>
      </c>
      <c r="AB18" s="19">
        <f>-1.815-AA18</f>
        <v>-1.599</v>
      </c>
      <c r="AC18" s="19">
        <f>0.4-AB18-AA18</f>
        <v>2.2150000000000003</v>
      </c>
      <c r="AD18" s="19">
        <f>AE18-SUM(AA18:AC18)</f>
        <v>0.51699999999999968</v>
      </c>
      <c r="AE18" s="215">
        <v>0.91700000000000004</v>
      </c>
      <c r="AF18" s="19">
        <v>-1.7030000000000001</v>
      </c>
      <c r="AG18" s="19">
        <f>-5.41-AF18</f>
        <v>-3.7069999999999999</v>
      </c>
      <c r="AH18" s="19">
        <f>-7.803-AG18-AF18</f>
        <v>-2.3929999999999998</v>
      </c>
      <c r="AI18" s="19">
        <f>AJ18-SUM(AF18:AH18)</f>
        <v>0.32899999999999974</v>
      </c>
      <c r="AJ18" s="215">
        <v>-7.4740000000000002</v>
      </c>
      <c r="AK18" s="19">
        <v>-3.9660000000000002</v>
      </c>
      <c r="AL18" s="19">
        <f>-8.991-AK18</f>
        <v>-5.0249999999999995</v>
      </c>
      <c r="AM18" s="19">
        <f>-8.717-AL18-AK18</f>
        <v>0.27399999999999913</v>
      </c>
      <c r="AN18" s="19">
        <f>AO18-SUM(AK18:AM18)</f>
        <v>1.2110000000000003</v>
      </c>
      <c r="AO18" s="215">
        <v>-7.5060000000000002</v>
      </c>
      <c r="AP18" s="19">
        <v>1.732</v>
      </c>
      <c r="AQ18" s="19">
        <f>-3.737-AP18</f>
        <v>-5.4690000000000003</v>
      </c>
      <c r="AR18" s="19">
        <f>-13.372-AQ18-AP18</f>
        <v>-9.6349999999999998</v>
      </c>
      <c r="AS18" s="19">
        <f>AT18-SUM(AP18:AR18)</f>
        <v>5.1150000000000002</v>
      </c>
      <c r="AT18" s="215">
        <v>-8.2569999999999997</v>
      </c>
      <c r="AU18" s="19">
        <v>-5.2770000000000001</v>
      </c>
      <c r="AV18" s="19">
        <f>-7.281-AU18</f>
        <v>-2.0039999999999996</v>
      </c>
      <c r="AW18" s="19">
        <f>-6.669-AV18-AU18</f>
        <v>0.6120000000000001</v>
      </c>
      <c r="AX18" s="19">
        <f>AY18-SUM(AU18:AW18)</f>
        <v>1.3159999999999998</v>
      </c>
      <c r="AY18" s="215">
        <v>-5.3529999999999998</v>
      </c>
      <c r="AZ18" s="19">
        <v>-2.2650000000000001</v>
      </c>
      <c r="BA18" s="19">
        <f>-0.225-AZ18</f>
        <v>2.04</v>
      </c>
      <c r="BB18" s="19">
        <f>-7.965-BA18-AZ18</f>
        <v>-7.7399999999999984</v>
      </c>
      <c r="BC18" s="19">
        <f>BD18-SUM(AZ18:BB18)</f>
        <v>3.9799999999999982</v>
      </c>
      <c r="BD18" s="215">
        <v>-3.9849999999999999</v>
      </c>
      <c r="BE18" s="19">
        <v>-5.6230000000000002</v>
      </c>
      <c r="BF18" s="19">
        <f>-9.528-BE18</f>
        <v>-3.9050000000000002</v>
      </c>
      <c r="BG18" s="19">
        <f>-19.9-SUM(BE18:BF18)</f>
        <v>-10.371999999999998</v>
      </c>
      <c r="BH18" s="19">
        <f>BS!BG11-BS!BH11</f>
        <v>-3.7989999999999924</v>
      </c>
      <c r="BI18" s="215">
        <f t="shared" si="38"/>
        <v>-23.698999999999991</v>
      </c>
      <c r="BJ18" s="275">
        <f>BS!BI11-BS!BJ11</f>
        <v>12.005494030818518</v>
      </c>
      <c r="BK18" s="19">
        <f>BS!BJ11-BS!BK11</f>
        <v>-2.6076188047460107</v>
      </c>
      <c r="BL18" s="19">
        <f>BS!BK11-BS!BL11</f>
        <v>-1.9543157616629472</v>
      </c>
      <c r="BM18" s="19">
        <f>BS!BL11-BS!BM11</f>
        <v>-0.97051701097349508</v>
      </c>
      <c r="BN18" s="215">
        <f t="shared" si="39"/>
        <v>6.4730424534360651</v>
      </c>
      <c r="BO18" s="19">
        <f>BS!BN11-BS!BO11</f>
        <v>-2.4429906282167195</v>
      </c>
      <c r="BP18" s="19">
        <f>BS!BO11-BS!BP11</f>
        <v>-1.9678815508009677</v>
      </c>
      <c r="BQ18" s="19">
        <f>BS!BP11-BS!BQ11</f>
        <v>-2.1693088687560902</v>
      </c>
      <c r="BR18" s="19">
        <f>BS!BQ11-BS!BR11</f>
        <v>-1.7739479881571754</v>
      </c>
      <c r="BS18" s="215">
        <f t="shared" si="40"/>
        <v>-8.3541290359309528</v>
      </c>
      <c r="BT18" s="19">
        <f>BS!BS11-BS!BT11</f>
        <v>-1.7490969592645769</v>
      </c>
      <c r="BU18" s="19">
        <f>BS!BT11-BS!BU11</f>
        <v>-1.9985538519037931</v>
      </c>
      <c r="BV18" s="19">
        <f>BS!BU11-BS!BV11</f>
        <v>-1.8308319826634545</v>
      </c>
      <c r="BW18" s="19">
        <f>BS!BV11-BS!BW11</f>
        <v>-1.7882580372984336</v>
      </c>
      <c r="BX18" s="215">
        <f t="shared" si="41"/>
        <v>-7.366740831130258</v>
      </c>
      <c r="BY18" s="19">
        <f>BS!BX11-BS!BY11</f>
        <v>-2.1477015002043913</v>
      </c>
      <c r="BZ18" s="19">
        <f>BS!BY11-BS!BZ11</f>
        <v>-2.0536773458664186</v>
      </c>
      <c r="CA18" s="19">
        <f>BS!BZ11-BS!CA11</f>
        <v>-2.1595121765245864</v>
      </c>
      <c r="CB18" s="19">
        <f>BS!CA11-BS!CB11</f>
        <v>-1.9961605694012547</v>
      </c>
      <c r="CC18" s="215">
        <f t="shared" si="42"/>
        <v>-8.357051591996651</v>
      </c>
      <c r="CD18" s="19">
        <f>BS!CC11-BS!CD11</f>
        <v>-2.1359860985422898</v>
      </c>
      <c r="CE18" s="19">
        <f>BS!CD11-BS!CE11</f>
        <v>-2.2305576317354792</v>
      </c>
      <c r="CF18" s="19">
        <f>BS!CE11-BS!CF11</f>
        <v>-2.1582117473051596</v>
      </c>
      <c r="CG18" s="19">
        <f>BS!CF11-BS!CG11</f>
        <v>-2.0974633220540966</v>
      </c>
      <c r="CH18" s="215">
        <f t="shared" si="43"/>
        <v>-8.6222187996370252</v>
      </c>
      <c r="CI18" s="19">
        <f>BS!CH11-BS!CI11</f>
        <v>-2.171826219108695</v>
      </c>
      <c r="CJ18" s="19">
        <f>BS!CI11-BS!CJ11</f>
        <v>-2.1835716536944574</v>
      </c>
      <c r="CK18" s="19">
        <f>BS!CJ11-BS!CK11</f>
        <v>-2.0917871655275491</v>
      </c>
      <c r="CL18" s="19">
        <f>BS!CK11-BS!CL11</f>
        <v>-1.9563598843375303</v>
      </c>
      <c r="CM18" s="215">
        <f t="shared" si="44"/>
        <v>-8.4035449226682317</v>
      </c>
      <c r="CN18" s="19">
        <f>BS!CM11-BS!CN11</f>
        <v>-2.0827557562246568</v>
      </c>
      <c r="CO18" s="19">
        <f>BS!CN11-BS!CO11</f>
        <v>-2.141947062517815</v>
      </c>
      <c r="CP18" s="19">
        <f>BS!CO11-BS!CP11</f>
        <v>-2.0882200373760043</v>
      </c>
      <c r="CQ18" s="19">
        <f>BS!CP11-BS!CQ11</f>
        <v>-2.0001731301909444</v>
      </c>
      <c r="CR18" s="215">
        <f t="shared" si="45"/>
        <v>-8.3130959863094205</v>
      </c>
      <c r="CS18" s="19">
        <f>BS!CR11-BS!CS11</f>
        <v>-2.1364156635292773</v>
      </c>
      <c r="CT18" s="19">
        <f>BS!CS11-BS!CT11</f>
        <v>-2.2016997897118245</v>
      </c>
      <c r="CU18" s="19">
        <f>BS!CT11-BS!CU11</f>
        <v>-2.1583421905268096</v>
      </c>
      <c r="CV18" s="19">
        <f>BS!CU11-BS!CV11</f>
        <v>-2.0710494347324584</v>
      </c>
      <c r="CW18" s="215">
        <f t="shared" si="46"/>
        <v>-8.5675070785003697</v>
      </c>
      <c r="CX18" s="19">
        <f>BS!CW11-BS!CX11</f>
        <v>-2.168710396601071</v>
      </c>
      <c r="CY18" s="19">
        <f>BS!CX11-BS!CY11</f>
        <v>-2.1932373974094048</v>
      </c>
      <c r="CZ18" s="19">
        <f>BS!CY11-BS!CZ11</f>
        <v>-2.1058743400872686</v>
      </c>
      <c r="DA18" s="19">
        <f>BS!CZ11-BS!DA11</f>
        <v>-1.9826842176188677</v>
      </c>
      <c r="DB18" s="215">
        <f t="shared" si="47"/>
        <v>-8.4505063517166121</v>
      </c>
    </row>
    <row r="19" spans="1:106" s="11" customFormat="1" ht="12.75" customHeight="1">
      <c r="A19" s="11" t="s">
        <v>31</v>
      </c>
      <c r="C19" s="19">
        <v>0.40100000000000002</v>
      </c>
      <c r="D19" s="19">
        <f>-3.757-C19</f>
        <v>-4.1580000000000004</v>
      </c>
      <c r="E19" s="19">
        <f>F19-SUM(C19:D19)</f>
        <v>1.3270000000000004</v>
      </c>
      <c r="F19" s="215">
        <v>-2.4300000000000002</v>
      </c>
      <c r="G19" s="19">
        <v>5.718</v>
      </c>
      <c r="H19" s="19">
        <f>2.678-G19</f>
        <v>-3.04</v>
      </c>
      <c r="I19" s="19">
        <f>0.102-H19-G19</f>
        <v>-2.5760000000000001</v>
      </c>
      <c r="J19" s="19">
        <f>K19-SUM(G19:I19)</f>
        <v>1.2520000000000002</v>
      </c>
      <c r="K19" s="215">
        <v>1.3540000000000001</v>
      </c>
      <c r="L19" s="19">
        <v>1.825</v>
      </c>
      <c r="M19" s="19">
        <f>2.15-L19</f>
        <v>0.32499999999999996</v>
      </c>
      <c r="N19" s="19">
        <f>1.653-M19-L19</f>
        <v>-0.49699999999999989</v>
      </c>
      <c r="O19" s="19">
        <f>P19-SUM(L19:N19)</f>
        <v>-0.39700000000000002</v>
      </c>
      <c r="P19" s="215">
        <v>1.256</v>
      </c>
      <c r="Q19" s="19">
        <v>-1.9019999999999999</v>
      </c>
      <c r="R19" s="19">
        <f>2.028-Q19</f>
        <v>3.9299999999999997</v>
      </c>
      <c r="S19" s="19">
        <f>-4.548-R19-Q19</f>
        <v>-6.5759999999999996</v>
      </c>
      <c r="T19" s="19">
        <f>U19-SUM(Q19:S19)</f>
        <v>4.7649999999999997</v>
      </c>
      <c r="U19" s="215">
        <v>0.217</v>
      </c>
      <c r="V19" s="19">
        <v>5.0999999999999997E-2</v>
      </c>
      <c r="W19" s="19">
        <f>-0.784-V19</f>
        <v>-0.83500000000000008</v>
      </c>
      <c r="X19" s="19">
        <f>0.967-W19-V19</f>
        <v>1.7510000000000001</v>
      </c>
      <c r="Y19" s="19">
        <f>Z19-SUM(V19:X19)</f>
        <v>2.8140000000000001</v>
      </c>
      <c r="Z19" s="215">
        <v>3.7810000000000001</v>
      </c>
      <c r="AA19" s="19">
        <v>-5.4660000000000002</v>
      </c>
      <c r="AB19" s="19">
        <f>-6.378-AA19</f>
        <v>-0.91199999999999992</v>
      </c>
      <c r="AC19" s="19">
        <f>-5.194-AB19-AA19</f>
        <v>1.1840000000000002</v>
      </c>
      <c r="AD19" s="19">
        <f>AE19-SUM(AA19:AC19)</f>
        <v>-1.0679999999999996</v>
      </c>
      <c r="AE19" s="215">
        <v>-6.2619999999999996</v>
      </c>
      <c r="AF19" s="19">
        <v>0.217</v>
      </c>
      <c r="AG19" s="19">
        <f>-4.684-AF19</f>
        <v>-4.9009999999999998</v>
      </c>
      <c r="AH19" s="19">
        <f>-1.613-AG19-AF19</f>
        <v>3.0709999999999997</v>
      </c>
      <c r="AI19" s="19">
        <f>AJ19-SUM(AF19:AH19)</f>
        <v>1.4950000000000006</v>
      </c>
      <c r="AJ19" s="215">
        <v>-0.11799999999999999</v>
      </c>
      <c r="AK19" s="19">
        <v>-3.31</v>
      </c>
      <c r="AL19" s="19">
        <f>12.313-AK19</f>
        <v>15.623000000000001</v>
      </c>
      <c r="AM19" s="19">
        <f>0.183-AL19-AK19</f>
        <v>-12.13</v>
      </c>
      <c r="AN19" s="19">
        <f>AO19-SUM(AK19:AM19)</f>
        <v>19.039000000000001</v>
      </c>
      <c r="AO19" s="215">
        <v>19.222000000000001</v>
      </c>
      <c r="AP19" s="19">
        <v>-7.5570000000000004</v>
      </c>
      <c r="AQ19" s="19">
        <f>2.492-AP19</f>
        <v>10.048999999999999</v>
      </c>
      <c r="AR19" s="19">
        <f>8.367-AQ19-AP19</f>
        <v>5.8750000000000018</v>
      </c>
      <c r="AS19" s="19">
        <f>AT19-SUM(AP19:AR19)</f>
        <v>-2.9050000000000011</v>
      </c>
      <c r="AT19" s="215">
        <v>5.4619999999999997</v>
      </c>
      <c r="AU19" s="19">
        <v>5.7619999999999996</v>
      </c>
      <c r="AV19" s="19">
        <f>-9.018-AU19</f>
        <v>-14.780000000000001</v>
      </c>
      <c r="AW19" s="19">
        <f>-8.951-AV19-AU19</f>
        <v>6.7000000000001059E-2</v>
      </c>
      <c r="AX19" s="19">
        <f>AY19-SUM(AU19:AW19)</f>
        <v>-6.5069999999999997</v>
      </c>
      <c r="AY19" s="215">
        <v>-15.458</v>
      </c>
      <c r="AZ19" s="19">
        <v>10.731999999999999</v>
      </c>
      <c r="BA19" s="19">
        <f>16.668-AZ19</f>
        <v>5.9359999999999999</v>
      </c>
      <c r="BB19" s="19">
        <f>10.841-BA19-AZ19</f>
        <v>-5.827</v>
      </c>
      <c r="BC19" s="19">
        <f>BD19-SUM(AZ19:BB19)</f>
        <v>2.3690000000000015</v>
      </c>
      <c r="BD19" s="215">
        <v>13.21</v>
      </c>
      <c r="BE19" s="19">
        <v>2.379</v>
      </c>
      <c r="BF19" s="19">
        <f>6.979-BE19</f>
        <v>4.5999999999999996</v>
      </c>
      <c r="BG19" s="19">
        <f>12.346-SUM(BE19:BF19)</f>
        <v>5.3670000000000009</v>
      </c>
      <c r="BH19" s="19">
        <f>BS!BH25-BS!BG25</f>
        <v>-13.343000000000004</v>
      </c>
      <c r="BI19" s="215">
        <f t="shared" si="38"/>
        <v>-0.99700000000000344</v>
      </c>
      <c r="BJ19" s="275">
        <f>BS!BJ25-BS!BI25</f>
        <v>13.875254974317905</v>
      </c>
      <c r="BK19" s="19">
        <f>BS!BK25-BS!BJ25</f>
        <v>2.1730156706216803</v>
      </c>
      <c r="BL19" s="19">
        <f>BS!BL25-BS!BK25</f>
        <v>1.6285964680524501</v>
      </c>
      <c r="BM19" s="19">
        <f>BS!BM25-BS!BL25</f>
        <v>0.80876417581124826</v>
      </c>
      <c r="BN19" s="215">
        <f t="shared" si="39"/>
        <v>18.485631288803283</v>
      </c>
      <c r="BO19" s="19">
        <f>BS!BO25-BS!BN25</f>
        <v>2.0358255235139282</v>
      </c>
      <c r="BP19" s="19">
        <f>BS!BP25-BS!BO25</f>
        <v>1.6399012923341445</v>
      </c>
      <c r="BQ19" s="19">
        <f>BS!BQ25-BS!BP25</f>
        <v>1.8077573906300799</v>
      </c>
      <c r="BR19" s="19">
        <f>BS!BR25-BS!BQ25</f>
        <v>1.4782899901309676</v>
      </c>
      <c r="BS19" s="215">
        <f t="shared" si="40"/>
        <v>6.9617741966091202</v>
      </c>
      <c r="BT19" s="19">
        <f>BS!BT25-BS!BS25</f>
        <v>1.4575807993871592</v>
      </c>
      <c r="BU19" s="19">
        <f>BS!BU25-BS!BT25</f>
        <v>1.6654615432531656</v>
      </c>
      <c r="BV19" s="19">
        <f>BS!BV25-BS!BU25</f>
        <v>1.5256933188862121</v>
      </c>
      <c r="BW19" s="19">
        <f>BS!BW25-BS!BV25</f>
        <v>1.4902150310820161</v>
      </c>
      <c r="BX19" s="215">
        <f t="shared" si="41"/>
        <v>6.1389506926085531</v>
      </c>
      <c r="BY19" s="19">
        <f>BS!BY25-BS!BX25</f>
        <v>1.7897512501703261</v>
      </c>
      <c r="BZ19" s="19">
        <f>BS!BZ25-BS!BY25</f>
        <v>1.7113977882220155</v>
      </c>
      <c r="CA19" s="19">
        <f>BS!CA25-BS!BZ25</f>
        <v>1.7995934804371672</v>
      </c>
      <c r="CB19" s="19">
        <f>BS!CB25-BS!CA25</f>
        <v>1.6634671411677147</v>
      </c>
      <c r="CC19" s="215">
        <f t="shared" si="42"/>
        <v>6.9642096599972234</v>
      </c>
      <c r="CD19" s="19">
        <f>BS!CD25-BS!CC25</f>
        <v>1.7799884154518963</v>
      </c>
      <c r="CE19" s="19">
        <f>BS!CE25-BS!CD25</f>
        <v>1.8587980264462232</v>
      </c>
      <c r="CF19" s="19">
        <f>BS!CF25-BS!CE25</f>
        <v>1.7985097894209616</v>
      </c>
      <c r="CG19" s="19">
        <f>BS!CG25-BS!CF25</f>
        <v>1.7478861017117708</v>
      </c>
      <c r="CH19" s="215">
        <f t="shared" si="43"/>
        <v>7.185182333030852</v>
      </c>
      <c r="CI19" s="19">
        <f>BS!CI25-BS!CH25</f>
        <v>1.8098551825905673</v>
      </c>
      <c r="CJ19" s="19">
        <f>BS!CJ25-BS!CI25</f>
        <v>1.8196430447453906</v>
      </c>
      <c r="CK19" s="19">
        <f>BS!CK25-BS!CJ25</f>
        <v>1.7431559712729552</v>
      </c>
      <c r="CL19" s="19">
        <f>BS!CL25-BS!CK25</f>
        <v>1.6302999036146133</v>
      </c>
      <c r="CM19" s="215">
        <f t="shared" si="44"/>
        <v>7.0029541022235264</v>
      </c>
      <c r="CN19" s="19">
        <f>BS!CN25-BS!CM25</f>
        <v>1.7356297968538712</v>
      </c>
      <c r="CO19" s="19">
        <f>BS!CO25-BS!CN25</f>
        <v>1.7849558854315148</v>
      </c>
      <c r="CP19" s="19">
        <f>BS!CP25-BS!CO25</f>
        <v>1.7401833644800035</v>
      </c>
      <c r="CQ19" s="19">
        <f>BS!CQ25-BS!CP25</f>
        <v>1.666810941825787</v>
      </c>
      <c r="CR19" s="215">
        <f t="shared" si="45"/>
        <v>6.9275799885911766</v>
      </c>
      <c r="CS19" s="19">
        <f>BS!CS25-BS!CR25</f>
        <v>1.7803463862744024</v>
      </c>
      <c r="CT19" s="19">
        <f>BS!CT25-BS!CS25</f>
        <v>1.8347498247598395</v>
      </c>
      <c r="CU19" s="19">
        <f>BS!CU25-BS!CT25</f>
        <v>1.7986184921056889</v>
      </c>
      <c r="CV19" s="19">
        <f>BS!CV25-BS!CU25</f>
        <v>1.7258745289437059</v>
      </c>
      <c r="CW19" s="215">
        <f t="shared" si="46"/>
        <v>7.1395892320836367</v>
      </c>
      <c r="CX19" s="19">
        <f>BS!CX25-BS!CW25</f>
        <v>1.8072586638342329</v>
      </c>
      <c r="CY19" s="19">
        <f>BS!CY25-BS!CX25</f>
        <v>1.827697831174504</v>
      </c>
      <c r="CZ19" s="19">
        <f>BS!CZ25-BS!CY25</f>
        <v>1.7548952834060572</v>
      </c>
      <c r="DA19" s="19">
        <f>BS!DA25-BS!CZ25</f>
        <v>1.6522368480157184</v>
      </c>
      <c r="DB19" s="215">
        <f t="shared" si="47"/>
        <v>7.0420886264305125</v>
      </c>
    </row>
    <row r="20" spans="1:106" s="11" customFormat="1" ht="12.75" customHeight="1">
      <c r="A20" s="11" t="s">
        <v>32</v>
      </c>
      <c r="C20" s="19">
        <f>0.614+1.284</f>
        <v>1.8980000000000001</v>
      </c>
      <c r="D20" s="19">
        <f>1.789+1.839-C20</f>
        <v>1.73</v>
      </c>
      <c r="E20" s="19">
        <f>F20-SUM(C20:D20)</f>
        <v>3.8160000000000007</v>
      </c>
      <c r="F20" s="215">
        <f>2.994+4.45</f>
        <v>7.4440000000000008</v>
      </c>
      <c r="G20" s="19">
        <f>-0.435-0.455</f>
        <v>-0.89</v>
      </c>
      <c r="H20" s="19">
        <f>1.031+3.683-G20</f>
        <v>5.6039999999999992</v>
      </c>
      <c r="I20" s="19">
        <f>1.647+6.341-H20-G20</f>
        <v>3.2740000000000014</v>
      </c>
      <c r="J20" s="19">
        <f>K20-SUM(G20:I20)</f>
        <v>2.6099999999999977</v>
      </c>
      <c r="K20" s="215">
        <f>2.572+8.026</f>
        <v>10.597999999999999</v>
      </c>
      <c r="L20" s="19">
        <f>1.603+0.347</f>
        <v>1.95</v>
      </c>
      <c r="M20" s="19">
        <f>0.543-0.156-L20</f>
        <v>-1.5629999999999999</v>
      </c>
      <c r="N20" s="19">
        <f>1.662+1.552-M20-L20</f>
        <v>2.827</v>
      </c>
      <c r="O20" s="19">
        <f>P20-SUM(L20:N20)</f>
        <v>6.7119999999999997</v>
      </c>
      <c r="P20" s="215">
        <f>2.515+7.411</f>
        <v>9.9260000000000002</v>
      </c>
      <c r="Q20" s="19">
        <f>-1.739+5.612</f>
        <v>3.8730000000000002</v>
      </c>
      <c r="R20" s="19">
        <f>-2.961+7.493-Q20</f>
        <v>0.65899999999999981</v>
      </c>
      <c r="S20" s="19">
        <f>-1.639+3.724-R20-Q20</f>
        <v>-2.4470000000000001</v>
      </c>
      <c r="T20" s="19">
        <f>U20-SUM(Q20:S20)</f>
        <v>11.367000000000001</v>
      </c>
      <c r="U20" s="215">
        <f>-1.467+14.919</f>
        <v>13.452</v>
      </c>
      <c r="V20" s="19">
        <f>0.333-2.799</f>
        <v>-2.4659999999999997</v>
      </c>
      <c r="W20" s="19">
        <f>-0.984-3.752-V20</f>
        <v>-2.27</v>
      </c>
      <c r="X20" s="19">
        <f>-0.013-3.798-W20-V20</f>
        <v>0.92499999999999982</v>
      </c>
      <c r="Y20" s="19">
        <f>Z20-SUM(V20:X20)</f>
        <v>5.0599999999999996</v>
      </c>
      <c r="Z20" s="215">
        <f>3.069-1.82</f>
        <v>1.2489999999999999</v>
      </c>
      <c r="AA20" s="19">
        <f>-1.85+1.018</f>
        <v>-0.83200000000000007</v>
      </c>
      <c r="AB20" s="19">
        <f>-2.519+2.331-AA20</f>
        <v>0.64399999999999991</v>
      </c>
      <c r="AC20" s="19">
        <f>1.569+1.683-AB20-AA20</f>
        <v>3.4399999999999995</v>
      </c>
      <c r="AD20" s="19">
        <f>AE20-SUM(AA20:AC20)</f>
        <v>8.7730000000000015</v>
      </c>
      <c r="AE20" s="215">
        <f>3.419+8.606</f>
        <v>12.025</v>
      </c>
      <c r="AF20" s="19">
        <f>-0.135+3.348</f>
        <v>3.2130000000000001</v>
      </c>
      <c r="AG20" s="19">
        <f>0.495+6.602-AF20</f>
        <v>3.8840000000000003</v>
      </c>
      <c r="AH20" s="19">
        <f>6.362+16.362-AG20-AF20</f>
        <v>15.626999999999995</v>
      </c>
      <c r="AI20" s="19">
        <f>AJ20-SUM(AF20:AH20)</f>
        <v>1.9000000000000057</v>
      </c>
      <c r="AJ20" s="215">
        <f>14.284+10.34</f>
        <v>24.624000000000002</v>
      </c>
      <c r="AK20" s="19">
        <f>-4.501+18.602</f>
        <v>14.100999999999999</v>
      </c>
      <c r="AL20" s="19">
        <f>0.471+24.374-AK20</f>
        <v>10.744</v>
      </c>
      <c r="AM20" s="19">
        <f>4.96+34.845-AL20-AK20</f>
        <v>14.96</v>
      </c>
      <c r="AN20" s="19">
        <f>AO20-SUM(AK20:AM20)</f>
        <v>3.4460000000000051</v>
      </c>
      <c r="AO20" s="215">
        <f>10.569+32.682</f>
        <v>43.251000000000005</v>
      </c>
      <c r="AP20" s="19">
        <f>-8.545+21.336</f>
        <v>12.790999999999999</v>
      </c>
      <c r="AQ20" s="19">
        <f>-7.982+29.525-AP20</f>
        <v>8.7520000000000007</v>
      </c>
      <c r="AR20" s="19">
        <f>1.285+35.422-AQ20-AP20</f>
        <v>15.163999999999993</v>
      </c>
      <c r="AS20" s="19">
        <f>AT20-SUM(AP20:AR20)</f>
        <v>14.012000000000008</v>
      </c>
      <c r="AT20" s="215">
        <f>3.069+47.65</f>
        <v>50.719000000000001</v>
      </c>
      <c r="AU20" s="19">
        <f>14.993-18.181</f>
        <v>-3.1880000000000006</v>
      </c>
      <c r="AV20" s="19">
        <f>9.936-11.175-AU20</f>
        <v>1.9489999999999998</v>
      </c>
      <c r="AW20" s="19">
        <f>15.177-2.072-AV20-AU20</f>
        <v>14.344000000000001</v>
      </c>
      <c r="AX20" s="19">
        <f>AY20-SUM(AU20:AW20)</f>
        <v>18.861000000000001</v>
      </c>
      <c r="AY20" s="215">
        <f>21.619+10.347</f>
        <v>31.966000000000001</v>
      </c>
      <c r="AZ20" s="19">
        <f>17.789-7.625</f>
        <v>10.164000000000001</v>
      </c>
      <c r="BA20" s="19">
        <f>19.701-10.598-AZ20</f>
        <v>-1.0610000000000017</v>
      </c>
      <c r="BB20" s="19">
        <f>27.265-22.526-BA20-AZ20</f>
        <v>-4.363999999999999</v>
      </c>
      <c r="BC20" s="19">
        <f>BD20-SUM(AZ20:BB20)</f>
        <v>29.213000000000005</v>
      </c>
      <c r="BD20" s="215">
        <f>40.328-6.376</f>
        <v>33.952000000000005</v>
      </c>
      <c r="BE20" s="19">
        <f>17.035+26.866</f>
        <v>43.900999999999996</v>
      </c>
      <c r="BF20" s="19">
        <f>25.787+40.464-BE20</f>
        <v>22.350000000000009</v>
      </c>
      <c r="BG20" s="19">
        <f>48.2+48.197-SUM(BE20:BF20)</f>
        <v>30.146000000000001</v>
      </c>
      <c r="BH20" s="19">
        <f>BS!BH26-BS!BG26</f>
        <v>-12.127999999999986</v>
      </c>
      <c r="BI20" s="215">
        <f>SUM(BE20:BH20)</f>
        <v>84.26900000000002</v>
      </c>
      <c r="BJ20" s="275">
        <f>BS!BJ26-BS!BI26</f>
        <v>70.253728977910328</v>
      </c>
      <c r="BK20" s="19">
        <f>BS!BK26-BS!BJ26</f>
        <v>8.1709340510744823</v>
      </c>
      <c r="BL20" s="19">
        <f>BS!BL26-BS!BK26</f>
        <v>12.023934614913514</v>
      </c>
      <c r="BM20" s="19">
        <f>BS!BM26-BS!BL26</f>
        <v>7.0957730218610777</v>
      </c>
      <c r="BN20" s="215">
        <f t="shared" si="39"/>
        <v>97.544370665759402</v>
      </c>
      <c r="BO20" s="19">
        <f>BS!BO26-BS!BN26</f>
        <v>28.428924380266608</v>
      </c>
      <c r="BP20" s="19">
        <f>BS!BP26-BS!BO26</f>
        <v>8.3524462805644362</v>
      </c>
      <c r="BQ20" s="19">
        <f>BS!BQ26-BS!BP26</f>
        <v>16.265120073214689</v>
      </c>
      <c r="BR20" s="19">
        <f>BS!BR26-BS!BQ26</f>
        <v>13.935622468313909</v>
      </c>
      <c r="BS20" s="215">
        <f t="shared" si="40"/>
        <v>66.982113202359642</v>
      </c>
      <c r="BT20" s="19">
        <f>BS!BT26-BS!BS26</f>
        <v>25.235451348289871</v>
      </c>
      <c r="BU20" s="19">
        <f>BS!BU26-BS!BT26</f>
        <v>8.6335692325678792</v>
      </c>
      <c r="BV20" s="19">
        <f>BS!BV26-BS!BU26</f>
        <v>17.507358044309456</v>
      </c>
      <c r="BW20" s="19">
        <f>BS!BW26-BS!BV26</f>
        <v>18.158337986635615</v>
      </c>
      <c r="BX20" s="215">
        <f t="shared" si="41"/>
        <v>69.534716611802821</v>
      </c>
      <c r="BY20" s="19">
        <f>BS!BY26-BS!BX26</f>
        <v>29.646349096816039</v>
      </c>
      <c r="BZ20" s="19">
        <f>BS!BZ26-BS!BY26</f>
        <v>8.357490436400667</v>
      </c>
      <c r="CA20" s="19">
        <f>BS!CA26-BS!BZ26</f>
        <v>19.642861594626993</v>
      </c>
      <c r="CB20" s="19">
        <f>BS!CB26-BS!CA26</f>
        <v>19.378752348964667</v>
      </c>
      <c r="CC20" s="215">
        <f t="shared" si="42"/>
        <v>77.025453476808366</v>
      </c>
      <c r="CD20" s="19">
        <f>BS!CD26-BS!CC26</f>
        <v>32.041855570211055</v>
      </c>
      <c r="CE20" s="19">
        <f>BS!CE26-BS!CD26</f>
        <v>8.8659323938206853</v>
      </c>
      <c r="CF20" s="19">
        <f>BS!CF26-BS!CE26</f>
        <v>20.686025028020595</v>
      </c>
      <c r="CG20" s="19">
        <f>BS!CG26-BS!CF26</f>
        <v>21.213014616287865</v>
      </c>
      <c r="CH20" s="215">
        <f t="shared" si="43"/>
        <v>82.8068276083402</v>
      </c>
      <c r="CI20" s="19">
        <f>BS!CI26-BS!CH26</f>
        <v>33.801050401768748</v>
      </c>
      <c r="CJ20" s="19">
        <f>BS!CJ26-BS!CI26</f>
        <v>6.4566593946703961</v>
      </c>
      <c r="CK20" s="19">
        <f>BS!CK26-BS!CJ26</f>
        <v>19.392211436793104</v>
      </c>
      <c r="CL20" s="19">
        <f>BS!CL26-BS!CK26</f>
        <v>18.936779854573047</v>
      </c>
      <c r="CM20" s="215">
        <f t="shared" si="44"/>
        <v>78.586701087805295</v>
      </c>
      <c r="CN20" s="19">
        <f>BS!CN26-BS!CM26</f>
        <v>34.377195919847281</v>
      </c>
      <c r="CO20" s="19">
        <f>BS!CO26-BS!CN26</f>
        <v>4.6369350018513842</v>
      </c>
      <c r="CP20" s="19">
        <f>BS!CP26-BS!CO26</f>
        <v>19.63234939431527</v>
      </c>
      <c r="CQ20" s="19">
        <f>BS!CQ26-BS!CP26</f>
        <v>19.771991708375708</v>
      </c>
      <c r="CR20" s="215">
        <f t="shared" si="45"/>
        <v>78.418472024389644</v>
      </c>
      <c r="CS20" s="19">
        <f>BS!CS26-BS!CR26</f>
        <v>36.858231285131524</v>
      </c>
      <c r="CT20" s="19">
        <f>BS!CT26-BS!CS26</f>
        <v>4.1649879500945417</v>
      </c>
      <c r="CU20" s="19">
        <f>BS!CU26-BS!CT26</f>
        <v>20.821273459342137</v>
      </c>
      <c r="CV20" s="19">
        <f>BS!CV26-BS!CU26</f>
        <v>21.063801795963968</v>
      </c>
      <c r="CW20" s="215">
        <f t="shared" si="46"/>
        <v>82.908294490532171</v>
      </c>
      <c r="CX20" s="19">
        <f>BS!CX26-BS!CW26</f>
        <v>37.723260739820944</v>
      </c>
      <c r="CY20" s="19">
        <f>BS!CY26-BS!CX26</f>
        <v>1.225253958274493</v>
      </c>
      <c r="CZ20" s="19">
        <f>BS!CZ26-BS!CY26</f>
        <v>18.799429779571938</v>
      </c>
      <c r="DA20" s="19">
        <f>BS!DA26-BS!CZ26</f>
        <v>18.397706600665515</v>
      </c>
      <c r="DB20" s="215">
        <f t="shared" si="47"/>
        <v>76.145651078332889</v>
      </c>
    </row>
    <row r="21" spans="1:106" s="11" customFormat="1" ht="12.75" customHeight="1">
      <c r="A21" s="11" t="s">
        <v>73</v>
      </c>
      <c r="C21" s="19">
        <f>-0.335-0.007+0.036</f>
        <v>-0.30600000000000005</v>
      </c>
      <c r="D21" s="19">
        <f>0.022-0.009-C21</f>
        <v>0.31900000000000006</v>
      </c>
      <c r="E21" s="19">
        <f>F21-SUM(C21:D21)</f>
        <v>-1.0470000000000002</v>
      </c>
      <c r="F21" s="215">
        <f>-0.137-0.024-0.015-0.858</f>
        <v>-1.034</v>
      </c>
      <c r="G21" s="19">
        <f>-1.304-0.034-0.221-0.081</f>
        <v>-1.6400000000000001</v>
      </c>
      <c r="H21" s="19">
        <f>-0.078-2.223-0.262-0.337-G21</f>
        <v>-1.2599999999999998</v>
      </c>
      <c r="I21" s="19">
        <f>-3.668-0.303-0.573-0.007-H21-G21</f>
        <v>-1.6510000000000002</v>
      </c>
      <c r="J21" s="19">
        <f>K21-SUM(G21:I21)</f>
        <v>-0.52800000000000047</v>
      </c>
      <c r="K21" s="215">
        <f>-3.797-0.273-1.041+0.032</f>
        <v>-5.0790000000000006</v>
      </c>
      <c r="L21" s="19">
        <f>1.41-0.079-0.561+0.071</f>
        <v>0.84099999999999986</v>
      </c>
      <c r="M21" s="19">
        <f>-0.296-0.032-0.532+0.188+1.964-L21</f>
        <v>0.45100000000000018</v>
      </c>
      <c r="N21" s="19">
        <f>-4.057+0.054-3.028+0.432+6.092-M21-L21</f>
        <v>-1.7990000000000006</v>
      </c>
      <c r="O21" s="19">
        <f>P21-SUM(L21:N21)</f>
        <v>-3.8019999999999996</v>
      </c>
      <c r="P21" s="215">
        <f>-2.077+0.15-2.812+0.43</f>
        <v>-4.3090000000000002</v>
      </c>
      <c r="Q21" s="19">
        <f>-0.81+0.317+0.165+0.018+1.548</f>
        <v>1.238</v>
      </c>
      <c r="R21" s="19">
        <f>1.349+0.328+0.223+0.096+1.457-Q21</f>
        <v>2.2150000000000003</v>
      </c>
      <c r="S21" s="19">
        <f>0.66+1.047+0.476+0.467+1.351-R21-Q21</f>
        <v>0.54799999999999915</v>
      </c>
      <c r="T21" s="19">
        <f>U21-SUM(Q21:S21)</f>
        <v>-0.25599999999999934</v>
      </c>
      <c r="U21" s="215">
        <f>-1.515+1.033+0.6+0.846+1.452+1.329</f>
        <v>3.7450000000000001</v>
      </c>
      <c r="V21" s="19">
        <f>2.524+0.215+35.485+0.307</f>
        <v>38.530999999999999</v>
      </c>
      <c r="W21" s="19">
        <f>1.564+0.415+35.889-0.32-V21</f>
        <v>-0.98299999999999699</v>
      </c>
      <c r="X21" s="19">
        <f>2.371+0.302+36.586-0.466-W21-V21</f>
        <v>1.2449999999999974</v>
      </c>
      <c r="Y21" s="19">
        <f>Z21-SUM(V21:X21)</f>
        <v>6.3260000000000005</v>
      </c>
      <c r="Z21" s="215">
        <f>42.769-0.628+2.643+0.335</f>
        <v>45.119</v>
      </c>
      <c r="AA21" s="19">
        <f>-2.135+0.201+0.437</f>
        <v>-1.4969999999999997</v>
      </c>
      <c r="AB21" s="19">
        <f>35.492-4.464-9.499-AA21</f>
        <v>23.025999999999996</v>
      </c>
      <c r="AC21" s="19">
        <f>-9.321-9.299+42.864-AB21-AA21</f>
        <v>2.7150000000000034</v>
      </c>
      <c r="AD21" s="19">
        <f>AE21-SUM(AA21:AC21)</f>
        <v>-6.1410000000000018</v>
      </c>
      <c r="AE21" s="215">
        <f>-13.956-9.099+40.848+0.31</f>
        <v>18.102999999999998</v>
      </c>
      <c r="AF21" s="19">
        <f>-3.227+0.099-2.832</f>
        <v>-5.9599999999999991</v>
      </c>
      <c r="AG21" s="19">
        <f>-5.61+0.099-4.9-AF21</f>
        <v>-4.4510000000000023</v>
      </c>
      <c r="AH21" s="19">
        <f>-7.288+0.097-5.47-AG21-AF21</f>
        <v>-2.2499999999999982</v>
      </c>
      <c r="AI21" s="19">
        <f>AJ21-SUM(AF21:AH21)</f>
        <v>-17.669999999999995</v>
      </c>
      <c r="AJ21" s="215">
        <f>-23.386-0.06-6.895+0.01</f>
        <v>-30.330999999999996</v>
      </c>
      <c r="AK21" s="19">
        <f>-0.031-40.045</f>
        <v>-40.076000000000001</v>
      </c>
      <c r="AL21" s="19">
        <f>-7.466-0.023-38.721-AK21</f>
        <v>-6.1339999999999932</v>
      </c>
      <c r="AM21" s="19">
        <f>-7.851-0.55-40.557-AL21-AK21</f>
        <v>-2.7480000000000047</v>
      </c>
      <c r="AN21" s="19">
        <f>AO21-SUM(AK21:AM21)</f>
        <v>-8.7290000000000063</v>
      </c>
      <c r="AO21" s="215">
        <f>-10.545-2.933-44.209</f>
        <v>-57.687000000000005</v>
      </c>
      <c r="AP21" s="19">
        <f>-6.366-2.765+5.735</f>
        <v>-3.3959999999999999</v>
      </c>
      <c r="AQ21" s="19">
        <f>4.727-5.528+8.009-AP21</f>
        <v>10.604000000000001</v>
      </c>
      <c r="AR21" s="19">
        <f>0.686-0.2-7.207-0.384-AQ21-AP21</f>
        <v>-14.313000000000002</v>
      </c>
      <c r="AS21" s="19">
        <f>AT21-SUM(AP21:AR21)</f>
        <v>-1.4179999999999984</v>
      </c>
      <c r="AT21" s="215">
        <f>-1.196-0.006-9.377+2.056</f>
        <v>-8.5229999999999997</v>
      </c>
      <c r="AU21" s="19">
        <f>2.338-2.177+7.312</f>
        <v>7.4730000000000008</v>
      </c>
      <c r="AV21" s="19">
        <f>12.59-5.196+6.368-AU21</f>
        <v>6.2889999999999997</v>
      </c>
      <c r="AW21" s="19">
        <f>7.356-8.424+5.268-AV21-AU21</f>
        <v>-9.5620000000000012</v>
      </c>
      <c r="AX21" s="19">
        <f>AY21-SUM(AU21:AW21)</f>
        <v>-29.404</v>
      </c>
      <c r="AY21" s="215">
        <f>8.354-26.072-12.448+4.962</f>
        <v>-25.204000000000001</v>
      </c>
      <c r="AZ21" s="19">
        <f>14.428-4.122+0.793</f>
        <v>11.099</v>
      </c>
      <c r="BA21" s="19">
        <f>20.874-8.269+1.044-AZ21</f>
        <v>2.5499999999999989</v>
      </c>
      <c r="BB21" s="19">
        <f>13.663-12.484-0.938-BA21-AZ21</f>
        <v>-13.407999999999998</v>
      </c>
      <c r="BC21" s="19">
        <f>BD21-SUM(AZ21:BB21)</f>
        <v>-5.4009999999999998</v>
      </c>
      <c r="BD21" s="215">
        <f>10.807-16.819+0.852</f>
        <v>-5.1599999999999984</v>
      </c>
      <c r="BE21" s="19">
        <f>-9.354-4.505+0.671</f>
        <v>-13.187999999999999</v>
      </c>
      <c r="BF21" s="19">
        <f>-6.595-9.307+1.46-BE21</f>
        <v>-1.2540000000000013</v>
      </c>
      <c r="BG21" s="19">
        <f>0.088-8.982-14.245+1.638-SUM(BE21:BF21)</f>
        <v>-7.0589999999999975</v>
      </c>
      <c r="BH21" s="19">
        <f>(BS!BG12-BS!BH12)+(BS!BH27-BS!BG27)+(BS!BH29-BS!BG29)</f>
        <v>22.734999999999992</v>
      </c>
      <c r="BI21" s="215">
        <f t="shared" si="38"/>
        <v>1.2339999999999947</v>
      </c>
      <c r="BJ21" s="275">
        <f>(BS!BI12-BS!BJ12)+(BS!BJ27-BS!BI27)+(BS!BJ29-BS!BI29)</f>
        <v>0</v>
      </c>
      <c r="BK21" s="19">
        <f>(BS!BJ12-BS!BK12)+(BS!BK27-BS!BJ27)+(BS!BK29-BS!BJ29)</f>
        <v>0</v>
      </c>
      <c r="BL21" s="19">
        <f>(BS!BK12-BS!BL12)+(BS!BL27-BS!BK27)+(BS!BL29-BS!BK29)</f>
        <v>0</v>
      </c>
      <c r="BM21" s="19">
        <f>(BS!BL12-BS!BM12)+(BS!BM27-BS!BL27)+(BS!BM29-BS!BL29)</f>
        <v>0</v>
      </c>
      <c r="BN21" s="215">
        <f t="shared" si="39"/>
        <v>0</v>
      </c>
      <c r="BO21" s="19">
        <f>(BS!BN12-BS!BO12)+(BS!BO27-BS!BN27)+(BS!BO29-BS!BN29)</f>
        <v>0</v>
      </c>
      <c r="BP21" s="19">
        <f>(BS!BO12-BS!BP12)+(BS!BP27-BS!BO27)+(BS!BP29-BS!BO29)</f>
        <v>0</v>
      </c>
      <c r="BQ21" s="19">
        <f>(BS!BP12-BS!BQ12)+(BS!BQ27-BS!BP27)+(BS!BQ29-BS!BP29)</f>
        <v>0</v>
      </c>
      <c r="BR21" s="19">
        <f>(BS!BQ12-BS!BR12)+(BS!BR27-BS!BQ27)+(BS!BR29-BS!BQ29)</f>
        <v>0</v>
      </c>
      <c r="BS21" s="215">
        <f t="shared" si="40"/>
        <v>0</v>
      </c>
      <c r="BT21" s="19">
        <f>(BS!BS12-BS!BT12)+(BS!BT27-BS!BS27)+(BS!BT29-BS!BS29)</f>
        <v>0</v>
      </c>
      <c r="BU21" s="19">
        <f>(BS!BT12-BS!BU12)+(BS!BU27-BS!BT27)+(BS!BU29-BS!BT29)</f>
        <v>0</v>
      </c>
      <c r="BV21" s="19">
        <f>(BS!BU12-BS!BV12)+(BS!BV27-BS!BU27)+(BS!BV29-BS!BU29)</f>
        <v>0</v>
      </c>
      <c r="BW21" s="19">
        <f>(BS!BV12-BS!BW12)+(BS!BW27-BS!BV27)+(BS!BW29-BS!BV29)</f>
        <v>0</v>
      </c>
      <c r="BX21" s="215">
        <f t="shared" si="41"/>
        <v>0</v>
      </c>
      <c r="BY21" s="19">
        <f>(BS!BX12-BS!BY12)+(BS!BY27-BS!BX27)+(BS!BY29-BS!BX29)</f>
        <v>0</v>
      </c>
      <c r="BZ21" s="19">
        <f>(BS!BY12-BS!BZ12)+(BS!BZ27-BS!BY27)+(BS!BZ29-BS!BY29)</f>
        <v>0</v>
      </c>
      <c r="CA21" s="19">
        <f>(BS!BZ12-BS!CA12)+(BS!CA27-BS!BZ27)+(BS!CA29-BS!BZ29)</f>
        <v>0</v>
      </c>
      <c r="CB21" s="19">
        <f>(BS!CA12-BS!CB12)+(BS!CB27-BS!CA27)+(BS!CB29-BS!CA29)</f>
        <v>0</v>
      </c>
      <c r="CC21" s="215">
        <f t="shared" si="42"/>
        <v>0</v>
      </c>
      <c r="CD21" s="19">
        <f>(BS!CC12-BS!CD12)+(BS!CD27-BS!CC27)+(BS!CD29-BS!CC29)</f>
        <v>0</v>
      </c>
      <c r="CE21" s="19">
        <f>(BS!CD12-BS!CE12)+(BS!CE27-BS!CD27)+(BS!CE29-BS!CD29)</f>
        <v>0</v>
      </c>
      <c r="CF21" s="19">
        <f>(BS!CE12-BS!CF12)+(BS!CF27-BS!CE27)+(BS!CF29-BS!CE29)</f>
        <v>0</v>
      </c>
      <c r="CG21" s="19">
        <f>(BS!CF12-BS!CG12)+(BS!CG27-BS!CF27)+(BS!CG29-BS!CF29)</f>
        <v>0</v>
      </c>
      <c r="CH21" s="215">
        <f t="shared" si="43"/>
        <v>0</v>
      </c>
      <c r="CI21" s="19">
        <f>(BS!CH12-BS!CI12)+(BS!CI27-BS!CH27)+(BS!CI29-BS!CH29)</f>
        <v>0</v>
      </c>
      <c r="CJ21" s="19">
        <f>(BS!CI12-BS!CJ12)+(BS!CJ27-BS!CI27)+(BS!CJ29-BS!CI29)</f>
        <v>0</v>
      </c>
      <c r="CK21" s="19">
        <f>(BS!CJ12-BS!CK12)+(BS!CK27-BS!CJ27)+(BS!CK29-BS!CJ29)</f>
        <v>0</v>
      </c>
      <c r="CL21" s="19">
        <f>(BS!CK12-BS!CL12)+(BS!CL27-BS!CK27)+(BS!CL29-BS!CK29)</f>
        <v>0</v>
      </c>
      <c r="CM21" s="215">
        <f t="shared" si="44"/>
        <v>0</v>
      </c>
      <c r="CN21" s="19">
        <f>(BS!CM12-BS!CN12)+(BS!CN27-BS!CM27)+(BS!CN29-BS!CM29)</f>
        <v>0</v>
      </c>
      <c r="CO21" s="19">
        <f>(BS!CN12-BS!CO12)+(BS!CO27-BS!CN27)+(BS!CO29-BS!CN29)</f>
        <v>0</v>
      </c>
      <c r="CP21" s="19">
        <f>(BS!CO12-BS!CP12)+(BS!CP27-BS!CO27)+(BS!CP29-BS!CO29)</f>
        <v>0</v>
      </c>
      <c r="CQ21" s="19">
        <f>(BS!CP12-BS!CQ12)+(BS!CQ27-BS!CP27)+(BS!CQ29-BS!CP29)</f>
        <v>0</v>
      </c>
      <c r="CR21" s="215">
        <f t="shared" si="45"/>
        <v>0</v>
      </c>
      <c r="CS21" s="19">
        <f>(BS!CR12-BS!CS12)+(BS!CS27-BS!CR27)+(BS!CS29-BS!CR29)</f>
        <v>0</v>
      </c>
      <c r="CT21" s="19">
        <f>(BS!CS12-BS!CT12)+(BS!CT27-BS!CS27)+(BS!CT29-BS!CS29)</f>
        <v>0</v>
      </c>
      <c r="CU21" s="19">
        <f>(BS!CT12-BS!CU12)+(BS!CU27-BS!CT27)+(BS!CU29-BS!CT29)</f>
        <v>0</v>
      </c>
      <c r="CV21" s="19">
        <f>(BS!CU12-BS!CV12)+(BS!CV27-BS!CU27)+(BS!CV29-BS!CU29)</f>
        <v>0</v>
      </c>
      <c r="CW21" s="215">
        <f t="shared" si="46"/>
        <v>0</v>
      </c>
      <c r="CX21" s="19">
        <f>(BS!CW12-BS!CX12)+(BS!CX27-BS!CW27)+(BS!CX29-BS!CW29)</f>
        <v>0</v>
      </c>
      <c r="CY21" s="19">
        <f>(BS!CX12-BS!CY12)+(BS!CY27-BS!CX27)+(BS!CY29-BS!CX29)</f>
        <v>0</v>
      </c>
      <c r="CZ21" s="19">
        <f>(BS!CY12-BS!CZ12)+(BS!CZ27-BS!CY27)+(BS!CZ29-BS!CY29)</f>
        <v>0</v>
      </c>
      <c r="DA21" s="19">
        <f>(BS!CZ12-BS!DA12)+(BS!DA27-BS!CZ27)+(BS!DA29-BS!CZ29)</f>
        <v>0</v>
      </c>
      <c r="DB21" s="215">
        <f t="shared" si="47"/>
        <v>0</v>
      </c>
    </row>
    <row r="22" spans="1:106" s="10" customFormat="1" ht="12.75" customHeight="1">
      <c r="A22" s="10" t="s">
        <v>74</v>
      </c>
      <c r="C22" s="135">
        <f t="shared" ref="C22:T22" si="48">SUM(C8:C21)</f>
        <v>-5.4810000000000008</v>
      </c>
      <c r="D22" s="135">
        <f t="shared" si="48"/>
        <v>6.2519999999999998</v>
      </c>
      <c r="E22" s="135">
        <f t="shared" si="48"/>
        <v>9.7189999999999994</v>
      </c>
      <c r="F22" s="216">
        <f t="shared" si="48"/>
        <v>10.49</v>
      </c>
      <c r="G22" s="135">
        <f t="shared" si="48"/>
        <v>-2.4909999999999997</v>
      </c>
      <c r="H22" s="135">
        <f t="shared" si="48"/>
        <v>-13.409000000000001</v>
      </c>
      <c r="I22" s="135">
        <f t="shared" si="48"/>
        <v>-17.243000000000002</v>
      </c>
      <c r="J22" s="135">
        <f t="shared" si="48"/>
        <v>-4.6890000000000107</v>
      </c>
      <c r="K22" s="216">
        <f t="shared" si="48"/>
        <v>-37.832000000000015</v>
      </c>
      <c r="L22" s="135">
        <f t="shared" si="48"/>
        <v>0.47099999999999953</v>
      </c>
      <c r="M22" s="135">
        <f t="shared" si="48"/>
        <v>-20.660999999999994</v>
      </c>
      <c r="N22" s="135">
        <f t="shared" si="48"/>
        <v>-24.216000000000001</v>
      </c>
      <c r="O22" s="135">
        <f t="shared" si="48"/>
        <v>-29.495999999999999</v>
      </c>
      <c r="P22" s="216">
        <f t="shared" si="48"/>
        <v>-73.901999999999987</v>
      </c>
      <c r="Q22" s="135">
        <f t="shared" si="48"/>
        <v>-24.303000000000001</v>
      </c>
      <c r="R22" s="135">
        <f t="shared" si="48"/>
        <v>-13.763000000000002</v>
      </c>
      <c r="S22" s="135">
        <f t="shared" si="48"/>
        <v>-30.582999999999998</v>
      </c>
      <c r="T22" s="135">
        <f t="shared" si="48"/>
        <v>-28.14299999999999</v>
      </c>
      <c r="U22" s="216">
        <f>SUM(Q22:T22)</f>
        <v>-96.791999999999987</v>
      </c>
      <c r="V22" s="135">
        <f t="shared" ref="V22:BH22" si="49">SUM(V8:V21)</f>
        <v>1.0459999999999994</v>
      </c>
      <c r="W22" s="135">
        <f t="shared" si="49"/>
        <v>-35.542999999999999</v>
      </c>
      <c r="X22" s="135">
        <f t="shared" si="49"/>
        <v>-23.271000000000001</v>
      </c>
      <c r="Y22" s="135">
        <f t="shared" si="49"/>
        <v>-12.812999999999992</v>
      </c>
      <c r="Z22" s="216">
        <f t="shared" si="49"/>
        <v>-70.580999999999989</v>
      </c>
      <c r="AA22" s="135">
        <f t="shared" si="49"/>
        <v>-31.818999999999999</v>
      </c>
      <c r="AB22" s="135">
        <f t="shared" si="49"/>
        <v>-3.9320000000000093</v>
      </c>
      <c r="AC22" s="135">
        <f t="shared" si="49"/>
        <v>-12.638999999999994</v>
      </c>
      <c r="AD22" s="135">
        <f t="shared" si="49"/>
        <v>-15.054</v>
      </c>
      <c r="AE22" s="216">
        <f t="shared" si="49"/>
        <v>-63.443999999999988</v>
      </c>
      <c r="AF22" s="135">
        <f t="shared" si="49"/>
        <v>-35.1</v>
      </c>
      <c r="AG22" s="135">
        <f t="shared" si="49"/>
        <v>-40.98</v>
      </c>
      <c r="AH22" s="135">
        <f t="shared" si="49"/>
        <v>-33.130000000000003</v>
      </c>
      <c r="AI22" s="135">
        <f t="shared" si="49"/>
        <v>-73.301999999999992</v>
      </c>
      <c r="AJ22" s="216">
        <f t="shared" si="49"/>
        <v>-182.51199999999997</v>
      </c>
      <c r="AK22" s="135">
        <f t="shared" si="49"/>
        <v>-74.876000000000005</v>
      </c>
      <c r="AL22" s="135">
        <f t="shared" si="49"/>
        <v>-70.56299999999996</v>
      </c>
      <c r="AM22" s="135">
        <f t="shared" si="49"/>
        <v>-91.060999999999993</v>
      </c>
      <c r="AN22" s="135">
        <f t="shared" si="49"/>
        <v>-98.736000000000047</v>
      </c>
      <c r="AO22" s="216">
        <f t="shared" si="49"/>
        <v>-335.2360000000001</v>
      </c>
      <c r="AP22" s="135">
        <f t="shared" si="49"/>
        <v>-137.27699999999996</v>
      </c>
      <c r="AQ22" s="135">
        <f t="shared" si="49"/>
        <v>-110.84899999999999</v>
      </c>
      <c r="AR22" s="135">
        <f t="shared" si="49"/>
        <v>-102.24800000000006</v>
      </c>
      <c r="AS22" s="135">
        <f t="shared" si="49"/>
        <v>-81.126999999999967</v>
      </c>
      <c r="AT22" s="216">
        <f t="shared" si="49"/>
        <v>-431.50100000000003</v>
      </c>
      <c r="AU22" s="135">
        <f t="shared" si="49"/>
        <v>-80.890000000000029</v>
      </c>
      <c r="AV22" s="135">
        <f t="shared" si="49"/>
        <v>-78.385000000000005</v>
      </c>
      <c r="AW22" s="135">
        <f t="shared" si="49"/>
        <v>-29.554999999999982</v>
      </c>
      <c r="AX22" s="135">
        <f t="shared" si="49"/>
        <v>-58.125</v>
      </c>
      <c r="AY22" s="216">
        <f t="shared" si="49"/>
        <v>-246.95500000000001</v>
      </c>
      <c r="AZ22" s="135">
        <f t="shared" si="49"/>
        <v>27.001000000000005</v>
      </c>
      <c r="BA22" s="135">
        <f t="shared" si="49"/>
        <v>3.9899999999999958</v>
      </c>
      <c r="BB22" s="135">
        <f t="shared" si="49"/>
        <v>51.786000000000016</v>
      </c>
      <c r="BC22" s="135">
        <f t="shared" si="49"/>
        <v>52.887</v>
      </c>
      <c r="BD22" s="216">
        <f t="shared" si="49"/>
        <v>135.66399999999999</v>
      </c>
      <c r="BE22" s="135">
        <f t="shared" si="49"/>
        <v>44.451999999999998</v>
      </c>
      <c r="BF22" s="135">
        <f t="shared" si="49"/>
        <v>37.574000000000012</v>
      </c>
      <c r="BG22" s="135">
        <f t="shared" si="49"/>
        <v>59.387</v>
      </c>
      <c r="BH22" s="135">
        <f t="shared" si="49"/>
        <v>73.887</v>
      </c>
      <c r="BI22" s="216">
        <f t="shared" si="38"/>
        <v>215.3</v>
      </c>
      <c r="BJ22" s="273">
        <f t="shared" ref="BJ22:BM22" si="50">SUM(BJ8:BJ21)</f>
        <v>111.49726418453616</v>
      </c>
      <c r="BK22" s="135">
        <f t="shared" si="50"/>
        <v>-22.839804331731408</v>
      </c>
      <c r="BL22" s="135">
        <f t="shared" si="50"/>
        <v>-4.7305414693197179</v>
      </c>
      <c r="BM22" s="135">
        <f t="shared" si="50"/>
        <v>21.550208991259286</v>
      </c>
      <c r="BN22" s="216">
        <f t="shared" si="39"/>
        <v>105.47712737474431</v>
      </c>
      <c r="BO22" s="135">
        <f t="shared" ref="BO22" si="51">SUM(BO8:BO21)</f>
        <v>43.299952116883802</v>
      </c>
      <c r="BP22" s="135">
        <f t="shared" ref="BP22" si="52">SUM(BP8:BP21)</f>
        <v>13.838788443453382</v>
      </c>
      <c r="BQ22" s="135">
        <f t="shared" ref="BQ22" si="53">SUM(BQ8:BQ21)</f>
        <v>31.121781657409546</v>
      </c>
      <c r="BR22" s="135">
        <f t="shared" ref="BR22" si="54">SUM(BR8:BR21)</f>
        <v>46.667982458227584</v>
      </c>
      <c r="BS22" s="216">
        <f t="shared" si="40"/>
        <v>134.9285046759743</v>
      </c>
      <c r="BT22" s="135">
        <f t="shared" ref="BT22" si="55">SUM(BT8:BT21)</f>
        <v>92.113598876630206</v>
      </c>
      <c r="BU22" s="135">
        <f t="shared" ref="BU22" si="56">SUM(BU8:BU21)</f>
        <v>66.892394075162628</v>
      </c>
      <c r="BV22" s="135">
        <f t="shared" ref="BV22" si="57">SUM(BV8:BV21)</f>
        <v>86.68282759166172</v>
      </c>
      <c r="BW22" s="135">
        <f t="shared" ref="BW22" si="58">SUM(BW8:BW21)</f>
        <v>107.2900966073463</v>
      </c>
      <c r="BX22" s="216">
        <f t="shared" si="41"/>
        <v>352.97891715080084</v>
      </c>
      <c r="BY22" s="135">
        <f t="shared" ref="BY22" si="59">SUM(BY8:BY21)</f>
        <v>160.10024307662994</v>
      </c>
      <c r="BZ22" s="135">
        <f t="shared" ref="BZ22" si="60">SUM(BZ8:BZ21)</f>
        <v>127.39241177078988</v>
      </c>
      <c r="CA22" s="135">
        <f t="shared" ref="CA22" si="61">SUM(CA8:CA21)</f>
        <v>153.13430719419011</v>
      </c>
      <c r="CB22" s="135">
        <f t="shared" ref="CB22" si="62">SUM(CB8:CB21)</f>
        <v>173.21325029797487</v>
      </c>
      <c r="CC22" s="216">
        <f t="shared" si="42"/>
        <v>613.84021233958481</v>
      </c>
      <c r="CD22" s="135">
        <f t="shared" ref="CD22" si="63">SUM(CD8:CD21)</f>
        <v>235.377352045647</v>
      </c>
      <c r="CE22" s="135">
        <f t="shared" ref="CE22" si="64">SUM(CE8:CE21)</f>
        <v>200.71364528699678</v>
      </c>
      <c r="CF22" s="135">
        <f t="shared" ref="CF22" si="65">SUM(CF8:CF21)</f>
        <v>228.02096859531511</v>
      </c>
      <c r="CG22" s="135">
        <f t="shared" ref="CG22" si="66">SUM(CG8:CG21)</f>
        <v>252.05935798621601</v>
      </c>
      <c r="CH22" s="216">
        <f t="shared" si="43"/>
        <v>916.17132391417488</v>
      </c>
      <c r="CI22" s="135">
        <f t="shared" ref="CI22" si="67">SUM(CI8:CI21)</f>
        <v>313.58390154324786</v>
      </c>
      <c r="CJ22" s="135">
        <f t="shared" ref="CJ22" si="68">SUM(CJ8:CJ21)</f>
        <v>270.70332637912077</v>
      </c>
      <c r="CK22" s="135">
        <f t="shared" ref="CK22" si="69">SUM(CK8:CK21)</f>
        <v>296.73337545517018</v>
      </c>
      <c r="CL22" s="135">
        <f t="shared" ref="CL22" si="70">SUM(CL8:CL21)</f>
        <v>318.50881808729491</v>
      </c>
      <c r="CM22" s="216">
        <f t="shared" si="44"/>
        <v>1199.5294214648338</v>
      </c>
      <c r="CN22" s="135">
        <f t="shared" ref="CN22" si="71">SUM(CN8:CN21)</f>
        <v>385.17658953920301</v>
      </c>
      <c r="CO22" s="135">
        <f t="shared" ref="CO22" si="72">SUM(CO8:CO21)</f>
        <v>338.0636248597624</v>
      </c>
      <c r="CP22" s="135">
        <f t="shared" ref="CP22" si="73">SUM(CP8:CP21)</f>
        <v>366.30253621024133</v>
      </c>
      <c r="CQ22" s="135">
        <f t="shared" ref="CQ22" si="74">SUM(CQ8:CQ21)</f>
        <v>389.63691547773089</v>
      </c>
      <c r="CR22" s="216">
        <f t="shared" si="45"/>
        <v>1479.1796660869377</v>
      </c>
      <c r="CS22" s="135">
        <f t="shared" ref="CS22" si="75">SUM(CS8:CS21)</f>
        <v>461.89175201122208</v>
      </c>
      <c r="CT22" s="135">
        <f t="shared" ref="CT22" si="76">SUM(CT8:CT21)</f>
        <v>410.92969614668289</v>
      </c>
      <c r="CU22" s="135">
        <f t="shared" ref="CU22" si="77">SUM(CU8:CU21)</f>
        <v>442.01137596734446</v>
      </c>
      <c r="CV22" s="135">
        <f t="shared" ref="CV22" si="78">SUM(CV8:CV21)</f>
        <v>467.43342549630393</v>
      </c>
      <c r="CW22" s="216">
        <f t="shared" si="46"/>
        <v>1782.2662496215535</v>
      </c>
      <c r="CX22" s="135">
        <f t="shared" ref="CX22" si="79">SUM(CX8:CX21)</f>
        <v>531.30584825596418</v>
      </c>
      <c r="CY22" s="135">
        <f t="shared" ref="CY22" si="80">SUM(CY8:CY21)</f>
        <v>472.19285019434187</v>
      </c>
      <c r="CZ22" s="135">
        <f t="shared" ref="CZ22" si="81">SUM(CZ8:CZ21)</f>
        <v>501.81108313834318</v>
      </c>
      <c r="DA22" s="135">
        <f t="shared" ref="DA22" si="82">SUM(DA8:DA21)</f>
        <v>524.97190501995669</v>
      </c>
      <c r="DB22" s="216">
        <f t="shared" si="47"/>
        <v>2030.2816866086059</v>
      </c>
    </row>
    <row r="23" spans="1:106" s="11" customFormat="1" ht="12.75" customHeight="1">
      <c r="C23" s="19"/>
      <c r="D23" s="19"/>
      <c r="E23" s="19"/>
      <c r="F23" s="215"/>
      <c r="G23" s="19"/>
      <c r="H23" s="19"/>
      <c r="I23" s="19"/>
      <c r="J23" s="19"/>
      <c r="K23" s="215"/>
      <c r="L23" s="19"/>
      <c r="M23" s="19"/>
      <c r="N23" s="19"/>
      <c r="O23" s="19"/>
      <c r="P23" s="215"/>
      <c r="Q23" s="19"/>
      <c r="R23" s="19"/>
      <c r="S23" s="19"/>
      <c r="T23" s="19"/>
      <c r="U23" s="215"/>
      <c r="V23" s="19"/>
      <c r="W23" s="19"/>
      <c r="X23" s="19"/>
      <c r="Y23" s="19"/>
      <c r="Z23" s="215"/>
      <c r="AA23" s="19"/>
      <c r="AB23" s="19"/>
      <c r="AC23" s="19"/>
      <c r="AD23" s="19"/>
      <c r="AE23" s="215"/>
      <c r="AF23" s="19"/>
      <c r="AG23" s="19"/>
      <c r="AH23" s="19"/>
      <c r="AI23" s="19"/>
      <c r="AJ23" s="215"/>
      <c r="AK23" s="19"/>
      <c r="AL23" s="19"/>
      <c r="AM23" s="19"/>
      <c r="AN23" s="19"/>
      <c r="AO23" s="215"/>
      <c r="AP23" s="19"/>
      <c r="AQ23" s="19"/>
      <c r="AR23" s="19"/>
      <c r="AS23" s="19"/>
      <c r="AT23" s="215"/>
      <c r="AU23" s="19"/>
      <c r="AV23" s="19"/>
      <c r="AW23" s="19"/>
      <c r="AX23" s="19"/>
      <c r="AY23" s="215"/>
      <c r="AZ23" s="19"/>
      <c r="BA23" s="19"/>
      <c r="BB23" s="19"/>
      <c r="BC23" s="19"/>
      <c r="BD23" s="215"/>
      <c r="BE23" s="19"/>
      <c r="BF23" s="15"/>
      <c r="BG23" s="15"/>
      <c r="BH23" s="19"/>
      <c r="BI23" s="215"/>
      <c r="BJ23" s="275"/>
      <c r="BK23" s="19"/>
      <c r="BL23" s="19"/>
      <c r="BM23" s="19"/>
      <c r="BN23" s="215"/>
      <c r="BO23" s="19"/>
      <c r="BP23" s="19"/>
      <c r="BQ23" s="19"/>
      <c r="BR23" s="19"/>
      <c r="BS23" s="215"/>
      <c r="BT23" s="19"/>
      <c r="BU23" s="19"/>
      <c r="BV23" s="19"/>
      <c r="BW23" s="19"/>
      <c r="BX23" s="215"/>
      <c r="BY23" s="19"/>
      <c r="BZ23" s="19"/>
      <c r="CA23" s="19"/>
      <c r="CB23" s="19"/>
      <c r="CC23" s="215"/>
      <c r="CD23" s="19"/>
      <c r="CE23" s="19"/>
      <c r="CF23" s="19"/>
      <c r="CG23" s="19"/>
      <c r="CH23" s="215"/>
      <c r="CI23" s="19"/>
      <c r="CJ23" s="19"/>
      <c r="CK23" s="19"/>
      <c r="CL23" s="19"/>
      <c r="CM23" s="215"/>
      <c r="CN23" s="19"/>
      <c r="CO23" s="19"/>
      <c r="CP23" s="19"/>
      <c r="CQ23" s="19"/>
      <c r="CR23" s="215"/>
      <c r="CS23" s="19"/>
      <c r="CT23" s="19"/>
      <c r="CU23" s="19"/>
      <c r="CV23" s="19"/>
      <c r="CW23" s="215"/>
      <c r="CX23" s="19"/>
      <c r="CY23" s="19"/>
      <c r="CZ23" s="19"/>
      <c r="DA23" s="19"/>
      <c r="DB23" s="215"/>
    </row>
    <row r="24" spans="1:106" s="11" customFormat="1" ht="12.75" customHeight="1">
      <c r="A24" s="10" t="s">
        <v>75</v>
      </c>
      <c r="C24" s="19"/>
      <c r="D24" s="19"/>
      <c r="E24" s="19"/>
      <c r="F24" s="215"/>
      <c r="G24" s="19"/>
      <c r="H24" s="19"/>
      <c r="I24" s="19"/>
      <c r="J24" s="19"/>
      <c r="K24" s="215"/>
      <c r="L24" s="19"/>
      <c r="M24" s="19"/>
      <c r="N24" s="19"/>
      <c r="O24" s="19"/>
      <c r="P24" s="215"/>
      <c r="Q24" s="19"/>
      <c r="R24" s="19"/>
      <c r="S24" s="19"/>
      <c r="T24" s="19"/>
      <c r="U24" s="215"/>
      <c r="V24" s="19"/>
      <c r="W24" s="19"/>
      <c r="X24" s="19"/>
      <c r="Y24" s="19"/>
      <c r="Z24" s="215"/>
      <c r="AA24" s="19"/>
      <c r="AB24" s="19"/>
      <c r="AC24" s="19"/>
      <c r="AD24" s="19"/>
      <c r="AE24" s="215"/>
      <c r="AF24" s="19"/>
      <c r="AG24" s="19"/>
      <c r="AH24" s="19"/>
      <c r="AI24" s="19" t="s">
        <v>183</v>
      </c>
      <c r="AJ24" s="215"/>
      <c r="AK24" s="19"/>
      <c r="AL24" s="19"/>
      <c r="AM24" s="19"/>
      <c r="AN24" s="19"/>
      <c r="AO24" s="215"/>
      <c r="AP24" s="19"/>
      <c r="AQ24" s="19"/>
      <c r="AR24" s="19"/>
      <c r="AS24" s="19"/>
      <c r="AT24" s="215"/>
      <c r="AU24" s="19"/>
      <c r="AV24" s="19"/>
      <c r="AW24" s="19"/>
      <c r="AX24" s="19"/>
      <c r="AY24" s="215"/>
      <c r="AZ24" s="19"/>
      <c r="BA24" s="19"/>
      <c r="BB24" s="19"/>
      <c r="BC24" s="19"/>
      <c r="BD24" s="215"/>
      <c r="BE24" s="19"/>
      <c r="BF24" s="19"/>
      <c r="BG24" s="19"/>
      <c r="BH24" s="19"/>
      <c r="BI24" s="215"/>
      <c r="BJ24" s="275"/>
      <c r="BK24" s="19"/>
      <c r="BL24" s="19"/>
      <c r="BM24" s="19"/>
      <c r="BN24" s="215"/>
      <c r="BO24" s="19"/>
      <c r="BP24" s="19"/>
      <c r="BQ24" s="19"/>
      <c r="BR24" s="19"/>
      <c r="BS24" s="215"/>
      <c r="BT24" s="19"/>
      <c r="BU24" s="19"/>
      <c r="BV24" s="19"/>
      <c r="BW24" s="19"/>
      <c r="BX24" s="215"/>
      <c r="BY24" s="19"/>
      <c r="BZ24" s="19"/>
      <c r="CA24" s="19"/>
      <c r="CB24" s="19"/>
      <c r="CC24" s="215"/>
      <c r="CD24" s="19"/>
      <c r="CE24" s="19"/>
      <c r="CF24" s="19"/>
      <c r="CG24" s="19"/>
      <c r="CH24" s="215"/>
      <c r="CI24" s="19"/>
      <c r="CJ24" s="19"/>
      <c r="CK24" s="19"/>
      <c r="CL24" s="19"/>
      <c r="CM24" s="215"/>
      <c r="CN24" s="19"/>
      <c r="CO24" s="19"/>
      <c r="CP24" s="19"/>
      <c r="CQ24" s="19"/>
      <c r="CR24" s="215"/>
      <c r="CS24" s="19"/>
      <c r="CT24" s="19"/>
      <c r="CU24" s="19"/>
      <c r="CV24" s="19"/>
      <c r="CW24" s="215"/>
      <c r="CX24" s="19"/>
      <c r="CY24" s="19"/>
      <c r="CZ24" s="19"/>
      <c r="DA24" s="19"/>
      <c r="DB24" s="215"/>
    </row>
    <row r="25" spans="1:106" s="11" customFormat="1" ht="12.75" customHeight="1">
      <c r="A25" s="11" t="s">
        <v>76</v>
      </c>
      <c r="C25" s="19">
        <v>0</v>
      </c>
      <c r="D25" s="19">
        <f>0-C25</f>
        <v>0</v>
      </c>
      <c r="E25" s="19">
        <f>F25-SUM(C25:D25)</f>
        <v>0</v>
      </c>
      <c r="F25" s="215">
        <v>0</v>
      </c>
      <c r="G25" s="19">
        <v>0</v>
      </c>
      <c r="H25" s="19">
        <f>0-G25</f>
        <v>0</v>
      </c>
      <c r="I25" s="19">
        <f>0-H25-G25</f>
        <v>0</v>
      </c>
      <c r="J25" s="19">
        <f>K25-SUM(G25:I25)</f>
        <v>0</v>
      </c>
      <c r="K25" s="215">
        <v>0</v>
      </c>
      <c r="L25" s="19">
        <v>0</v>
      </c>
      <c r="M25" s="19">
        <f>0-L25</f>
        <v>0</v>
      </c>
      <c r="N25" s="19">
        <f>0-M25-L25</f>
        <v>0</v>
      </c>
      <c r="O25" s="19">
        <f>P25-SUM(L25:N25)</f>
        <v>0</v>
      </c>
      <c r="P25" s="215">
        <v>0</v>
      </c>
      <c r="Q25" s="19">
        <v>0</v>
      </c>
      <c r="R25" s="19">
        <f>0-Q25</f>
        <v>0</v>
      </c>
      <c r="S25" s="19">
        <f>0-R25-Q25</f>
        <v>0</v>
      </c>
      <c r="T25" s="19">
        <f>U25-SUM(Q25:S25)</f>
        <v>0</v>
      </c>
      <c r="U25" s="215">
        <v>0</v>
      </c>
      <c r="V25" s="19">
        <v>0</v>
      </c>
      <c r="W25" s="19">
        <f>0-V25</f>
        <v>0</v>
      </c>
      <c r="X25" s="19">
        <f>0-W25-V25</f>
        <v>0</v>
      </c>
      <c r="Y25" s="19">
        <f>Z25-SUM(V25:X25)</f>
        <v>0</v>
      </c>
      <c r="Z25" s="215">
        <v>0</v>
      </c>
      <c r="AA25" s="19">
        <v>0</v>
      </c>
      <c r="AB25" s="19">
        <f>0-AA25</f>
        <v>0</v>
      </c>
      <c r="AC25" s="19">
        <f>0-AB25-AA25</f>
        <v>0</v>
      </c>
      <c r="AD25" s="19">
        <f>AE25-SUM(AA25:AC25)</f>
        <v>0</v>
      </c>
      <c r="AE25" s="215">
        <v>0</v>
      </c>
      <c r="AF25" s="19">
        <v>0</v>
      </c>
      <c r="AG25" s="19">
        <f>0-AF25</f>
        <v>0</v>
      </c>
      <c r="AH25" s="19">
        <f>0-AG25-AF25</f>
        <v>0</v>
      </c>
      <c r="AI25" s="19">
        <f>AJ25-SUM(AF25:AH25)</f>
        <v>0</v>
      </c>
      <c r="AJ25" s="215">
        <v>0</v>
      </c>
      <c r="AK25" s="19">
        <v>0</v>
      </c>
      <c r="AL25" s="19">
        <f>0-AK25</f>
        <v>0</v>
      </c>
      <c r="AM25" s="19">
        <f>0-AL25-AK25</f>
        <v>0</v>
      </c>
      <c r="AN25" s="19">
        <f>AO25-SUM(AK25:AM25)</f>
        <v>0</v>
      </c>
      <c r="AO25" s="215">
        <v>0</v>
      </c>
      <c r="AP25" s="19">
        <v>0</v>
      </c>
      <c r="AQ25" s="19">
        <f>0-AP25</f>
        <v>0</v>
      </c>
      <c r="AR25" s="19">
        <f>0-AQ25-AP25</f>
        <v>0</v>
      </c>
      <c r="AS25" s="19">
        <f>AT25-SUM(AP25:AR25)</f>
        <v>0</v>
      </c>
      <c r="AT25" s="215">
        <v>0</v>
      </c>
      <c r="AU25" s="19">
        <v>0</v>
      </c>
      <c r="AV25" s="19">
        <f>0-AU25</f>
        <v>0</v>
      </c>
      <c r="AW25" s="19">
        <f>0-AV25-AU25</f>
        <v>0</v>
      </c>
      <c r="AX25" s="19">
        <f>AY25-SUM(AU25:AW25)</f>
        <v>0</v>
      </c>
      <c r="AY25" s="215">
        <v>0</v>
      </c>
      <c r="AZ25" s="19">
        <v>0</v>
      </c>
      <c r="BA25" s="19">
        <f>0-AZ25</f>
        <v>0</v>
      </c>
      <c r="BB25" s="19">
        <f>0-BA25-AZ25</f>
        <v>0</v>
      </c>
      <c r="BC25" s="19">
        <f>BD25-SUM(AZ25:BB25)</f>
        <v>0</v>
      </c>
      <c r="BD25" s="215">
        <v>0</v>
      </c>
      <c r="BE25" s="19">
        <v>0</v>
      </c>
      <c r="BF25" s="19">
        <f>0-BE25</f>
        <v>0</v>
      </c>
      <c r="BG25" s="19">
        <f>0-SUM(BE25:BF25)</f>
        <v>0</v>
      </c>
      <c r="BH25" s="132">
        <v>-275</v>
      </c>
      <c r="BI25" s="215">
        <f>SUM(BE25:BH25)</f>
        <v>-275</v>
      </c>
      <c r="BJ25" s="285">
        <v>0</v>
      </c>
      <c r="BK25" s="132">
        <v>0</v>
      </c>
      <c r="BL25" s="132">
        <v>0</v>
      </c>
      <c r="BM25" s="132">
        <v>0</v>
      </c>
      <c r="BN25" s="215">
        <f t="shared" ref="BN25:BN30" si="83">SUM(BJ25:BM25)</f>
        <v>0</v>
      </c>
      <c r="BO25" s="20">
        <v>0</v>
      </c>
      <c r="BP25" s="20">
        <v>0</v>
      </c>
      <c r="BQ25" s="20">
        <v>0</v>
      </c>
      <c r="BR25" s="20">
        <v>0</v>
      </c>
      <c r="BS25" s="215">
        <f t="shared" ref="BS25:BS30" si="84">SUM(BO25:BR25)</f>
        <v>0</v>
      </c>
      <c r="BT25" s="20">
        <v>0</v>
      </c>
      <c r="BU25" s="20">
        <v>0</v>
      </c>
      <c r="BV25" s="20">
        <v>0</v>
      </c>
      <c r="BW25" s="20">
        <v>0</v>
      </c>
      <c r="BX25" s="215">
        <f t="shared" ref="BX25:BX30" si="85">SUM(BT25:BW25)</f>
        <v>0</v>
      </c>
      <c r="BY25" s="20">
        <v>0</v>
      </c>
      <c r="BZ25" s="20">
        <v>0</v>
      </c>
      <c r="CA25" s="20">
        <v>0</v>
      </c>
      <c r="CB25" s="20">
        <v>0</v>
      </c>
      <c r="CC25" s="215">
        <f t="shared" ref="CC25:CC30" si="86">SUM(BY25:CB25)</f>
        <v>0</v>
      </c>
      <c r="CD25" s="20">
        <v>0</v>
      </c>
      <c r="CE25" s="20">
        <v>0</v>
      </c>
      <c r="CF25" s="20">
        <v>0</v>
      </c>
      <c r="CG25" s="20">
        <v>0</v>
      </c>
      <c r="CH25" s="215">
        <f t="shared" ref="CH25:CH30" si="87">SUM(CD25:CG25)</f>
        <v>0</v>
      </c>
      <c r="CI25" s="20">
        <v>0</v>
      </c>
      <c r="CJ25" s="20">
        <v>0</v>
      </c>
      <c r="CK25" s="20">
        <v>0</v>
      </c>
      <c r="CL25" s="20">
        <v>0</v>
      </c>
      <c r="CM25" s="215">
        <f t="shared" ref="CM25:CM30" si="88">SUM(CI25:CL25)</f>
        <v>0</v>
      </c>
      <c r="CN25" s="20">
        <v>0</v>
      </c>
      <c r="CO25" s="20">
        <v>0</v>
      </c>
      <c r="CP25" s="20">
        <v>0</v>
      </c>
      <c r="CQ25" s="20">
        <v>0</v>
      </c>
      <c r="CR25" s="215">
        <f t="shared" ref="CR25:CR30" si="89">SUM(CN25:CQ25)</f>
        <v>0</v>
      </c>
      <c r="CS25" s="20">
        <v>0</v>
      </c>
      <c r="CT25" s="20">
        <v>0</v>
      </c>
      <c r="CU25" s="20">
        <v>0</v>
      </c>
      <c r="CV25" s="20">
        <v>0</v>
      </c>
      <c r="CW25" s="215">
        <f t="shared" ref="CW25:CW30" si="90">SUM(CS25:CV25)</f>
        <v>0</v>
      </c>
      <c r="CX25" s="20">
        <v>0</v>
      </c>
      <c r="CY25" s="20">
        <v>0</v>
      </c>
      <c r="CZ25" s="20">
        <v>0</v>
      </c>
      <c r="DA25" s="20">
        <v>0</v>
      </c>
      <c r="DB25" s="215">
        <f t="shared" ref="DB25:DB30" si="91">SUM(CX25:DA25)</f>
        <v>0</v>
      </c>
    </row>
    <row r="26" spans="1:106" s="11" customFormat="1" ht="12.75" customHeight="1">
      <c r="A26" s="11" t="s">
        <v>77</v>
      </c>
      <c r="C26" s="19">
        <v>0</v>
      </c>
      <c r="D26" s="19">
        <f>0-C26</f>
        <v>0</v>
      </c>
      <c r="E26" s="19">
        <f t="shared" ref="E26:E29" si="92">F26-SUM(C26:D26)</f>
        <v>0</v>
      </c>
      <c r="F26" s="215">
        <v>0</v>
      </c>
      <c r="G26" s="19">
        <v>0</v>
      </c>
      <c r="H26" s="19">
        <f>0-G26</f>
        <v>0</v>
      </c>
      <c r="I26" s="19">
        <f>0-H26-G26</f>
        <v>0</v>
      </c>
      <c r="J26" s="19">
        <f>K26-SUM(G26:I26)</f>
        <v>0</v>
      </c>
      <c r="K26" s="215">
        <v>0</v>
      </c>
      <c r="L26" s="19">
        <v>0</v>
      </c>
      <c r="M26" s="19">
        <f>0-L26</f>
        <v>0</v>
      </c>
      <c r="N26" s="19">
        <f>0-M26-L26</f>
        <v>0</v>
      </c>
      <c r="O26" s="19">
        <f>P26-SUM(L26:N26)</f>
        <v>0</v>
      </c>
      <c r="P26" s="215">
        <v>0</v>
      </c>
      <c r="Q26" s="19">
        <v>0</v>
      </c>
      <c r="R26" s="19">
        <f>0-Q26</f>
        <v>0</v>
      </c>
      <c r="S26" s="19">
        <f>0-R26-Q26</f>
        <v>0</v>
      </c>
      <c r="T26" s="19">
        <f>U26-SUM(Q26:S26)</f>
        <v>0</v>
      </c>
      <c r="U26" s="215">
        <v>0</v>
      </c>
      <c r="V26" s="19">
        <v>0</v>
      </c>
      <c r="W26" s="19">
        <f>0-V26</f>
        <v>0</v>
      </c>
      <c r="X26" s="19">
        <f>0-W26-V26</f>
        <v>0</v>
      </c>
      <c r="Y26" s="19">
        <f>Z26-SUM(V26:X26)</f>
        <v>0</v>
      </c>
      <c r="Z26" s="215">
        <v>0</v>
      </c>
      <c r="AA26" s="19">
        <v>0</v>
      </c>
      <c r="AB26" s="19">
        <f>0-AA26</f>
        <v>0</v>
      </c>
      <c r="AC26" s="19">
        <f>0-AB26-AA26</f>
        <v>0</v>
      </c>
      <c r="AD26" s="19">
        <f>AE26-SUM(AA26:AC26)</f>
        <v>0</v>
      </c>
      <c r="AE26" s="215">
        <v>0</v>
      </c>
      <c r="AF26" s="19">
        <v>0</v>
      </c>
      <c r="AG26" s="19">
        <f>0-AF26</f>
        <v>0</v>
      </c>
      <c r="AH26" s="19">
        <f>0-AG26-AF26</f>
        <v>0</v>
      </c>
      <c r="AI26" s="19">
        <f>AJ26-SUM(AF26:AH26)</f>
        <v>0</v>
      </c>
      <c r="AJ26" s="215">
        <v>0</v>
      </c>
      <c r="AK26" s="19">
        <v>0</v>
      </c>
      <c r="AL26" s="19">
        <f>0-AK26</f>
        <v>0</v>
      </c>
      <c r="AM26" s="19">
        <f>0-AL26-AK26</f>
        <v>0</v>
      </c>
      <c r="AN26" s="19">
        <f>AO26-SUM(AK26:AM26)</f>
        <v>0</v>
      </c>
      <c r="AO26" s="215">
        <v>0</v>
      </c>
      <c r="AP26" s="19">
        <v>0</v>
      </c>
      <c r="AQ26" s="19">
        <f>0-AP26</f>
        <v>0</v>
      </c>
      <c r="AR26" s="19">
        <f>0-AQ26-AP26</f>
        <v>0</v>
      </c>
      <c r="AS26" s="19">
        <f>AT26-SUM(AP26:AR26)</f>
        <v>0</v>
      </c>
      <c r="AT26" s="215">
        <v>0</v>
      </c>
      <c r="AU26" s="19">
        <v>0</v>
      </c>
      <c r="AV26" s="19">
        <f>0-AU26</f>
        <v>0</v>
      </c>
      <c r="AW26" s="19">
        <f>0-AV26-AU26</f>
        <v>0</v>
      </c>
      <c r="AX26" s="19">
        <f>AY26-SUM(AU26:AW26)</f>
        <v>0</v>
      </c>
      <c r="AY26" s="215">
        <v>0</v>
      </c>
      <c r="AZ26" s="19">
        <f>-10.495</f>
        <v>-10.494999999999999</v>
      </c>
      <c r="BA26" s="19">
        <f>-10.495-AZ26</f>
        <v>0</v>
      </c>
      <c r="BB26" s="19">
        <f>-10.495-BA26-AZ26</f>
        <v>0</v>
      </c>
      <c r="BC26" s="19">
        <f>BD26-SUM(AZ26:BB26)</f>
        <v>0</v>
      </c>
      <c r="BD26" s="215">
        <v>-10.494999999999999</v>
      </c>
      <c r="BE26" s="19">
        <v>0</v>
      </c>
      <c r="BF26" s="19">
        <f>0-BE26</f>
        <v>0</v>
      </c>
      <c r="BG26" s="19">
        <f>0-SUM(BE26:BF26)</f>
        <v>0</v>
      </c>
      <c r="BH26" s="132">
        <v>0</v>
      </c>
      <c r="BI26" s="215">
        <f t="shared" ref="BI26:BI30" si="93">SUM(BE26:BH26)</f>
        <v>0</v>
      </c>
      <c r="BJ26" s="285">
        <v>0</v>
      </c>
      <c r="BK26" s="132">
        <v>0</v>
      </c>
      <c r="BL26" s="132">
        <v>0</v>
      </c>
      <c r="BM26" s="132">
        <v>0</v>
      </c>
      <c r="BN26" s="215">
        <f t="shared" si="83"/>
        <v>0</v>
      </c>
      <c r="BO26" s="20">
        <v>0</v>
      </c>
      <c r="BP26" s="20">
        <v>0</v>
      </c>
      <c r="BQ26" s="20">
        <v>0</v>
      </c>
      <c r="BR26" s="20">
        <v>0</v>
      </c>
      <c r="BS26" s="215">
        <f t="shared" si="84"/>
        <v>0</v>
      </c>
      <c r="BT26" s="20">
        <v>0</v>
      </c>
      <c r="BU26" s="20">
        <v>0</v>
      </c>
      <c r="BV26" s="20">
        <v>0</v>
      </c>
      <c r="BW26" s="20">
        <v>0</v>
      </c>
      <c r="BX26" s="215">
        <f t="shared" si="85"/>
        <v>0</v>
      </c>
      <c r="BY26" s="20">
        <v>0</v>
      </c>
      <c r="BZ26" s="20">
        <v>0</v>
      </c>
      <c r="CA26" s="20">
        <v>0</v>
      </c>
      <c r="CB26" s="20">
        <v>0</v>
      </c>
      <c r="CC26" s="215">
        <f t="shared" si="86"/>
        <v>0</v>
      </c>
      <c r="CD26" s="20">
        <v>0</v>
      </c>
      <c r="CE26" s="20">
        <v>0</v>
      </c>
      <c r="CF26" s="20">
        <v>0</v>
      </c>
      <c r="CG26" s="20">
        <v>0</v>
      </c>
      <c r="CH26" s="215">
        <f t="shared" si="87"/>
        <v>0</v>
      </c>
      <c r="CI26" s="20">
        <v>0</v>
      </c>
      <c r="CJ26" s="20">
        <v>0</v>
      </c>
      <c r="CK26" s="20">
        <v>0</v>
      </c>
      <c r="CL26" s="20">
        <v>0</v>
      </c>
      <c r="CM26" s="215">
        <f t="shared" si="88"/>
        <v>0</v>
      </c>
      <c r="CN26" s="20">
        <v>0</v>
      </c>
      <c r="CO26" s="20">
        <v>0</v>
      </c>
      <c r="CP26" s="20">
        <v>0</v>
      </c>
      <c r="CQ26" s="20">
        <v>0</v>
      </c>
      <c r="CR26" s="215">
        <f t="shared" si="89"/>
        <v>0</v>
      </c>
      <c r="CS26" s="20">
        <v>0</v>
      </c>
      <c r="CT26" s="20">
        <v>0</v>
      </c>
      <c r="CU26" s="20">
        <v>0</v>
      </c>
      <c r="CV26" s="20">
        <v>0</v>
      </c>
      <c r="CW26" s="215">
        <f t="shared" si="90"/>
        <v>0</v>
      </c>
      <c r="CX26" s="20">
        <v>0</v>
      </c>
      <c r="CY26" s="20">
        <v>0</v>
      </c>
      <c r="CZ26" s="20">
        <v>0</v>
      </c>
      <c r="DA26" s="20">
        <v>0</v>
      </c>
      <c r="DB26" s="215">
        <f t="shared" si="91"/>
        <v>0</v>
      </c>
    </row>
    <row r="27" spans="1:106" s="11" customFormat="1" ht="12.75" customHeight="1">
      <c r="A27" s="11" t="s">
        <v>78</v>
      </c>
      <c r="C27" s="19">
        <v>-5.8710000000000004</v>
      </c>
      <c r="D27" s="19">
        <f>-6.117-C27</f>
        <v>-0.24599999999999955</v>
      </c>
      <c r="E27" s="19">
        <f>F27-SUM(C27:D27)</f>
        <v>-3.8400000000000007</v>
      </c>
      <c r="F27" s="215">
        <v>-9.9570000000000007</v>
      </c>
      <c r="G27" s="19">
        <v>-3.7490000000000001</v>
      </c>
      <c r="H27" s="19">
        <f>-6.037-G27</f>
        <v>-2.2879999999999998</v>
      </c>
      <c r="I27" s="19">
        <f>-6.452-H27-G27</f>
        <v>-0.41499999999999959</v>
      </c>
      <c r="J27" s="19">
        <f>K27-SUM(G27:I27)</f>
        <v>-1.4000000000000004</v>
      </c>
      <c r="K27" s="215">
        <v>-7.8520000000000003</v>
      </c>
      <c r="L27" s="19">
        <v>-3.484</v>
      </c>
      <c r="M27" s="19">
        <f>-7.311-L27</f>
        <v>-3.827</v>
      </c>
      <c r="N27" s="19">
        <f>-14.577-M27-L27</f>
        <v>-7.266</v>
      </c>
      <c r="O27" s="19">
        <f>P27-SUM(L27:N27)</f>
        <v>-8.5589999999999993</v>
      </c>
      <c r="P27" s="215">
        <v>-23.135999999999999</v>
      </c>
      <c r="Q27" s="19">
        <v>-6.3380000000000001</v>
      </c>
      <c r="R27" s="19">
        <f>-8.066-Q27</f>
        <v>-1.7280000000000006</v>
      </c>
      <c r="S27" s="19">
        <f>-9.147-R27-Q27</f>
        <v>-1.0809999999999995</v>
      </c>
      <c r="T27" s="19">
        <f>U27-SUM(Q27:S27)</f>
        <v>-0.72000000000000064</v>
      </c>
      <c r="U27" s="215">
        <v>-9.8670000000000009</v>
      </c>
      <c r="V27" s="19">
        <v>-0.85199999999999998</v>
      </c>
      <c r="W27" s="19">
        <f>-1.227-V27</f>
        <v>-0.37500000000000011</v>
      </c>
      <c r="X27" s="19">
        <f>-1.77-W27-V27</f>
        <v>-0.54300000000000004</v>
      </c>
      <c r="Y27" s="19">
        <f>Z27-SUM(V27:X27)</f>
        <v>-2.11</v>
      </c>
      <c r="Z27" s="215">
        <v>-3.88</v>
      </c>
      <c r="AA27" s="19">
        <v>-0.95499999999999996</v>
      </c>
      <c r="AB27" s="19">
        <f>-1.599-AA27</f>
        <v>-0.64400000000000002</v>
      </c>
      <c r="AC27" s="19">
        <f>-2.554-AB27-AA27</f>
        <v>-0.95499999999999974</v>
      </c>
      <c r="AD27" s="19">
        <f>AE27-SUM(AA27:AC27)</f>
        <v>-2.4140000000000001</v>
      </c>
      <c r="AE27" s="215">
        <v>-4.968</v>
      </c>
      <c r="AF27" s="19">
        <v>-7.9169999999999998</v>
      </c>
      <c r="AG27" s="19">
        <f>-10.13-AF27</f>
        <v>-2.213000000000001</v>
      </c>
      <c r="AH27" s="19">
        <f>-12.073-AG27-AF27</f>
        <v>-1.9429999999999996</v>
      </c>
      <c r="AI27" s="19">
        <f>AJ27-SUM(AF27:AH27)</f>
        <v>-7.5309999999999988</v>
      </c>
      <c r="AJ27" s="215">
        <v>-19.603999999999999</v>
      </c>
      <c r="AK27" s="19">
        <v>-10.26</v>
      </c>
      <c r="AL27" s="19">
        <f>-18.891-AK27</f>
        <v>-8.6309999999999985</v>
      </c>
      <c r="AM27" s="19">
        <f>-32.027-AL27-AK27</f>
        <v>-13.136000000000001</v>
      </c>
      <c r="AN27" s="19">
        <f>AO27-SUM(AK27:AM27)</f>
        <v>-9.0030000000000001</v>
      </c>
      <c r="AO27" s="215">
        <v>-41.03</v>
      </c>
      <c r="AP27" s="19">
        <v>-15.885</v>
      </c>
      <c r="AQ27" s="19">
        <f>-23.661-AP27</f>
        <v>-7.7760000000000016</v>
      </c>
      <c r="AR27" s="19">
        <f>-35.87-AQ27-AP27</f>
        <v>-12.208999999999994</v>
      </c>
      <c r="AS27" s="19">
        <f>AT27-SUM(AP27:AR27)</f>
        <v>-11.827000000000005</v>
      </c>
      <c r="AT27" s="215">
        <v>-47.697000000000003</v>
      </c>
      <c r="AU27" s="19">
        <v>-11.598000000000001</v>
      </c>
      <c r="AV27" s="19">
        <f>-20.566-AU27</f>
        <v>-8.9679999999999982</v>
      </c>
      <c r="AW27" s="19">
        <f>-29.667-AV27-AU27</f>
        <v>-9.1010000000000044</v>
      </c>
      <c r="AX27" s="19">
        <f>AY27-SUM(AU27:AW27)</f>
        <v>-9.5319999999999965</v>
      </c>
      <c r="AY27" s="215">
        <v>-39.198999999999998</v>
      </c>
      <c r="AZ27" s="19">
        <v>-20.315000000000001</v>
      </c>
      <c r="BA27" s="19">
        <f>-31.993-AZ27</f>
        <v>-11.677999999999997</v>
      </c>
      <c r="BB27" s="19">
        <f>-48.305-BA27-AZ27</f>
        <v>-16.312000000000001</v>
      </c>
      <c r="BC27" s="19">
        <f>BD27-SUM(AZ27:BB27)</f>
        <v>-18.118000000000002</v>
      </c>
      <c r="BD27" s="215">
        <v>-66.423000000000002</v>
      </c>
      <c r="BE27" s="19">
        <v>-21.815000000000001</v>
      </c>
      <c r="BF27" s="19">
        <f>-47.712-BE27</f>
        <v>-25.897000000000002</v>
      </c>
      <c r="BG27" s="19">
        <f>-70.117-SUM(BE27:BF27)</f>
        <v>-22.405000000000001</v>
      </c>
      <c r="BH27" s="19">
        <f>-'Other Accts'!BH38</f>
        <v>-41.571199999999898</v>
      </c>
      <c r="BI27" s="215">
        <f t="shared" si="93"/>
        <v>-111.68819999999991</v>
      </c>
      <c r="BJ27" s="275">
        <f>-'Other Accts'!BJ38</f>
        <v>-20</v>
      </c>
      <c r="BK27" s="19">
        <f>-'Other Accts'!BK38</f>
        <v>-20</v>
      </c>
      <c r="BL27" s="19">
        <f>-'Other Accts'!BL38</f>
        <v>-20</v>
      </c>
      <c r="BM27" s="19">
        <f>-'Other Accts'!BM38</f>
        <v>-20</v>
      </c>
      <c r="BN27" s="215">
        <f t="shared" si="83"/>
        <v>-80</v>
      </c>
      <c r="BO27" s="19">
        <f>-'Other Accts'!BO38</f>
        <v>-21</v>
      </c>
      <c r="BP27" s="19">
        <f>-'Other Accts'!BP38</f>
        <v>-21</v>
      </c>
      <c r="BQ27" s="19">
        <f>-'Other Accts'!BQ38</f>
        <v>-21</v>
      </c>
      <c r="BR27" s="19">
        <f>-'Other Accts'!BR38</f>
        <v>-21</v>
      </c>
      <c r="BS27" s="215">
        <f t="shared" si="84"/>
        <v>-84</v>
      </c>
      <c r="BT27" s="19">
        <f>-'Other Accts'!BT38</f>
        <v>-22.05</v>
      </c>
      <c r="BU27" s="19">
        <f>-'Other Accts'!BU38</f>
        <v>-22.05</v>
      </c>
      <c r="BV27" s="19">
        <f>-'Other Accts'!BV38</f>
        <v>-22.050000000000004</v>
      </c>
      <c r="BW27" s="19">
        <f>-'Other Accts'!BW38</f>
        <v>-22.049999999999997</v>
      </c>
      <c r="BX27" s="215">
        <f t="shared" si="85"/>
        <v>-88.2</v>
      </c>
      <c r="BY27" s="19">
        <f>-'Other Accts'!BY38</f>
        <v>-23.152500000000003</v>
      </c>
      <c r="BZ27" s="19">
        <f>-'Other Accts'!BZ38</f>
        <v>-23.152500000000003</v>
      </c>
      <c r="CA27" s="19">
        <f>-'Other Accts'!CA38</f>
        <v>-23.152500000000003</v>
      </c>
      <c r="CB27" s="19">
        <f>-'Other Accts'!CB38</f>
        <v>-23.152500000000003</v>
      </c>
      <c r="CC27" s="215">
        <f t="shared" si="86"/>
        <v>-92.610000000000014</v>
      </c>
      <c r="CD27" s="19">
        <f>-'Other Accts'!CD38</f>
        <v>-24.310125000000003</v>
      </c>
      <c r="CE27" s="19">
        <f>-'Other Accts'!CE38</f>
        <v>-24.310125000000003</v>
      </c>
      <c r="CF27" s="19">
        <f>-'Other Accts'!CF38</f>
        <v>-24.310125000000006</v>
      </c>
      <c r="CG27" s="19">
        <f>-'Other Accts'!CG38</f>
        <v>-24.310124999999999</v>
      </c>
      <c r="CH27" s="215">
        <f t="shared" si="87"/>
        <v>-97.240500000000011</v>
      </c>
      <c r="CI27" s="19">
        <f>-'Other Accts'!CI38</f>
        <v>-25.525631250000004</v>
      </c>
      <c r="CJ27" s="19">
        <f>-'Other Accts'!CJ38</f>
        <v>-25.525631250000004</v>
      </c>
      <c r="CK27" s="19">
        <f>-'Other Accts'!CK38</f>
        <v>-25.525631250000004</v>
      </c>
      <c r="CL27" s="19">
        <f>-'Other Accts'!CL38</f>
        <v>-25.525631250000004</v>
      </c>
      <c r="CM27" s="215">
        <f t="shared" si="88"/>
        <v>-102.10252500000001</v>
      </c>
      <c r="CN27" s="19">
        <f>-'Other Accts'!CN38</f>
        <v>-26.801912812500007</v>
      </c>
      <c r="CO27" s="19">
        <f>-'Other Accts'!CO38</f>
        <v>-26.801912812500007</v>
      </c>
      <c r="CP27" s="19">
        <f>-'Other Accts'!CP38</f>
        <v>-26.801912812500007</v>
      </c>
      <c r="CQ27" s="19">
        <f>-'Other Accts'!CQ38</f>
        <v>-26.801912812500007</v>
      </c>
      <c r="CR27" s="215">
        <f t="shared" si="89"/>
        <v>-107.20765125000003</v>
      </c>
      <c r="CS27" s="19">
        <f>-'Other Accts'!CS38</f>
        <v>-28.142008453125008</v>
      </c>
      <c r="CT27" s="19">
        <f>-'Other Accts'!CT38</f>
        <v>-28.142008453125005</v>
      </c>
      <c r="CU27" s="19">
        <f>-'Other Accts'!CU38</f>
        <v>-28.142008453125012</v>
      </c>
      <c r="CV27" s="19">
        <f>-'Other Accts'!CV38</f>
        <v>-28.142008453125001</v>
      </c>
      <c r="CW27" s="215">
        <f t="shared" si="90"/>
        <v>-112.56803381250003</v>
      </c>
      <c r="CX27" s="19">
        <f>-'Other Accts'!CX38</f>
        <v>-29.549108875781261</v>
      </c>
      <c r="CY27" s="19">
        <f>-'Other Accts'!CY38</f>
        <v>-29.549108875781261</v>
      </c>
      <c r="CZ27" s="19">
        <f>-'Other Accts'!CZ38</f>
        <v>-29.549108875781265</v>
      </c>
      <c r="DA27" s="19">
        <f>-'Other Accts'!DA38</f>
        <v>-29.549108875781258</v>
      </c>
      <c r="DB27" s="215">
        <f t="shared" si="91"/>
        <v>-118.19643550312504</v>
      </c>
    </row>
    <row r="28" spans="1:106" s="11" customFormat="1" ht="12.75" customHeight="1">
      <c r="A28" s="11" t="s">
        <v>79</v>
      </c>
      <c r="C28" s="19">
        <v>0</v>
      </c>
      <c r="D28" s="19">
        <f>0-C28</f>
        <v>0</v>
      </c>
      <c r="E28" s="19">
        <f t="shared" si="92"/>
        <v>1.4999999999999999E-2</v>
      </c>
      <c r="F28" s="215">
        <v>1.4999999999999999E-2</v>
      </c>
      <c r="G28" s="19">
        <v>0</v>
      </c>
      <c r="H28" s="19">
        <f>0-G28</f>
        <v>0</v>
      </c>
      <c r="I28" s="19">
        <f>0-H28-G28</f>
        <v>0</v>
      </c>
      <c r="J28" s="19">
        <f>K28-SUM(G28:I28)</f>
        <v>0.46300000000000002</v>
      </c>
      <c r="K28" s="215">
        <f>0.463</f>
        <v>0.46300000000000002</v>
      </c>
      <c r="L28" s="19">
        <v>0.22500000000000001</v>
      </c>
      <c r="M28" s="19">
        <f>0.225-L28</f>
        <v>0</v>
      </c>
      <c r="N28" s="19">
        <f>0-M28-L28</f>
        <v>-0.22500000000000001</v>
      </c>
      <c r="O28" s="19">
        <f>P28-SUM(L28:N28)</f>
        <v>0</v>
      </c>
      <c r="P28" s="215">
        <v>0</v>
      </c>
      <c r="Q28" s="19">
        <v>0</v>
      </c>
      <c r="R28" s="19">
        <f>0-Q28</f>
        <v>0</v>
      </c>
      <c r="S28" s="19">
        <f>0-R28-Q28</f>
        <v>0</v>
      </c>
      <c r="T28" s="19">
        <f>U28-SUM(Q28:S28)</f>
        <v>0</v>
      </c>
      <c r="U28" s="215">
        <v>0</v>
      </c>
      <c r="V28" s="19">
        <v>0</v>
      </c>
      <c r="W28" s="19">
        <f>0-V28</f>
        <v>0</v>
      </c>
      <c r="X28" s="19">
        <f>0-W28-V28</f>
        <v>0</v>
      </c>
      <c r="Y28" s="19">
        <f>Z28-SUM(V28:X28)</f>
        <v>0</v>
      </c>
      <c r="Z28" s="215">
        <v>0</v>
      </c>
      <c r="AA28" s="19">
        <v>0</v>
      </c>
      <c r="AB28" s="19">
        <f>0-AA28</f>
        <v>0</v>
      </c>
      <c r="AC28" s="19">
        <f>9.675-AB28-AA28</f>
        <v>9.6750000000000007</v>
      </c>
      <c r="AD28" s="19">
        <f>AE28-SUM(AA28:AC28)</f>
        <v>0</v>
      </c>
      <c r="AE28" s="215">
        <v>9.6750000000000007</v>
      </c>
      <c r="AF28" s="19">
        <v>0</v>
      </c>
      <c r="AG28" s="19">
        <f>0-AF28</f>
        <v>0</v>
      </c>
      <c r="AH28" s="19">
        <f>0-AG28-AF28</f>
        <v>0</v>
      </c>
      <c r="AI28" s="19">
        <f>AJ28-SUM(AF28:AH28)</f>
        <v>0</v>
      </c>
      <c r="AJ28" s="215">
        <v>0</v>
      </c>
      <c r="AK28" s="19">
        <v>0</v>
      </c>
      <c r="AL28" s="19">
        <f>0-AK28</f>
        <v>0</v>
      </c>
      <c r="AM28" s="19">
        <f>0-AL28-AK28</f>
        <v>0</v>
      </c>
      <c r="AN28" s="19">
        <f>AO28-SUM(AK28:AM28)</f>
        <v>0</v>
      </c>
      <c r="AO28" s="215">
        <v>0</v>
      </c>
      <c r="AP28" s="19">
        <v>0</v>
      </c>
      <c r="AQ28" s="19">
        <f>0-AP28</f>
        <v>0</v>
      </c>
      <c r="AR28" s="19">
        <f>0-AQ28-AP28</f>
        <v>0</v>
      </c>
      <c r="AS28" s="19">
        <f>AT28-SUM(AP28:AR28)</f>
        <v>0</v>
      </c>
      <c r="AT28" s="215">
        <v>0</v>
      </c>
      <c r="AU28" s="19">
        <v>0</v>
      </c>
      <c r="AV28" s="19">
        <f>0-AU28</f>
        <v>0</v>
      </c>
      <c r="AW28" s="19">
        <f>0-AV28-AU28</f>
        <v>0</v>
      </c>
      <c r="AX28" s="19">
        <f>AY28-SUM(AU28:AW28)</f>
        <v>0</v>
      </c>
      <c r="AY28" s="215">
        <v>0</v>
      </c>
      <c r="AZ28" s="19">
        <v>0</v>
      </c>
      <c r="BA28" s="19">
        <f>0-AZ28</f>
        <v>0</v>
      </c>
      <c r="BB28" s="19">
        <f>0-BA28-AZ28</f>
        <v>0</v>
      </c>
      <c r="BC28" s="19">
        <f>BD28-SUM(AZ28:BB28)</f>
        <v>0</v>
      </c>
      <c r="BD28" s="215">
        <v>0</v>
      </c>
      <c r="BE28" s="19">
        <v>0</v>
      </c>
      <c r="BF28" s="19">
        <f>0-BE28</f>
        <v>0</v>
      </c>
      <c r="BG28" s="19">
        <f>0-SUM(BE28:BF28)</f>
        <v>0</v>
      </c>
      <c r="BH28" s="132">
        <v>0</v>
      </c>
      <c r="BI28" s="215">
        <f t="shared" si="93"/>
        <v>0</v>
      </c>
      <c r="BJ28" s="285">
        <v>0</v>
      </c>
      <c r="BK28" s="132">
        <v>0</v>
      </c>
      <c r="BL28" s="132">
        <v>0</v>
      </c>
      <c r="BM28" s="132">
        <v>0</v>
      </c>
      <c r="BN28" s="215">
        <f t="shared" si="83"/>
        <v>0</v>
      </c>
      <c r="BO28" s="20">
        <v>0</v>
      </c>
      <c r="BP28" s="20">
        <v>0</v>
      </c>
      <c r="BQ28" s="20">
        <v>0</v>
      </c>
      <c r="BR28" s="20">
        <v>0</v>
      </c>
      <c r="BS28" s="215">
        <f t="shared" si="84"/>
        <v>0</v>
      </c>
      <c r="BT28" s="20">
        <v>0</v>
      </c>
      <c r="BU28" s="20">
        <v>0</v>
      </c>
      <c r="BV28" s="20">
        <v>0</v>
      </c>
      <c r="BW28" s="20">
        <v>0</v>
      </c>
      <c r="BX28" s="215">
        <f t="shared" si="85"/>
        <v>0</v>
      </c>
      <c r="BY28" s="20">
        <v>0</v>
      </c>
      <c r="BZ28" s="20">
        <v>0</v>
      </c>
      <c r="CA28" s="20">
        <v>0</v>
      </c>
      <c r="CB28" s="20">
        <v>0</v>
      </c>
      <c r="CC28" s="215">
        <f t="shared" si="86"/>
        <v>0</v>
      </c>
      <c r="CD28" s="20">
        <v>0</v>
      </c>
      <c r="CE28" s="20">
        <v>0</v>
      </c>
      <c r="CF28" s="20">
        <v>0</v>
      </c>
      <c r="CG28" s="20">
        <v>0</v>
      </c>
      <c r="CH28" s="215">
        <f t="shared" si="87"/>
        <v>0</v>
      </c>
      <c r="CI28" s="20">
        <v>0</v>
      </c>
      <c r="CJ28" s="20">
        <v>0</v>
      </c>
      <c r="CK28" s="20">
        <v>0</v>
      </c>
      <c r="CL28" s="20">
        <v>0</v>
      </c>
      <c r="CM28" s="215">
        <f t="shared" si="88"/>
        <v>0</v>
      </c>
      <c r="CN28" s="20">
        <v>0</v>
      </c>
      <c r="CO28" s="20">
        <v>0</v>
      </c>
      <c r="CP28" s="20">
        <v>0</v>
      </c>
      <c r="CQ28" s="20">
        <v>0</v>
      </c>
      <c r="CR28" s="215">
        <f t="shared" si="89"/>
        <v>0</v>
      </c>
      <c r="CS28" s="20">
        <v>0</v>
      </c>
      <c r="CT28" s="20">
        <v>0</v>
      </c>
      <c r="CU28" s="20">
        <v>0</v>
      </c>
      <c r="CV28" s="20">
        <v>0</v>
      </c>
      <c r="CW28" s="215">
        <f t="shared" si="90"/>
        <v>0</v>
      </c>
      <c r="CX28" s="20">
        <v>0</v>
      </c>
      <c r="CY28" s="20">
        <v>0</v>
      </c>
      <c r="CZ28" s="20">
        <v>0</v>
      </c>
      <c r="DA28" s="20">
        <v>0</v>
      </c>
      <c r="DB28" s="215">
        <f t="shared" si="91"/>
        <v>0</v>
      </c>
    </row>
    <row r="29" spans="1:106" s="11" customFormat="1" ht="12.75" customHeight="1">
      <c r="A29" s="11" t="s">
        <v>73</v>
      </c>
      <c r="C29" s="155">
        <v>0</v>
      </c>
      <c r="D29" s="19">
        <f>0-C29</f>
        <v>0</v>
      </c>
      <c r="E29" s="19">
        <f t="shared" si="92"/>
        <v>0</v>
      </c>
      <c r="F29" s="215">
        <v>0</v>
      </c>
      <c r="G29" s="19">
        <v>0</v>
      </c>
      <c r="H29" s="19">
        <f>0-G29</f>
        <v>0</v>
      </c>
      <c r="I29" s="19">
        <f>-26.353-H29-G29</f>
        <v>-26.353000000000002</v>
      </c>
      <c r="J29" s="19">
        <f>K29-SUM(G29:I29)</f>
        <v>-176.93699999999998</v>
      </c>
      <c r="K29" s="215">
        <f>-203.29</f>
        <v>-203.29</v>
      </c>
      <c r="L29" s="19">
        <f>-14.079+10.599+10</f>
        <v>6.52</v>
      </c>
      <c r="M29" s="19">
        <f>-30.118+16.766+18-L29</f>
        <v>-1.8719999999999999</v>
      </c>
      <c r="N29" s="19">
        <f>-48.519+59.185+34-M29-L29</f>
        <v>40.018000000000001</v>
      </c>
      <c r="O29" s="19">
        <f>P29-SUM(L29:N29)</f>
        <v>25.497000000000014</v>
      </c>
      <c r="P29" s="215">
        <f>-53.522+59.185+64.5</f>
        <v>70.163000000000011</v>
      </c>
      <c r="Q29" s="19">
        <f>-3.995+25.053+3</f>
        <v>24.058</v>
      </c>
      <c r="R29" s="19">
        <f>-4.219+36.791+3-Q29</f>
        <v>11.513999999999996</v>
      </c>
      <c r="S29" s="19">
        <f>-184.263+55.352+124.325-R29-Q29</f>
        <v>-40.157999999999994</v>
      </c>
      <c r="T29" s="19">
        <f>U29-SUM(Q29:S29)</f>
        <v>28.236999999999952</v>
      </c>
      <c r="U29" s="215">
        <f>-272.819+65.27+231.2</f>
        <v>23.650999999999954</v>
      </c>
      <c r="V29" s="19">
        <f>-9.986+27.896+8</f>
        <v>25.91</v>
      </c>
      <c r="W29" s="19">
        <f>-20.584+27.895+27.6-V29</f>
        <v>9.0010000000000012</v>
      </c>
      <c r="X29" s="19">
        <f>-115.066+37.387+52.6-W29-V29</f>
        <v>-59.989999999999995</v>
      </c>
      <c r="Y29" s="19">
        <f>Z29-SUM(V29:X29)</f>
        <v>23.797999999999988</v>
      </c>
      <c r="Z29" s="215">
        <f>-170.268+37.387+131.6</f>
        <v>-1.2810000000000059</v>
      </c>
      <c r="AA29" s="19">
        <f>-18.628+32.5</f>
        <v>13.872</v>
      </c>
      <c r="AB29" s="19">
        <f>-162.176+62.78-AA29</f>
        <v>-113.26799999999999</v>
      </c>
      <c r="AC29" s="19">
        <f>-197.009+118.78-AB29-AA29</f>
        <v>21.167000000000002</v>
      </c>
      <c r="AD29" s="19">
        <f>AE29-SUM(AA29:AC29)</f>
        <v>-192.83099999999996</v>
      </c>
      <c r="AE29" s="215">
        <f>-446.626+1.666+173.9</f>
        <v>-271.05999999999995</v>
      </c>
      <c r="AF29" s="19">
        <f>-53.876+11.5+93.785</f>
        <v>51.408999999999999</v>
      </c>
      <c r="AG29" s="19">
        <f>-266.139+11.5+142.815-AF29</f>
        <v>-163.233</v>
      </c>
      <c r="AH29" s="19">
        <f>-479.037+11.5+247.315-AG29-AF29</f>
        <v>-108.39799999999997</v>
      </c>
      <c r="AI29" s="19">
        <f>AJ29-SUM(AF29:AH29)</f>
        <v>-91.635000000000048</v>
      </c>
      <c r="AJ29" s="215">
        <f>-685.239+30.067+343.315</f>
        <v>-311.85700000000003</v>
      </c>
      <c r="AK29" s="19">
        <f>-43.024+140.024</f>
        <v>97</v>
      </c>
      <c r="AL29" s="19">
        <f>-71.054+31.144+205.51-AK29</f>
        <v>68.599999999999994</v>
      </c>
      <c r="AM29" s="19">
        <f>-674.372+77.563+348.41-4.271-AL29-AK29</f>
        <v>-418.26999999999992</v>
      </c>
      <c r="AN29" s="19">
        <f>AO29-SUM(AK29:AM29)</f>
        <v>88.50699999999992</v>
      </c>
      <c r="AO29" s="215">
        <f>-876.095+187.58+532.91-8.558</f>
        <v>-164.16300000000001</v>
      </c>
      <c r="AP29" s="19">
        <f>-24.977+166.895+81</f>
        <v>222.91800000000001</v>
      </c>
      <c r="AQ29" s="19">
        <f>-79.956+191.939+153.5-AP29</f>
        <v>42.564999999999998</v>
      </c>
      <c r="AR29" s="19">
        <f>-86.947+214.738+216.5-AQ29-AP29</f>
        <v>78.807999999999993</v>
      </c>
      <c r="AS29" s="19">
        <f>AT29-SUM(AP29:AR29)</f>
        <v>33.743999999999971</v>
      </c>
      <c r="AT29" s="215">
        <f>-86.947+248.482+216.5</f>
        <v>378.03499999999997</v>
      </c>
      <c r="AU29" s="19">
        <f>27.25</f>
        <v>27.25</v>
      </c>
      <c r="AV29" s="19">
        <f>83.25-AU29</f>
        <v>56</v>
      </c>
      <c r="AW29" s="19">
        <f>173.5-AV29-AU29</f>
        <v>90.25</v>
      </c>
      <c r="AX29" s="19">
        <f>AY29-SUM(AU29:AW29)</f>
        <v>34.197000000000003</v>
      </c>
      <c r="AY29" s="215">
        <f>-98.303+306</f>
        <v>207.697</v>
      </c>
      <c r="AZ29" s="19">
        <f>169.065</f>
        <v>169.065</v>
      </c>
      <c r="BA29" s="19">
        <f>-72.81+221.5-AZ29</f>
        <v>-20.375</v>
      </c>
      <c r="BB29" s="19">
        <f>-122.01+24.822+307.4-2.67-BA29-AZ29</f>
        <v>58.852000000000004</v>
      </c>
      <c r="BC29" s="19">
        <f>BD29-SUM(AZ29:BB29)</f>
        <v>7</v>
      </c>
      <c r="BD29" s="215">
        <f>-122.01+24.822+314.4-2.67</f>
        <v>214.542</v>
      </c>
      <c r="BE29" s="19">
        <v>5</v>
      </c>
      <c r="BF29" s="19">
        <f>7-BE29</f>
        <v>2</v>
      </c>
      <c r="BG29" s="19">
        <f>22-12.5-SUM(BE29:BF29)</f>
        <v>2.5</v>
      </c>
      <c r="BH29" s="132">
        <f>-155.2-BE30-BF30-BG30-BH28-BH27-BH26-BH25</f>
        <v>221.98819999999992</v>
      </c>
      <c r="BI29" s="215">
        <f t="shared" si="93"/>
        <v>231.48819999999992</v>
      </c>
      <c r="BJ29" s="285">
        <v>0</v>
      </c>
      <c r="BK29" s="132">
        <v>0</v>
      </c>
      <c r="BL29" s="132">
        <v>0</v>
      </c>
      <c r="BM29" s="132">
        <v>0</v>
      </c>
      <c r="BN29" s="215">
        <f t="shared" si="83"/>
        <v>0</v>
      </c>
      <c r="BO29" s="20">
        <v>0</v>
      </c>
      <c r="BP29" s="20">
        <v>0</v>
      </c>
      <c r="BQ29" s="20">
        <v>0</v>
      </c>
      <c r="BR29" s="20">
        <v>0</v>
      </c>
      <c r="BS29" s="215">
        <f t="shared" si="84"/>
        <v>0</v>
      </c>
      <c r="BT29" s="20">
        <v>0</v>
      </c>
      <c r="BU29" s="20">
        <v>0</v>
      </c>
      <c r="BV29" s="20">
        <v>0</v>
      </c>
      <c r="BW29" s="20">
        <v>0</v>
      </c>
      <c r="BX29" s="215">
        <f t="shared" si="85"/>
        <v>0</v>
      </c>
      <c r="BY29" s="20">
        <v>0</v>
      </c>
      <c r="BZ29" s="20">
        <v>0</v>
      </c>
      <c r="CA29" s="20">
        <v>0</v>
      </c>
      <c r="CB29" s="20">
        <v>0</v>
      </c>
      <c r="CC29" s="215">
        <f t="shared" si="86"/>
        <v>0</v>
      </c>
      <c r="CD29" s="20">
        <v>0</v>
      </c>
      <c r="CE29" s="20">
        <v>0</v>
      </c>
      <c r="CF29" s="20">
        <v>0</v>
      </c>
      <c r="CG29" s="20">
        <v>0</v>
      </c>
      <c r="CH29" s="215">
        <f t="shared" si="87"/>
        <v>0</v>
      </c>
      <c r="CI29" s="20">
        <v>0</v>
      </c>
      <c r="CJ29" s="20">
        <v>0</v>
      </c>
      <c r="CK29" s="20">
        <v>0</v>
      </c>
      <c r="CL29" s="20">
        <v>0</v>
      </c>
      <c r="CM29" s="215">
        <f t="shared" si="88"/>
        <v>0</v>
      </c>
      <c r="CN29" s="20">
        <v>0</v>
      </c>
      <c r="CO29" s="20">
        <v>0</v>
      </c>
      <c r="CP29" s="20">
        <v>0</v>
      </c>
      <c r="CQ29" s="20">
        <v>0</v>
      </c>
      <c r="CR29" s="215">
        <f t="shared" si="89"/>
        <v>0</v>
      </c>
      <c r="CS29" s="20">
        <v>0</v>
      </c>
      <c r="CT29" s="20">
        <v>0</v>
      </c>
      <c r="CU29" s="20">
        <v>0</v>
      </c>
      <c r="CV29" s="20">
        <v>0</v>
      </c>
      <c r="CW29" s="215">
        <f t="shared" si="90"/>
        <v>0</v>
      </c>
      <c r="CX29" s="20">
        <v>0</v>
      </c>
      <c r="CY29" s="20">
        <v>0</v>
      </c>
      <c r="CZ29" s="20">
        <v>0</v>
      </c>
      <c r="DA29" s="20">
        <v>0</v>
      </c>
      <c r="DB29" s="215">
        <f t="shared" si="91"/>
        <v>0</v>
      </c>
    </row>
    <row r="30" spans="1:106" s="10" customFormat="1" ht="12.75" customHeight="1">
      <c r="A30" s="10" t="s">
        <v>80</v>
      </c>
      <c r="C30" s="156">
        <f t="shared" ref="C30:T30" si="94">SUM(C25:C29)</f>
        <v>-5.8710000000000004</v>
      </c>
      <c r="D30" s="156">
        <f t="shared" si="94"/>
        <v>-0.24599999999999955</v>
      </c>
      <c r="E30" s="135">
        <f t="shared" si="94"/>
        <v>-3.8250000000000006</v>
      </c>
      <c r="F30" s="222">
        <f t="shared" si="94"/>
        <v>-9.9420000000000002</v>
      </c>
      <c r="G30" s="135">
        <f t="shared" si="94"/>
        <v>-3.7490000000000001</v>
      </c>
      <c r="H30" s="135">
        <f t="shared" si="94"/>
        <v>-2.2879999999999998</v>
      </c>
      <c r="I30" s="135">
        <f t="shared" si="94"/>
        <v>-26.768000000000001</v>
      </c>
      <c r="J30" s="135">
        <f t="shared" si="94"/>
        <v>-177.874</v>
      </c>
      <c r="K30" s="216">
        <f t="shared" si="94"/>
        <v>-210.679</v>
      </c>
      <c r="L30" s="135">
        <f t="shared" si="94"/>
        <v>3.2609999999999997</v>
      </c>
      <c r="M30" s="135">
        <f t="shared" si="94"/>
        <v>-5.6989999999999998</v>
      </c>
      <c r="N30" s="135">
        <f t="shared" si="94"/>
        <v>32.527000000000001</v>
      </c>
      <c r="O30" s="135">
        <f t="shared" si="94"/>
        <v>16.938000000000017</v>
      </c>
      <c r="P30" s="216">
        <f t="shared" si="94"/>
        <v>47.027000000000015</v>
      </c>
      <c r="Q30" s="135">
        <f t="shared" si="94"/>
        <v>17.72</v>
      </c>
      <c r="R30" s="135">
        <f t="shared" si="94"/>
        <v>9.7859999999999943</v>
      </c>
      <c r="S30" s="135">
        <f t="shared" si="94"/>
        <v>-41.23899999999999</v>
      </c>
      <c r="T30" s="135">
        <f t="shared" si="94"/>
        <v>27.516999999999953</v>
      </c>
      <c r="U30" s="216">
        <f>SUM(Q30:T30)</f>
        <v>13.783999999999956</v>
      </c>
      <c r="V30" s="135">
        <f t="shared" ref="V30:BE30" si="95">SUM(V25:V29)</f>
        <v>25.058</v>
      </c>
      <c r="W30" s="135">
        <f t="shared" si="95"/>
        <v>8.6260000000000012</v>
      </c>
      <c r="X30" s="135">
        <f t="shared" si="95"/>
        <v>-60.532999999999994</v>
      </c>
      <c r="Y30" s="135">
        <f t="shared" si="95"/>
        <v>21.687999999999988</v>
      </c>
      <c r="Z30" s="216">
        <f t="shared" si="95"/>
        <v>-5.1610000000000058</v>
      </c>
      <c r="AA30" s="135">
        <f t="shared" si="95"/>
        <v>12.917</v>
      </c>
      <c r="AB30" s="135">
        <f t="shared" si="95"/>
        <v>-113.91199999999999</v>
      </c>
      <c r="AC30" s="135">
        <f t="shared" si="95"/>
        <v>29.887</v>
      </c>
      <c r="AD30" s="135">
        <f t="shared" si="95"/>
        <v>-195.24499999999995</v>
      </c>
      <c r="AE30" s="216">
        <f t="shared" si="95"/>
        <v>-266.35299999999995</v>
      </c>
      <c r="AF30" s="135">
        <f t="shared" si="95"/>
        <v>43.491999999999997</v>
      </c>
      <c r="AG30" s="135">
        <f t="shared" si="95"/>
        <v>-165.446</v>
      </c>
      <c r="AH30" s="135">
        <f t="shared" si="95"/>
        <v>-110.34099999999997</v>
      </c>
      <c r="AI30" s="135">
        <f t="shared" si="95"/>
        <v>-99.166000000000054</v>
      </c>
      <c r="AJ30" s="216">
        <f t="shared" si="95"/>
        <v>-331.46100000000001</v>
      </c>
      <c r="AK30" s="135">
        <f t="shared" si="95"/>
        <v>86.74</v>
      </c>
      <c r="AL30" s="135">
        <f t="shared" si="95"/>
        <v>59.968999999999994</v>
      </c>
      <c r="AM30" s="135">
        <f t="shared" si="95"/>
        <v>-431.40599999999995</v>
      </c>
      <c r="AN30" s="135">
        <f t="shared" si="95"/>
        <v>79.50399999999992</v>
      </c>
      <c r="AO30" s="216">
        <f t="shared" si="95"/>
        <v>-205.19300000000001</v>
      </c>
      <c r="AP30" s="135">
        <f t="shared" si="95"/>
        <v>207.03300000000002</v>
      </c>
      <c r="AQ30" s="135">
        <f t="shared" si="95"/>
        <v>34.788999999999994</v>
      </c>
      <c r="AR30" s="135">
        <f t="shared" si="95"/>
        <v>66.599000000000004</v>
      </c>
      <c r="AS30" s="135">
        <f t="shared" si="95"/>
        <v>21.916999999999966</v>
      </c>
      <c r="AT30" s="216">
        <f t="shared" si="95"/>
        <v>330.33799999999997</v>
      </c>
      <c r="AU30" s="135">
        <f t="shared" si="95"/>
        <v>15.651999999999999</v>
      </c>
      <c r="AV30" s="135">
        <f t="shared" si="95"/>
        <v>47.032000000000004</v>
      </c>
      <c r="AW30" s="135">
        <f t="shared" si="95"/>
        <v>81.149000000000001</v>
      </c>
      <c r="AX30" s="135">
        <f t="shared" si="95"/>
        <v>24.665000000000006</v>
      </c>
      <c r="AY30" s="216">
        <f t="shared" si="95"/>
        <v>168.49799999999999</v>
      </c>
      <c r="AZ30" s="135">
        <f t="shared" si="95"/>
        <v>138.255</v>
      </c>
      <c r="BA30" s="135">
        <f t="shared" si="95"/>
        <v>-32.052999999999997</v>
      </c>
      <c r="BB30" s="135">
        <f t="shared" si="95"/>
        <v>42.540000000000006</v>
      </c>
      <c r="BC30" s="135">
        <f t="shared" si="95"/>
        <v>-11.118000000000002</v>
      </c>
      <c r="BD30" s="216">
        <f t="shared" si="95"/>
        <v>137.624</v>
      </c>
      <c r="BE30" s="135">
        <f t="shared" si="95"/>
        <v>-16.815000000000001</v>
      </c>
      <c r="BF30" s="135">
        <f>SUM(BF25:BF29)</f>
        <v>-23.897000000000002</v>
      </c>
      <c r="BG30" s="135">
        <f>SUM(BG25:BG29)</f>
        <v>-19.905000000000001</v>
      </c>
      <c r="BH30" s="135">
        <f>SUM(BH25:BH29)</f>
        <v>-94.582999999999998</v>
      </c>
      <c r="BI30" s="216">
        <f t="shared" si="93"/>
        <v>-155.19999999999999</v>
      </c>
      <c r="BJ30" s="273">
        <f t="shared" ref="BJ30:BM30" si="96">SUM(BJ25:BJ29)</f>
        <v>-20</v>
      </c>
      <c r="BK30" s="135">
        <f t="shared" si="96"/>
        <v>-20</v>
      </c>
      <c r="BL30" s="135">
        <f t="shared" si="96"/>
        <v>-20</v>
      </c>
      <c r="BM30" s="135">
        <f t="shared" si="96"/>
        <v>-20</v>
      </c>
      <c r="BN30" s="216">
        <f t="shared" si="83"/>
        <v>-80</v>
      </c>
      <c r="BO30" s="135">
        <f t="shared" ref="BO30" si="97">SUM(BO25:BO29)</f>
        <v>-21</v>
      </c>
      <c r="BP30" s="135">
        <f t="shared" ref="BP30" si="98">SUM(BP25:BP29)</f>
        <v>-21</v>
      </c>
      <c r="BQ30" s="135">
        <f t="shared" ref="BQ30" si="99">SUM(BQ25:BQ29)</f>
        <v>-21</v>
      </c>
      <c r="BR30" s="135">
        <f t="shared" ref="BR30" si="100">SUM(BR25:BR29)</f>
        <v>-21</v>
      </c>
      <c r="BS30" s="216">
        <f t="shared" si="84"/>
        <v>-84</v>
      </c>
      <c r="BT30" s="135">
        <f t="shared" ref="BT30" si="101">SUM(BT25:BT29)</f>
        <v>-22.05</v>
      </c>
      <c r="BU30" s="135">
        <f t="shared" ref="BU30" si="102">SUM(BU25:BU29)</f>
        <v>-22.05</v>
      </c>
      <c r="BV30" s="135">
        <f t="shared" ref="BV30" si="103">SUM(BV25:BV29)</f>
        <v>-22.050000000000004</v>
      </c>
      <c r="BW30" s="135">
        <f t="shared" ref="BW30" si="104">SUM(BW25:BW29)</f>
        <v>-22.049999999999997</v>
      </c>
      <c r="BX30" s="216">
        <f t="shared" si="85"/>
        <v>-88.2</v>
      </c>
      <c r="BY30" s="135">
        <f t="shared" ref="BY30" si="105">SUM(BY25:BY29)</f>
        <v>-23.152500000000003</v>
      </c>
      <c r="BZ30" s="135">
        <f t="shared" ref="BZ30" si="106">SUM(BZ25:BZ29)</f>
        <v>-23.152500000000003</v>
      </c>
      <c r="CA30" s="135">
        <f t="shared" ref="CA30" si="107">SUM(CA25:CA29)</f>
        <v>-23.152500000000003</v>
      </c>
      <c r="CB30" s="135">
        <f t="shared" ref="CB30" si="108">SUM(CB25:CB29)</f>
        <v>-23.152500000000003</v>
      </c>
      <c r="CC30" s="216">
        <f t="shared" si="86"/>
        <v>-92.610000000000014</v>
      </c>
      <c r="CD30" s="135">
        <f t="shared" ref="CD30" si="109">SUM(CD25:CD29)</f>
        <v>-24.310125000000003</v>
      </c>
      <c r="CE30" s="135">
        <f t="shared" ref="CE30" si="110">SUM(CE25:CE29)</f>
        <v>-24.310125000000003</v>
      </c>
      <c r="CF30" s="135">
        <f t="shared" ref="CF30" si="111">SUM(CF25:CF29)</f>
        <v>-24.310125000000006</v>
      </c>
      <c r="CG30" s="135">
        <f t="shared" ref="CG30" si="112">SUM(CG25:CG29)</f>
        <v>-24.310124999999999</v>
      </c>
      <c r="CH30" s="216">
        <f t="shared" si="87"/>
        <v>-97.240500000000011</v>
      </c>
      <c r="CI30" s="135">
        <f t="shared" ref="CI30" si="113">SUM(CI25:CI29)</f>
        <v>-25.525631250000004</v>
      </c>
      <c r="CJ30" s="135">
        <f t="shared" ref="CJ30" si="114">SUM(CJ25:CJ29)</f>
        <v>-25.525631250000004</v>
      </c>
      <c r="CK30" s="135">
        <f t="shared" ref="CK30" si="115">SUM(CK25:CK29)</f>
        <v>-25.525631250000004</v>
      </c>
      <c r="CL30" s="135">
        <f t="shared" ref="CL30" si="116">SUM(CL25:CL29)</f>
        <v>-25.525631250000004</v>
      </c>
      <c r="CM30" s="216">
        <f t="shared" si="88"/>
        <v>-102.10252500000001</v>
      </c>
      <c r="CN30" s="135">
        <f t="shared" ref="CN30" si="117">SUM(CN25:CN29)</f>
        <v>-26.801912812500007</v>
      </c>
      <c r="CO30" s="135">
        <f t="shared" ref="CO30" si="118">SUM(CO25:CO29)</f>
        <v>-26.801912812500007</v>
      </c>
      <c r="CP30" s="135">
        <f t="shared" ref="CP30" si="119">SUM(CP25:CP29)</f>
        <v>-26.801912812500007</v>
      </c>
      <c r="CQ30" s="135">
        <f t="shared" ref="CQ30" si="120">SUM(CQ25:CQ29)</f>
        <v>-26.801912812500007</v>
      </c>
      <c r="CR30" s="216">
        <f t="shared" si="89"/>
        <v>-107.20765125000003</v>
      </c>
      <c r="CS30" s="135">
        <f t="shared" ref="CS30" si="121">SUM(CS25:CS29)</f>
        <v>-28.142008453125008</v>
      </c>
      <c r="CT30" s="135">
        <f t="shared" ref="CT30" si="122">SUM(CT25:CT29)</f>
        <v>-28.142008453125005</v>
      </c>
      <c r="CU30" s="135">
        <f t="shared" ref="CU30" si="123">SUM(CU25:CU29)</f>
        <v>-28.142008453125012</v>
      </c>
      <c r="CV30" s="135">
        <f t="shared" ref="CV30" si="124">SUM(CV25:CV29)</f>
        <v>-28.142008453125001</v>
      </c>
      <c r="CW30" s="216">
        <f t="shared" si="90"/>
        <v>-112.56803381250003</v>
      </c>
      <c r="CX30" s="135">
        <f t="shared" ref="CX30" si="125">SUM(CX25:CX29)</f>
        <v>-29.549108875781261</v>
      </c>
      <c r="CY30" s="135">
        <f t="shared" ref="CY30" si="126">SUM(CY25:CY29)</f>
        <v>-29.549108875781261</v>
      </c>
      <c r="CZ30" s="135">
        <f t="shared" ref="CZ30" si="127">SUM(CZ25:CZ29)</f>
        <v>-29.549108875781265</v>
      </c>
      <c r="DA30" s="135">
        <f t="shared" ref="DA30" si="128">SUM(DA25:DA29)</f>
        <v>-29.549108875781258</v>
      </c>
      <c r="DB30" s="216">
        <f t="shared" si="91"/>
        <v>-118.19643550312504</v>
      </c>
    </row>
    <row r="31" spans="1:106" s="11" customFormat="1" ht="12.75" customHeight="1">
      <c r="C31" s="155"/>
      <c r="D31" s="19"/>
      <c r="E31" s="19"/>
      <c r="F31" s="215"/>
      <c r="G31" s="19"/>
      <c r="H31" s="19"/>
      <c r="I31" s="19"/>
      <c r="J31" s="19"/>
      <c r="K31" s="215"/>
      <c r="L31" s="19"/>
      <c r="M31" s="19"/>
      <c r="N31" s="19"/>
      <c r="O31" s="19"/>
      <c r="P31" s="215"/>
      <c r="Q31" s="19"/>
      <c r="R31" s="19"/>
      <c r="S31" s="19"/>
      <c r="T31" s="19"/>
      <c r="U31" s="215"/>
      <c r="V31" s="19"/>
      <c r="W31" s="19"/>
      <c r="X31" s="19"/>
      <c r="Y31" s="19"/>
      <c r="Z31" s="215"/>
      <c r="AA31" s="19"/>
      <c r="AB31" s="19"/>
      <c r="AC31" s="19"/>
      <c r="AD31" s="19"/>
      <c r="AE31" s="215"/>
      <c r="AF31" s="19"/>
      <c r="AG31" s="19"/>
      <c r="AH31" s="19"/>
      <c r="AI31" s="19"/>
      <c r="AJ31" s="215"/>
      <c r="AK31" s="19"/>
      <c r="AL31" s="19"/>
      <c r="AM31" s="19"/>
      <c r="AN31" s="19"/>
      <c r="AO31" s="215"/>
      <c r="AP31" s="19"/>
      <c r="AQ31" s="19"/>
      <c r="AR31" s="19"/>
      <c r="AS31" s="19"/>
      <c r="AT31" s="215"/>
      <c r="AU31" s="19"/>
      <c r="AV31" s="19"/>
      <c r="AW31" s="19"/>
      <c r="AX31" s="19"/>
      <c r="AY31" s="215"/>
      <c r="AZ31" s="19"/>
      <c r="BA31" s="19"/>
      <c r="BB31" s="19"/>
      <c r="BC31" s="19"/>
      <c r="BD31" s="215"/>
      <c r="BE31" s="19"/>
      <c r="BF31" s="15"/>
      <c r="BG31" s="15"/>
      <c r="BH31" s="19"/>
      <c r="BI31" s="215"/>
      <c r="BJ31" s="275"/>
      <c r="BK31" s="19"/>
      <c r="BL31" s="19"/>
      <c r="BM31" s="19"/>
      <c r="BN31" s="215"/>
      <c r="BO31" s="19"/>
      <c r="BP31" s="19"/>
      <c r="BQ31" s="19"/>
      <c r="BR31" s="19"/>
      <c r="BS31" s="215"/>
      <c r="BT31" s="19"/>
      <c r="BU31" s="19"/>
      <c r="BV31" s="19"/>
      <c r="BW31" s="19"/>
      <c r="BX31" s="215"/>
      <c r="BY31" s="19"/>
      <c r="BZ31" s="19"/>
      <c r="CA31" s="19"/>
      <c r="CB31" s="19"/>
      <c r="CC31" s="215"/>
      <c r="CD31" s="19"/>
      <c r="CE31" s="19"/>
      <c r="CF31" s="19"/>
      <c r="CG31" s="19"/>
      <c r="CH31" s="215"/>
      <c r="CI31" s="19"/>
      <c r="CJ31" s="19"/>
      <c r="CK31" s="19"/>
      <c r="CL31" s="19"/>
      <c r="CM31" s="215"/>
      <c r="CN31" s="19"/>
      <c r="CO31" s="19"/>
      <c r="CP31" s="19"/>
      <c r="CQ31" s="19"/>
      <c r="CR31" s="215"/>
      <c r="CS31" s="19"/>
      <c r="CT31" s="19"/>
      <c r="CU31" s="19"/>
      <c r="CV31" s="19"/>
      <c r="CW31" s="215"/>
      <c r="CX31" s="19"/>
      <c r="CY31" s="19"/>
      <c r="CZ31" s="19"/>
      <c r="DA31" s="19"/>
      <c r="DB31" s="215"/>
    </row>
    <row r="32" spans="1:106" s="11" customFormat="1" ht="12.75" customHeight="1">
      <c r="A32" s="10" t="s">
        <v>81</v>
      </c>
      <c r="C32" s="155"/>
      <c r="D32" s="19"/>
      <c r="E32" s="19"/>
      <c r="F32" s="215"/>
      <c r="G32" s="19"/>
      <c r="H32" s="19"/>
      <c r="I32" s="19"/>
      <c r="J32" s="19"/>
      <c r="K32" s="215"/>
      <c r="L32" s="19"/>
      <c r="M32" s="19"/>
      <c r="N32" s="19"/>
      <c r="O32" s="19"/>
      <c r="P32" s="215"/>
      <c r="Q32" s="19"/>
      <c r="R32" s="19"/>
      <c r="S32" s="19"/>
      <c r="T32" s="19"/>
      <c r="U32" s="215"/>
      <c r="V32" s="19"/>
      <c r="W32" s="19"/>
      <c r="X32" s="19"/>
      <c r="Y32" s="19"/>
      <c r="Z32" s="215"/>
      <c r="AA32" s="19"/>
      <c r="AB32" s="19"/>
      <c r="AC32" s="19"/>
      <c r="AD32" s="19"/>
      <c r="AE32" s="215"/>
      <c r="AF32" s="19"/>
      <c r="AG32" s="19"/>
      <c r="AH32" s="19"/>
      <c r="AI32" s="19"/>
      <c r="AJ32" s="215"/>
      <c r="AK32" s="19"/>
      <c r="AL32" s="19"/>
      <c r="AM32" s="19"/>
      <c r="AN32" s="19"/>
      <c r="AO32" s="215"/>
      <c r="AP32" s="19"/>
      <c r="AQ32" s="19"/>
      <c r="AR32" s="19"/>
      <c r="AS32" s="19"/>
      <c r="AT32" s="215"/>
      <c r="AU32" s="19"/>
      <c r="AV32" s="19"/>
      <c r="AW32" s="19"/>
      <c r="AX32" s="19"/>
      <c r="AY32" s="215"/>
      <c r="AZ32" s="19"/>
      <c r="BA32" s="19"/>
      <c r="BB32" s="19"/>
      <c r="BC32" s="19"/>
      <c r="BD32" s="215"/>
      <c r="BE32" s="19"/>
      <c r="BF32" s="19"/>
      <c r="BG32" s="19"/>
      <c r="BH32" s="19"/>
      <c r="BI32" s="215"/>
      <c r="BJ32" s="275"/>
      <c r="BK32" s="19"/>
      <c r="BL32" s="19"/>
      <c r="BM32" s="19"/>
      <c r="BN32" s="215"/>
      <c r="BO32" s="19"/>
      <c r="BP32" s="19"/>
      <c r="BQ32" s="19"/>
      <c r="BR32" s="19"/>
      <c r="BS32" s="215"/>
      <c r="BT32" s="19"/>
      <c r="BU32" s="19"/>
      <c r="BV32" s="19"/>
      <c r="BW32" s="19"/>
      <c r="BX32" s="215"/>
      <c r="BY32" s="19"/>
      <c r="BZ32" s="19"/>
      <c r="CA32" s="19"/>
      <c r="CB32" s="19"/>
      <c r="CC32" s="215"/>
      <c r="CD32" s="19"/>
      <c r="CE32" s="19"/>
      <c r="CF32" s="19"/>
      <c r="CG32" s="19"/>
      <c r="CH32" s="215"/>
      <c r="CI32" s="19"/>
      <c r="CJ32" s="19"/>
      <c r="CK32" s="19"/>
      <c r="CL32" s="19"/>
      <c r="CM32" s="215"/>
      <c r="CN32" s="19"/>
      <c r="CO32" s="19"/>
      <c r="CP32" s="19"/>
      <c r="CQ32" s="19"/>
      <c r="CR32" s="215"/>
      <c r="CS32" s="19"/>
      <c r="CT32" s="19"/>
      <c r="CU32" s="19"/>
      <c r="CV32" s="19"/>
      <c r="CW32" s="215"/>
      <c r="CX32" s="19"/>
      <c r="CY32" s="19"/>
      <c r="CZ32" s="19"/>
      <c r="DA32" s="19"/>
      <c r="DB32" s="215"/>
    </row>
    <row r="33" spans="1:106" s="11" customFormat="1" ht="12.75" customHeight="1">
      <c r="A33" s="11" t="s">
        <v>82</v>
      </c>
      <c r="C33" s="19">
        <v>0</v>
      </c>
      <c r="D33" s="19">
        <f>0-C33</f>
        <v>0</v>
      </c>
      <c r="E33" s="19">
        <f>F33-SUM(C33:D33)</f>
        <v>0</v>
      </c>
      <c r="F33" s="215">
        <v>0</v>
      </c>
      <c r="G33" s="19">
        <v>0</v>
      </c>
      <c r="H33" s="19">
        <f>0-G33</f>
        <v>0</v>
      </c>
      <c r="I33" s="19">
        <f>0-H33-G33</f>
        <v>0</v>
      </c>
      <c r="J33" s="19">
        <f t="shared" ref="J33:J37" si="129">K33-SUM(G33:I33)</f>
        <v>0</v>
      </c>
      <c r="K33" s="215">
        <v>0</v>
      </c>
      <c r="L33" s="19">
        <v>0</v>
      </c>
      <c r="M33" s="19">
        <f>8-1-L33</f>
        <v>7</v>
      </c>
      <c r="N33" s="19">
        <f>8-1-M33-L33</f>
        <v>0</v>
      </c>
      <c r="O33" s="19">
        <f t="shared" ref="O33:O37" si="130">P33-SUM(L33:N33)</f>
        <v>0</v>
      </c>
      <c r="P33" s="215">
        <f>8-1</f>
        <v>7</v>
      </c>
      <c r="Q33" s="19">
        <v>0</v>
      </c>
      <c r="R33" s="19">
        <f>0-Q33</f>
        <v>0</v>
      </c>
      <c r="S33" s="19">
        <f>75-R33-Q33</f>
        <v>75</v>
      </c>
      <c r="T33" s="19">
        <f t="shared" ref="T33:T37" si="131">U33-SUM(Q33:S33)</f>
        <v>0</v>
      </c>
      <c r="U33" s="215">
        <v>75</v>
      </c>
      <c r="V33" s="19">
        <v>0</v>
      </c>
      <c r="W33" s="19">
        <f>0-V33</f>
        <v>0</v>
      </c>
      <c r="X33" s="19">
        <f>0-W33-V33</f>
        <v>0</v>
      </c>
      <c r="Y33" s="19">
        <f t="shared" ref="Y33:Y37" si="132">Z33-SUM(V33:X33)</f>
        <v>0</v>
      </c>
      <c r="Z33" s="215">
        <v>0</v>
      </c>
      <c r="AA33" s="19">
        <v>0</v>
      </c>
      <c r="AB33" s="19">
        <f>0-AA33</f>
        <v>0</v>
      </c>
      <c r="AC33" s="19">
        <f>0-AB33-AA33</f>
        <v>0</v>
      </c>
      <c r="AD33" s="19">
        <f t="shared" ref="AD33:AD37" si="133">AE33-SUM(AA33:AC33)</f>
        <v>0</v>
      </c>
      <c r="AE33" s="215">
        <v>0</v>
      </c>
      <c r="AF33" s="19">
        <v>0</v>
      </c>
      <c r="AG33" s="19">
        <f>-78.757-AF33</f>
        <v>-78.757000000000005</v>
      </c>
      <c r="AH33" s="19">
        <f>-78.757-AG33-AF33</f>
        <v>0</v>
      </c>
      <c r="AI33" s="19">
        <f>AJ33-SUM(AF33:AH33)</f>
        <v>0</v>
      </c>
      <c r="AJ33" s="215">
        <v>-78.757000000000005</v>
      </c>
      <c r="AK33" s="19">
        <v>0</v>
      </c>
      <c r="AL33" s="19">
        <f>0-AK33</f>
        <v>0</v>
      </c>
      <c r="AM33" s="19">
        <f>0-AL33-AK33</f>
        <v>0</v>
      </c>
      <c r="AN33" s="19">
        <f>AO33-SUM(AK33:AM33)</f>
        <v>0</v>
      </c>
      <c r="AO33" s="215">
        <v>0</v>
      </c>
      <c r="AP33" s="19">
        <v>0</v>
      </c>
      <c r="AQ33" s="19">
        <f>0-AP33</f>
        <v>0</v>
      </c>
      <c r="AR33" s="19">
        <f>0-AQ33-AP33</f>
        <v>0</v>
      </c>
      <c r="AS33" s="19">
        <f>AT33-SUM(AP33:AR33)</f>
        <v>30</v>
      </c>
      <c r="AT33" s="215">
        <v>30</v>
      </c>
      <c r="AU33" s="19">
        <v>0</v>
      </c>
      <c r="AV33" s="19">
        <f>0-AU33</f>
        <v>0</v>
      </c>
      <c r="AW33" s="19">
        <f>0-AV33-AU33</f>
        <v>0</v>
      </c>
      <c r="AX33" s="19">
        <f t="shared" ref="AX33:AX37" si="134">AY33-SUM(AU33:AW33)</f>
        <v>0</v>
      </c>
      <c r="AY33" s="215">
        <v>0</v>
      </c>
      <c r="AZ33" s="19">
        <v>0</v>
      </c>
      <c r="BA33" s="19">
        <f>0-AZ33</f>
        <v>0</v>
      </c>
      <c r="BB33" s="19">
        <f>0-BA33-AZ33</f>
        <v>0</v>
      </c>
      <c r="BC33" s="19">
        <f t="shared" ref="BC33:BC37" si="135">BD33-SUM(AZ33:BB33)</f>
        <v>-8.2000000000000003E-2</v>
      </c>
      <c r="BD33" s="215">
        <v>-8.2000000000000003E-2</v>
      </c>
      <c r="BE33" s="19">
        <v>0</v>
      </c>
      <c r="BF33" s="19">
        <f>0-BE33</f>
        <v>0</v>
      </c>
      <c r="BG33" s="19">
        <f>0-SUM(BE33:BF33)</f>
        <v>0</v>
      </c>
      <c r="BH33" s="19">
        <f>+'Other Accts'!BH28-'Other Accts'!BG28</f>
        <v>-1.8000000000000682E-2</v>
      </c>
      <c r="BI33" s="215">
        <f>SUM(BE33:BH33)</f>
        <v>-1.8000000000000682E-2</v>
      </c>
      <c r="BJ33" s="275">
        <f>+'Other Accts'!BJ28-'Other Accts'!BI28</f>
        <v>-20.080749999999995</v>
      </c>
      <c r="BK33" s="19">
        <f>+'Other Accts'!BK28-'Other Accts'!BJ28</f>
        <v>-20.060669250000004</v>
      </c>
      <c r="BL33" s="19">
        <f>+'Other Accts'!BL28-'Other Accts'!BK28</f>
        <v>-20.090790374999997</v>
      </c>
      <c r="BM33" s="19">
        <f>+'Other Accts'!BM28-'Other Accts'!BL28</f>
        <v>-20.090790374999997</v>
      </c>
      <c r="BN33" s="215">
        <f>SUM(BJ33:BM33)</f>
        <v>-80.322999999999993</v>
      </c>
      <c r="BO33" s="19">
        <f>+'Other Accts'!BO28-'Other Accts'!BN28</f>
        <v>0</v>
      </c>
      <c r="BP33" s="19">
        <f>+'Other Accts'!BP28-'Other Accts'!BO28</f>
        <v>0</v>
      </c>
      <c r="BQ33" s="19">
        <f>+'Other Accts'!BQ28-'Other Accts'!BP28</f>
        <v>0</v>
      </c>
      <c r="BR33" s="19">
        <f>+'Other Accts'!BR28-'Other Accts'!BQ28</f>
        <v>0</v>
      </c>
      <c r="BS33" s="215">
        <f>SUM(BO33:BR33)</f>
        <v>0</v>
      </c>
      <c r="BT33" s="19">
        <f>+'Other Accts'!BT28-'Other Accts'!BS28</f>
        <v>0</v>
      </c>
      <c r="BU33" s="19">
        <f>+'Other Accts'!BU28-'Other Accts'!BT28</f>
        <v>0</v>
      </c>
      <c r="BV33" s="19">
        <f>+'Other Accts'!BV28-'Other Accts'!BU28</f>
        <v>0</v>
      </c>
      <c r="BW33" s="19">
        <f>+'Other Accts'!BW28-'Other Accts'!BV28</f>
        <v>0</v>
      </c>
      <c r="BX33" s="215">
        <f>SUM(BT33:BW33)</f>
        <v>0</v>
      </c>
      <c r="BY33" s="19">
        <f>+'Other Accts'!BY28-'Other Accts'!BX28</f>
        <v>0</v>
      </c>
      <c r="BZ33" s="19">
        <f>+'Other Accts'!BZ28-'Other Accts'!BY28</f>
        <v>0</v>
      </c>
      <c r="CA33" s="19">
        <f>+'Other Accts'!CA28-'Other Accts'!BZ28</f>
        <v>0</v>
      </c>
      <c r="CB33" s="19">
        <f>+'Other Accts'!CB28-'Other Accts'!CA28</f>
        <v>0</v>
      </c>
      <c r="CC33" s="215">
        <f t="shared" ref="CC33:CC38" si="136">SUM(BY33:CB33)</f>
        <v>0</v>
      </c>
      <c r="CD33" s="19">
        <f>+'Other Accts'!CD28-'Other Accts'!CC28</f>
        <v>0</v>
      </c>
      <c r="CE33" s="19">
        <f>+'Other Accts'!CE28-'Other Accts'!CD28</f>
        <v>0</v>
      </c>
      <c r="CF33" s="19">
        <f>+'Other Accts'!CF28-'Other Accts'!CE28</f>
        <v>0</v>
      </c>
      <c r="CG33" s="19">
        <f>+'Other Accts'!CG28-'Other Accts'!CF28</f>
        <v>0</v>
      </c>
      <c r="CH33" s="215">
        <f t="shared" ref="CH33:CH38" si="137">SUM(CD33:CG33)</f>
        <v>0</v>
      </c>
      <c r="CI33" s="19">
        <f>+'Other Accts'!CI28-'Other Accts'!CH28</f>
        <v>0</v>
      </c>
      <c r="CJ33" s="19">
        <f>+'Other Accts'!CJ28-'Other Accts'!CI28</f>
        <v>0</v>
      </c>
      <c r="CK33" s="19">
        <f>+'Other Accts'!CK28-'Other Accts'!CJ28</f>
        <v>0</v>
      </c>
      <c r="CL33" s="19">
        <f>+'Other Accts'!CL28-'Other Accts'!CK28</f>
        <v>0</v>
      </c>
      <c r="CM33" s="215">
        <f t="shared" ref="CM33:CM38" si="138">SUM(CI33:CL33)</f>
        <v>0</v>
      </c>
      <c r="CN33" s="19">
        <f>+'Other Accts'!CN28-'Other Accts'!CM28</f>
        <v>0</v>
      </c>
      <c r="CO33" s="19">
        <f>+'Other Accts'!CO28-'Other Accts'!CN28</f>
        <v>0</v>
      </c>
      <c r="CP33" s="19">
        <f>+'Other Accts'!CP28-'Other Accts'!CO28</f>
        <v>0</v>
      </c>
      <c r="CQ33" s="19">
        <f>+'Other Accts'!CQ28-'Other Accts'!CP28</f>
        <v>0</v>
      </c>
      <c r="CR33" s="215">
        <f t="shared" ref="CR33:CR38" si="139">SUM(CN33:CQ33)</f>
        <v>0</v>
      </c>
      <c r="CS33" s="19">
        <f>+'Other Accts'!CS28-'Other Accts'!CR28</f>
        <v>0</v>
      </c>
      <c r="CT33" s="19">
        <f>+'Other Accts'!CT28-'Other Accts'!CS28</f>
        <v>0</v>
      </c>
      <c r="CU33" s="19">
        <f>+'Other Accts'!CU28-'Other Accts'!CT28</f>
        <v>0</v>
      </c>
      <c r="CV33" s="19">
        <f>+'Other Accts'!CV28-'Other Accts'!CU28</f>
        <v>0</v>
      </c>
      <c r="CW33" s="215">
        <f t="shared" ref="CW33:CW38" si="140">SUM(CS33:CV33)</f>
        <v>0</v>
      </c>
      <c r="CX33" s="19">
        <f>+'Other Accts'!CX28-'Other Accts'!CW28</f>
        <v>0</v>
      </c>
      <c r="CY33" s="19">
        <f>+'Other Accts'!CY28-'Other Accts'!CX28</f>
        <v>0</v>
      </c>
      <c r="CZ33" s="19">
        <f>+'Other Accts'!CZ28-'Other Accts'!CY28</f>
        <v>0</v>
      </c>
      <c r="DA33" s="19">
        <f>+'Other Accts'!DA28-'Other Accts'!CZ28</f>
        <v>0</v>
      </c>
      <c r="DB33" s="215">
        <f t="shared" ref="DB33:DB38" si="141">SUM(CX33:DA33)</f>
        <v>0</v>
      </c>
    </row>
    <row r="34" spans="1:106" s="11" customFormat="1" ht="12.75" customHeight="1">
      <c r="A34" s="11" t="s">
        <v>83</v>
      </c>
      <c r="C34" s="19">
        <v>0</v>
      </c>
      <c r="D34" s="19">
        <f>0-C34</f>
        <v>0</v>
      </c>
      <c r="E34" s="19">
        <f t="shared" ref="E34" si="142">F34-SUM(C34:D34)</f>
        <v>0</v>
      </c>
      <c r="F34" s="215">
        <v>0</v>
      </c>
      <c r="G34" s="19">
        <v>0</v>
      </c>
      <c r="H34" s="19">
        <f>0-G34</f>
        <v>0</v>
      </c>
      <c r="I34" s="19">
        <f>0-H34-G34</f>
        <v>0</v>
      </c>
      <c r="J34" s="19">
        <f t="shared" si="129"/>
        <v>0</v>
      </c>
      <c r="K34" s="215">
        <v>0</v>
      </c>
      <c r="L34" s="19">
        <v>0</v>
      </c>
      <c r="M34" s="19">
        <f>0-L34</f>
        <v>0</v>
      </c>
      <c r="N34" s="19">
        <f>0.97-M34-L34</f>
        <v>0.97</v>
      </c>
      <c r="O34" s="19">
        <f t="shared" si="130"/>
        <v>1.619</v>
      </c>
      <c r="P34" s="215">
        <v>2.589</v>
      </c>
      <c r="Q34" s="19">
        <v>0</v>
      </c>
      <c r="R34" s="19">
        <f>1.503-Q34</f>
        <v>1.5029999999999999</v>
      </c>
      <c r="S34" s="19">
        <f>1.503-R34-Q34</f>
        <v>0</v>
      </c>
      <c r="T34" s="19">
        <f t="shared" si="131"/>
        <v>1.841</v>
      </c>
      <c r="U34" s="215">
        <v>3.3439999999999999</v>
      </c>
      <c r="V34" s="19">
        <v>0</v>
      </c>
      <c r="W34" s="19">
        <f>1.855-V34</f>
        <v>1.855</v>
      </c>
      <c r="X34" s="19">
        <f>1.855-W34-V34</f>
        <v>0</v>
      </c>
      <c r="Y34" s="19">
        <f t="shared" si="132"/>
        <v>1.762</v>
      </c>
      <c r="Z34" s="215">
        <v>3.617</v>
      </c>
      <c r="AA34" s="19">
        <v>0</v>
      </c>
      <c r="AB34" s="19">
        <f>2.147-AA34</f>
        <v>2.1469999999999998</v>
      </c>
      <c r="AC34" s="19">
        <f>2.147-AB34-AA34</f>
        <v>0</v>
      </c>
      <c r="AD34" s="19">
        <f t="shared" si="133"/>
        <v>2.1760000000000006</v>
      </c>
      <c r="AE34" s="215">
        <v>4.3230000000000004</v>
      </c>
      <c r="AF34" s="19">
        <v>0</v>
      </c>
      <c r="AG34" s="19">
        <f>3.062-AF34</f>
        <v>3.0619999999999998</v>
      </c>
      <c r="AH34" s="19">
        <f>3.062-AG34-AF34</f>
        <v>0</v>
      </c>
      <c r="AI34" s="19">
        <f>AJ34-SUM(AF34:AH34)</f>
        <v>4.0519999999999996</v>
      </c>
      <c r="AJ34" s="215">
        <v>7.1139999999999999</v>
      </c>
      <c r="AK34" s="19">
        <v>0</v>
      </c>
      <c r="AL34" s="19">
        <f>6.085-AK34</f>
        <v>6.085</v>
      </c>
      <c r="AM34" s="19">
        <f>6.085-AL34-AK34</f>
        <v>0</v>
      </c>
      <c r="AN34" s="19">
        <f>AO34-SUM(AK34:AM34)</f>
        <v>7.4650000000000007</v>
      </c>
      <c r="AO34" s="215">
        <v>13.55</v>
      </c>
      <c r="AP34" s="19">
        <v>0</v>
      </c>
      <c r="AQ34" s="19">
        <f>8.496-AP34</f>
        <v>8.4960000000000004</v>
      </c>
      <c r="AR34" s="19">
        <f>8.496-AQ34-AP34</f>
        <v>0</v>
      </c>
      <c r="AS34" s="19">
        <f>AT34-SUM(AP34:AR34)</f>
        <v>4.5410000000000004</v>
      </c>
      <c r="AT34" s="215">
        <v>13.037000000000001</v>
      </c>
      <c r="AU34" s="19">
        <v>0</v>
      </c>
      <c r="AV34" s="19">
        <f>8.674-AU34</f>
        <v>8.6739999999999995</v>
      </c>
      <c r="AW34" s="19">
        <f>8.674-AV34-AU34</f>
        <v>0</v>
      </c>
      <c r="AX34" s="19">
        <f t="shared" si="134"/>
        <v>6.4540000000000006</v>
      </c>
      <c r="AY34" s="215">
        <v>15.128</v>
      </c>
      <c r="AZ34" s="19">
        <v>0</v>
      </c>
      <c r="BA34" s="19">
        <f>8.862-AZ34</f>
        <v>8.8620000000000001</v>
      </c>
      <c r="BB34" s="19">
        <f>8.862-BA34-AZ34</f>
        <v>0</v>
      </c>
      <c r="BC34" s="19">
        <f t="shared" si="135"/>
        <v>8.4359999999999982</v>
      </c>
      <c r="BD34" s="215">
        <v>17.297999999999998</v>
      </c>
      <c r="BE34" s="19">
        <v>0.54400000000000004</v>
      </c>
      <c r="BF34" s="19">
        <f>0.884+12.236-BE34</f>
        <v>12.576000000000001</v>
      </c>
      <c r="BG34" s="19">
        <f>2.819+12.236-SUM(BE34:BF34)</f>
        <v>1.9349999999999987</v>
      </c>
      <c r="BH34" s="132">
        <v>0</v>
      </c>
      <c r="BI34" s="215">
        <f t="shared" ref="BI34:BI38" si="143">SUM(BE34:BH34)</f>
        <v>15.055</v>
      </c>
      <c r="BJ34" s="285">
        <v>0</v>
      </c>
      <c r="BK34" s="132">
        <v>0</v>
      </c>
      <c r="BL34" s="132">
        <v>0</v>
      </c>
      <c r="BM34" s="132">
        <v>0</v>
      </c>
      <c r="BN34" s="215">
        <f t="shared" ref="BN34:BN38" si="144">SUM(BJ34:BM34)</f>
        <v>0</v>
      </c>
      <c r="BO34" s="20">
        <v>0</v>
      </c>
      <c r="BP34" s="20">
        <v>0</v>
      </c>
      <c r="BQ34" s="20">
        <v>0</v>
      </c>
      <c r="BR34" s="20">
        <v>0</v>
      </c>
      <c r="BS34" s="215">
        <f t="shared" ref="BS34:BS38" si="145">SUM(BO34:BR34)</f>
        <v>0</v>
      </c>
      <c r="BT34" s="20">
        <v>0</v>
      </c>
      <c r="BU34" s="20">
        <v>0</v>
      </c>
      <c r="BV34" s="20">
        <v>0</v>
      </c>
      <c r="BW34" s="20">
        <v>0</v>
      </c>
      <c r="BX34" s="215">
        <f t="shared" ref="BX34:BX38" si="146">SUM(BT34:BW34)</f>
        <v>0</v>
      </c>
      <c r="BY34" s="20">
        <v>0</v>
      </c>
      <c r="BZ34" s="20">
        <v>0</v>
      </c>
      <c r="CA34" s="20">
        <v>0</v>
      </c>
      <c r="CB34" s="20">
        <v>0</v>
      </c>
      <c r="CC34" s="215">
        <f t="shared" si="136"/>
        <v>0</v>
      </c>
      <c r="CD34" s="20">
        <v>0</v>
      </c>
      <c r="CE34" s="20">
        <v>0</v>
      </c>
      <c r="CF34" s="20">
        <v>0</v>
      </c>
      <c r="CG34" s="20">
        <v>0</v>
      </c>
      <c r="CH34" s="215">
        <f t="shared" si="137"/>
        <v>0</v>
      </c>
      <c r="CI34" s="20">
        <v>0</v>
      </c>
      <c r="CJ34" s="20">
        <v>0</v>
      </c>
      <c r="CK34" s="20">
        <v>0</v>
      </c>
      <c r="CL34" s="20">
        <v>0</v>
      </c>
      <c r="CM34" s="215">
        <f t="shared" si="138"/>
        <v>0</v>
      </c>
      <c r="CN34" s="20">
        <v>0</v>
      </c>
      <c r="CO34" s="20">
        <v>0</v>
      </c>
      <c r="CP34" s="20">
        <v>0</v>
      </c>
      <c r="CQ34" s="20">
        <v>0</v>
      </c>
      <c r="CR34" s="215">
        <f t="shared" si="139"/>
        <v>0</v>
      </c>
      <c r="CS34" s="20">
        <v>0</v>
      </c>
      <c r="CT34" s="20">
        <v>0</v>
      </c>
      <c r="CU34" s="20">
        <v>0</v>
      </c>
      <c r="CV34" s="20">
        <v>0</v>
      </c>
      <c r="CW34" s="215">
        <f t="shared" si="140"/>
        <v>0</v>
      </c>
      <c r="CX34" s="20">
        <v>0</v>
      </c>
      <c r="CY34" s="20">
        <v>0</v>
      </c>
      <c r="CZ34" s="20">
        <v>0</v>
      </c>
      <c r="DA34" s="20">
        <v>0</v>
      </c>
      <c r="DB34" s="215">
        <f t="shared" si="141"/>
        <v>0</v>
      </c>
    </row>
    <row r="35" spans="1:106" s="11" customFormat="1" ht="12.75" customHeight="1">
      <c r="A35" s="11" t="s">
        <v>152</v>
      </c>
      <c r="C35" s="19">
        <v>7.3999999999999996E-2</v>
      </c>
      <c r="D35" s="19">
        <f>-6.117-C35</f>
        <v>-6.1909999999999998</v>
      </c>
      <c r="E35" s="19">
        <f>F35-SUM(C35:D35)</f>
        <v>61.699999999999996</v>
      </c>
      <c r="F35" s="215">
        <f>0.17+55.413</f>
        <v>55.582999999999998</v>
      </c>
      <c r="G35" s="19">
        <v>0.106</v>
      </c>
      <c r="H35" s="19">
        <f>0.315-G35</f>
        <v>0.20900000000000002</v>
      </c>
      <c r="I35" s="19">
        <f>180.628-H35-G35</f>
        <v>180.31299999999999</v>
      </c>
      <c r="J35" s="19">
        <f t="shared" si="129"/>
        <v>-0.62699999999998113</v>
      </c>
      <c r="K35" s="215">
        <v>180.001</v>
      </c>
      <c r="L35" s="19">
        <v>0</v>
      </c>
      <c r="M35" s="19">
        <f>0.97-L35</f>
        <v>0.97</v>
      </c>
      <c r="N35" s="19">
        <f>0-M35-L35</f>
        <v>-0.97</v>
      </c>
      <c r="O35" s="19">
        <f t="shared" si="130"/>
        <v>0</v>
      </c>
      <c r="P35" s="215">
        <v>0</v>
      </c>
      <c r="Q35" s="19">
        <v>0</v>
      </c>
      <c r="R35" s="19">
        <f>0-Q35</f>
        <v>0</v>
      </c>
      <c r="S35" s="19">
        <f>0-R35-Q35</f>
        <v>0</v>
      </c>
      <c r="T35" s="19">
        <f t="shared" si="131"/>
        <v>0</v>
      </c>
      <c r="U35" s="215">
        <v>0</v>
      </c>
      <c r="V35" s="19">
        <v>0</v>
      </c>
      <c r="W35" s="19">
        <f t="shared" ref="W35:W36" si="147">0-V35</f>
        <v>0</v>
      </c>
      <c r="X35" s="19">
        <f>96.777-W35-V35</f>
        <v>96.777000000000001</v>
      </c>
      <c r="Y35" s="19">
        <f t="shared" si="132"/>
        <v>0</v>
      </c>
      <c r="Z35" s="215">
        <v>96.777000000000001</v>
      </c>
      <c r="AA35" s="19">
        <v>0</v>
      </c>
      <c r="AB35" s="19">
        <f>107.595-AA35</f>
        <v>107.595</v>
      </c>
      <c r="AC35" s="19">
        <f>107.595-AB35-AA35</f>
        <v>0</v>
      </c>
      <c r="AD35" s="19">
        <f t="shared" si="133"/>
        <v>215.81500000000003</v>
      </c>
      <c r="AE35" s="215">
        <v>323.41000000000003</v>
      </c>
      <c r="AF35" s="19">
        <v>0</v>
      </c>
      <c r="AG35" s="19">
        <f>0-AF35</f>
        <v>0</v>
      </c>
      <c r="AH35" s="19">
        <f>270.65-AG35-AF35</f>
        <v>270.64999999999998</v>
      </c>
      <c r="AI35" s="19">
        <f>AJ35-SUM(AF35:AH35)</f>
        <v>0</v>
      </c>
      <c r="AJ35" s="215">
        <f>270.65</f>
        <v>270.64999999999998</v>
      </c>
      <c r="AK35" s="19">
        <v>0</v>
      </c>
      <c r="AL35" s="19">
        <f>0-AK35</f>
        <v>0</v>
      </c>
      <c r="AM35" s="19">
        <f>550.814-AL35-AK35</f>
        <v>550.81399999999996</v>
      </c>
      <c r="AN35" s="19">
        <f>AO35-SUM(AK35:AM35)</f>
        <v>8.0000000000381988E-3</v>
      </c>
      <c r="AO35" s="215">
        <v>550.822</v>
      </c>
      <c r="AP35" s="19">
        <v>0</v>
      </c>
      <c r="AQ35" s="19">
        <f t="shared" ref="AQ35:AQ36" si="148">0-AP35</f>
        <v>0</v>
      </c>
      <c r="AR35" s="19">
        <f t="shared" ref="AR35:AR36" si="149">0-AQ35-AP35</f>
        <v>0</v>
      </c>
      <c r="AS35" s="19">
        <f>AT35-SUM(AP35:AR35)</f>
        <v>433.19200000000001</v>
      </c>
      <c r="AT35" s="215">
        <v>433.19200000000001</v>
      </c>
      <c r="AU35" s="19">
        <v>0</v>
      </c>
      <c r="AV35" s="19">
        <f t="shared" ref="AV35:AV36" si="150">0-AU35</f>
        <v>0</v>
      </c>
      <c r="AW35" s="19">
        <f>235.441-AV35-AU35</f>
        <v>235.441</v>
      </c>
      <c r="AX35" s="19">
        <f t="shared" si="134"/>
        <v>0</v>
      </c>
      <c r="AY35" s="215">
        <v>235.441</v>
      </c>
      <c r="AZ35" s="19">
        <v>0</v>
      </c>
      <c r="BA35" s="19">
        <f>0-AZ35</f>
        <v>0</v>
      </c>
      <c r="BB35" s="19">
        <f>0-BA35-AZ35</f>
        <v>0</v>
      </c>
      <c r="BC35" s="19">
        <f t="shared" si="135"/>
        <v>12.988</v>
      </c>
      <c r="BD35" s="215">
        <v>12.988</v>
      </c>
      <c r="BE35" s="19">
        <v>0</v>
      </c>
      <c r="BF35" s="19">
        <f>0-BE35</f>
        <v>0</v>
      </c>
      <c r="BG35" s="19">
        <f>0-SUM(BE35:BF35)</f>
        <v>0</v>
      </c>
      <c r="BH35" s="132">
        <v>275</v>
      </c>
      <c r="BI35" s="215">
        <f t="shared" si="143"/>
        <v>275</v>
      </c>
      <c r="BJ35" s="285">
        <v>0</v>
      </c>
      <c r="BK35" s="132">
        <v>0</v>
      </c>
      <c r="BL35" s="132">
        <v>0</v>
      </c>
      <c r="BM35" s="132">
        <v>0</v>
      </c>
      <c r="BN35" s="215">
        <f t="shared" si="144"/>
        <v>0</v>
      </c>
      <c r="BO35" s="20">
        <v>0</v>
      </c>
      <c r="BP35" s="20">
        <v>0</v>
      </c>
      <c r="BQ35" s="20">
        <v>0</v>
      </c>
      <c r="BR35" s="20">
        <v>0</v>
      </c>
      <c r="BS35" s="215">
        <f t="shared" si="145"/>
        <v>0</v>
      </c>
      <c r="BT35" s="20">
        <v>0</v>
      </c>
      <c r="BU35" s="20">
        <v>0</v>
      </c>
      <c r="BV35" s="20">
        <v>0</v>
      </c>
      <c r="BW35" s="20">
        <v>0</v>
      </c>
      <c r="BX35" s="215">
        <f t="shared" si="146"/>
        <v>0</v>
      </c>
      <c r="BY35" s="20">
        <v>0</v>
      </c>
      <c r="BZ35" s="20">
        <v>0</v>
      </c>
      <c r="CA35" s="20">
        <v>0</v>
      </c>
      <c r="CB35" s="20">
        <v>0</v>
      </c>
      <c r="CC35" s="215">
        <f t="shared" si="136"/>
        <v>0</v>
      </c>
      <c r="CD35" s="20">
        <v>0</v>
      </c>
      <c r="CE35" s="20">
        <v>0</v>
      </c>
      <c r="CF35" s="20">
        <v>0</v>
      </c>
      <c r="CG35" s="20">
        <v>0</v>
      </c>
      <c r="CH35" s="215">
        <f t="shared" si="137"/>
        <v>0</v>
      </c>
      <c r="CI35" s="20">
        <v>0</v>
      </c>
      <c r="CJ35" s="20">
        <v>0</v>
      </c>
      <c r="CK35" s="20">
        <v>0</v>
      </c>
      <c r="CL35" s="20">
        <v>0</v>
      </c>
      <c r="CM35" s="215">
        <f t="shared" si="138"/>
        <v>0</v>
      </c>
      <c r="CN35" s="20">
        <v>0</v>
      </c>
      <c r="CO35" s="20">
        <v>0</v>
      </c>
      <c r="CP35" s="20">
        <v>0</v>
      </c>
      <c r="CQ35" s="20">
        <v>0</v>
      </c>
      <c r="CR35" s="215">
        <f t="shared" si="139"/>
        <v>0</v>
      </c>
      <c r="CS35" s="20">
        <v>0</v>
      </c>
      <c r="CT35" s="20">
        <v>0</v>
      </c>
      <c r="CU35" s="20">
        <v>0</v>
      </c>
      <c r="CV35" s="20">
        <v>0</v>
      </c>
      <c r="CW35" s="215">
        <f t="shared" si="140"/>
        <v>0</v>
      </c>
      <c r="CX35" s="20">
        <v>0</v>
      </c>
      <c r="CY35" s="20">
        <v>0</v>
      </c>
      <c r="CZ35" s="20">
        <v>0</v>
      </c>
      <c r="DA35" s="20">
        <v>0</v>
      </c>
      <c r="DB35" s="215">
        <f t="shared" si="141"/>
        <v>0</v>
      </c>
    </row>
    <row r="36" spans="1:106" s="11" customFormat="1" ht="12.75" customHeight="1">
      <c r="A36" s="11" t="s">
        <v>84</v>
      </c>
      <c r="C36" s="19">
        <f>0-B36</f>
        <v>0</v>
      </c>
      <c r="D36" s="19">
        <f>0-C36-B36</f>
        <v>0</v>
      </c>
      <c r="E36" s="19">
        <f t="shared" ref="E36" si="151">F36-SUM(B36:D36)</f>
        <v>0</v>
      </c>
      <c r="F36" s="215">
        <v>0</v>
      </c>
      <c r="G36" s="19">
        <v>0</v>
      </c>
      <c r="H36" s="19">
        <f>0-G36</f>
        <v>0</v>
      </c>
      <c r="I36" s="19">
        <f>0-H36-G36</f>
        <v>0</v>
      </c>
      <c r="J36" s="19">
        <f t="shared" si="129"/>
        <v>0</v>
      </c>
      <c r="K36" s="215">
        <v>0</v>
      </c>
      <c r="L36" s="19">
        <v>0</v>
      </c>
      <c r="M36" s="19">
        <f t="shared" ref="M36" si="152">0-L36</f>
        <v>0</v>
      </c>
      <c r="N36" s="19">
        <f>0-M36-L36</f>
        <v>0</v>
      </c>
      <c r="O36" s="19">
        <f t="shared" si="130"/>
        <v>0</v>
      </c>
      <c r="P36" s="215">
        <v>0</v>
      </c>
      <c r="Q36" s="19">
        <v>0</v>
      </c>
      <c r="R36" s="19">
        <f>0-Q36</f>
        <v>0</v>
      </c>
      <c r="S36" s="19">
        <f>0-R36-Q36</f>
        <v>0</v>
      </c>
      <c r="T36" s="19">
        <f t="shared" si="131"/>
        <v>0</v>
      </c>
      <c r="U36" s="215">
        <v>0</v>
      </c>
      <c r="V36" s="19">
        <v>0</v>
      </c>
      <c r="W36" s="19">
        <f t="shared" si="147"/>
        <v>0</v>
      </c>
      <c r="X36" s="19">
        <f t="shared" ref="X36" si="153">0-W36-V36</f>
        <v>0</v>
      </c>
      <c r="Y36" s="19">
        <f t="shared" si="132"/>
        <v>0</v>
      </c>
      <c r="Z36" s="215">
        <v>0</v>
      </c>
      <c r="AA36" s="19">
        <v>0</v>
      </c>
      <c r="AB36" s="19">
        <f>0-AA36</f>
        <v>0</v>
      </c>
      <c r="AC36" s="19">
        <f>0-AB36-AA36</f>
        <v>0</v>
      </c>
      <c r="AD36" s="19">
        <f t="shared" si="133"/>
        <v>0</v>
      </c>
      <c r="AE36" s="215">
        <v>0</v>
      </c>
      <c r="AF36" s="19">
        <v>0</v>
      </c>
      <c r="AG36" s="19">
        <f>0-AF36</f>
        <v>0</v>
      </c>
      <c r="AH36" s="19">
        <f>0-AG36-AF36</f>
        <v>0</v>
      </c>
      <c r="AI36" s="19">
        <f>-IS!AI25*0</f>
        <v>0</v>
      </c>
      <c r="AJ36" s="215">
        <v>0</v>
      </c>
      <c r="AK36" s="19">
        <v>0</v>
      </c>
      <c r="AL36" s="19">
        <f>0-AK36</f>
        <v>0</v>
      </c>
      <c r="AM36" s="19">
        <f>0-AL36-AK36</f>
        <v>0</v>
      </c>
      <c r="AN36" s="19">
        <f>-IS!AN25*0</f>
        <v>0</v>
      </c>
      <c r="AO36" s="215">
        <v>0</v>
      </c>
      <c r="AP36" s="19">
        <v>0</v>
      </c>
      <c r="AQ36" s="19">
        <f t="shared" si="148"/>
        <v>0</v>
      </c>
      <c r="AR36" s="19">
        <f t="shared" si="149"/>
        <v>0</v>
      </c>
      <c r="AS36" s="19">
        <f t="shared" ref="AS36" si="154">AT36-SUM(AP36:AR36)</f>
        <v>0</v>
      </c>
      <c r="AT36" s="215">
        <v>0</v>
      </c>
      <c r="AU36" s="19">
        <v>0</v>
      </c>
      <c r="AV36" s="19">
        <f t="shared" si="150"/>
        <v>0</v>
      </c>
      <c r="AW36" s="19">
        <f t="shared" ref="AW36" si="155">0-AV36-AU36</f>
        <v>0</v>
      </c>
      <c r="AX36" s="19">
        <f t="shared" si="134"/>
        <v>0</v>
      </c>
      <c r="AY36" s="215">
        <v>0</v>
      </c>
      <c r="AZ36" s="19">
        <v>0</v>
      </c>
      <c r="BA36" s="19">
        <f>0-AZ36</f>
        <v>0</v>
      </c>
      <c r="BB36" s="19">
        <f t="shared" ref="BB36" si="156">0-BA36-AZ36</f>
        <v>0</v>
      </c>
      <c r="BC36" s="19">
        <f t="shared" si="135"/>
        <v>0</v>
      </c>
      <c r="BD36" s="215">
        <v>0</v>
      </c>
      <c r="BE36" s="19">
        <v>0</v>
      </c>
      <c r="BF36" s="19">
        <v>0</v>
      </c>
      <c r="BG36" s="19">
        <f>0-SUM(BE36:BF36)</f>
        <v>0</v>
      </c>
      <c r="BH36" s="132">
        <f>-IS!BH25*0</f>
        <v>0</v>
      </c>
      <c r="BI36" s="215">
        <f t="shared" si="143"/>
        <v>0</v>
      </c>
      <c r="BJ36" s="285">
        <f>-IS!BJ25*0</f>
        <v>0</v>
      </c>
      <c r="BK36" s="132">
        <f>-IS!BK25*0</f>
        <v>0</v>
      </c>
      <c r="BL36" s="132">
        <f>-IS!BL25*0</f>
        <v>0</v>
      </c>
      <c r="BM36" s="132">
        <f>-IS!BM25*0</f>
        <v>0</v>
      </c>
      <c r="BN36" s="215">
        <f t="shared" si="144"/>
        <v>0</v>
      </c>
      <c r="BO36" s="19">
        <f>-IS!BO25*0</f>
        <v>0</v>
      </c>
      <c r="BP36" s="19">
        <f>-IS!BP25*0</f>
        <v>0</v>
      </c>
      <c r="BQ36" s="19">
        <f>-IS!BQ25*0</f>
        <v>0</v>
      </c>
      <c r="BR36" s="19">
        <f>-IS!BR25*0</f>
        <v>0</v>
      </c>
      <c r="BS36" s="215">
        <f t="shared" si="145"/>
        <v>0</v>
      </c>
      <c r="BT36" s="19">
        <f>-IS!BT25*0</f>
        <v>0</v>
      </c>
      <c r="BU36" s="19">
        <f>-IS!BU25*0</f>
        <v>0</v>
      </c>
      <c r="BV36" s="19">
        <f>-IS!BV25*0</f>
        <v>0</v>
      </c>
      <c r="BW36" s="19">
        <f>-IS!BW25*0</f>
        <v>0</v>
      </c>
      <c r="BX36" s="215">
        <f t="shared" si="146"/>
        <v>0</v>
      </c>
      <c r="BY36" s="19">
        <f>-IS!BY25*0</f>
        <v>0</v>
      </c>
      <c r="BZ36" s="19">
        <f>-IS!BZ25*0</f>
        <v>0</v>
      </c>
      <c r="CA36" s="19">
        <f>-IS!CA25*0</f>
        <v>0</v>
      </c>
      <c r="CB36" s="19">
        <f>-IS!CB25*0</f>
        <v>0</v>
      </c>
      <c r="CC36" s="215">
        <f t="shared" si="136"/>
        <v>0</v>
      </c>
      <c r="CD36" s="19">
        <f>-IS!CD25*0</f>
        <v>0</v>
      </c>
      <c r="CE36" s="19">
        <f>-IS!CE25*0</f>
        <v>0</v>
      </c>
      <c r="CF36" s="19">
        <f>-IS!CF25*0</f>
        <v>0</v>
      </c>
      <c r="CG36" s="19">
        <f>-IS!CG25*0</f>
        <v>0</v>
      </c>
      <c r="CH36" s="215">
        <f t="shared" si="137"/>
        <v>0</v>
      </c>
      <c r="CI36" s="19">
        <f>-IS!CI25*0</f>
        <v>0</v>
      </c>
      <c r="CJ36" s="19">
        <f>-IS!CJ25*0</f>
        <v>0</v>
      </c>
      <c r="CK36" s="19">
        <f>-IS!CK25*0</f>
        <v>0</v>
      </c>
      <c r="CL36" s="19">
        <f>-IS!CL25*0</f>
        <v>0</v>
      </c>
      <c r="CM36" s="215">
        <f t="shared" si="138"/>
        <v>0</v>
      </c>
      <c r="CN36" s="19">
        <f>-IS!CN25*0</f>
        <v>0</v>
      </c>
      <c r="CO36" s="19">
        <f>-IS!CO25*0</f>
        <v>0</v>
      </c>
      <c r="CP36" s="19">
        <f>-IS!CP25*0</f>
        <v>0</v>
      </c>
      <c r="CQ36" s="19">
        <f>-IS!CQ25*0</f>
        <v>0</v>
      </c>
      <c r="CR36" s="215">
        <f t="shared" si="139"/>
        <v>0</v>
      </c>
      <c r="CS36" s="19">
        <f>-IS!CS25*0</f>
        <v>0</v>
      </c>
      <c r="CT36" s="19">
        <f>-IS!CT25*0</f>
        <v>0</v>
      </c>
      <c r="CU36" s="19">
        <f>-IS!CU25*0</f>
        <v>0</v>
      </c>
      <c r="CV36" s="19">
        <f>-IS!CV25*0</f>
        <v>0</v>
      </c>
      <c r="CW36" s="215">
        <f t="shared" si="140"/>
        <v>0</v>
      </c>
      <c r="CX36" s="19">
        <f>-IS!CX25*0</f>
        <v>0</v>
      </c>
      <c r="CY36" s="19">
        <f>-IS!CY25*0</f>
        <v>0</v>
      </c>
      <c r="CZ36" s="19">
        <f>-IS!CZ25*0</f>
        <v>0</v>
      </c>
      <c r="DA36" s="19">
        <f>-IS!DA25*0</f>
        <v>0</v>
      </c>
      <c r="DB36" s="215">
        <f t="shared" si="141"/>
        <v>0</v>
      </c>
    </row>
    <row r="37" spans="1:106" s="11" customFormat="1" ht="12.75" customHeight="1">
      <c r="A37" s="11" t="s">
        <v>12</v>
      </c>
      <c r="B37" s="308"/>
      <c r="C37" s="19">
        <f>1.325-1.141-0.319-1.413</f>
        <v>-1.548</v>
      </c>
      <c r="D37" s="19">
        <f>0-C37</f>
        <v>1.548</v>
      </c>
      <c r="E37" s="19">
        <f>F37-SUM(C37:D37)</f>
        <v>0.54900000000000038</v>
      </c>
      <c r="F37" s="215">
        <f>5.105-2.48-0.415-1.661</f>
        <v>0.54900000000000038</v>
      </c>
      <c r="G37" s="19">
        <f>-0.027-0.006-0.585-0.076</f>
        <v>-0.69399999999999995</v>
      </c>
      <c r="H37" s="19">
        <f>-0.027-0.006-1.17+0.192-2.34-G37</f>
        <v>-2.657</v>
      </c>
      <c r="I37" s="19">
        <f>-5.85+0.192-0.006-H37-G37</f>
        <v>-2.3129999999999997</v>
      </c>
      <c r="J37" s="19">
        <f t="shared" si="129"/>
        <v>15.945000000000002</v>
      </c>
      <c r="K37" s="215">
        <f>1.258-0.006+42-5.85-20+0.192-7.313</f>
        <v>10.281000000000002</v>
      </c>
      <c r="L37" s="19">
        <f>1.306</f>
        <v>1.306</v>
      </c>
      <c r="M37" s="19">
        <f>2.268-L37</f>
        <v>0.96199999999999974</v>
      </c>
      <c r="N37" s="19">
        <f>2.722-M37-L37</f>
        <v>0.45400000000000018</v>
      </c>
      <c r="O37" s="19">
        <f t="shared" si="130"/>
        <v>0.87300000000000022</v>
      </c>
      <c r="P37" s="215">
        <f>3.595</f>
        <v>3.5950000000000002</v>
      </c>
      <c r="Q37" s="19">
        <f>0.413</f>
        <v>0.41299999999999998</v>
      </c>
      <c r="R37" s="19">
        <f>0.939-Q37</f>
        <v>0.52600000000000002</v>
      </c>
      <c r="S37" s="19">
        <f>1.834-R37-Q37</f>
        <v>0.89500000000000002</v>
      </c>
      <c r="T37" s="19">
        <f t="shared" si="131"/>
        <v>0.19399999999999995</v>
      </c>
      <c r="U37" s="215">
        <f>2.315-0.287</f>
        <v>2.028</v>
      </c>
      <c r="V37" s="19">
        <v>0.56499999999999995</v>
      </c>
      <c r="W37" s="19">
        <f>4.197-V37</f>
        <v>3.6320000000000001</v>
      </c>
      <c r="X37" s="19">
        <f>12.063-W37-V37</f>
        <v>7.8660000000000014</v>
      </c>
      <c r="Y37" s="19">
        <f t="shared" si="132"/>
        <v>1.2679999999999971</v>
      </c>
      <c r="Z37" s="215">
        <f>13.331</f>
        <v>13.331</v>
      </c>
      <c r="AA37" s="19">
        <f>2.578</f>
        <v>2.5779999999999998</v>
      </c>
      <c r="AB37" s="19">
        <f>5.983-AA37</f>
        <v>3.4049999999999998</v>
      </c>
      <c r="AC37" s="19">
        <f>10.416-AB37-AA37</f>
        <v>4.4330000000000016</v>
      </c>
      <c r="AD37" s="19">
        <f t="shared" si="133"/>
        <v>2.625</v>
      </c>
      <c r="AE37" s="215">
        <f>13.041</f>
        <v>13.041</v>
      </c>
      <c r="AF37" s="19">
        <v>3.8260000000000001</v>
      </c>
      <c r="AG37" s="19">
        <f>10.808+278.317-AF37</f>
        <v>285.29899999999998</v>
      </c>
      <c r="AH37" s="19">
        <f>15.782+278.316-AG37-AF37</f>
        <v>4.9729999999999777</v>
      </c>
      <c r="AI37" s="19">
        <f>AJ37-SUM(AF37:AH37)</f>
        <v>7.7420000000000186</v>
      </c>
      <c r="AJ37" s="215">
        <f>23.524+278.316</f>
        <v>301.83999999999997</v>
      </c>
      <c r="AK37" s="19">
        <f>4.57</f>
        <v>4.57</v>
      </c>
      <c r="AL37" s="19">
        <f>6.829-AK37</f>
        <v>2.2589999999999995</v>
      </c>
      <c r="AM37" s="19">
        <f>10.774-AK37-AL37</f>
        <v>3.9449999999999994</v>
      </c>
      <c r="AN37" s="19">
        <f>AO37-SUM(AK37:AM37)</f>
        <v>1.0420000000000016</v>
      </c>
      <c r="AO37" s="215">
        <f>11.816</f>
        <v>11.816000000000001</v>
      </c>
      <c r="AP37" s="19">
        <f>4.156</f>
        <v>4.1559999999999997</v>
      </c>
      <c r="AQ37" s="19">
        <f>4.578-AP37</f>
        <v>0.4220000000000006</v>
      </c>
      <c r="AR37" s="19">
        <f>5.971-AQ37-AP37</f>
        <v>1.3929999999999998</v>
      </c>
      <c r="AS37" s="19">
        <f>AT37-SUM(AP37:AR37)</f>
        <v>0.4399999999999995</v>
      </c>
      <c r="AT37" s="215">
        <f>6.411</f>
        <v>6.4109999999999996</v>
      </c>
      <c r="AU37" s="19">
        <f>2.301</f>
        <v>2.3010000000000002</v>
      </c>
      <c r="AV37" s="19">
        <f>2.939-AU37</f>
        <v>0.6379999999999999</v>
      </c>
      <c r="AW37" s="19">
        <f>3.501-AV37-AU37</f>
        <v>0.56199999999999983</v>
      </c>
      <c r="AX37" s="19">
        <f t="shared" si="134"/>
        <v>0.39100000000000001</v>
      </c>
      <c r="AY37" s="215">
        <v>3.8919999999999999</v>
      </c>
      <c r="AZ37" s="19">
        <v>6.4660000000000002</v>
      </c>
      <c r="BA37" s="19">
        <f>8.648-AZ37</f>
        <v>2.1819999999999995</v>
      </c>
      <c r="BB37" s="19">
        <f>10.368-BA37-AZ37</f>
        <v>1.7199999999999998</v>
      </c>
      <c r="BC37" s="19">
        <f t="shared" si="135"/>
        <v>-10.367999999999999</v>
      </c>
      <c r="BD37" s="215">
        <v>0</v>
      </c>
      <c r="BE37" s="19">
        <v>0</v>
      </c>
      <c r="BF37" s="19">
        <f>0-BE37</f>
        <v>0</v>
      </c>
      <c r="BG37" s="19">
        <f>0-SUM(BE37:BF37)</f>
        <v>0</v>
      </c>
      <c r="BH37" s="132">
        <f>47.5-BE38-BF38-BG38-BH33-BH34-BH35-BH36</f>
        <v>-242.53699999999998</v>
      </c>
      <c r="BI37" s="215">
        <f>SUM(BD37:BH37)</f>
        <v>-242.53699999999998</v>
      </c>
      <c r="BJ37" s="285">
        <v>0</v>
      </c>
      <c r="BK37" s="132">
        <v>0</v>
      </c>
      <c r="BL37" s="132">
        <v>0</v>
      </c>
      <c r="BM37" s="132">
        <v>0</v>
      </c>
      <c r="BN37" s="215">
        <f t="shared" si="144"/>
        <v>0</v>
      </c>
      <c r="BO37" s="20">
        <v>0</v>
      </c>
      <c r="BP37" s="20">
        <v>0</v>
      </c>
      <c r="BQ37" s="20">
        <v>0</v>
      </c>
      <c r="BR37" s="20">
        <v>0</v>
      </c>
      <c r="BS37" s="215">
        <f t="shared" si="145"/>
        <v>0</v>
      </c>
      <c r="BT37" s="20">
        <v>0</v>
      </c>
      <c r="BU37" s="20">
        <v>0</v>
      </c>
      <c r="BV37" s="20">
        <v>0</v>
      </c>
      <c r="BW37" s="20">
        <v>0</v>
      </c>
      <c r="BX37" s="215">
        <f t="shared" si="146"/>
        <v>0</v>
      </c>
      <c r="BY37" s="20">
        <v>0</v>
      </c>
      <c r="BZ37" s="20">
        <v>0</v>
      </c>
      <c r="CA37" s="20">
        <v>0</v>
      </c>
      <c r="CB37" s="20">
        <v>0</v>
      </c>
      <c r="CC37" s="215">
        <f t="shared" si="136"/>
        <v>0</v>
      </c>
      <c r="CD37" s="20">
        <v>0</v>
      </c>
      <c r="CE37" s="20">
        <v>0</v>
      </c>
      <c r="CF37" s="20">
        <v>0</v>
      </c>
      <c r="CG37" s="20">
        <v>0</v>
      </c>
      <c r="CH37" s="215">
        <f t="shared" si="137"/>
        <v>0</v>
      </c>
      <c r="CI37" s="20">
        <v>0</v>
      </c>
      <c r="CJ37" s="20">
        <v>0</v>
      </c>
      <c r="CK37" s="20">
        <v>0</v>
      </c>
      <c r="CL37" s="20">
        <v>0</v>
      </c>
      <c r="CM37" s="215">
        <f t="shared" si="138"/>
        <v>0</v>
      </c>
      <c r="CN37" s="20">
        <v>0</v>
      </c>
      <c r="CO37" s="20">
        <v>0</v>
      </c>
      <c r="CP37" s="20">
        <v>0</v>
      </c>
      <c r="CQ37" s="20">
        <v>0</v>
      </c>
      <c r="CR37" s="215">
        <f t="shared" si="139"/>
        <v>0</v>
      </c>
      <c r="CS37" s="20">
        <v>0</v>
      </c>
      <c r="CT37" s="20">
        <v>0</v>
      </c>
      <c r="CU37" s="20">
        <v>0</v>
      </c>
      <c r="CV37" s="20">
        <v>0</v>
      </c>
      <c r="CW37" s="215">
        <f t="shared" si="140"/>
        <v>0</v>
      </c>
      <c r="CX37" s="20">
        <v>0</v>
      </c>
      <c r="CY37" s="20">
        <v>0</v>
      </c>
      <c r="CZ37" s="20">
        <v>0</v>
      </c>
      <c r="DA37" s="20">
        <v>0</v>
      </c>
      <c r="DB37" s="215">
        <f t="shared" si="141"/>
        <v>0</v>
      </c>
    </row>
    <row r="38" spans="1:106" s="10" customFormat="1" ht="12.75" customHeight="1">
      <c r="A38" s="10" t="s">
        <v>85</v>
      </c>
      <c r="C38" s="135">
        <f t="shared" ref="C38:T38" si="157">SUM(C33:C37)</f>
        <v>-1.474</v>
      </c>
      <c r="D38" s="135">
        <f t="shared" si="157"/>
        <v>-4.6429999999999998</v>
      </c>
      <c r="E38" s="135">
        <f t="shared" si="157"/>
        <v>62.248999999999995</v>
      </c>
      <c r="F38" s="216">
        <f t="shared" si="157"/>
        <v>56.131999999999998</v>
      </c>
      <c r="G38" s="135">
        <f t="shared" si="157"/>
        <v>-0.58799999999999997</v>
      </c>
      <c r="H38" s="135">
        <f t="shared" si="157"/>
        <v>-2.448</v>
      </c>
      <c r="I38" s="135">
        <f t="shared" si="157"/>
        <v>178</v>
      </c>
      <c r="J38" s="135">
        <f t="shared" si="157"/>
        <v>15.318000000000021</v>
      </c>
      <c r="K38" s="216">
        <f t="shared" si="157"/>
        <v>190.28200000000001</v>
      </c>
      <c r="L38" s="135">
        <f t="shared" si="157"/>
        <v>1.306</v>
      </c>
      <c r="M38" s="135">
        <f t="shared" si="157"/>
        <v>8.9319999999999986</v>
      </c>
      <c r="N38" s="135">
        <f t="shared" si="157"/>
        <v>0.45400000000000018</v>
      </c>
      <c r="O38" s="135">
        <f t="shared" si="157"/>
        <v>2.492</v>
      </c>
      <c r="P38" s="216">
        <f t="shared" si="157"/>
        <v>13.184000000000001</v>
      </c>
      <c r="Q38" s="135">
        <f t="shared" si="157"/>
        <v>0.41299999999999998</v>
      </c>
      <c r="R38" s="135">
        <f t="shared" si="157"/>
        <v>2.0289999999999999</v>
      </c>
      <c r="S38" s="135">
        <f t="shared" si="157"/>
        <v>75.894999999999996</v>
      </c>
      <c r="T38" s="135">
        <f t="shared" si="157"/>
        <v>2.0350000000000001</v>
      </c>
      <c r="U38" s="216">
        <f>SUM(Q38:T38)</f>
        <v>80.371999999999986</v>
      </c>
      <c r="V38" s="135">
        <f t="shared" ref="V38:BH38" si="158">SUM(V33:V37)</f>
        <v>0.56499999999999995</v>
      </c>
      <c r="W38" s="135">
        <f t="shared" si="158"/>
        <v>5.4870000000000001</v>
      </c>
      <c r="X38" s="135">
        <f t="shared" si="158"/>
        <v>104.643</v>
      </c>
      <c r="Y38" s="135">
        <f t="shared" si="158"/>
        <v>3.0299999999999971</v>
      </c>
      <c r="Z38" s="216">
        <f t="shared" si="158"/>
        <v>113.72500000000001</v>
      </c>
      <c r="AA38" s="135">
        <f t="shared" si="158"/>
        <v>2.5779999999999998</v>
      </c>
      <c r="AB38" s="135">
        <f t="shared" si="158"/>
        <v>113.14700000000001</v>
      </c>
      <c r="AC38" s="135">
        <f t="shared" si="158"/>
        <v>4.4330000000000016</v>
      </c>
      <c r="AD38" s="135">
        <f t="shared" si="158"/>
        <v>220.61600000000001</v>
      </c>
      <c r="AE38" s="216">
        <f t="shared" si="158"/>
        <v>340.774</v>
      </c>
      <c r="AF38" s="135">
        <f t="shared" si="158"/>
        <v>3.8260000000000001</v>
      </c>
      <c r="AG38" s="135">
        <f t="shared" si="158"/>
        <v>209.60399999999998</v>
      </c>
      <c r="AH38" s="135">
        <f t="shared" si="158"/>
        <v>275.62299999999993</v>
      </c>
      <c r="AI38" s="135">
        <f t="shared" si="158"/>
        <v>11.794000000000018</v>
      </c>
      <c r="AJ38" s="216">
        <f t="shared" si="158"/>
        <v>500.84699999999998</v>
      </c>
      <c r="AK38" s="135">
        <f t="shared" si="158"/>
        <v>4.57</v>
      </c>
      <c r="AL38" s="135">
        <f t="shared" si="158"/>
        <v>8.3439999999999994</v>
      </c>
      <c r="AM38" s="135">
        <f t="shared" si="158"/>
        <v>554.75900000000001</v>
      </c>
      <c r="AN38" s="135">
        <f t="shared" si="158"/>
        <v>8.5150000000000396</v>
      </c>
      <c r="AO38" s="216">
        <f t="shared" si="158"/>
        <v>576.18799999999999</v>
      </c>
      <c r="AP38" s="135">
        <f t="shared" si="158"/>
        <v>4.1559999999999997</v>
      </c>
      <c r="AQ38" s="135">
        <f t="shared" si="158"/>
        <v>8.918000000000001</v>
      </c>
      <c r="AR38" s="135">
        <f t="shared" si="158"/>
        <v>1.3929999999999998</v>
      </c>
      <c r="AS38" s="135">
        <f t="shared" si="158"/>
        <v>468.173</v>
      </c>
      <c r="AT38" s="216">
        <f t="shared" si="158"/>
        <v>482.64</v>
      </c>
      <c r="AU38" s="135">
        <f t="shared" si="158"/>
        <v>2.3010000000000002</v>
      </c>
      <c r="AV38" s="135">
        <f t="shared" si="158"/>
        <v>9.3119999999999994</v>
      </c>
      <c r="AW38" s="135">
        <f t="shared" si="158"/>
        <v>236.00300000000001</v>
      </c>
      <c r="AX38" s="135">
        <f t="shared" si="158"/>
        <v>6.8450000000000006</v>
      </c>
      <c r="AY38" s="216">
        <f t="shared" si="158"/>
        <v>254.46100000000001</v>
      </c>
      <c r="AZ38" s="135">
        <f t="shared" si="158"/>
        <v>6.4660000000000002</v>
      </c>
      <c r="BA38" s="135">
        <f t="shared" si="158"/>
        <v>11.044</v>
      </c>
      <c r="BB38" s="135">
        <f t="shared" si="158"/>
        <v>1.7199999999999998</v>
      </c>
      <c r="BC38" s="135">
        <f t="shared" si="158"/>
        <v>10.974</v>
      </c>
      <c r="BD38" s="216">
        <f t="shared" si="158"/>
        <v>30.203999999999997</v>
      </c>
      <c r="BE38" s="135">
        <f t="shared" si="158"/>
        <v>0.54400000000000004</v>
      </c>
      <c r="BF38" s="135">
        <f t="shared" si="158"/>
        <v>12.576000000000001</v>
      </c>
      <c r="BG38" s="135">
        <f t="shared" si="158"/>
        <v>1.9349999999999987</v>
      </c>
      <c r="BH38" s="135">
        <f t="shared" si="158"/>
        <v>32.444999999999993</v>
      </c>
      <c r="BI38" s="216">
        <f t="shared" si="143"/>
        <v>47.499999999999993</v>
      </c>
      <c r="BJ38" s="273">
        <f>SUM(BJ33:BJ37)</f>
        <v>-20.080749999999995</v>
      </c>
      <c r="BK38" s="135">
        <f>SUM(BK33:BK37)</f>
        <v>-20.060669250000004</v>
      </c>
      <c r="BL38" s="135">
        <f>SUM(BL33:BL37)</f>
        <v>-20.090790374999997</v>
      </c>
      <c r="BM38" s="135">
        <f>SUM(BM33:BM37)</f>
        <v>-20.090790374999997</v>
      </c>
      <c r="BN38" s="216">
        <f t="shared" si="144"/>
        <v>-80.322999999999993</v>
      </c>
      <c r="BO38" s="135">
        <f>SUM(BO33:BO37)</f>
        <v>0</v>
      </c>
      <c r="BP38" s="135">
        <f>SUM(BP33:BP37)</f>
        <v>0</v>
      </c>
      <c r="BQ38" s="135">
        <f>SUM(BQ33:BQ37)</f>
        <v>0</v>
      </c>
      <c r="BR38" s="135">
        <f>SUM(BR33:BR37)</f>
        <v>0</v>
      </c>
      <c r="BS38" s="216">
        <f t="shared" si="145"/>
        <v>0</v>
      </c>
      <c r="BT38" s="135">
        <f>SUM(BT33:BT37)</f>
        <v>0</v>
      </c>
      <c r="BU38" s="135">
        <f>SUM(BU33:BU37)</f>
        <v>0</v>
      </c>
      <c r="BV38" s="135">
        <f>SUM(BV33:BV37)</f>
        <v>0</v>
      </c>
      <c r="BW38" s="135">
        <f>SUM(BW33:BW37)</f>
        <v>0</v>
      </c>
      <c r="BX38" s="216">
        <f t="shared" si="146"/>
        <v>0</v>
      </c>
      <c r="BY38" s="135">
        <f>SUM(BY33:BY37)</f>
        <v>0</v>
      </c>
      <c r="BZ38" s="135">
        <f>SUM(BZ33:BZ37)</f>
        <v>0</v>
      </c>
      <c r="CA38" s="135">
        <f>SUM(CA33:CA37)</f>
        <v>0</v>
      </c>
      <c r="CB38" s="135">
        <f>SUM(CB33:CB37)</f>
        <v>0</v>
      </c>
      <c r="CC38" s="216">
        <f t="shared" si="136"/>
        <v>0</v>
      </c>
      <c r="CD38" s="135">
        <f>SUM(CD33:CD37)</f>
        <v>0</v>
      </c>
      <c r="CE38" s="135">
        <f>SUM(CE33:CE37)</f>
        <v>0</v>
      </c>
      <c r="CF38" s="135">
        <f>SUM(CF33:CF37)</f>
        <v>0</v>
      </c>
      <c r="CG38" s="135">
        <f>SUM(CG33:CG37)</f>
        <v>0</v>
      </c>
      <c r="CH38" s="216">
        <f t="shared" si="137"/>
        <v>0</v>
      </c>
      <c r="CI38" s="135">
        <f>SUM(CI33:CI37)</f>
        <v>0</v>
      </c>
      <c r="CJ38" s="135">
        <f>SUM(CJ33:CJ37)</f>
        <v>0</v>
      </c>
      <c r="CK38" s="135">
        <f>SUM(CK33:CK37)</f>
        <v>0</v>
      </c>
      <c r="CL38" s="135">
        <f>SUM(CL33:CL37)</f>
        <v>0</v>
      </c>
      <c r="CM38" s="216">
        <f t="shared" si="138"/>
        <v>0</v>
      </c>
      <c r="CN38" s="135">
        <f>SUM(CN33:CN37)</f>
        <v>0</v>
      </c>
      <c r="CO38" s="135">
        <f>SUM(CO33:CO37)</f>
        <v>0</v>
      </c>
      <c r="CP38" s="135">
        <f>SUM(CP33:CP37)</f>
        <v>0</v>
      </c>
      <c r="CQ38" s="135">
        <f>SUM(CQ33:CQ37)</f>
        <v>0</v>
      </c>
      <c r="CR38" s="216">
        <f t="shared" si="139"/>
        <v>0</v>
      </c>
      <c r="CS38" s="135">
        <f>SUM(CS33:CS37)</f>
        <v>0</v>
      </c>
      <c r="CT38" s="135">
        <f>SUM(CT33:CT37)</f>
        <v>0</v>
      </c>
      <c r="CU38" s="135">
        <f>SUM(CU33:CU37)</f>
        <v>0</v>
      </c>
      <c r="CV38" s="135">
        <f>SUM(CV33:CV37)</f>
        <v>0</v>
      </c>
      <c r="CW38" s="216">
        <f t="shared" si="140"/>
        <v>0</v>
      </c>
      <c r="CX38" s="135">
        <f>SUM(CX33:CX37)</f>
        <v>0</v>
      </c>
      <c r="CY38" s="135">
        <f>SUM(CY33:CY37)</f>
        <v>0</v>
      </c>
      <c r="CZ38" s="135">
        <f>SUM(CZ33:CZ37)</f>
        <v>0</v>
      </c>
      <c r="DA38" s="135">
        <f>SUM(DA33:DA37)</f>
        <v>0</v>
      </c>
      <c r="DB38" s="216">
        <f t="shared" si="141"/>
        <v>0</v>
      </c>
    </row>
    <row r="39" spans="1:106" s="11" customFormat="1" ht="12.75" customHeight="1">
      <c r="C39" s="19"/>
      <c r="D39" s="19"/>
      <c r="E39" s="19"/>
      <c r="F39" s="215"/>
      <c r="G39" s="19"/>
      <c r="H39" s="19"/>
      <c r="I39" s="19"/>
      <c r="J39" s="19"/>
      <c r="K39" s="215"/>
      <c r="L39" s="19"/>
      <c r="M39" s="19"/>
      <c r="N39" s="19"/>
      <c r="O39" s="19"/>
      <c r="P39" s="215"/>
      <c r="Q39" s="19"/>
      <c r="R39" s="19"/>
      <c r="S39" s="19"/>
      <c r="T39" s="19"/>
      <c r="U39" s="215"/>
      <c r="V39" s="19"/>
      <c r="W39" s="19"/>
      <c r="X39" s="19"/>
      <c r="Y39" s="19"/>
      <c r="Z39" s="215"/>
      <c r="AA39" s="19"/>
      <c r="AB39" s="19"/>
      <c r="AC39" s="19"/>
      <c r="AD39" s="19"/>
      <c r="AE39" s="215"/>
      <c r="AF39" s="19"/>
      <c r="AG39" s="19"/>
      <c r="AH39" s="19"/>
      <c r="AI39" s="19"/>
      <c r="AJ39" s="215"/>
      <c r="AK39" s="19"/>
      <c r="AL39" s="19"/>
      <c r="AM39" s="19"/>
      <c r="AN39" s="19"/>
      <c r="AO39" s="215"/>
      <c r="AP39" s="19"/>
      <c r="AQ39" s="19"/>
      <c r="AR39" s="19"/>
      <c r="AS39" s="19"/>
      <c r="AT39" s="215"/>
      <c r="AU39" s="19"/>
      <c r="AV39" s="19"/>
      <c r="AW39" s="19"/>
      <c r="AX39" s="19"/>
      <c r="AY39" s="215"/>
      <c r="AZ39" s="19"/>
      <c r="BA39" s="157"/>
      <c r="BB39" s="157"/>
      <c r="BC39" s="157"/>
      <c r="BD39" s="215"/>
      <c r="BE39" s="19"/>
      <c r="BF39" s="15"/>
      <c r="BG39" s="15"/>
      <c r="BH39" s="19"/>
      <c r="BI39" s="215"/>
      <c r="BJ39" s="275"/>
      <c r="BK39" s="19"/>
      <c r="BL39" s="19"/>
      <c r="BM39" s="19"/>
      <c r="BN39" s="215"/>
      <c r="BO39" s="19"/>
      <c r="BP39" s="19"/>
      <c r="BQ39" s="19"/>
      <c r="BR39" s="19"/>
      <c r="BS39" s="215"/>
      <c r="BT39" s="19"/>
      <c r="BU39" s="19"/>
      <c r="BV39" s="19"/>
      <c r="BW39" s="19"/>
      <c r="BX39" s="215"/>
      <c r="BY39" s="19"/>
      <c r="BZ39" s="19"/>
      <c r="CA39" s="19"/>
      <c r="CB39" s="19"/>
      <c r="CC39" s="215"/>
      <c r="CD39" s="19"/>
      <c r="CE39" s="19"/>
      <c r="CF39" s="19"/>
      <c r="CG39" s="19"/>
      <c r="CH39" s="215"/>
      <c r="CI39" s="19"/>
      <c r="CJ39" s="19"/>
      <c r="CK39" s="19"/>
      <c r="CL39" s="19"/>
      <c r="CM39" s="215"/>
      <c r="CN39" s="19"/>
      <c r="CO39" s="19"/>
      <c r="CP39" s="19"/>
      <c r="CQ39" s="19"/>
      <c r="CR39" s="215"/>
      <c r="CS39" s="19"/>
      <c r="CT39" s="19"/>
      <c r="CU39" s="19"/>
      <c r="CV39" s="19"/>
      <c r="CW39" s="215"/>
      <c r="CX39" s="19"/>
      <c r="CY39" s="19"/>
      <c r="CZ39" s="19"/>
      <c r="DA39" s="19"/>
      <c r="DB39" s="215"/>
    </row>
    <row r="40" spans="1:106" s="10" customFormat="1" ht="12.75" customHeight="1">
      <c r="A40" s="10" t="s">
        <v>86</v>
      </c>
      <c r="B40" s="70"/>
      <c r="C40" s="135">
        <f t="shared" ref="C40:AH40" si="159">C22+C30+C38</f>
        <v>-12.826000000000001</v>
      </c>
      <c r="D40" s="135">
        <f t="shared" si="159"/>
        <v>1.3630000000000004</v>
      </c>
      <c r="E40" s="135">
        <f t="shared" si="159"/>
        <v>68.143000000000001</v>
      </c>
      <c r="F40" s="216">
        <f t="shared" si="159"/>
        <v>56.68</v>
      </c>
      <c r="G40" s="135">
        <f t="shared" si="159"/>
        <v>-6.8280000000000003</v>
      </c>
      <c r="H40" s="135">
        <f t="shared" si="159"/>
        <v>-18.145</v>
      </c>
      <c r="I40" s="135">
        <f t="shared" si="159"/>
        <v>133.989</v>
      </c>
      <c r="J40" s="135">
        <f t="shared" si="159"/>
        <v>-167.245</v>
      </c>
      <c r="K40" s="216">
        <f t="shared" si="159"/>
        <v>-58.229000000000013</v>
      </c>
      <c r="L40" s="135">
        <f t="shared" si="159"/>
        <v>5.0379999999999994</v>
      </c>
      <c r="M40" s="135">
        <f t="shared" si="159"/>
        <v>-17.427999999999994</v>
      </c>
      <c r="N40" s="135">
        <f t="shared" si="159"/>
        <v>8.7650000000000006</v>
      </c>
      <c r="O40" s="135">
        <f t="shared" si="159"/>
        <v>-10.065999999999981</v>
      </c>
      <c r="P40" s="216">
        <f t="shared" si="159"/>
        <v>-13.690999999999971</v>
      </c>
      <c r="Q40" s="135">
        <f t="shared" si="159"/>
        <v>-6.1700000000000017</v>
      </c>
      <c r="R40" s="135">
        <f t="shared" si="159"/>
        <v>-1.9480000000000075</v>
      </c>
      <c r="S40" s="135">
        <f t="shared" si="159"/>
        <v>4.0730000000000075</v>
      </c>
      <c r="T40" s="135">
        <f t="shared" si="159"/>
        <v>1.4089999999999634</v>
      </c>
      <c r="U40" s="216">
        <f t="shared" si="159"/>
        <v>-2.6360000000000525</v>
      </c>
      <c r="V40" s="135">
        <f t="shared" si="159"/>
        <v>26.669</v>
      </c>
      <c r="W40" s="135">
        <f t="shared" si="159"/>
        <v>-21.43</v>
      </c>
      <c r="X40" s="135">
        <f t="shared" si="159"/>
        <v>20.838999999999999</v>
      </c>
      <c r="Y40" s="135">
        <f t="shared" si="159"/>
        <v>11.904999999999994</v>
      </c>
      <c r="Z40" s="216">
        <f t="shared" si="159"/>
        <v>37.983000000000018</v>
      </c>
      <c r="AA40" s="135">
        <f t="shared" si="159"/>
        <v>-16.324000000000002</v>
      </c>
      <c r="AB40" s="135">
        <f t="shared" si="159"/>
        <v>-4.6969999999999885</v>
      </c>
      <c r="AC40" s="135">
        <f t="shared" si="159"/>
        <v>21.681000000000004</v>
      </c>
      <c r="AD40" s="135">
        <f t="shared" si="159"/>
        <v>10.317000000000064</v>
      </c>
      <c r="AE40" s="216">
        <f t="shared" si="159"/>
        <v>10.977000000000089</v>
      </c>
      <c r="AF40" s="135">
        <f t="shared" si="159"/>
        <v>12.217999999999996</v>
      </c>
      <c r="AG40" s="135">
        <f t="shared" si="159"/>
        <v>3.1779999999999973</v>
      </c>
      <c r="AH40" s="135">
        <f t="shared" si="159"/>
        <v>132.15199999999996</v>
      </c>
      <c r="AI40" s="135">
        <f t="shared" ref="AI40:BN40" si="160">AI22+AI30+AI38</f>
        <v>-160.67400000000004</v>
      </c>
      <c r="AJ40" s="216">
        <f t="shared" si="160"/>
        <v>-13.125999999999976</v>
      </c>
      <c r="AK40" s="135">
        <f t="shared" si="160"/>
        <v>16.43399999999999</v>
      </c>
      <c r="AL40" s="135">
        <f t="shared" si="160"/>
        <v>-2.2499999999999662</v>
      </c>
      <c r="AM40" s="135">
        <f t="shared" si="160"/>
        <v>32.29200000000003</v>
      </c>
      <c r="AN40" s="135">
        <f t="shared" si="160"/>
        <v>-10.717000000000088</v>
      </c>
      <c r="AO40" s="216">
        <f t="shared" si="160"/>
        <v>35.758999999999901</v>
      </c>
      <c r="AP40" s="135">
        <f t="shared" si="160"/>
        <v>73.912000000000063</v>
      </c>
      <c r="AQ40" s="135">
        <f t="shared" si="160"/>
        <v>-67.141999999999996</v>
      </c>
      <c r="AR40" s="135">
        <f t="shared" si="160"/>
        <v>-34.256000000000057</v>
      </c>
      <c r="AS40" s="135">
        <f t="shared" si="160"/>
        <v>408.96300000000002</v>
      </c>
      <c r="AT40" s="216">
        <f t="shared" si="160"/>
        <v>381.47699999999992</v>
      </c>
      <c r="AU40" s="135">
        <f t="shared" si="160"/>
        <v>-62.937000000000026</v>
      </c>
      <c r="AV40" s="135">
        <f t="shared" si="160"/>
        <v>-22.041000000000004</v>
      </c>
      <c r="AW40" s="135">
        <f t="shared" si="160"/>
        <v>287.59700000000004</v>
      </c>
      <c r="AX40" s="135">
        <f t="shared" si="160"/>
        <v>-26.614999999999995</v>
      </c>
      <c r="AY40" s="216">
        <f t="shared" si="160"/>
        <v>176.00399999999999</v>
      </c>
      <c r="AZ40" s="135">
        <f t="shared" si="160"/>
        <v>171.72200000000001</v>
      </c>
      <c r="BA40" s="135">
        <f t="shared" si="160"/>
        <v>-17.019000000000002</v>
      </c>
      <c r="BB40" s="135">
        <f t="shared" si="160"/>
        <v>96.046000000000021</v>
      </c>
      <c r="BC40" s="135">
        <f t="shared" si="160"/>
        <v>52.742999999999995</v>
      </c>
      <c r="BD40" s="216">
        <f t="shared" si="160"/>
        <v>303.49200000000002</v>
      </c>
      <c r="BE40" s="135">
        <f t="shared" si="160"/>
        <v>28.180999999999997</v>
      </c>
      <c r="BF40" s="135">
        <f t="shared" si="160"/>
        <v>26.253000000000011</v>
      </c>
      <c r="BG40" s="135">
        <f t="shared" si="160"/>
        <v>41.417000000000002</v>
      </c>
      <c r="BH40" s="135">
        <f t="shared" si="160"/>
        <v>11.748999999999995</v>
      </c>
      <c r="BI40" s="216">
        <f t="shared" si="160"/>
        <v>107.60000000000002</v>
      </c>
      <c r="BJ40" s="273">
        <f t="shared" si="160"/>
        <v>71.416514184536169</v>
      </c>
      <c r="BK40" s="135">
        <f t="shared" si="160"/>
        <v>-62.900473581731411</v>
      </c>
      <c r="BL40" s="135">
        <f t="shared" si="160"/>
        <v>-44.821331844319715</v>
      </c>
      <c r="BM40" s="135">
        <f t="shared" si="160"/>
        <v>-18.540581383740712</v>
      </c>
      <c r="BN40" s="216">
        <f t="shared" si="160"/>
        <v>-54.84587262525568</v>
      </c>
      <c r="BO40" s="135">
        <f t="shared" ref="BO40:CT40" si="161">BO22+BO30+BO38</f>
        <v>22.299952116883802</v>
      </c>
      <c r="BP40" s="135">
        <f t="shared" si="161"/>
        <v>-7.1612115565466183</v>
      </c>
      <c r="BQ40" s="135">
        <f t="shared" si="161"/>
        <v>10.121781657409546</v>
      </c>
      <c r="BR40" s="135">
        <f t="shared" si="161"/>
        <v>25.667982458227584</v>
      </c>
      <c r="BS40" s="216">
        <f t="shared" si="161"/>
        <v>50.928504675974295</v>
      </c>
      <c r="BT40" s="135">
        <f t="shared" si="161"/>
        <v>70.063598876630209</v>
      </c>
      <c r="BU40" s="135">
        <f t="shared" si="161"/>
        <v>44.84239407516263</v>
      </c>
      <c r="BV40" s="135">
        <f t="shared" si="161"/>
        <v>64.632827591661709</v>
      </c>
      <c r="BW40" s="135">
        <f t="shared" si="161"/>
        <v>85.240096607346302</v>
      </c>
      <c r="BX40" s="216">
        <f t="shared" si="161"/>
        <v>264.77891715080085</v>
      </c>
      <c r="BY40" s="135">
        <f t="shared" si="161"/>
        <v>136.94774307662993</v>
      </c>
      <c r="BZ40" s="135">
        <f t="shared" si="161"/>
        <v>104.23991177078987</v>
      </c>
      <c r="CA40" s="135">
        <f t="shared" si="161"/>
        <v>129.98180719419011</v>
      </c>
      <c r="CB40" s="135">
        <f t="shared" si="161"/>
        <v>150.06075029797486</v>
      </c>
      <c r="CC40" s="216">
        <f t="shared" si="161"/>
        <v>521.2302123395848</v>
      </c>
      <c r="CD40" s="135">
        <f t="shared" si="161"/>
        <v>211.067227045647</v>
      </c>
      <c r="CE40" s="135">
        <f t="shared" si="161"/>
        <v>176.40352028699678</v>
      </c>
      <c r="CF40" s="135">
        <f t="shared" si="161"/>
        <v>203.71084359531511</v>
      </c>
      <c r="CG40" s="135">
        <f t="shared" si="161"/>
        <v>227.74923298621601</v>
      </c>
      <c r="CH40" s="216">
        <f t="shared" si="161"/>
        <v>818.93082391417488</v>
      </c>
      <c r="CI40" s="135">
        <f t="shared" si="161"/>
        <v>288.05827029324786</v>
      </c>
      <c r="CJ40" s="135">
        <f t="shared" si="161"/>
        <v>245.17769512912076</v>
      </c>
      <c r="CK40" s="135">
        <f t="shared" si="161"/>
        <v>271.20774420517017</v>
      </c>
      <c r="CL40" s="135">
        <f t="shared" si="161"/>
        <v>292.98318683729491</v>
      </c>
      <c r="CM40" s="216">
        <f t="shared" si="161"/>
        <v>1097.4268964648338</v>
      </c>
      <c r="CN40" s="135">
        <f t="shared" si="161"/>
        <v>358.374676726703</v>
      </c>
      <c r="CO40" s="135">
        <f t="shared" si="161"/>
        <v>311.26171204726239</v>
      </c>
      <c r="CP40" s="135">
        <f t="shared" si="161"/>
        <v>339.50062339774132</v>
      </c>
      <c r="CQ40" s="135">
        <f t="shared" si="161"/>
        <v>362.83500266523089</v>
      </c>
      <c r="CR40" s="216">
        <f t="shared" si="161"/>
        <v>1371.9720148369377</v>
      </c>
      <c r="CS40" s="135">
        <f t="shared" si="161"/>
        <v>433.74974355809707</v>
      </c>
      <c r="CT40" s="135">
        <f t="shared" si="161"/>
        <v>382.78768769355787</v>
      </c>
      <c r="CU40" s="135">
        <f t="shared" ref="CU40:DB40" si="162">CU22+CU30+CU38</f>
        <v>413.86936751421945</v>
      </c>
      <c r="CV40" s="135">
        <f t="shared" si="162"/>
        <v>439.29141704317891</v>
      </c>
      <c r="CW40" s="216">
        <f t="shared" si="162"/>
        <v>1669.6982158090534</v>
      </c>
      <c r="CX40" s="135">
        <f t="shared" si="162"/>
        <v>501.75673938018292</v>
      </c>
      <c r="CY40" s="135">
        <f t="shared" si="162"/>
        <v>442.64374131856061</v>
      </c>
      <c r="CZ40" s="135">
        <f t="shared" si="162"/>
        <v>472.26197426256192</v>
      </c>
      <c r="DA40" s="135">
        <f t="shared" si="162"/>
        <v>495.42279614417544</v>
      </c>
      <c r="DB40" s="216">
        <f t="shared" si="162"/>
        <v>1912.0852511054809</v>
      </c>
    </row>
    <row r="41" spans="1:106" s="11" customFormat="1" ht="12.75" customHeight="1">
      <c r="A41" s="11" t="s">
        <v>14</v>
      </c>
      <c r="B41" s="69"/>
      <c r="C41" s="19">
        <f>0-B41</f>
        <v>0</v>
      </c>
      <c r="D41" s="19">
        <f>0-C41-B41</f>
        <v>0</v>
      </c>
      <c r="E41" s="19">
        <f>F41-SUM(B41:D41)</f>
        <v>0</v>
      </c>
      <c r="F41" s="215">
        <v>0</v>
      </c>
      <c r="G41" s="19">
        <v>0</v>
      </c>
      <c r="H41" s="20">
        <f>-0.032-G41</f>
        <v>-3.2000000000000001E-2</v>
      </c>
      <c r="I41" s="19">
        <f>0.059-H41-G41</f>
        <v>9.0999999999999998E-2</v>
      </c>
      <c r="J41" s="19">
        <f>K41-SUM(G41:I41)</f>
        <v>-5.8999999999999997E-2</v>
      </c>
      <c r="K41" s="215">
        <v>0</v>
      </c>
      <c r="L41" s="19">
        <v>0</v>
      </c>
      <c r="M41" s="19">
        <v>0</v>
      </c>
      <c r="N41" s="19">
        <v>0</v>
      </c>
      <c r="O41" s="19">
        <f>P41-SUM(L41:N41)</f>
        <v>0</v>
      </c>
      <c r="P41" s="215">
        <v>0</v>
      </c>
      <c r="Q41" s="19">
        <v>0</v>
      </c>
      <c r="R41" s="19">
        <v>0</v>
      </c>
      <c r="S41" s="19">
        <v>0</v>
      </c>
      <c r="T41" s="19">
        <f>U41-SUM(Q41:S41)</f>
        <v>0</v>
      </c>
      <c r="U41" s="215">
        <v>0</v>
      </c>
      <c r="V41" s="19">
        <v>0</v>
      </c>
      <c r="W41" s="19">
        <f>0-V41</f>
        <v>0</v>
      </c>
      <c r="X41" s="19">
        <f>0-W41-V41</f>
        <v>0</v>
      </c>
      <c r="Y41" s="19">
        <f>Z41-SUM(V41:X41)</f>
        <v>0</v>
      </c>
      <c r="Z41" s="215">
        <v>0</v>
      </c>
      <c r="AA41" s="19">
        <v>0</v>
      </c>
      <c r="AB41" s="19">
        <f>0-AA41</f>
        <v>0</v>
      </c>
      <c r="AC41" s="19">
        <f>0-AB41-AA41</f>
        <v>0</v>
      </c>
      <c r="AD41" s="19">
        <f>AE41-SUM(AA41:AC41)</f>
        <v>0</v>
      </c>
      <c r="AE41" s="215">
        <v>0</v>
      </c>
      <c r="AF41" s="19">
        <v>0</v>
      </c>
      <c r="AG41" s="19">
        <f>0-AF41</f>
        <v>0</v>
      </c>
      <c r="AH41" s="19">
        <f>0-AG41-AF41</f>
        <v>0</v>
      </c>
      <c r="AI41" s="19">
        <f>AJ41-SUM(AF41:AH41)</f>
        <v>0</v>
      </c>
      <c r="AJ41" s="215">
        <v>0</v>
      </c>
      <c r="AK41" s="19">
        <v>0</v>
      </c>
      <c r="AL41" s="19">
        <f>0-AK41</f>
        <v>0</v>
      </c>
      <c r="AM41" s="19">
        <f>0-AL41-AK41</f>
        <v>0</v>
      </c>
      <c r="AN41" s="19">
        <f>AO41-SUM(AK41:AM41)</f>
        <v>0</v>
      </c>
      <c r="AO41" s="215">
        <v>0</v>
      </c>
      <c r="AP41" s="19">
        <v>0</v>
      </c>
      <c r="AQ41" s="19">
        <f>0-AP41</f>
        <v>0</v>
      </c>
      <c r="AR41" s="19">
        <f>0-AQ41-AP41</f>
        <v>0</v>
      </c>
      <c r="AS41" s="19">
        <f>AT41-SUM(AP41:AR41)</f>
        <v>0</v>
      </c>
      <c r="AT41" s="215">
        <v>0</v>
      </c>
      <c r="AU41" s="19">
        <v>0</v>
      </c>
      <c r="AV41" s="19">
        <f>0-AU41</f>
        <v>0</v>
      </c>
      <c r="AW41" s="19">
        <f>0-AV41-AU41</f>
        <v>0</v>
      </c>
      <c r="AX41" s="19">
        <f>AY41-SUM(AU41:AW41)</f>
        <v>0</v>
      </c>
      <c r="AY41" s="215">
        <v>0</v>
      </c>
      <c r="AZ41" s="19">
        <v>0</v>
      </c>
      <c r="BA41" s="19">
        <f>0-AZ41</f>
        <v>0</v>
      </c>
      <c r="BB41" s="19">
        <f>0-BA41-AZ41</f>
        <v>0</v>
      </c>
      <c r="BC41" s="19">
        <f>BD41-SUM(AZ41:BB41)</f>
        <v>0</v>
      </c>
      <c r="BD41" s="215">
        <v>0</v>
      </c>
      <c r="BE41" s="19">
        <v>0</v>
      </c>
      <c r="BF41" s="19">
        <f>0-BE41</f>
        <v>0</v>
      </c>
      <c r="BG41" s="19">
        <f>0-SUM(BE41:BF41)</f>
        <v>0</v>
      </c>
      <c r="BH41" s="132">
        <v>0</v>
      </c>
      <c r="BI41" s="215">
        <f>SUM(BE41:BH41)</f>
        <v>0</v>
      </c>
      <c r="BJ41" s="285">
        <v>0</v>
      </c>
      <c r="BK41" s="132">
        <v>0</v>
      </c>
      <c r="BL41" s="132">
        <v>0</v>
      </c>
      <c r="BM41" s="132">
        <v>0</v>
      </c>
      <c r="BN41" s="215">
        <f>SUM(BJ41:BM41)</f>
        <v>0</v>
      </c>
      <c r="BO41" s="20">
        <v>0</v>
      </c>
      <c r="BP41" s="20">
        <v>0</v>
      </c>
      <c r="BQ41" s="20">
        <v>0</v>
      </c>
      <c r="BR41" s="20">
        <v>0</v>
      </c>
      <c r="BS41" s="215">
        <f>SUM(BO41:BR41)</f>
        <v>0</v>
      </c>
      <c r="BT41" s="20">
        <v>0</v>
      </c>
      <c r="BU41" s="20">
        <v>0</v>
      </c>
      <c r="BV41" s="20">
        <v>0</v>
      </c>
      <c r="BW41" s="20">
        <v>0</v>
      </c>
      <c r="BX41" s="215">
        <f>SUM(BT41:BW41)</f>
        <v>0</v>
      </c>
      <c r="BY41" s="20">
        <v>0</v>
      </c>
      <c r="BZ41" s="20">
        <v>0</v>
      </c>
      <c r="CA41" s="20">
        <v>0</v>
      </c>
      <c r="CB41" s="20">
        <v>0</v>
      </c>
      <c r="CC41" s="215">
        <f>SUM(BY41:CB41)</f>
        <v>0</v>
      </c>
      <c r="CD41" s="20">
        <v>0</v>
      </c>
      <c r="CE41" s="20">
        <v>0</v>
      </c>
      <c r="CF41" s="20">
        <v>0</v>
      </c>
      <c r="CG41" s="20">
        <v>0</v>
      </c>
      <c r="CH41" s="215">
        <f>SUM(CD41:CG41)</f>
        <v>0</v>
      </c>
      <c r="CI41" s="20">
        <v>0</v>
      </c>
      <c r="CJ41" s="20">
        <v>0</v>
      </c>
      <c r="CK41" s="20">
        <v>0</v>
      </c>
      <c r="CL41" s="20">
        <v>0</v>
      </c>
      <c r="CM41" s="215">
        <f>SUM(CI41:CL41)</f>
        <v>0</v>
      </c>
      <c r="CN41" s="20">
        <v>0</v>
      </c>
      <c r="CO41" s="20">
        <v>0</v>
      </c>
      <c r="CP41" s="20">
        <v>0</v>
      </c>
      <c r="CQ41" s="20">
        <v>0</v>
      </c>
      <c r="CR41" s="215">
        <f>SUM(CN41:CQ41)</f>
        <v>0</v>
      </c>
      <c r="CS41" s="20">
        <v>0</v>
      </c>
      <c r="CT41" s="20">
        <v>0</v>
      </c>
      <c r="CU41" s="20">
        <v>0</v>
      </c>
      <c r="CV41" s="20">
        <v>0</v>
      </c>
      <c r="CW41" s="215">
        <f>SUM(CS41:CV41)</f>
        <v>0</v>
      </c>
      <c r="CX41" s="20">
        <v>0</v>
      </c>
      <c r="CY41" s="20">
        <v>0</v>
      </c>
      <c r="CZ41" s="20">
        <v>0</v>
      </c>
      <c r="DA41" s="20">
        <v>0</v>
      </c>
      <c r="DB41" s="215">
        <f>SUM(CX41:DA41)</f>
        <v>0</v>
      </c>
    </row>
    <row r="42" spans="1:106" s="11" customFormat="1" ht="12.75" customHeight="1">
      <c r="A42" s="11" t="s">
        <v>87</v>
      </c>
      <c r="B42" s="69"/>
      <c r="C42" s="19">
        <f t="shared" ref="C42:AH42" si="163">C40+C41</f>
        <v>-12.826000000000001</v>
      </c>
      <c r="D42" s="19">
        <f t="shared" si="163"/>
        <v>1.3630000000000004</v>
      </c>
      <c r="E42" s="19">
        <f t="shared" si="163"/>
        <v>68.143000000000001</v>
      </c>
      <c r="F42" s="215">
        <f t="shared" si="163"/>
        <v>56.68</v>
      </c>
      <c r="G42" s="19">
        <f t="shared" si="163"/>
        <v>-6.8280000000000003</v>
      </c>
      <c r="H42" s="19">
        <f t="shared" si="163"/>
        <v>-18.177</v>
      </c>
      <c r="I42" s="19">
        <f t="shared" si="163"/>
        <v>134.08000000000001</v>
      </c>
      <c r="J42" s="19">
        <f t="shared" si="163"/>
        <v>-167.304</v>
      </c>
      <c r="K42" s="215">
        <f t="shared" si="163"/>
        <v>-58.229000000000013</v>
      </c>
      <c r="L42" s="19">
        <f t="shared" si="163"/>
        <v>5.0379999999999994</v>
      </c>
      <c r="M42" s="19">
        <f>M40+M41</f>
        <v>-17.427999999999994</v>
      </c>
      <c r="N42" s="19">
        <f t="shared" si="163"/>
        <v>8.7650000000000006</v>
      </c>
      <c r="O42" s="19">
        <f t="shared" si="163"/>
        <v>-10.065999999999981</v>
      </c>
      <c r="P42" s="215">
        <f t="shared" si="163"/>
        <v>-13.690999999999971</v>
      </c>
      <c r="Q42" s="19">
        <f t="shared" si="163"/>
        <v>-6.1700000000000017</v>
      </c>
      <c r="R42" s="19">
        <f t="shared" si="163"/>
        <v>-1.9480000000000075</v>
      </c>
      <c r="S42" s="19">
        <f t="shared" si="163"/>
        <v>4.0730000000000075</v>
      </c>
      <c r="T42" s="19">
        <f t="shared" si="163"/>
        <v>1.4089999999999634</v>
      </c>
      <c r="U42" s="215">
        <f t="shared" si="163"/>
        <v>-2.6360000000000525</v>
      </c>
      <c r="V42" s="19">
        <f>V40+V41</f>
        <v>26.669</v>
      </c>
      <c r="W42" s="19">
        <f t="shared" si="163"/>
        <v>-21.43</v>
      </c>
      <c r="X42" s="19">
        <f t="shared" si="163"/>
        <v>20.838999999999999</v>
      </c>
      <c r="Y42" s="19">
        <f t="shared" si="163"/>
        <v>11.904999999999994</v>
      </c>
      <c r="Z42" s="215">
        <f t="shared" si="163"/>
        <v>37.983000000000018</v>
      </c>
      <c r="AA42" s="19">
        <f t="shared" si="163"/>
        <v>-16.324000000000002</v>
      </c>
      <c r="AB42" s="19">
        <f t="shared" si="163"/>
        <v>-4.6969999999999885</v>
      </c>
      <c r="AC42" s="19">
        <f t="shared" si="163"/>
        <v>21.681000000000004</v>
      </c>
      <c r="AD42" s="19">
        <f t="shared" si="163"/>
        <v>10.317000000000064</v>
      </c>
      <c r="AE42" s="215">
        <f t="shared" si="163"/>
        <v>10.977000000000089</v>
      </c>
      <c r="AF42" s="19">
        <f t="shared" si="163"/>
        <v>12.217999999999996</v>
      </c>
      <c r="AG42" s="19">
        <f t="shared" si="163"/>
        <v>3.1779999999999973</v>
      </c>
      <c r="AH42" s="19">
        <f t="shared" si="163"/>
        <v>132.15199999999996</v>
      </c>
      <c r="AI42" s="19">
        <f t="shared" ref="AI42:BN42" si="164">AI40+AI41</f>
        <v>-160.67400000000004</v>
      </c>
      <c r="AJ42" s="215">
        <f t="shared" si="164"/>
        <v>-13.125999999999976</v>
      </c>
      <c r="AK42" s="19">
        <f t="shared" si="164"/>
        <v>16.43399999999999</v>
      </c>
      <c r="AL42" s="19">
        <f t="shared" si="164"/>
        <v>-2.2499999999999662</v>
      </c>
      <c r="AM42" s="19">
        <f t="shared" si="164"/>
        <v>32.29200000000003</v>
      </c>
      <c r="AN42" s="19">
        <f t="shared" si="164"/>
        <v>-10.717000000000088</v>
      </c>
      <c r="AO42" s="215">
        <f t="shared" si="164"/>
        <v>35.758999999999901</v>
      </c>
      <c r="AP42" s="19">
        <f t="shared" si="164"/>
        <v>73.912000000000063</v>
      </c>
      <c r="AQ42" s="19">
        <f t="shared" si="164"/>
        <v>-67.141999999999996</v>
      </c>
      <c r="AR42" s="19">
        <f t="shared" si="164"/>
        <v>-34.256000000000057</v>
      </c>
      <c r="AS42" s="19">
        <f t="shared" si="164"/>
        <v>408.96300000000002</v>
      </c>
      <c r="AT42" s="215">
        <f t="shared" si="164"/>
        <v>381.47699999999992</v>
      </c>
      <c r="AU42" s="19">
        <f t="shared" si="164"/>
        <v>-62.937000000000026</v>
      </c>
      <c r="AV42" s="19">
        <f t="shared" si="164"/>
        <v>-22.041000000000004</v>
      </c>
      <c r="AW42" s="19">
        <f t="shared" si="164"/>
        <v>287.59700000000004</v>
      </c>
      <c r="AX42" s="19">
        <f t="shared" si="164"/>
        <v>-26.614999999999995</v>
      </c>
      <c r="AY42" s="215">
        <f t="shared" si="164"/>
        <v>176.00399999999999</v>
      </c>
      <c r="AZ42" s="19">
        <f t="shared" si="164"/>
        <v>171.72200000000001</v>
      </c>
      <c r="BA42" s="19">
        <f t="shared" si="164"/>
        <v>-17.019000000000002</v>
      </c>
      <c r="BB42" s="19">
        <f t="shared" si="164"/>
        <v>96.046000000000021</v>
      </c>
      <c r="BC42" s="19">
        <f t="shared" si="164"/>
        <v>52.742999999999995</v>
      </c>
      <c r="BD42" s="215">
        <f t="shared" si="164"/>
        <v>303.49200000000002</v>
      </c>
      <c r="BE42" s="19">
        <f t="shared" si="164"/>
        <v>28.180999999999997</v>
      </c>
      <c r="BF42" s="19">
        <f>BF40+BF41</f>
        <v>26.253000000000011</v>
      </c>
      <c r="BG42" s="19">
        <f>BG40+BG41</f>
        <v>41.417000000000002</v>
      </c>
      <c r="BH42" s="19">
        <f>BH40+BH41</f>
        <v>11.748999999999995</v>
      </c>
      <c r="BI42" s="215">
        <f t="shared" si="164"/>
        <v>107.60000000000002</v>
      </c>
      <c r="BJ42" s="275">
        <f t="shared" si="164"/>
        <v>71.416514184536169</v>
      </c>
      <c r="BK42" s="19">
        <f t="shared" si="164"/>
        <v>-62.900473581731411</v>
      </c>
      <c r="BL42" s="19">
        <f t="shared" si="164"/>
        <v>-44.821331844319715</v>
      </c>
      <c r="BM42" s="19">
        <f t="shared" si="164"/>
        <v>-18.540581383740712</v>
      </c>
      <c r="BN42" s="215">
        <f t="shared" si="164"/>
        <v>-54.84587262525568</v>
      </c>
      <c r="BO42" s="19">
        <f t="shared" ref="BO42" si="165">BO40+BO41</f>
        <v>22.299952116883802</v>
      </c>
      <c r="BP42" s="19">
        <f t="shared" ref="BP42" si="166">BP40+BP41</f>
        <v>-7.1612115565466183</v>
      </c>
      <c r="BQ42" s="19">
        <f t="shared" ref="BQ42" si="167">BQ40+BQ41</f>
        <v>10.121781657409546</v>
      </c>
      <c r="BR42" s="19">
        <f t="shared" ref="BR42" si="168">BR40+BR41</f>
        <v>25.667982458227584</v>
      </c>
      <c r="BS42" s="215">
        <f t="shared" ref="BS42:CR42" si="169">BS40+BS41</f>
        <v>50.928504675974295</v>
      </c>
      <c r="BT42" s="19">
        <f t="shared" ref="BT42" si="170">BT40+BT41</f>
        <v>70.063598876630209</v>
      </c>
      <c r="BU42" s="19">
        <f t="shared" ref="BU42" si="171">BU40+BU41</f>
        <v>44.84239407516263</v>
      </c>
      <c r="BV42" s="19">
        <f t="shared" ref="BV42" si="172">BV40+BV41</f>
        <v>64.632827591661709</v>
      </c>
      <c r="BW42" s="19">
        <f t="shared" ref="BW42" si="173">BW40+BW41</f>
        <v>85.240096607346302</v>
      </c>
      <c r="BX42" s="215">
        <f t="shared" ref="BX42" si="174">BX40+BX41</f>
        <v>264.77891715080085</v>
      </c>
      <c r="BY42" s="19">
        <f t="shared" ref="BY42" si="175">BY40+BY41</f>
        <v>136.94774307662993</v>
      </c>
      <c r="BZ42" s="19">
        <f t="shared" ref="BZ42" si="176">BZ40+BZ41</f>
        <v>104.23991177078987</v>
      </c>
      <c r="CA42" s="19">
        <f t="shared" ref="CA42" si="177">CA40+CA41</f>
        <v>129.98180719419011</v>
      </c>
      <c r="CB42" s="19">
        <f t="shared" ref="CB42" si="178">CB40+CB41</f>
        <v>150.06075029797486</v>
      </c>
      <c r="CC42" s="215">
        <f t="shared" si="169"/>
        <v>521.2302123395848</v>
      </c>
      <c r="CD42" s="19">
        <f t="shared" ref="CD42" si="179">CD40+CD41</f>
        <v>211.067227045647</v>
      </c>
      <c r="CE42" s="19">
        <f t="shared" ref="CE42" si="180">CE40+CE41</f>
        <v>176.40352028699678</v>
      </c>
      <c r="CF42" s="19">
        <f t="shared" ref="CF42" si="181">CF40+CF41</f>
        <v>203.71084359531511</v>
      </c>
      <c r="CG42" s="19">
        <f t="shared" ref="CG42" si="182">CG40+CG41</f>
        <v>227.74923298621601</v>
      </c>
      <c r="CH42" s="215">
        <f t="shared" si="169"/>
        <v>818.93082391417488</v>
      </c>
      <c r="CI42" s="19">
        <f t="shared" ref="CI42" si="183">CI40+CI41</f>
        <v>288.05827029324786</v>
      </c>
      <c r="CJ42" s="19">
        <f t="shared" ref="CJ42" si="184">CJ40+CJ41</f>
        <v>245.17769512912076</v>
      </c>
      <c r="CK42" s="19">
        <f t="shared" ref="CK42" si="185">CK40+CK41</f>
        <v>271.20774420517017</v>
      </c>
      <c r="CL42" s="19">
        <f t="shared" ref="CL42" si="186">CL40+CL41</f>
        <v>292.98318683729491</v>
      </c>
      <c r="CM42" s="215">
        <f t="shared" si="169"/>
        <v>1097.4268964648338</v>
      </c>
      <c r="CN42" s="19">
        <f t="shared" ref="CN42" si="187">CN40+CN41</f>
        <v>358.374676726703</v>
      </c>
      <c r="CO42" s="19">
        <f t="shared" ref="CO42" si="188">CO40+CO41</f>
        <v>311.26171204726239</v>
      </c>
      <c r="CP42" s="19">
        <f t="shared" ref="CP42" si="189">CP40+CP41</f>
        <v>339.50062339774132</v>
      </c>
      <c r="CQ42" s="19">
        <f t="shared" ref="CQ42" si="190">CQ40+CQ41</f>
        <v>362.83500266523089</v>
      </c>
      <c r="CR42" s="215">
        <f t="shared" si="169"/>
        <v>1371.9720148369377</v>
      </c>
      <c r="CS42" s="19">
        <f t="shared" ref="CS42" si="191">CS40+CS41</f>
        <v>433.74974355809707</v>
      </c>
      <c r="CT42" s="19">
        <f t="shared" ref="CT42" si="192">CT40+CT41</f>
        <v>382.78768769355787</v>
      </c>
      <c r="CU42" s="19">
        <f t="shared" ref="CU42" si="193">CU40+CU41</f>
        <v>413.86936751421945</v>
      </c>
      <c r="CV42" s="19">
        <f t="shared" ref="CV42" si="194">CV40+CV41</f>
        <v>439.29141704317891</v>
      </c>
      <c r="CW42" s="215">
        <f t="shared" ref="CW42:DB42" si="195">CW40+CW41</f>
        <v>1669.6982158090534</v>
      </c>
      <c r="CX42" s="19">
        <f t="shared" ref="CX42" si="196">CX40+CX41</f>
        <v>501.75673938018292</v>
      </c>
      <c r="CY42" s="19">
        <f t="shared" ref="CY42" si="197">CY40+CY41</f>
        <v>442.64374131856061</v>
      </c>
      <c r="CZ42" s="19">
        <f t="shared" ref="CZ42" si="198">CZ40+CZ41</f>
        <v>472.26197426256192</v>
      </c>
      <c r="DA42" s="19">
        <f t="shared" ref="DA42" si="199">DA40+DA41</f>
        <v>495.42279614417544</v>
      </c>
      <c r="DB42" s="215">
        <f t="shared" si="195"/>
        <v>1912.0852511054809</v>
      </c>
    </row>
    <row r="43" spans="1:106" s="11" customFormat="1" ht="12.75" customHeight="1">
      <c r="C43" s="19"/>
      <c r="D43" s="19"/>
      <c r="E43" s="19"/>
      <c r="F43" s="215"/>
      <c r="G43" s="19"/>
      <c r="H43" s="19"/>
      <c r="I43" s="19"/>
      <c r="J43" s="19"/>
      <c r="K43" s="215"/>
      <c r="L43" s="19"/>
      <c r="M43" s="19"/>
      <c r="N43" s="19"/>
      <c r="O43" s="19"/>
      <c r="P43" s="215"/>
      <c r="Q43" s="19"/>
      <c r="R43" s="19"/>
      <c r="S43" s="19"/>
      <c r="T43" s="19"/>
      <c r="U43" s="215"/>
      <c r="V43" s="19"/>
      <c r="W43" s="19"/>
      <c r="X43" s="19"/>
      <c r="Y43" s="19"/>
      <c r="Z43" s="215"/>
      <c r="AA43" s="19"/>
      <c r="AB43" s="19">
        <f>SUM(AA42:AB42)</f>
        <v>-21.02099999999999</v>
      </c>
      <c r="AC43" s="19">
        <f>SUM(AA42:AC42)</f>
        <v>0.66000000000001435</v>
      </c>
      <c r="AD43" s="19">
        <f>SUM(AA42:AD42)</f>
        <v>10.977000000000078</v>
      </c>
      <c r="AE43" s="215"/>
      <c r="AF43" s="19"/>
      <c r="AG43" s="19">
        <f>SUM(AF42:AG42)</f>
        <v>15.395999999999994</v>
      </c>
      <c r="AH43" s="19">
        <f>SUM(AF42:AH42)</f>
        <v>147.54799999999994</v>
      </c>
      <c r="AI43" s="19">
        <f>SUM(AF42:AI42)</f>
        <v>-13.12600000000009</v>
      </c>
      <c r="AJ43" s="215"/>
      <c r="AK43" s="19"/>
      <c r="AL43" s="19">
        <f>SUM(AK42:AL42)</f>
        <v>14.184000000000024</v>
      </c>
      <c r="AM43" s="19">
        <f>SUM(AK42:AM42)</f>
        <v>46.476000000000056</v>
      </c>
      <c r="AN43" s="19">
        <f>SUM(AK42:AN42)</f>
        <v>35.758999999999972</v>
      </c>
      <c r="AO43" s="215"/>
      <c r="AP43" s="19"/>
      <c r="AQ43" s="19"/>
      <c r="AR43" s="19"/>
      <c r="AS43" s="19"/>
      <c r="AT43" s="215"/>
      <c r="AU43" s="19"/>
      <c r="AV43" s="19"/>
      <c r="AW43" s="19"/>
      <c r="AX43" s="19"/>
      <c r="AY43" s="215"/>
      <c r="AZ43" s="19"/>
      <c r="BA43" s="157"/>
      <c r="BB43" s="157"/>
      <c r="BC43" s="157"/>
      <c r="BD43" s="215"/>
      <c r="BE43" s="157"/>
      <c r="BF43" s="19"/>
      <c r="BG43" s="19"/>
      <c r="BH43" s="19"/>
      <c r="BI43" s="215"/>
      <c r="BJ43" s="275"/>
      <c r="BK43" s="19"/>
      <c r="BL43" s="19"/>
      <c r="BM43" s="19"/>
      <c r="BN43" s="215"/>
      <c r="BO43" s="19"/>
      <c r="BP43" s="19"/>
      <c r="BQ43" s="19"/>
      <c r="BR43" s="19"/>
      <c r="BS43" s="215"/>
      <c r="BT43" s="19"/>
      <c r="BU43" s="19"/>
      <c r="BV43" s="19"/>
      <c r="BW43" s="19"/>
      <c r="BX43" s="215"/>
      <c r="BY43" s="19"/>
      <c r="BZ43" s="19"/>
      <c r="CA43" s="19"/>
      <c r="CB43" s="19"/>
      <c r="CC43" s="215"/>
      <c r="CD43" s="19"/>
      <c r="CE43" s="19"/>
      <c r="CF43" s="19"/>
      <c r="CG43" s="19"/>
      <c r="CH43" s="215"/>
      <c r="CI43" s="19"/>
      <c r="CJ43" s="19"/>
      <c r="CK43" s="19"/>
      <c r="CL43" s="19"/>
      <c r="CM43" s="215"/>
      <c r="CN43" s="19"/>
      <c r="CO43" s="19"/>
      <c r="CP43" s="19"/>
      <c r="CQ43" s="19"/>
      <c r="CR43" s="215"/>
      <c r="CS43" s="19"/>
      <c r="CT43" s="19"/>
      <c r="CU43" s="19"/>
      <c r="CV43" s="19"/>
      <c r="CW43" s="215"/>
      <c r="CX43" s="19"/>
      <c r="CY43" s="19"/>
      <c r="CZ43" s="19"/>
      <c r="DA43" s="19"/>
      <c r="DB43" s="215"/>
    </row>
    <row r="44" spans="1:106" s="11" customFormat="1" ht="12.75" customHeight="1">
      <c r="A44" s="11" t="s">
        <v>88</v>
      </c>
      <c r="C44" s="19">
        <v>30.495999999999999</v>
      </c>
      <c r="D44" s="19">
        <f>C46</f>
        <v>17.669999999999998</v>
      </c>
      <c r="E44" s="19">
        <f>D46</f>
        <v>19.032999999999998</v>
      </c>
      <c r="F44" s="215">
        <v>30.495999999999999</v>
      </c>
      <c r="G44" s="19">
        <f>E46</f>
        <v>87.176000000000002</v>
      </c>
      <c r="H44" s="19">
        <f>G46</f>
        <v>80.347999999999999</v>
      </c>
      <c r="I44" s="19">
        <f>H46</f>
        <v>62.170999999999999</v>
      </c>
      <c r="J44" s="19">
        <f>I46</f>
        <v>196.251</v>
      </c>
      <c r="K44" s="215">
        <f>F46</f>
        <v>87.176000000000002</v>
      </c>
      <c r="L44" s="19">
        <f>J46</f>
        <v>28.947000000000003</v>
      </c>
      <c r="M44" s="19">
        <f>L46</f>
        <v>33.984999999999999</v>
      </c>
      <c r="N44" s="19">
        <f>M46</f>
        <v>16.557000000000006</v>
      </c>
      <c r="O44" s="19">
        <f>N46</f>
        <v>25.322000000000006</v>
      </c>
      <c r="P44" s="215">
        <f>K46</f>
        <v>28.946999999999989</v>
      </c>
      <c r="Q44" s="19">
        <f>O46</f>
        <v>15.256000000000025</v>
      </c>
      <c r="R44" s="19">
        <f>Q46</f>
        <v>9.0860000000000234</v>
      </c>
      <c r="S44" s="19">
        <f>R46</f>
        <v>7.1380000000000159</v>
      </c>
      <c r="T44" s="19">
        <f>S46</f>
        <v>11.211000000000023</v>
      </c>
      <c r="U44" s="215">
        <f>P46</f>
        <v>15.256000000000018</v>
      </c>
      <c r="V44" s="19">
        <v>13.021000000000001</v>
      </c>
      <c r="W44" s="19">
        <f>V46</f>
        <v>39.69</v>
      </c>
      <c r="X44" s="19">
        <f>W46</f>
        <v>18.259999999999998</v>
      </c>
      <c r="Y44" s="19">
        <f>X46</f>
        <v>39.098999999999997</v>
      </c>
      <c r="Z44" s="215">
        <f>+V44</f>
        <v>13.021000000000001</v>
      </c>
      <c r="AA44" s="19">
        <v>51.003999999999998</v>
      </c>
      <c r="AB44" s="19">
        <f>AA46</f>
        <v>34.679999999999993</v>
      </c>
      <c r="AC44" s="19">
        <f>AB46</f>
        <v>29.983000000000004</v>
      </c>
      <c r="AD44" s="19">
        <f>AC46</f>
        <v>51.664000000000009</v>
      </c>
      <c r="AE44" s="215">
        <f>AA44</f>
        <v>51.003999999999998</v>
      </c>
      <c r="AF44" s="19">
        <f>AD46</f>
        <v>61.981000000000073</v>
      </c>
      <c r="AG44" s="19">
        <f>AF46</f>
        <v>74.199000000000069</v>
      </c>
      <c r="AH44" s="19">
        <f>AG46</f>
        <v>77.377000000000066</v>
      </c>
      <c r="AI44" s="19">
        <f>AH46</f>
        <v>209.52900000000002</v>
      </c>
      <c r="AJ44" s="215">
        <f>AE46</f>
        <v>61.981000000000087</v>
      </c>
      <c r="AK44" s="19">
        <f>AI46</f>
        <v>48.85499999999999</v>
      </c>
      <c r="AL44" s="19">
        <f>AK46</f>
        <v>65.288999999999987</v>
      </c>
      <c r="AM44" s="19">
        <f>AL46</f>
        <v>63.039000000000023</v>
      </c>
      <c r="AN44" s="19">
        <f>AM46</f>
        <v>95.331000000000046</v>
      </c>
      <c r="AO44" s="215">
        <f>AJ46</f>
        <v>48.855000000000111</v>
      </c>
      <c r="AP44" s="19">
        <f>AN46</f>
        <v>84.613999999999962</v>
      </c>
      <c r="AQ44" s="19">
        <f>AP46</f>
        <v>158.52600000000001</v>
      </c>
      <c r="AR44" s="19">
        <f>AQ46</f>
        <v>91.384000000000015</v>
      </c>
      <c r="AS44" s="19">
        <f>AR46</f>
        <v>57.127999999999957</v>
      </c>
      <c r="AT44" s="215">
        <f>AO46</f>
        <v>84.614000000000004</v>
      </c>
      <c r="AU44" s="19">
        <f>AS46</f>
        <v>466.09100000000001</v>
      </c>
      <c r="AV44" s="19">
        <f>AU46</f>
        <v>403.154</v>
      </c>
      <c r="AW44" s="19">
        <f>AV46</f>
        <v>381.113</v>
      </c>
      <c r="AX44" s="19">
        <f>AW46</f>
        <v>668.71</v>
      </c>
      <c r="AY44" s="215">
        <f>AT46</f>
        <v>466.09099999999989</v>
      </c>
      <c r="AZ44" s="19">
        <f>AX46</f>
        <v>642.09500000000003</v>
      </c>
      <c r="BA44" s="19">
        <f>+AZ46</f>
        <v>813.81700000000001</v>
      </c>
      <c r="BB44" s="19">
        <f>BA46</f>
        <v>796.798</v>
      </c>
      <c r="BC44" s="19">
        <f>BB46</f>
        <v>892.84400000000005</v>
      </c>
      <c r="BD44" s="215">
        <f>AY46</f>
        <v>642.09499999999991</v>
      </c>
      <c r="BE44" s="19">
        <f>BC46</f>
        <v>945.58699999999999</v>
      </c>
      <c r="BF44" s="19">
        <f>BE46</f>
        <v>973.76800000000003</v>
      </c>
      <c r="BG44" s="19">
        <f>BF46</f>
        <v>1000.0210000000001</v>
      </c>
      <c r="BH44" s="19">
        <f>BG46</f>
        <v>1041.4380000000001</v>
      </c>
      <c r="BI44" s="215">
        <f>BD46</f>
        <v>945.58699999999999</v>
      </c>
      <c r="BJ44" s="275">
        <f t="shared" ref="BJ44:BM44" si="200">BI46</f>
        <v>1053.1869999999999</v>
      </c>
      <c r="BK44" s="19">
        <f t="shared" si="200"/>
        <v>1124.6035141845362</v>
      </c>
      <c r="BL44" s="19">
        <f t="shared" si="200"/>
        <v>1061.7030406028048</v>
      </c>
      <c r="BM44" s="19">
        <f t="shared" si="200"/>
        <v>1016.881708758485</v>
      </c>
      <c r="BN44" s="215">
        <f>BI46</f>
        <v>1053.1869999999999</v>
      </c>
      <c r="BO44" s="19">
        <f t="shared" ref="BO44:BR44" si="201">BN46</f>
        <v>998.34112737474425</v>
      </c>
      <c r="BP44" s="19">
        <f t="shared" si="201"/>
        <v>1020.641079491628</v>
      </c>
      <c r="BQ44" s="19">
        <f t="shared" si="201"/>
        <v>1013.4798679350814</v>
      </c>
      <c r="BR44" s="19">
        <f t="shared" si="201"/>
        <v>1023.601649592491</v>
      </c>
      <c r="BS44" s="215">
        <f>BN46</f>
        <v>998.34112737474425</v>
      </c>
      <c r="BT44" s="19">
        <f t="shared" ref="BT44:BW44" si="202">BS46</f>
        <v>1049.2696320507184</v>
      </c>
      <c r="BU44" s="19">
        <f t="shared" si="202"/>
        <v>1119.3332309273487</v>
      </c>
      <c r="BV44" s="19">
        <f t="shared" si="202"/>
        <v>1164.1756250025114</v>
      </c>
      <c r="BW44" s="19">
        <f t="shared" si="202"/>
        <v>1228.8084525941731</v>
      </c>
      <c r="BX44" s="215">
        <f>BS46</f>
        <v>1049.2696320507184</v>
      </c>
      <c r="BY44" s="19">
        <f t="shared" ref="BY44:CB44" si="203">BX46</f>
        <v>1314.0485492015193</v>
      </c>
      <c r="BZ44" s="19">
        <f t="shared" si="203"/>
        <v>1450.9962922781492</v>
      </c>
      <c r="CA44" s="19">
        <f t="shared" si="203"/>
        <v>1555.236204048939</v>
      </c>
      <c r="CB44" s="19">
        <f t="shared" si="203"/>
        <v>1685.2180112431292</v>
      </c>
      <c r="CC44" s="215">
        <f>BX46</f>
        <v>1314.0485492015193</v>
      </c>
      <c r="CD44" s="19">
        <f t="shared" ref="CD44:CG44" si="204">CC46</f>
        <v>1835.2787615411041</v>
      </c>
      <c r="CE44" s="19">
        <f t="shared" si="204"/>
        <v>2046.3459885867512</v>
      </c>
      <c r="CF44" s="19">
        <f t="shared" si="204"/>
        <v>2222.7495088737478</v>
      </c>
      <c r="CG44" s="19">
        <f t="shared" si="204"/>
        <v>2426.4603524690629</v>
      </c>
      <c r="CH44" s="215">
        <f>CC46</f>
        <v>1835.2787615411041</v>
      </c>
      <c r="CI44" s="19">
        <f t="shared" ref="CI44:CL44" si="205">CH46</f>
        <v>2654.209585455279</v>
      </c>
      <c r="CJ44" s="19">
        <f t="shared" si="205"/>
        <v>2942.2678557485269</v>
      </c>
      <c r="CK44" s="19">
        <f t="shared" si="205"/>
        <v>3187.4455508776477</v>
      </c>
      <c r="CL44" s="19">
        <f t="shared" si="205"/>
        <v>3458.6532950828177</v>
      </c>
      <c r="CM44" s="215">
        <f>CH46</f>
        <v>2654.209585455279</v>
      </c>
      <c r="CN44" s="19">
        <f t="shared" ref="CN44:CQ44" si="206">CM46</f>
        <v>3751.6364819201126</v>
      </c>
      <c r="CO44" s="19">
        <f t="shared" si="206"/>
        <v>4110.0111586468156</v>
      </c>
      <c r="CP44" s="19">
        <f t="shared" si="206"/>
        <v>4421.2728706940779</v>
      </c>
      <c r="CQ44" s="19">
        <f t="shared" si="206"/>
        <v>4760.773494091819</v>
      </c>
      <c r="CR44" s="215">
        <f>CM46</f>
        <v>3751.6364819201126</v>
      </c>
      <c r="CS44" s="19">
        <f t="shared" ref="CS44:CV44" si="207">CR46</f>
        <v>5123.6084967570505</v>
      </c>
      <c r="CT44" s="19">
        <f t="shared" si="207"/>
        <v>5557.3582403151477</v>
      </c>
      <c r="CU44" s="19">
        <f t="shared" si="207"/>
        <v>5940.1459280087056</v>
      </c>
      <c r="CV44" s="19">
        <f t="shared" si="207"/>
        <v>6354.015295522925</v>
      </c>
      <c r="CW44" s="215">
        <f>CR46</f>
        <v>5123.6084967570505</v>
      </c>
      <c r="CX44" s="19">
        <f t="shared" ref="CX44:DA44" si="208">CW46</f>
        <v>6793.3067125661037</v>
      </c>
      <c r="CY44" s="19">
        <f t="shared" si="208"/>
        <v>7295.0634519462865</v>
      </c>
      <c r="CZ44" s="19">
        <f t="shared" si="208"/>
        <v>7737.7071932648469</v>
      </c>
      <c r="DA44" s="19">
        <f t="shared" si="208"/>
        <v>8209.969167527408</v>
      </c>
      <c r="DB44" s="215">
        <f>CW46</f>
        <v>6793.3067125661037</v>
      </c>
    </row>
    <row r="45" spans="1:106" s="11" customFormat="1" ht="12.75" customHeight="1">
      <c r="A45" s="11" t="s">
        <v>89</v>
      </c>
      <c r="C45" s="19">
        <f t="shared" ref="C45:AH45" si="209">C42</f>
        <v>-12.826000000000001</v>
      </c>
      <c r="D45" s="19">
        <f t="shared" si="209"/>
        <v>1.3630000000000004</v>
      </c>
      <c r="E45" s="19">
        <f t="shared" si="209"/>
        <v>68.143000000000001</v>
      </c>
      <c r="F45" s="215">
        <f t="shared" si="209"/>
        <v>56.68</v>
      </c>
      <c r="G45" s="19">
        <f t="shared" si="209"/>
        <v>-6.8280000000000003</v>
      </c>
      <c r="H45" s="19">
        <f t="shared" si="209"/>
        <v>-18.177</v>
      </c>
      <c r="I45" s="19">
        <f t="shared" si="209"/>
        <v>134.08000000000001</v>
      </c>
      <c r="J45" s="19">
        <f t="shared" si="209"/>
        <v>-167.304</v>
      </c>
      <c r="K45" s="215">
        <f t="shared" si="209"/>
        <v>-58.229000000000013</v>
      </c>
      <c r="L45" s="19">
        <f t="shared" si="209"/>
        <v>5.0379999999999994</v>
      </c>
      <c r="M45" s="19">
        <f>M42</f>
        <v>-17.427999999999994</v>
      </c>
      <c r="N45" s="19">
        <f t="shared" si="209"/>
        <v>8.7650000000000006</v>
      </c>
      <c r="O45" s="19">
        <f t="shared" si="209"/>
        <v>-10.065999999999981</v>
      </c>
      <c r="P45" s="215">
        <f t="shared" si="209"/>
        <v>-13.690999999999971</v>
      </c>
      <c r="Q45" s="19">
        <f t="shared" si="209"/>
        <v>-6.1700000000000017</v>
      </c>
      <c r="R45" s="19">
        <f t="shared" si="209"/>
        <v>-1.9480000000000075</v>
      </c>
      <c r="S45" s="19">
        <f t="shared" si="209"/>
        <v>4.0730000000000075</v>
      </c>
      <c r="T45" s="19">
        <f t="shared" si="209"/>
        <v>1.4089999999999634</v>
      </c>
      <c r="U45" s="215">
        <f t="shared" si="209"/>
        <v>-2.6360000000000525</v>
      </c>
      <c r="V45" s="19">
        <f>V42</f>
        <v>26.669</v>
      </c>
      <c r="W45" s="19">
        <f t="shared" si="209"/>
        <v>-21.43</v>
      </c>
      <c r="X45" s="19">
        <f t="shared" si="209"/>
        <v>20.838999999999999</v>
      </c>
      <c r="Y45" s="19">
        <f t="shared" si="209"/>
        <v>11.904999999999994</v>
      </c>
      <c r="Z45" s="215">
        <f>Z42</f>
        <v>37.983000000000018</v>
      </c>
      <c r="AA45" s="19">
        <f t="shared" si="209"/>
        <v>-16.324000000000002</v>
      </c>
      <c r="AB45" s="19">
        <f t="shared" si="209"/>
        <v>-4.6969999999999885</v>
      </c>
      <c r="AC45" s="19">
        <f t="shared" si="209"/>
        <v>21.681000000000004</v>
      </c>
      <c r="AD45" s="19">
        <f t="shared" si="209"/>
        <v>10.317000000000064</v>
      </c>
      <c r="AE45" s="215">
        <f t="shared" si="209"/>
        <v>10.977000000000089</v>
      </c>
      <c r="AF45" s="19">
        <f t="shared" si="209"/>
        <v>12.217999999999996</v>
      </c>
      <c r="AG45" s="19">
        <f t="shared" si="209"/>
        <v>3.1779999999999973</v>
      </c>
      <c r="AH45" s="19">
        <f t="shared" si="209"/>
        <v>132.15199999999996</v>
      </c>
      <c r="AI45" s="19">
        <f t="shared" ref="AI45:BN45" si="210">AI42</f>
        <v>-160.67400000000004</v>
      </c>
      <c r="AJ45" s="215">
        <f t="shared" si="210"/>
        <v>-13.125999999999976</v>
      </c>
      <c r="AK45" s="19">
        <f t="shared" si="210"/>
        <v>16.43399999999999</v>
      </c>
      <c r="AL45" s="19">
        <f t="shared" si="210"/>
        <v>-2.2499999999999662</v>
      </c>
      <c r="AM45" s="19">
        <f t="shared" si="210"/>
        <v>32.29200000000003</v>
      </c>
      <c r="AN45" s="19">
        <f t="shared" si="210"/>
        <v>-10.717000000000088</v>
      </c>
      <c r="AO45" s="215">
        <f t="shared" si="210"/>
        <v>35.758999999999901</v>
      </c>
      <c r="AP45" s="19">
        <f t="shared" si="210"/>
        <v>73.912000000000063</v>
      </c>
      <c r="AQ45" s="19">
        <f t="shared" si="210"/>
        <v>-67.141999999999996</v>
      </c>
      <c r="AR45" s="19">
        <f t="shared" si="210"/>
        <v>-34.256000000000057</v>
      </c>
      <c r="AS45" s="19">
        <f t="shared" si="210"/>
        <v>408.96300000000002</v>
      </c>
      <c r="AT45" s="215">
        <f t="shared" si="210"/>
        <v>381.47699999999992</v>
      </c>
      <c r="AU45" s="19">
        <f t="shared" si="210"/>
        <v>-62.937000000000026</v>
      </c>
      <c r="AV45" s="19">
        <f t="shared" si="210"/>
        <v>-22.041000000000004</v>
      </c>
      <c r="AW45" s="19">
        <f t="shared" si="210"/>
        <v>287.59700000000004</v>
      </c>
      <c r="AX45" s="19">
        <f t="shared" si="210"/>
        <v>-26.614999999999995</v>
      </c>
      <c r="AY45" s="215">
        <f t="shared" si="210"/>
        <v>176.00399999999999</v>
      </c>
      <c r="AZ45" s="19">
        <f t="shared" si="210"/>
        <v>171.72200000000001</v>
      </c>
      <c r="BA45" s="19">
        <f t="shared" si="210"/>
        <v>-17.019000000000002</v>
      </c>
      <c r="BB45" s="19">
        <f t="shared" si="210"/>
        <v>96.046000000000021</v>
      </c>
      <c r="BC45" s="19">
        <f>BC42</f>
        <v>52.742999999999995</v>
      </c>
      <c r="BD45" s="215">
        <f t="shared" si="210"/>
        <v>303.49200000000002</v>
      </c>
      <c r="BE45" s="19">
        <f t="shared" si="210"/>
        <v>28.180999999999997</v>
      </c>
      <c r="BF45" s="19">
        <f>BF42</f>
        <v>26.253000000000011</v>
      </c>
      <c r="BG45" s="19">
        <f>BG42</f>
        <v>41.417000000000002</v>
      </c>
      <c r="BH45" s="19">
        <f>BH42</f>
        <v>11.748999999999995</v>
      </c>
      <c r="BI45" s="215">
        <f t="shared" si="210"/>
        <v>107.60000000000002</v>
      </c>
      <c r="BJ45" s="275">
        <f t="shared" si="210"/>
        <v>71.416514184536169</v>
      </c>
      <c r="BK45" s="19">
        <f t="shared" si="210"/>
        <v>-62.900473581731411</v>
      </c>
      <c r="BL45" s="19">
        <f t="shared" si="210"/>
        <v>-44.821331844319715</v>
      </c>
      <c r="BM45" s="19">
        <f t="shared" si="210"/>
        <v>-18.540581383740712</v>
      </c>
      <c r="BN45" s="215">
        <f t="shared" si="210"/>
        <v>-54.84587262525568</v>
      </c>
      <c r="BO45" s="19">
        <f t="shared" ref="BO45:BR45" si="211">BO42</f>
        <v>22.299952116883802</v>
      </c>
      <c r="BP45" s="19">
        <f t="shared" si="211"/>
        <v>-7.1612115565466183</v>
      </c>
      <c r="BQ45" s="19">
        <f t="shared" si="211"/>
        <v>10.121781657409546</v>
      </c>
      <c r="BR45" s="19">
        <f t="shared" si="211"/>
        <v>25.667982458227584</v>
      </c>
      <c r="BS45" s="215">
        <f t="shared" ref="BS45:CV45" si="212">BS42</f>
        <v>50.928504675974295</v>
      </c>
      <c r="BT45" s="19">
        <f t="shared" si="212"/>
        <v>70.063598876630209</v>
      </c>
      <c r="BU45" s="19">
        <f t="shared" si="212"/>
        <v>44.84239407516263</v>
      </c>
      <c r="BV45" s="19">
        <f t="shared" si="212"/>
        <v>64.632827591661709</v>
      </c>
      <c r="BW45" s="19">
        <f t="shared" si="212"/>
        <v>85.240096607346302</v>
      </c>
      <c r="BX45" s="215">
        <f t="shared" si="212"/>
        <v>264.77891715080085</v>
      </c>
      <c r="BY45" s="19">
        <f t="shared" si="212"/>
        <v>136.94774307662993</v>
      </c>
      <c r="BZ45" s="19">
        <f t="shared" si="212"/>
        <v>104.23991177078987</v>
      </c>
      <c r="CA45" s="19">
        <f t="shared" si="212"/>
        <v>129.98180719419011</v>
      </c>
      <c r="CB45" s="19">
        <f t="shared" si="212"/>
        <v>150.06075029797486</v>
      </c>
      <c r="CC45" s="215">
        <f t="shared" si="212"/>
        <v>521.2302123395848</v>
      </c>
      <c r="CD45" s="19">
        <f t="shared" si="212"/>
        <v>211.067227045647</v>
      </c>
      <c r="CE45" s="19">
        <f t="shared" si="212"/>
        <v>176.40352028699678</v>
      </c>
      <c r="CF45" s="19">
        <f t="shared" si="212"/>
        <v>203.71084359531511</v>
      </c>
      <c r="CG45" s="19">
        <f t="shared" si="212"/>
        <v>227.74923298621601</v>
      </c>
      <c r="CH45" s="215">
        <f t="shared" si="212"/>
        <v>818.93082391417488</v>
      </c>
      <c r="CI45" s="19">
        <f t="shared" si="212"/>
        <v>288.05827029324786</v>
      </c>
      <c r="CJ45" s="19">
        <f t="shared" si="212"/>
        <v>245.17769512912076</v>
      </c>
      <c r="CK45" s="19">
        <f t="shared" si="212"/>
        <v>271.20774420517017</v>
      </c>
      <c r="CL45" s="19">
        <f t="shared" si="212"/>
        <v>292.98318683729491</v>
      </c>
      <c r="CM45" s="215">
        <f t="shared" si="212"/>
        <v>1097.4268964648338</v>
      </c>
      <c r="CN45" s="19">
        <f t="shared" si="212"/>
        <v>358.374676726703</v>
      </c>
      <c r="CO45" s="19">
        <f t="shared" si="212"/>
        <v>311.26171204726239</v>
      </c>
      <c r="CP45" s="19">
        <f t="shared" si="212"/>
        <v>339.50062339774132</v>
      </c>
      <c r="CQ45" s="19">
        <f t="shared" si="212"/>
        <v>362.83500266523089</v>
      </c>
      <c r="CR45" s="215">
        <f t="shared" si="212"/>
        <v>1371.9720148369377</v>
      </c>
      <c r="CS45" s="19">
        <f t="shared" si="212"/>
        <v>433.74974355809707</v>
      </c>
      <c r="CT45" s="19">
        <f t="shared" si="212"/>
        <v>382.78768769355787</v>
      </c>
      <c r="CU45" s="19">
        <f t="shared" si="212"/>
        <v>413.86936751421945</v>
      </c>
      <c r="CV45" s="19">
        <f t="shared" si="212"/>
        <v>439.29141704317891</v>
      </c>
      <c r="CW45" s="215">
        <f t="shared" ref="CW45:DB45" si="213">CW42</f>
        <v>1669.6982158090534</v>
      </c>
      <c r="CX45" s="19">
        <f t="shared" si="213"/>
        <v>501.75673938018292</v>
      </c>
      <c r="CY45" s="19">
        <f t="shared" si="213"/>
        <v>442.64374131856061</v>
      </c>
      <c r="CZ45" s="19">
        <f t="shared" si="213"/>
        <v>472.26197426256192</v>
      </c>
      <c r="DA45" s="19">
        <f t="shared" si="213"/>
        <v>495.42279614417544</v>
      </c>
      <c r="DB45" s="215">
        <f t="shared" si="213"/>
        <v>1912.0852511054809</v>
      </c>
    </row>
    <row r="46" spans="1:106" s="10" customFormat="1" ht="12.75" customHeight="1">
      <c r="A46" s="10" t="s">
        <v>90</v>
      </c>
      <c r="B46" s="70"/>
      <c r="C46" s="156">
        <f t="shared" ref="C46:E46" si="214">C44+C45</f>
        <v>17.669999999999998</v>
      </c>
      <c r="D46" s="156">
        <f t="shared" si="214"/>
        <v>19.032999999999998</v>
      </c>
      <c r="E46" s="156">
        <f t="shared" si="214"/>
        <v>87.176000000000002</v>
      </c>
      <c r="F46" s="223">
        <f>F44+F45</f>
        <v>87.176000000000002</v>
      </c>
      <c r="G46" s="156">
        <f t="shared" ref="G46:K46" si="215">G44+G45</f>
        <v>80.347999999999999</v>
      </c>
      <c r="H46" s="156">
        <f t="shared" si="215"/>
        <v>62.170999999999999</v>
      </c>
      <c r="I46" s="156">
        <f t="shared" si="215"/>
        <v>196.251</v>
      </c>
      <c r="J46" s="156">
        <f t="shared" si="215"/>
        <v>28.947000000000003</v>
      </c>
      <c r="K46" s="223">
        <f t="shared" si="215"/>
        <v>28.946999999999989</v>
      </c>
      <c r="L46" s="156">
        <f t="shared" ref="L46" si="216">L44+L45</f>
        <v>33.984999999999999</v>
      </c>
      <c r="M46" s="156">
        <f t="shared" ref="M46" si="217">M44+M45</f>
        <v>16.557000000000006</v>
      </c>
      <c r="N46" s="156">
        <f t="shared" ref="N46" si="218">N44+N45</f>
        <v>25.322000000000006</v>
      </c>
      <c r="O46" s="156">
        <f t="shared" ref="O46" si="219">O44+O45</f>
        <v>15.256000000000025</v>
      </c>
      <c r="P46" s="223">
        <f t="shared" ref="P46" si="220">P44+P45</f>
        <v>15.256000000000018</v>
      </c>
      <c r="Q46" s="156">
        <f t="shared" ref="Q46" si="221">Q44+Q45</f>
        <v>9.0860000000000234</v>
      </c>
      <c r="R46" s="156">
        <f t="shared" ref="R46" si="222">R44+R45</f>
        <v>7.1380000000000159</v>
      </c>
      <c r="S46" s="156">
        <f t="shared" ref="S46" si="223">S44+S45</f>
        <v>11.211000000000023</v>
      </c>
      <c r="T46" s="156">
        <f t="shared" ref="T46" si="224">T44+T45</f>
        <v>12.619999999999987</v>
      </c>
      <c r="U46" s="223">
        <f t="shared" ref="U46" si="225">U44+U45</f>
        <v>12.619999999999965</v>
      </c>
      <c r="V46" s="156">
        <f>V44+V45</f>
        <v>39.69</v>
      </c>
      <c r="W46" s="156">
        <f t="shared" ref="W46:BA46" si="226">W44+W45</f>
        <v>18.259999999999998</v>
      </c>
      <c r="X46" s="156">
        <f t="shared" si="226"/>
        <v>39.098999999999997</v>
      </c>
      <c r="Y46" s="156">
        <f>Y44+Y45</f>
        <v>51.003999999999991</v>
      </c>
      <c r="Z46" s="223">
        <f>Z44+Z45</f>
        <v>51.004000000000019</v>
      </c>
      <c r="AA46" s="156">
        <f t="shared" si="226"/>
        <v>34.679999999999993</v>
      </c>
      <c r="AB46" s="156">
        <f t="shared" si="226"/>
        <v>29.983000000000004</v>
      </c>
      <c r="AC46" s="156">
        <f t="shared" si="226"/>
        <v>51.664000000000009</v>
      </c>
      <c r="AD46" s="156">
        <f t="shared" si="226"/>
        <v>61.981000000000073</v>
      </c>
      <c r="AE46" s="223">
        <f t="shared" si="226"/>
        <v>61.981000000000087</v>
      </c>
      <c r="AF46" s="156">
        <f t="shared" si="226"/>
        <v>74.199000000000069</v>
      </c>
      <c r="AG46" s="156">
        <f t="shared" si="226"/>
        <v>77.377000000000066</v>
      </c>
      <c r="AH46" s="156">
        <f t="shared" si="226"/>
        <v>209.52900000000002</v>
      </c>
      <c r="AI46" s="156">
        <f t="shared" si="226"/>
        <v>48.85499999999999</v>
      </c>
      <c r="AJ46" s="223">
        <f t="shared" si="226"/>
        <v>48.855000000000111</v>
      </c>
      <c r="AK46" s="156">
        <f t="shared" si="226"/>
        <v>65.288999999999987</v>
      </c>
      <c r="AL46" s="156">
        <f t="shared" si="226"/>
        <v>63.039000000000023</v>
      </c>
      <c r="AM46" s="156">
        <f>AM44+AM45</f>
        <v>95.331000000000046</v>
      </c>
      <c r="AN46" s="156">
        <f t="shared" si="226"/>
        <v>84.613999999999962</v>
      </c>
      <c r="AO46" s="223">
        <f t="shared" si="226"/>
        <v>84.614000000000004</v>
      </c>
      <c r="AP46" s="156">
        <f t="shared" si="226"/>
        <v>158.52600000000001</v>
      </c>
      <c r="AQ46" s="156">
        <f t="shared" si="226"/>
        <v>91.384000000000015</v>
      </c>
      <c r="AR46" s="156">
        <f t="shared" si="226"/>
        <v>57.127999999999957</v>
      </c>
      <c r="AS46" s="156">
        <f t="shared" si="226"/>
        <v>466.09100000000001</v>
      </c>
      <c r="AT46" s="223">
        <f t="shared" si="226"/>
        <v>466.09099999999989</v>
      </c>
      <c r="AU46" s="156">
        <f t="shared" si="226"/>
        <v>403.154</v>
      </c>
      <c r="AV46" s="156">
        <f t="shared" si="226"/>
        <v>381.113</v>
      </c>
      <c r="AW46" s="156">
        <f t="shared" si="226"/>
        <v>668.71</v>
      </c>
      <c r="AX46" s="156">
        <f t="shared" si="226"/>
        <v>642.09500000000003</v>
      </c>
      <c r="AY46" s="223">
        <f t="shared" si="226"/>
        <v>642.09499999999991</v>
      </c>
      <c r="AZ46" s="156">
        <f t="shared" si="226"/>
        <v>813.81700000000001</v>
      </c>
      <c r="BA46" s="156">
        <f t="shared" si="226"/>
        <v>796.798</v>
      </c>
      <c r="BB46" s="156">
        <f>BB44+BB45</f>
        <v>892.84400000000005</v>
      </c>
      <c r="BC46" s="156">
        <f>BC44+BC45</f>
        <v>945.58699999999999</v>
      </c>
      <c r="BD46" s="223">
        <f t="shared" ref="BD46:DB46" si="227">BD44+BD45</f>
        <v>945.58699999999999</v>
      </c>
      <c r="BE46" s="156">
        <f t="shared" ref="BE46:BN46" si="228">BE44+BE45</f>
        <v>973.76800000000003</v>
      </c>
      <c r="BF46" s="156">
        <f t="shared" si="228"/>
        <v>1000.0210000000001</v>
      </c>
      <c r="BG46" s="156">
        <f t="shared" si="228"/>
        <v>1041.4380000000001</v>
      </c>
      <c r="BH46" s="135">
        <f>BH44+BH45</f>
        <v>1053.1870000000001</v>
      </c>
      <c r="BI46" s="223">
        <f>BI44+BI45</f>
        <v>1053.1869999999999</v>
      </c>
      <c r="BJ46" s="273">
        <f t="shared" si="228"/>
        <v>1124.6035141845362</v>
      </c>
      <c r="BK46" s="135">
        <f t="shared" si="228"/>
        <v>1061.7030406028048</v>
      </c>
      <c r="BL46" s="135">
        <f t="shared" si="228"/>
        <v>1016.881708758485</v>
      </c>
      <c r="BM46" s="135">
        <f t="shared" si="228"/>
        <v>998.34112737474436</v>
      </c>
      <c r="BN46" s="216">
        <f t="shared" si="228"/>
        <v>998.34112737474425</v>
      </c>
      <c r="BO46" s="135">
        <f t="shared" si="227"/>
        <v>1020.641079491628</v>
      </c>
      <c r="BP46" s="135">
        <f t="shared" si="227"/>
        <v>1013.4798679350814</v>
      </c>
      <c r="BQ46" s="135">
        <f t="shared" si="227"/>
        <v>1023.601649592491</v>
      </c>
      <c r="BR46" s="135">
        <f t="shared" si="227"/>
        <v>1049.2696320507184</v>
      </c>
      <c r="BS46" s="216">
        <f>BS44+BS45</f>
        <v>1049.2696320507184</v>
      </c>
      <c r="BT46" s="135">
        <f t="shared" si="227"/>
        <v>1119.3332309273487</v>
      </c>
      <c r="BU46" s="135">
        <f t="shared" si="227"/>
        <v>1164.1756250025114</v>
      </c>
      <c r="BV46" s="135">
        <f t="shared" si="227"/>
        <v>1228.8084525941731</v>
      </c>
      <c r="BW46" s="135">
        <f t="shared" si="227"/>
        <v>1314.0485492015193</v>
      </c>
      <c r="BX46" s="216">
        <f>BX44+BX45</f>
        <v>1314.0485492015193</v>
      </c>
      <c r="BY46" s="135">
        <f t="shared" si="227"/>
        <v>1450.9962922781492</v>
      </c>
      <c r="BZ46" s="135">
        <f t="shared" si="227"/>
        <v>1555.236204048939</v>
      </c>
      <c r="CA46" s="135">
        <f t="shared" si="227"/>
        <v>1685.2180112431292</v>
      </c>
      <c r="CB46" s="135">
        <f t="shared" si="227"/>
        <v>1835.2787615411041</v>
      </c>
      <c r="CC46" s="216">
        <f>CC44+CC45</f>
        <v>1835.2787615411041</v>
      </c>
      <c r="CD46" s="135">
        <f t="shared" si="227"/>
        <v>2046.3459885867512</v>
      </c>
      <c r="CE46" s="135">
        <f t="shared" si="227"/>
        <v>2222.7495088737478</v>
      </c>
      <c r="CF46" s="135">
        <f t="shared" si="227"/>
        <v>2426.4603524690629</v>
      </c>
      <c r="CG46" s="135">
        <f t="shared" si="227"/>
        <v>2654.209585455279</v>
      </c>
      <c r="CH46" s="216">
        <f>CH44+CH45</f>
        <v>2654.209585455279</v>
      </c>
      <c r="CI46" s="135">
        <f t="shared" si="227"/>
        <v>2942.2678557485269</v>
      </c>
      <c r="CJ46" s="135">
        <f t="shared" si="227"/>
        <v>3187.4455508776477</v>
      </c>
      <c r="CK46" s="135">
        <f t="shared" si="227"/>
        <v>3458.6532950828177</v>
      </c>
      <c r="CL46" s="135">
        <f t="shared" si="227"/>
        <v>3751.6364819201126</v>
      </c>
      <c r="CM46" s="216">
        <f>CM44+CM45</f>
        <v>3751.6364819201126</v>
      </c>
      <c r="CN46" s="135">
        <f t="shared" si="227"/>
        <v>4110.0111586468156</v>
      </c>
      <c r="CO46" s="135">
        <f t="shared" si="227"/>
        <v>4421.2728706940779</v>
      </c>
      <c r="CP46" s="135">
        <f t="shared" si="227"/>
        <v>4760.773494091819</v>
      </c>
      <c r="CQ46" s="135">
        <f t="shared" si="227"/>
        <v>5123.6084967570496</v>
      </c>
      <c r="CR46" s="216">
        <f t="shared" si="227"/>
        <v>5123.6084967570505</v>
      </c>
      <c r="CS46" s="135">
        <f t="shared" si="227"/>
        <v>5557.3582403151477</v>
      </c>
      <c r="CT46" s="135">
        <f t="shared" si="227"/>
        <v>5940.1459280087056</v>
      </c>
      <c r="CU46" s="135">
        <f t="shared" si="227"/>
        <v>6354.015295522925</v>
      </c>
      <c r="CV46" s="135">
        <f t="shared" si="227"/>
        <v>6793.3067125661037</v>
      </c>
      <c r="CW46" s="216">
        <f t="shared" si="227"/>
        <v>6793.3067125661037</v>
      </c>
      <c r="CX46" s="135">
        <f t="shared" si="227"/>
        <v>7295.0634519462865</v>
      </c>
      <c r="CY46" s="135">
        <f t="shared" si="227"/>
        <v>7737.7071932648469</v>
      </c>
      <c r="CZ46" s="135">
        <f t="shared" si="227"/>
        <v>8209.969167527408</v>
      </c>
      <c r="DA46" s="135">
        <f t="shared" si="227"/>
        <v>8705.3919636715837</v>
      </c>
      <c r="DB46" s="216">
        <f t="shared" si="227"/>
        <v>8705.3919636715837</v>
      </c>
    </row>
    <row r="47" spans="1:106" s="11" customFormat="1" ht="12.75" customHeight="1">
      <c r="F47" s="214"/>
      <c r="K47" s="214"/>
      <c r="P47" s="214"/>
      <c r="U47" s="214"/>
      <c r="Z47" s="214"/>
      <c r="AE47" s="214"/>
      <c r="AJ47" s="214"/>
      <c r="AO47" s="214"/>
      <c r="AT47" s="214"/>
      <c r="AY47" s="214"/>
      <c r="BD47" s="214"/>
      <c r="BI47" s="214"/>
      <c r="BJ47" s="283"/>
      <c r="BN47" s="214"/>
      <c r="BS47" s="214"/>
      <c r="BX47" s="214"/>
      <c r="CC47" s="214"/>
      <c r="CH47" s="214"/>
      <c r="CM47" s="214"/>
      <c r="CR47" s="214"/>
      <c r="CW47" s="214"/>
      <c r="DB47" s="214"/>
    </row>
    <row r="48" spans="1:106" s="11" customFormat="1" ht="12.75" customHeight="1">
      <c r="A48" s="1" t="str">
        <f>IS!A65</f>
        <v>Source: Natera and Wells Fargo Securities, LLC estimates.</v>
      </c>
      <c r="F48" s="224"/>
      <c r="K48" s="224"/>
      <c r="L48" s="22"/>
      <c r="P48" s="224"/>
      <c r="S48" s="58"/>
      <c r="U48" s="224"/>
      <c r="Z48" s="224"/>
      <c r="AE48" s="224"/>
      <c r="AJ48" s="224"/>
      <c r="AO48" s="224"/>
      <c r="AT48" s="224"/>
      <c r="AY48" s="224"/>
      <c r="BD48" s="224"/>
      <c r="BI48" s="224"/>
      <c r="BJ48" s="283"/>
      <c r="BN48" s="224"/>
      <c r="BS48" s="224"/>
      <c r="BX48" s="224"/>
      <c r="CC48" s="224"/>
      <c r="CH48" s="224"/>
      <c r="CM48" s="224"/>
      <c r="CR48" s="224"/>
      <c r="CW48" s="224"/>
      <c r="DB48" s="224"/>
    </row>
    <row r="49" spans="1:106" s="11" customFormat="1" ht="12.75" customHeight="1"/>
    <row r="50" spans="1:106" s="11" customFormat="1" ht="12.75" customHeight="1">
      <c r="A50" s="11" t="s">
        <v>483</v>
      </c>
      <c r="J50" s="11">
        <f>201.586</f>
        <v>201.58600000000001</v>
      </c>
      <c r="K50" s="11">
        <f>+J50</f>
        <v>201.58600000000001</v>
      </c>
      <c r="L50" s="11">
        <v>196.59700000000001</v>
      </c>
      <c r="M50" s="11">
        <v>198.64699999999999</v>
      </c>
      <c r="N50" s="11">
        <v>157.71700000000001</v>
      </c>
      <c r="O50" s="11">
        <v>130.86000000000001</v>
      </c>
      <c r="P50" s="11">
        <f>+O50</f>
        <v>130.86000000000001</v>
      </c>
      <c r="Q50" s="11">
        <v>106.69199999999999</v>
      </c>
      <c r="R50" s="11">
        <v>94.988</v>
      </c>
      <c r="S50" s="11">
        <v>135.017</v>
      </c>
      <c r="T50" s="11">
        <v>106.247</v>
      </c>
      <c r="U50" s="11">
        <f>+T50</f>
        <v>106.247</v>
      </c>
      <c r="V50" s="11">
        <f>80.023-5.674-0.342</f>
        <v>74.006999999999991</v>
      </c>
      <c r="W50" s="11">
        <f>70.901-5.612-0.342</f>
        <v>64.947000000000003</v>
      </c>
      <c r="X50" s="11">
        <f>130.891-4.222-0.342</f>
        <v>126.327</v>
      </c>
      <c r="Y50" s="11">
        <f>107.461-4.597</f>
        <v>102.864</v>
      </c>
      <c r="Z50" s="11">
        <f>+Y50</f>
        <v>102.864</v>
      </c>
      <c r="AA50" s="11">
        <f>93.805-0.399</f>
        <v>93.406000000000006</v>
      </c>
      <c r="AB50" s="11">
        <f>208.053-0.055</f>
        <v>207.99799999999999</v>
      </c>
      <c r="AC50" s="11">
        <f>186.7-0.055</f>
        <v>186.64499999999998</v>
      </c>
      <c r="AD50" s="11">
        <f>379.065-0.055</f>
        <v>379.01</v>
      </c>
      <c r="AE50" s="11">
        <f>+AD50</f>
        <v>379.01</v>
      </c>
      <c r="AF50" s="11">
        <f>331.681-0.055</f>
        <v>331.62599999999998</v>
      </c>
      <c r="AG50" s="11">
        <f>493.852-0.055</f>
        <v>493.79699999999997</v>
      </c>
      <c r="AH50" s="11">
        <f>600.205-0.178</f>
        <v>600.02700000000004</v>
      </c>
      <c r="AI50" s="11">
        <f>688.606-0.187</f>
        <v>688.41899999999998</v>
      </c>
      <c r="AJ50" s="11">
        <f>+AI50</f>
        <v>688.41899999999998</v>
      </c>
      <c r="AK50" s="11">
        <f>588.446-0.163</f>
        <v>588.28300000000002</v>
      </c>
      <c r="AL50" s="11">
        <f>517.432-0.228</f>
        <v>517.20400000000006</v>
      </c>
      <c r="AM50" s="11">
        <f>928.596-0.228</f>
        <v>928.36800000000005</v>
      </c>
      <c r="AN50" s="11">
        <f>829.896-0.228</f>
        <v>829.66800000000001</v>
      </c>
      <c r="AO50" s="11">
        <f>+AN50</f>
        <v>829.66800000000001</v>
      </c>
      <c r="AP50" s="11">
        <f>593.66-0.228</f>
        <v>593.43200000000002</v>
      </c>
      <c r="AQ50" s="11">
        <f>547.353-0.086</f>
        <v>547.26699999999994</v>
      </c>
      <c r="AR50" s="11">
        <f>464.112-0.086</f>
        <v>464.02600000000001</v>
      </c>
      <c r="AS50" s="11">
        <f>432.301-0.086</f>
        <v>432.21499999999997</v>
      </c>
      <c r="AT50" s="11">
        <f>+AS50</f>
        <v>432.21499999999997</v>
      </c>
      <c r="AU50" s="11">
        <v>408.858</v>
      </c>
      <c r="AV50" s="11">
        <v>354.82799999999997</v>
      </c>
      <c r="AW50" s="11">
        <v>267.84699999999998</v>
      </c>
      <c r="AX50" s="11">
        <v>236.88200000000001</v>
      </c>
      <c r="AY50" s="11">
        <f>+AX50</f>
        <v>236.88200000000001</v>
      </c>
      <c r="AZ50" s="11">
        <v>69.120999999999995</v>
      </c>
      <c r="BA50" s="11">
        <v>90.299000000000007</v>
      </c>
      <c r="BB50" s="11">
        <v>29.49</v>
      </c>
      <c r="BC50" s="11">
        <v>22.689</v>
      </c>
      <c r="BD50" s="11">
        <f>+BC50</f>
        <v>22.689</v>
      </c>
      <c r="BE50" s="11">
        <v>17.832000000000001</v>
      </c>
      <c r="BF50" s="11">
        <v>15.975</v>
      </c>
      <c r="BG50" s="11">
        <v>1</v>
      </c>
      <c r="BH50" s="259">
        <v>23</v>
      </c>
      <c r="BI50" s="259">
        <f t="shared" ref="BI50:DB50" si="229">+BH50</f>
        <v>23</v>
      </c>
      <c r="BJ50" s="259">
        <f t="shared" si="229"/>
        <v>23</v>
      </c>
      <c r="BK50" s="259">
        <f t="shared" si="229"/>
        <v>23</v>
      </c>
      <c r="BL50" s="259">
        <f t="shared" si="229"/>
        <v>23</v>
      </c>
      <c r="BM50" s="259">
        <f t="shared" si="229"/>
        <v>23</v>
      </c>
      <c r="BN50" s="259">
        <f t="shared" si="229"/>
        <v>23</v>
      </c>
      <c r="BO50" s="259">
        <f t="shared" si="229"/>
        <v>23</v>
      </c>
      <c r="BP50" s="259">
        <f t="shared" si="229"/>
        <v>23</v>
      </c>
      <c r="BQ50" s="259">
        <f t="shared" si="229"/>
        <v>23</v>
      </c>
      <c r="BR50" s="259">
        <f t="shared" si="229"/>
        <v>23</v>
      </c>
      <c r="BS50" s="259">
        <f t="shared" si="229"/>
        <v>23</v>
      </c>
      <c r="BT50" s="259">
        <f t="shared" si="229"/>
        <v>23</v>
      </c>
      <c r="BU50" s="259">
        <f t="shared" si="229"/>
        <v>23</v>
      </c>
      <c r="BV50" s="259">
        <f t="shared" si="229"/>
        <v>23</v>
      </c>
      <c r="BW50" s="259">
        <f t="shared" si="229"/>
        <v>23</v>
      </c>
      <c r="BX50" s="259">
        <f t="shared" si="229"/>
        <v>23</v>
      </c>
      <c r="BY50" s="259">
        <f t="shared" si="229"/>
        <v>23</v>
      </c>
      <c r="BZ50" s="259">
        <f t="shared" si="229"/>
        <v>23</v>
      </c>
      <c r="CA50" s="259">
        <f t="shared" si="229"/>
        <v>23</v>
      </c>
      <c r="CB50" s="259">
        <f t="shared" si="229"/>
        <v>23</v>
      </c>
      <c r="CC50" s="259">
        <f t="shared" si="229"/>
        <v>23</v>
      </c>
      <c r="CD50" s="259">
        <f t="shared" si="229"/>
        <v>23</v>
      </c>
      <c r="CE50" s="259">
        <f t="shared" si="229"/>
        <v>23</v>
      </c>
      <c r="CF50" s="259">
        <f t="shared" si="229"/>
        <v>23</v>
      </c>
      <c r="CG50" s="259">
        <f t="shared" si="229"/>
        <v>23</v>
      </c>
      <c r="CH50" s="259">
        <f t="shared" si="229"/>
        <v>23</v>
      </c>
      <c r="CI50" s="259">
        <f t="shared" si="229"/>
        <v>23</v>
      </c>
      <c r="CJ50" s="259">
        <f t="shared" si="229"/>
        <v>23</v>
      </c>
      <c r="CK50" s="259">
        <f t="shared" si="229"/>
        <v>23</v>
      </c>
      <c r="CL50" s="259">
        <f t="shared" si="229"/>
        <v>23</v>
      </c>
      <c r="CM50" s="259">
        <f t="shared" si="229"/>
        <v>23</v>
      </c>
      <c r="CN50" s="259">
        <f t="shared" si="229"/>
        <v>23</v>
      </c>
      <c r="CO50" s="259">
        <f t="shared" si="229"/>
        <v>23</v>
      </c>
      <c r="CP50" s="259">
        <f t="shared" si="229"/>
        <v>23</v>
      </c>
      <c r="CQ50" s="259">
        <f t="shared" si="229"/>
        <v>23</v>
      </c>
      <c r="CR50" s="259">
        <f t="shared" si="229"/>
        <v>23</v>
      </c>
      <c r="CS50" s="259">
        <f t="shared" si="229"/>
        <v>23</v>
      </c>
      <c r="CT50" s="259">
        <f t="shared" si="229"/>
        <v>23</v>
      </c>
      <c r="CU50" s="259">
        <f t="shared" si="229"/>
        <v>23</v>
      </c>
      <c r="CV50" s="259">
        <f t="shared" si="229"/>
        <v>23</v>
      </c>
      <c r="CW50" s="259">
        <f t="shared" si="229"/>
        <v>23</v>
      </c>
      <c r="CX50" s="259">
        <f t="shared" si="229"/>
        <v>23</v>
      </c>
      <c r="CY50" s="259">
        <f t="shared" si="229"/>
        <v>23</v>
      </c>
      <c r="CZ50" s="259">
        <f t="shared" si="229"/>
        <v>23</v>
      </c>
      <c r="DA50" s="259">
        <f t="shared" si="229"/>
        <v>23</v>
      </c>
      <c r="DB50" s="259">
        <f t="shared" si="229"/>
        <v>23</v>
      </c>
    </row>
    <row r="51" spans="1:106" s="11" customFormat="1" ht="12.75" customHeight="1">
      <c r="A51" s="11" t="s">
        <v>482</v>
      </c>
      <c r="E51" s="257">
        <f>+E46-BS!E9</f>
        <v>0</v>
      </c>
      <c r="F51" s="257">
        <f>+F46-BS!F9</f>
        <v>0</v>
      </c>
      <c r="G51" s="257">
        <f>+G46-BS!G9</f>
        <v>80.347999999999999</v>
      </c>
      <c r="H51" s="257">
        <f>+H46-BS!H9</f>
        <v>-7.2000000000002728E-2</v>
      </c>
      <c r="I51" s="257">
        <f>+I46-BS!I9</f>
        <v>-26.330000000000013</v>
      </c>
      <c r="J51" s="257">
        <f>+J46+J50-BS!J9</f>
        <v>0</v>
      </c>
      <c r="K51" s="257">
        <f>+K46+K50-BS!K9</f>
        <v>0</v>
      </c>
      <c r="L51" s="257">
        <f>+L46+L50-BS!L9</f>
        <v>0</v>
      </c>
      <c r="M51" s="257">
        <f>+M46+M50-BS!M9</f>
        <v>0</v>
      </c>
      <c r="N51" s="257">
        <f>+N46+N50-BS!N9</f>
        <v>0</v>
      </c>
      <c r="O51" s="257">
        <f>+O46+O50-BS!O9</f>
        <v>0</v>
      </c>
      <c r="P51" s="257">
        <f>+P46+P50-BS!P9</f>
        <v>0</v>
      </c>
      <c r="Q51" s="257">
        <f>+Q46+Q50-BS!Q9</f>
        <v>0</v>
      </c>
      <c r="R51" s="257">
        <f>+R46+R50-BS!R9</f>
        <v>0</v>
      </c>
      <c r="S51" s="257">
        <f>+S46+S50-BS!S9</f>
        <v>0</v>
      </c>
      <c r="T51" s="257">
        <f>+T46+T50-BS!T9</f>
        <v>0</v>
      </c>
      <c r="U51" s="257">
        <f>+U46+U50-BS!U9</f>
        <v>0</v>
      </c>
      <c r="V51" s="258">
        <f>+V46+V50-BS!V9</f>
        <v>0</v>
      </c>
      <c r="W51" s="257">
        <f>+W46+W50-BS!W9</f>
        <v>0</v>
      </c>
      <c r="X51" s="257">
        <f>+X46+X50-BS!X9</f>
        <v>0</v>
      </c>
      <c r="Y51" s="257">
        <f>+Y46+Y50-BS!Y9</f>
        <v>0</v>
      </c>
      <c r="Z51" s="257">
        <f>+Z46+Z50-BS!Z9</f>
        <v>0</v>
      </c>
      <c r="AA51" s="257">
        <f>+AA46+AA50-BS!AA9</f>
        <v>0</v>
      </c>
      <c r="AB51" s="257">
        <f>+AB46+AB50-BS!AB9</f>
        <v>0</v>
      </c>
      <c r="AC51" s="257">
        <f>+AC46+AC50-BS!AC9</f>
        <v>0</v>
      </c>
      <c r="AD51" s="257">
        <f>+AD46+AD50-BS!AD9</f>
        <v>0</v>
      </c>
      <c r="AE51" s="257">
        <f>+AE46+AE50-BS!AE9</f>
        <v>0</v>
      </c>
      <c r="AF51" s="257">
        <f>+AF46+AF50-BS!AF9</f>
        <v>0</v>
      </c>
      <c r="AG51" s="257">
        <f>+AG46+AG50-BS!AG9</f>
        <v>0</v>
      </c>
      <c r="AH51" s="257">
        <f>+AH46+AH50-BS!AH9</f>
        <v>0</v>
      </c>
      <c r="AI51" s="257">
        <f>+AI46+AI50-BS!AI9</f>
        <v>0</v>
      </c>
      <c r="AJ51" s="257">
        <f>+AJ46+AJ50-BS!AJ9</f>
        <v>0</v>
      </c>
      <c r="AK51" s="257">
        <f>+AK46+AK50-BS!AK9</f>
        <v>0</v>
      </c>
      <c r="AL51" s="257">
        <f>+AL46+AL50-BS!AL9</f>
        <v>0</v>
      </c>
      <c r="AM51" s="257">
        <f>+AM46+AM50-BS!AM9</f>
        <v>0</v>
      </c>
      <c r="AN51" s="257">
        <f>+AN46+AN50-BS!AN9</f>
        <v>0</v>
      </c>
      <c r="AO51" s="257">
        <f>+AO46+AO50-BS!AO9</f>
        <v>0</v>
      </c>
      <c r="AP51" s="257">
        <f>+AP46+AP50-BS!AP9</f>
        <v>0</v>
      </c>
      <c r="AQ51" s="257">
        <f>+AQ46+AQ50-BS!AQ9</f>
        <v>0</v>
      </c>
      <c r="AR51" s="257">
        <f>+AR46+AR50-BS!AR9</f>
        <v>0</v>
      </c>
      <c r="AS51" s="257">
        <f>+AS46+AS50-BS!AS9</f>
        <v>0</v>
      </c>
      <c r="AT51" s="257">
        <f>+AT46+AT50-BS!AT9</f>
        <v>0</v>
      </c>
      <c r="AU51" s="257">
        <f>+AU46+AU50-BS!AU9</f>
        <v>0</v>
      </c>
      <c r="AV51" s="257">
        <f>+AV46+AV50-BS!AV9</f>
        <v>0</v>
      </c>
      <c r="AW51" s="257">
        <f>+AW46+AW50-BS!AW9</f>
        <v>0</v>
      </c>
      <c r="AX51" s="257">
        <f>+AX46+AX50-BS!AX9</f>
        <v>0</v>
      </c>
      <c r="AY51" s="257">
        <f>+AY46+AY50-BS!AY9</f>
        <v>0</v>
      </c>
      <c r="AZ51" s="257">
        <f>+AZ46+AZ50-BS!AZ9</f>
        <v>0</v>
      </c>
      <c r="BA51" s="257">
        <f>+BA46+BA50-BS!BA9</f>
        <v>0</v>
      </c>
      <c r="BB51" s="257">
        <f>+BB46+BB50-BS!BB9</f>
        <v>0</v>
      </c>
      <c r="BC51" s="257">
        <f>+BC46+BC50-BS!BC9</f>
        <v>0</v>
      </c>
      <c r="BD51" s="257">
        <f>+BD46+BD50-BS!BD9</f>
        <v>0</v>
      </c>
      <c r="BE51" s="257">
        <f>+BE46+BE50-BS!BE9</f>
        <v>0</v>
      </c>
      <c r="BF51" s="257">
        <f>+BF46+BF50-BS!BF9</f>
        <v>0</v>
      </c>
      <c r="BG51" s="257">
        <f>+BG46+BG50-BS!BG9</f>
        <v>0</v>
      </c>
      <c r="BH51" s="257">
        <f>+BH46+BH50-BS!BH9</f>
        <v>4.7000000000025466E-2</v>
      </c>
      <c r="BI51" s="257">
        <f>+BI46+BI50-BS!BI9</f>
        <v>4.6999999999798092E-2</v>
      </c>
      <c r="BJ51" s="257">
        <f>+BJ46+BJ50-BS!BJ9</f>
        <v>4.6999999999798092E-2</v>
      </c>
      <c r="BK51" s="257">
        <f>+BK46+BK50-BS!BK9</f>
        <v>4.6999999999798092E-2</v>
      </c>
      <c r="BL51" s="257">
        <f>+BL46+BL50-BS!BL9</f>
        <v>4.6999999999798092E-2</v>
      </c>
      <c r="BM51" s="257">
        <f>+BM46+BM50-BS!BM9</f>
        <v>4.6999999999798092E-2</v>
      </c>
      <c r="BN51" s="257">
        <f>+BN46+BN50-BS!BN9</f>
        <v>4.6999999999684405E-2</v>
      </c>
      <c r="BO51" s="257">
        <f>+BO46+BO50-BS!BO9</f>
        <v>4.6999999999570719E-2</v>
      </c>
      <c r="BP51" s="257">
        <f>+BP46+BP50-BS!BP9</f>
        <v>4.6999999999570719E-2</v>
      </c>
      <c r="BQ51" s="257">
        <f>+BQ46+BQ50-BS!BQ9</f>
        <v>4.6999999999343345E-2</v>
      </c>
      <c r="BR51" s="257">
        <f>+BR46+BR50-BS!BR9</f>
        <v>4.6999999999115971E-2</v>
      </c>
      <c r="BS51" s="257">
        <f>+BS46+BS50-BS!BS9</f>
        <v>4.6999999999115971E-2</v>
      </c>
      <c r="BT51" s="257">
        <f>+BT46+BT50-BS!BT9</f>
        <v>4.6999999999115971E-2</v>
      </c>
      <c r="BU51" s="257">
        <f>+BU46+BU50-BS!BU9</f>
        <v>4.6999999999115971E-2</v>
      </c>
      <c r="BV51" s="257">
        <f>+BV46+BV50-BS!BV9</f>
        <v>4.6999999999115971E-2</v>
      </c>
      <c r="BW51" s="257">
        <f>+BW46+BW50-BS!BW9</f>
        <v>4.6999999999115971E-2</v>
      </c>
      <c r="BX51" s="257">
        <f>+BX46+BX50-BS!BX9</f>
        <v>4.6999999999115971E-2</v>
      </c>
      <c r="BY51" s="257">
        <f>+BY46+BY50-BS!BY9</f>
        <v>4.6999999999115971E-2</v>
      </c>
      <c r="BZ51" s="257">
        <f>+BZ46+BZ50-BS!BZ9</f>
        <v>4.6999999999115971E-2</v>
      </c>
      <c r="CA51" s="257">
        <f>+CA46+CA50-BS!CA9</f>
        <v>4.6999999999115971E-2</v>
      </c>
      <c r="CB51" s="257">
        <f>+CB46+CB50-BS!CB9</f>
        <v>4.6999999999115971E-2</v>
      </c>
      <c r="CC51" s="257">
        <f>+CC46+CC50-BS!CC9</f>
        <v>4.6999999999115971E-2</v>
      </c>
      <c r="CD51" s="257">
        <f>+CD46+CD50-BS!CD9</f>
        <v>4.6999999999570719E-2</v>
      </c>
      <c r="CE51" s="257">
        <f>+CE46+CE50-BS!CE9</f>
        <v>4.6999999999115971E-2</v>
      </c>
      <c r="CF51" s="257">
        <f>+CF46+CF50-BS!CF9</f>
        <v>4.6999999999115971E-2</v>
      </c>
      <c r="CG51" s="257">
        <f>+CG46+CG50-BS!CG9</f>
        <v>4.6999999999115971E-2</v>
      </c>
      <c r="CH51" s="257">
        <f>+CH46+CH50-BS!CH9</f>
        <v>4.6999999999115971E-2</v>
      </c>
      <c r="CI51" s="257">
        <f>+CI46+CI50-BS!CI9</f>
        <v>4.6999999999115971E-2</v>
      </c>
      <c r="CJ51" s="257">
        <f>+CJ46+CJ50-BS!CJ9</f>
        <v>4.6999999999115971E-2</v>
      </c>
      <c r="CK51" s="257">
        <f>+CK46+CK50-BS!CK9</f>
        <v>4.6999999999115971E-2</v>
      </c>
      <c r="CL51" s="257">
        <f>+CL46+CL50-BS!CL9</f>
        <v>4.6999999999115971E-2</v>
      </c>
      <c r="CM51" s="257">
        <f>+CM46+CM50-BS!CM9</f>
        <v>4.6999999999115971E-2</v>
      </c>
      <c r="CN51" s="257">
        <f>+CN46+CN50-BS!CN9</f>
        <v>4.6999999998661224E-2</v>
      </c>
      <c r="CO51" s="257">
        <f>+CO46+CO50-BS!CO9</f>
        <v>4.6999999998661224E-2</v>
      </c>
      <c r="CP51" s="257">
        <f>+CP46+CP50-BS!CP9</f>
        <v>4.6999999998661224E-2</v>
      </c>
      <c r="CQ51" s="257">
        <f>+CQ46+CQ50-BS!CQ9</f>
        <v>4.6999999998661224E-2</v>
      </c>
      <c r="CR51" s="257">
        <f>+CR46+CR50-BS!CR9</f>
        <v>4.6999999999570719E-2</v>
      </c>
      <c r="CS51" s="257">
        <f>+CS46+CS50-BS!CS9</f>
        <v>4.6999999999570719E-2</v>
      </c>
      <c r="CT51" s="257">
        <f>+CT46+CT50-BS!CT9</f>
        <v>4.6999999999570719E-2</v>
      </c>
      <c r="CU51" s="257">
        <f>+CU46+CU50-BS!CU9</f>
        <v>4.6999999999570719E-2</v>
      </c>
      <c r="CV51" s="257">
        <f>+CV46+CV50-BS!CV9</f>
        <v>4.6999999999570719E-2</v>
      </c>
      <c r="CW51" s="257">
        <f>+CW46+CW50-BS!CW9</f>
        <v>4.6999999999570719E-2</v>
      </c>
      <c r="CX51" s="257">
        <f>+CX46+CX50-BS!CX9</f>
        <v>4.6999999999570719E-2</v>
      </c>
      <c r="CY51" s="257">
        <f>+CY46+CY50-BS!CY9</f>
        <v>4.6999999999570719E-2</v>
      </c>
      <c r="CZ51" s="257">
        <f>+CZ46+CZ50-BS!CZ9</f>
        <v>4.6999999998661224E-2</v>
      </c>
      <c r="DA51" s="257">
        <f>+DA46+DA50-BS!DA9</f>
        <v>4.6999999998661224E-2</v>
      </c>
      <c r="DB51" s="257">
        <f>+DB46+DB50-BS!DB9</f>
        <v>4.6999999998661224E-2</v>
      </c>
    </row>
    <row r="52" spans="1:106" s="11" customFormat="1" ht="12.75" customHeight="1"/>
    <row r="53" spans="1:106" s="11" customFormat="1" ht="12.75" customHeight="1"/>
    <row r="54" spans="1:106" s="11" customFormat="1" ht="12.75" customHeight="1"/>
    <row r="55" spans="1:106" s="19" customFormat="1" ht="12.75" customHeight="1">
      <c r="C55" s="19">
        <f>C22+C30+SUM(C34:C37)</f>
        <v>-12.826000000000001</v>
      </c>
      <c r="D55" s="19">
        <f>D22+D30+SUM(D34:D37)</f>
        <v>1.3630000000000004</v>
      </c>
      <c r="E55" s="19">
        <f>E22+E30+SUM(E34:E37)</f>
        <v>68.143000000000001</v>
      </c>
      <c r="G55" s="19">
        <f>G22+G30+SUM(G34:G37)</f>
        <v>-6.8280000000000003</v>
      </c>
      <c r="H55" s="19">
        <f>H22+H30+SUM(H34:H37)</f>
        <v>-18.145</v>
      </c>
      <c r="I55" s="19">
        <f>I22+I30+SUM(I34:I37)</f>
        <v>133.989</v>
      </c>
      <c r="J55" s="19">
        <f>J22+J30+SUM(J34:J37)</f>
        <v>-167.245</v>
      </c>
      <c r="L55" s="19">
        <f>L22+L30+SUM(L34:L37)</f>
        <v>5.0379999999999994</v>
      </c>
      <c r="M55" s="19">
        <f>M22+M30+SUM(M34:M37)</f>
        <v>-24.427999999999994</v>
      </c>
      <c r="N55" s="19">
        <f>N22+N30+SUM(N34:N37)</f>
        <v>8.7650000000000006</v>
      </c>
      <c r="O55" s="19">
        <f>O22+O30+SUM(O34:O37)</f>
        <v>-10.065999999999981</v>
      </c>
      <c r="Q55" s="19">
        <f>Q22+Q30+SUM(Q34:Q37)</f>
        <v>-6.1700000000000017</v>
      </c>
      <c r="R55" s="19">
        <f>R22+R30+SUM(R34:R37)</f>
        <v>-1.9480000000000075</v>
      </c>
      <c r="S55" s="19">
        <f>S22+S30+SUM(S34:S37)</f>
        <v>-70.926999999999992</v>
      </c>
      <c r="T55" s="19">
        <f>T22+T30+SUM(T34:T37)</f>
        <v>1.4089999999999634</v>
      </c>
      <c r="V55" s="19">
        <f>V22+V30+SUM(V34:V37)</f>
        <v>26.669</v>
      </c>
      <c r="W55" s="19">
        <f>W22+W30+SUM(W34:W37)</f>
        <v>-21.43</v>
      </c>
      <c r="X55" s="19">
        <f>X22+X30+SUM(X34:X37)</f>
        <v>20.838999999999999</v>
      </c>
      <c r="Y55" s="19">
        <f>Y22+Y30+SUM(Y34:Y37)</f>
        <v>11.904999999999994</v>
      </c>
      <c r="AA55" s="19">
        <f t="shared" ref="AA55:AN55" si="230">AA22+AA30+SUM(AA34:AA37)</f>
        <v>-16.324000000000002</v>
      </c>
      <c r="AB55" s="19">
        <f t="shared" si="230"/>
        <v>-4.6969999999999885</v>
      </c>
      <c r="AC55" s="19">
        <f t="shared" si="230"/>
        <v>21.681000000000004</v>
      </c>
      <c r="AD55" s="19">
        <f t="shared" si="230"/>
        <v>10.317000000000064</v>
      </c>
      <c r="AE55" s="19">
        <f t="shared" si="230"/>
        <v>10.977000000000089</v>
      </c>
      <c r="AF55" s="19">
        <f t="shared" si="230"/>
        <v>12.217999999999996</v>
      </c>
      <c r="AG55" s="19">
        <f t="shared" si="230"/>
        <v>81.935000000000002</v>
      </c>
      <c r="AH55" s="19">
        <f t="shared" si="230"/>
        <v>132.15199999999996</v>
      </c>
      <c r="AI55" s="19">
        <f t="shared" si="230"/>
        <v>-160.67400000000004</v>
      </c>
      <c r="AJ55" s="19">
        <f t="shared" si="230"/>
        <v>65.630999999999972</v>
      </c>
      <c r="AK55" s="19">
        <f t="shared" si="230"/>
        <v>16.43399999999999</v>
      </c>
      <c r="AL55" s="19">
        <f t="shared" si="230"/>
        <v>-2.2499999999999662</v>
      </c>
      <c r="AM55" s="19">
        <f t="shared" si="230"/>
        <v>32.29200000000003</v>
      </c>
      <c r="AN55" s="19">
        <f t="shared" si="230"/>
        <v>-10.717000000000088</v>
      </c>
      <c r="AP55" s="19">
        <f>AP22+AP30+SUM(AP34:AP37)</f>
        <v>73.912000000000063</v>
      </c>
      <c r="AQ55" s="19">
        <f>AQ22+AQ30+SUM(AQ34:AQ37)</f>
        <v>-67.141999999999996</v>
      </c>
      <c r="AR55" s="19">
        <f>AR22+AR30+SUM(AR34:AR37)</f>
        <v>-34.256000000000057</v>
      </c>
      <c r="AS55" s="19">
        <f>AS22+AS30+SUM(AS34:AS37)</f>
        <v>378.96300000000002</v>
      </c>
      <c r="AU55" s="19">
        <f>AU22+AU30+SUM(AU34:AU37)</f>
        <v>-62.937000000000026</v>
      </c>
      <c r="AV55" s="19">
        <f>AV22+AV30+SUM(AV34:AV37)</f>
        <v>-22.041000000000004</v>
      </c>
      <c r="AW55" s="19">
        <f>AW22+AW30+SUM(AW34:AW37)</f>
        <v>287.59700000000004</v>
      </c>
      <c r="AX55" s="19">
        <f>AX22+AX30+SUM(AX34:AX37)</f>
        <v>-26.614999999999995</v>
      </c>
      <c r="AZ55" s="19">
        <f>AZ22+AZ30+SUM(AZ34:AZ37)</f>
        <v>171.72200000000001</v>
      </c>
      <c r="BA55" s="19">
        <f>BA22+BA30+SUM(BA34:BA37)</f>
        <v>-17.019000000000002</v>
      </c>
      <c r="BB55" s="19">
        <f>BB22+BB30+SUM(BB34:BB37)</f>
        <v>96.046000000000021</v>
      </c>
      <c r="BC55" s="19">
        <f>BC22+BC30+SUM(BC34:BC37)</f>
        <v>52.825000000000003</v>
      </c>
      <c r="BE55" s="19">
        <f>BE22+BE30+SUM(BE34:BE37)</f>
        <v>28.180999999999997</v>
      </c>
      <c r="BF55" s="19">
        <f>BF22+BF30+SUM(BF34:BF37)</f>
        <v>26.253000000000011</v>
      </c>
      <c r="BG55" s="19">
        <f>BG22+BG30+SUM(BG34:BG37)</f>
        <v>41.417000000000002</v>
      </c>
      <c r="BH55" s="19">
        <f>BH22+BH30+SUM(BH34:BH37)</f>
        <v>11.767000000000024</v>
      </c>
      <c r="BJ55" s="19">
        <f>BJ22+BJ30+SUM(BJ34:BJ37)</f>
        <v>91.497264184536164</v>
      </c>
      <c r="BK55" s="19">
        <f>BK22+BK30+SUM(BK34:BK37)</f>
        <v>-42.839804331731408</v>
      </c>
      <c r="BL55" s="19">
        <f>BL22+BL30+SUM(BL34:BL37)</f>
        <v>-24.730541469319718</v>
      </c>
      <c r="BM55" s="19">
        <f>BM22+BM30+SUM(BM34:BM37)</f>
        <v>1.5502089912592858</v>
      </c>
      <c r="BO55" s="19">
        <f>BO22+BO30+SUM(BO34:BO37)</f>
        <v>22.299952116883802</v>
      </c>
      <c r="BP55" s="19">
        <f>BP22+BP30+SUM(BP34:BP37)</f>
        <v>-7.1612115565466183</v>
      </c>
      <c r="BQ55" s="19">
        <f>BQ22+BQ30+SUM(BQ34:BQ37)</f>
        <v>10.121781657409546</v>
      </c>
      <c r="BR55" s="19">
        <f>BR22+BR30+SUM(BR34:BR37)</f>
        <v>25.667982458227584</v>
      </c>
      <c r="BT55" s="19">
        <f>BT22+BT30+SUM(BT34:BT37)</f>
        <v>70.063598876630209</v>
      </c>
      <c r="BU55" s="19">
        <f>BU22+BU30+SUM(BU34:BU37)</f>
        <v>44.84239407516263</v>
      </c>
      <c r="BV55" s="19">
        <f>BV22+BV30+SUM(BV34:BV37)</f>
        <v>64.632827591661709</v>
      </c>
      <c r="BW55" s="19">
        <f>BW22+BW30+SUM(BW34:BW37)</f>
        <v>85.240096607346302</v>
      </c>
      <c r="BY55" s="19">
        <f>BY22+BY30+SUM(BY34:BY37)</f>
        <v>136.94774307662993</v>
      </c>
      <c r="BZ55" s="19">
        <f>BZ22+BZ30+SUM(BZ34:BZ37)</f>
        <v>104.23991177078987</v>
      </c>
      <c r="CA55" s="19">
        <f>CA22+CA30+SUM(CA34:CA37)</f>
        <v>129.98180719419011</v>
      </c>
      <c r="CB55" s="19">
        <f>CB22+CB30+SUM(CB34:CB37)</f>
        <v>150.06075029797486</v>
      </c>
      <c r="CD55" s="19">
        <f>CD22+CD30+SUM(CD34:CD37)</f>
        <v>211.067227045647</v>
      </c>
      <c r="CE55" s="19">
        <f>CE22+CE30+SUM(CE34:CE37)</f>
        <v>176.40352028699678</v>
      </c>
      <c r="CF55" s="19">
        <f>CF22+CF30+SUM(CF34:CF37)</f>
        <v>203.71084359531511</v>
      </c>
      <c r="CG55" s="19">
        <f>CG22+CG30+SUM(CG34:CG37)</f>
        <v>227.74923298621601</v>
      </c>
      <c r="CI55" s="19">
        <f>CI22+CI30+SUM(CI34:CI37)</f>
        <v>288.05827029324786</v>
      </c>
      <c r="CJ55" s="19">
        <f>CJ22+CJ30+SUM(CJ34:CJ37)</f>
        <v>245.17769512912076</v>
      </c>
      <c r="CK55" s="19">
        <f>CK22+CK30+SUM(CK34:CK37)</f>
        <v>271.20774420517017</v>
      </c>
      <c r="CL55" s="19">
        <f>CL22+CL30+SUM(CL34:CL37)</f>
        <v>292.98318683729491</v>
      </c>
      <c r="CN55" s="19">
        <f>CN22+CN30+SUM(CN34:CN37)</f>
        <v>358.374676726703</v>
      </c>
      <c r="CO55" s="19">
        <f>CO22+CO30+SUM(CO34:CO37)</f>
        <v>311.26171204726239</v>
      </c>
      <c r="CP55" s="19">
        <f>CP22+CP30+SUM(CP34:CP37)</f>
        <v>339.50062339774132</v>
      </c>
      <c r="CQ55" s="19">
        <f>CQ22+CQ30+SUM(CQ34:CQ37)</f>
        <v>362.83500266523089</v>
      </c>
      <c r="CS55" s="19">
        <f>CS22+CS30+SUM(CS34:CS37)</f>
        <v>433.74974355809707</v>
      </c>
      <c r="CT55" s="19">
        <f>CT22+CT30+SUM(CT34:CT37)</f>
        <v>382.78768769355787</v>
      </c>
      <c r="CU55" s="19">
        <f>CU22+CU30+SUM(CU34:CU37)</f>
        <v>413.86936751421945</v>
      </c>
      <c r="CV55" s="19">
        <f>CV22+CV30+SUM(CV34:CV37)</f>
        <v>439.29141704317891</v>
      </c>
      <c r="CX55" s="19">
        <f>CX22+CX30+SUM(CX34:CX37)</f>
        <v>501.75673938018292</v>
      </c>
      <c r="CY55" s="19">
        <f>CY22+CY30+SUM(CY34:CY37)</f>
        <v>442.64374131856061</v>
      </c>
      <c r="CZ55" s="19">
        <f>CZ22+CZ30+SUM(CZ34:CZ37)</f>
        <v>472.26197426256192</v>
      </c>
      <c r="DA55" s="19">
        <f>DA22+DA30+SUM(DA34:DA37)</f>
        <v>495.42279614417544</v>
      </c>
    </row>
    <row r="56" spans="1:106" s="11" customFormat="1" ht="12.75" customHeight="1"/>
    <row r="57" spans="1:106" s="23" customFormat="1" ht="12.75" hidden="1" customHeight="1" outlineLevel="1">
      <c r="A57" s="23" t="s">
        <v>91</v>
      </c>
      <c r="E57" s="23">
        <f>E46+E58-BS!E9</f>
        <v>0</v>
      </c>
      <c r="F57" s="23">
        <f>F46+F58-BS!F9</f>
        <v>0</v>
      </c>
      <c r="H57" s="23">
        <f>H46+H58-BS!H9</f>
        <v>-7.2000000000002728E-2</v>
      </c>
      <c r="I57" s="23">
        <f>I46+I58-BS!I9</f>
        <v>5.8999999999997499E-2</v>
      </c>
      <c r="J57" s="23">
        <f>J46+J58-BS!J9</f>
        <v>0</v>
      </c>
      <c r="K57" s="23">
        <f>K46+K58-BS!K9</f>
        <v>0</v>
      </c>
      <c r="L57" s="23">
        <f>L46+L58-BS!L9</f>
        <v>0</v>
      </c>
      <c r="M57" s="23">
        <f>M46+M58-BS!M9</f>
        <v>0</v>
      </c>
      <c r="N57" s="23">
        <f>N46+N58-BS!N9</f>
        <v>0</v>
      </c>
      <c r="O57" s="23">
        <f>O46+O58-BS!O9</f>
        <v>0</v>
      </c>
      <c r="P57" s="23">
        <f>P46+P58-BS!P9</f>
        <v>0</v>
      </c>
      <c r="Q57" s="23">
        <f>Q46+Q58-BS!Q9</f>
        <v>0</v>
      </c>
      <c r="R57" s="23">
        <f>R46+R58-BS!R9</f>
        <v>0</v>
      </c>
      <c r="S57" s="23">
        <f>S46+S58-BS!S9</f>
        <v>0</v>
      </c>
      <c r="T57" s="23">
        <f>T46+T58-BS!T9</f>
        <v>0</v>
      </c>
      <c r="U57" s="23">
        <f>U46+U58-BS!U9</f>
        <v>0</v>
      </c>
      <c r="V57" s="23">
        <f>V46+V58-V59-BS!V9</f>
        <v>0.34199999999998454</v>
      </c>
      <c r="W57" s="23">
        <f>W46+W58-W59-BS!W9</f>
        <v>0.34200000000001296</v>
      </c>
      <c r="X57" s="23">
        <f>X46+X58-X59-BS!X9</f>
        <v>0.34199999999998454</v>
      </c>
      <c r="Y57" s="23">
        <f>Y46+Y58-Y59-BS!Y9</f>
        <v>0.34199999999998454</v>
      </c>
      <c r="Z57" s="23">
        <f>Z46+Z58-Z59-BS!Z9</f>
        <v>0.40100000000003888</v>
      </c>
      <c r="AA57" s="23">
        <f>AA46+AA58-AA59-BS!AA9</f>
        <v>0</v>
      </c>
      <c r="AB57" s="23">
        <f>AB46+AB58-AB59-BS!AB9</f>
        <v>0</v>
      </c>
      <c r="AC57" s="23">
        <f>AC46+AC58-AC59-BS!AC9</f>
        <v>0</v>
      </c>
      <c r="AD57" s="23">
        <f>AD46+AD58-AD59-BS!AD9</f>
        <v>0</v>
      </c>
      <c r="AE57" s="23">
        <f>AE46+AE58-AE59-BS!AE9</f>
        <v>0</v>
      </c>
      <c r="AF57" s="23">
        <f>AF46+AF58-AF59-BS!AF9</f>
        <v>0</v>
      </c>
      <c r="AG57" s="23">
        <f>AG46+AG58-AG59-BS!AG9</f>
        <v>0</v>
      </c>
      <c r="AH57" s="23">
        <f>AH46+AH58-AH59-BS!AH9</f>
        <v>0</v>
      </c>
      <c r="AI57" s="23">
        <f>AI46+AI58-AI59-BS!AI9</f>
        <v>0</v>
      </c>
      <c r="AJ57" s="23">
        <f>AJ46+AJ58-AJ59-BS!AJ9</f>
        <v>0</v>
      </c>
      <c r="AK57" s="23">
        <f>AK46+AK58-AK59-BS!AK9</f>
        <v>0</v>
      </c>
      <c r="AL57" s="23">
        <f>AL46+AL58-AL59-BS!AL9</f>
        <v>0</v>
      </c>
      <c r="AM57" s="23">
        <f>AM46+AM58-AM59-BS!AM9</f>
        <v>0</v>
      </c>
      <c r="AN57" s="23">
        <f>AN46+AN58-AN59-BS!AN9</f>
        <v>0</v>
      </c>
      <c r="AO57" s="23">
        <f>AO46+AO58-AO59-BS!AO9</f>
        <v>0</v>
      </c>
      <c r="AP57" s="23">
        <f>AP46+AP58-AP59-BS!AP9</f>
        <v>0</v>
      </c>
      <c r="AQ57" s="23">
        <f>AQ46+AQ58-AQ59-BS!AQ9</f>
        <v>0</v>
      </c>
      <c r="AR57" s="23">
        <f>AR46+AR58-AR59-BS!AR9</f>
        <v>0</v>
      </c>
      <c r="AS57" s="23">
        <f>AS46+AS58-AS59-BS!AS9</f>
        <v>0</v>
      </c>
      <c r="AT57" s="23">
        <f>AT46+AT58-AT59-BS!AT9</f>
        <v>0</v>
      </c>
      <c r="AU57" s="23">
        <f>AU46+AU58-AU59-BS!AU9</f>
        <v>0</v>
      </c>
      <c r="AV57" s="23">
        <f>AV46+AV58-AV59-BS!AV9</f>
        <v>0</v>
      </c>
      <c r="AW57" s="23">
        <f>AW46+AW58-AW59-BS!AW9</f>
        <v>0</v>
      </c>
      <c r="AX57" s="23">
        <f>AX46+AX58-AX59-BS!AX9</f>
        <v>0</v>
      </c>
      <c r="AY57" s="23">
        <f>AY46+AY58-AY59-BS!AY9</f>
        <v>0</v>
      </c>
      <c r="AZ57" s="23">
        <f>AZ46+AZ58-AZ59-BS!AZ9</f>
        <v>0</v>
      </c>
      <c r="BA57" s="23">
        <f>BA46+BA58-BA59-BS!BA9</f>
        <v>0</v>
      </c>
      <c r="BB57" s="23">
        <f>BB46+BB58-BS!BB9</f>
        <v>0</v>
      </c>
      <c r="BC57" s="23">
        <f>BC46+BC58-BS!BC9</f>
        <v>0</v>
      </c>
      <c r="BD57" s="23">
        <f>BD46+BD58-BS!BD9</f>
        <v>0</v>
      </c>
      <c r="BE57" s="23">
        <f>BE46+BE58-BS!BE9</f>
        <v>0</v>
      </c>
      <c r="BF57" s="23">
        <f>BF46+BF58-BS!BF9</f>
        <v>0</v>
      </c>
      <c r="BG57" s="23">
        <f>BG46+BG58-BS!BG9</f>
        <v>0</v>
      </c>
      <c r="BH57" s="23">
        <f>BH46-BS!BH9</f>
        <v>-22.952999999999975</v>
      </c>
      <c r="BI57" s="23">
        <f>BI46-BS!BI9</f>
        <v>-22.953000000000202</v>
      </c>
      <c r="BJ57" s="23">
        <f>BJ46-BS!BJ9</f>
        <v>-22.953000000000202</v>
      </c>
      <c r="BK57" s="23">
        <f>BK46-BS!BK9</f>
        <v>-22.953000000000202</v>
      </c>
      <c r="BL57" s="23">
        <f>BL46-BS!BL9</f>
        <v>-22.953000000000202</v>
      </c>
      <c r="BM57" s="23">
        <f>BM46-BS!BM9</f>
        <v>-22.953000000000202</v>
      </c>
      <c r="BN57" s="23">
        <f>BN46-BS!BN9</f>
        <v>-22.953000000000316</v>
      </c>
      <c r="BO57" s="23">
        <f>BO46-BS!BO9</f>
        <v>-22.953000000000429</v>
      </c>
      <c r="BP57" s="23">
        <f>BP46-BS!BP9</f>
        <v>-22.953000000000543</v>
      </c>
      <c r="BQ57" s="23">
        <f>BQ46-BS!BQ9</f>
        <v>-22.953000000000657</v>
      </c>
      <c r="BR57" s="23">
        <f>BR46-BS!BR9</f>
        <v>-22.953000000000884</v>
      </c>
      <c r="BS57" s="23">
        <f>BS46-BS!BS9</f>
        <v>-22.953000000000884</v>
      </c>
      <c r="BT57" s="23">
        <f>BT46-BS!BT9</f>
        <v>-22.953000000000884</v>
      </c>
      <c r="BU57" s="23">
        <f>BU46-BS!BU9</f>
        <v>-22.953000000000884</v>
      </c>
      <c r="BV57" s="23">
        <f>BV46-BS!BV9</f>
        <v>-22.953000000000884</v>
      </c>
      <c r="BW57" s="23">
        <f>BW46-BS!BW9</f>
        <v>-22.953000000000884</v>
      </c>
      <c r="BX57" s="23">
        <f>BX46-BS!BX9</f>
        <v>-22.953000000000884</v>
      </c>
      <c r="BY57" s="23">
        <f>BY46-BS!BY9</f>
        <v>-22.953000000000884</v>
      </c>
      <c r="BZ57" s="23">
        <f>BZ46-BS!BZ9</f>
        <v>-22.953000000000884</v>
      </c>
      <c r="CA57" s="23">
        <f>CA46-BS!CA9</f>
        <v>-22.953000000000884</v>
      </c>
      <c r="CB57" s="23">
        <f>CB46-BS!CB9</f>
        <v>-22.953000000000884</v>
      </c>
      <c r="CC57" s="23">
        <f>CC46-BS!CC9</f>
        <v>-22.953000000000884</v>
      </c>
      <c r="CD57" s="23">
        <f>CD46-BS!CD9</f>
        <v>-22.953000000000657</v>
      </c>
      <c r="CE57" s="23">
        <f>CE46-BS!CE9</f>
        <v>-22.953000000000884</v>
      </c>
      <c r="CF57" s="23">
        <f>CF46-BS!CF9</f>
        <v>-22.953000000000884</v>
      </c>
      <c r="CG57" s="23">
        <f>CG46-BS!CG9</f>
        <v>-22.953000000000884</v>
      </c>
      <c r="CH57" s="23">
        <f>CH46-BS!CH9</f>
        <v>-22.953000000000884</v>
      </c>
      <c r="CI57" s="23">
        <f>CI46-BS!CI9</f>
        <v>-22.953000000000884</v>
      </c>
      <c r="CJ57" s="23">
        <f>CJ46-BS!CJ9</f>
        <v>-22.953000000000884</v>
      </c>
      <c r="CK57" s="23">
        <f>CK46-BS!CK9</f>
        <v>-22.953000000000884</v>
      </c>
      <c r="CL57" s="23">
        <f>CL46-BS!CL9</f>
        <v>-22.953000000000884</v>
      </c>
      <c r="CM57" s="23">
        <f>CM46-BS!CM9</f>
        <v>-22.953000000000884</v>
      </c>
      <c r="CN57" s="23">
        <f>CN46-BS!CN9</f>
        <v>-22.953000000001339</v>
      </c>
      <c r="CO57" s="23">
        <f>CO46-BS!CO9</f>
        <v>-22.953000000001339</v>
      </c>
      <c r="CP57" s="23">
        <f>CP46-BS!CP9</f>
        <v>-22.953000000001339</v>
      </c>
      <c r="CQ57" s="23">
        <f>CQ46-BS!CQ9</f>
        <v>-22.953000000001339</v>
      </c>
      <c r="CR57" s="23">
        <f>CR46-BS!CR9</f>
        <v>-22.953000000000429</v>
      </c>
      <c r="CS57" s="23">
        <f>CS46-BS!CS9</f>
        <v>-22.953000000000429</v>
      </c>
      <c r="CT57" s="23">
        <f>CT46-BS!CT9</f>
        <v>-22.953000000000429</v>
      </c>
      <c r="CU57" s="23">
        <f>CU46-BS!CU9</f>
        <v>-22.953000000000429</v>
      </c>
      <c r="CV57" s="23">
        <f>CV46-BS!CV9</f>
        <v>-22.953000000000429</v>
      </c>
      <c r="CW57" s="23">
        <f>CW46-BS!CW9</f>
        <v>-22.953000000000429</v>
      </c>
      <c r="CX57" s="23">
        <f>CX46-BS!CX9</f>
        <v>-22.953000000000429</v>
      </c>
      <c r="CY57" s="23">
        <f>CY46-BS!CY9</f>
        <v>-22.953000000000429</v>
      </c>
      <c r="CZ57" s="23">
        <f>CZ46-BS!CZ9</f>
        <v>-22.953000000001339</v>
      </c>
      <c r="DA57" s="23">
        <f>DA46-BS!DA9</f>
        <v>-22.953000000001339</v>
      </c>
      <c r="DB57" s="23">
        <f>DB46-BS!DB9</f>
        <v>-22.953000000001339</v>
      </c>
    </row>
    <row r="58" spans="1:106" s="19" customFormat="1" ht="12.75" customHeight="1" collapsed="1">
      <c r="A58" s="19" t="s">
        <v>209</v>
      </c>
      <c r="B58" s="155"/>
      <c r="C58" s="155"/>
      <c r="D58" s="155"/>
      <c r="E58" s="155">
        <v>0</v>
      </c>
      <c r="F58" s="155">
        <f>E58</f>
        <v>0</v>
      </c>
      <c r="G58" s="155"/>
      <c r="H58" s="155">
        <v>0</v>
      </c>
      <c r="I58" s="155">
        <v>26.388999999999999</v>
      </c>
      <c r="J58" s="155">
        <f>K58</f>
        <v>201.58600000000001</v>
      </c>
      <c r="K58" s="155">
        <v>201.58600000000001</v>
      </c>
      <c r="L58" s="155">
        <v>196.59700000000001</v>
      </c>
      <c r="M58" s="155">
        <v>198.64699999999999</v>
      </c>
      <c r="N58" s="155">
        <v>157.71700000000001</v>
      </c>
      <c r="O58" s="155">
        <v>130.86000000000001</v>
      </c>
      <c r="P58" s="155">
        <f>O58</f>
        <v>130.86000000000001</v>
      </c>
      <c r="Q58" s="155">
        <v>106.69199999999999</v>
      </c>
      <c r="R58" s="155">
        <v>94.988</v>
      </c>
      <c r="S58" s="155">
        <v>135.017</v>
      </c>
      <c r="T58" s="155">
        <f>U58</f>
        <v>106.247</v>
      </c>
      <c r="U58" s="155">
        <v>106.247</v>
      </c>
      <c r="V58" s="19">
        <v>80.022999999999996</v>
      </c>
      <c r="W58" s="19">
        <v>70.900999999999996</v>
      </c>
      <c r="X58" s="19">
        <v>130.89099999999999</v>
      </c>
      <c r="Y58" s="19">
        <v>107.461</v>
      </c>
      <c r="Z58" s="19">
        <f>Y58</f>
        <v>107.461</v>
      </c>
      <c r="AA58" s="155">
        <v>93.805000000000007</v>
      </c>
      <c r="AB58" s="155">
        <v>208.053</v>
      </c>
      <c r="AC58" s="155">
        <v>186.7</v>
      </c>
      <c r="AD58" s="155">
        <v>379.065</v>
      </c>
      <c r="AE58" s="155">
        <f>AD58</f>
        <v>379.065</v>
      </c>
      <c r="AF58" s="155">
        <v>331.68099999999998</v>
      </c>
      <c r="AG58" s="155">
        <v>493.85199999999998</v>
      </c>
      <c r="AH58" s="155">
        <v>600.20500000000004</v>
      </c>
      <c r="AI58" s="155">
        <v>688.60599999999999</v>
      </c>
      <c r="AJ58" s="155">
        <f>AI58</f>
        <v>688.60599999999999</v>
      </c>
      <c r="AK58" s="155">
        <v>588.44600000000003</v>
      </c>
      <c r="AL58" s="155">
        <v>517.43200000000002</v>
      </c>
      <c r="AM58" s="155">
        <v>928.596</v>
      </c>
      <c r="AN58" s="155">
        <v>829.89599999999996</v>
      </c>
      <c r="AO58" s="155">
        <f>AN58</f>
        <v>829.89599999999996</v>
      </c>
      <c r="AP58" s="155">
        <v>593.66</v>
      </c>
      <c r="AQ58" s="155">
        <v>547.35299999999995</v>
      </c>
      <c r="AR58" s="155">
        <v>464.11200000000002</v>
      </c>
      <c r="AS58" s="155">
        <v>432.30099999999999</v>
      </c>
      <c r="AT58" s="155">
        <f>AS58</f>
        <v>432.30099999999999</v>
      </c>
      <c r="AU58" s="155">
        <v>408.858</v>
      </c>
      <c r="AV58" s="155">
        <v>354.82799999999997</v>
      </c>
      <c r="AW58" s="155">
        <v>267.84699999999998</v>
      </c>
      <c r="AX58" s="155">
        <v>236.88200000000001</v>
      </c>
      <c r="AY58" s="155">
        <f>AX58</f>
        <v>236.88200000000001</v>
      </c>
      <c r="AZ58" s="155">
        <v>69.120999999999995</v>
      </c>
      <c r="BA58" s="155">
        <v>90.299000000000007</v>
      </c>
      <c r="BB58" s="155">
        <v>29.49</v>
      </c>
      <c r="BC58" s="155">
        <v>22.689</v>
      </c>
      <c r="BD58" s="155">
        <f>BC58</f>
        <v>22.689</v>
      </c>
      <c r="BE58" s="11">
        <v>17.832000000000001</v>
      </c>
      <c r="BF58" s="11">
        <v>15.975</v>
      </c>
      <c r="BG58" s="19">
        <v>1</v>
      </c>
    </row>
    <row r="59" spans="1:106" s="19" customFormat="1" ht="12.75" customHeight="1">
      <c r="A59" s="19" t="s">
        <v>212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9">
        <f>5.674</f>
        <v>5.6740000000000004</v>
      </c>
      <c r="W59" s="19">
        <v>5.6120000000000001</v>
      </c>
      <c r="X59" s="19">
        <f>4.222</f>
        <v>4.2220000000000004</v>
      </c>
      <c r="Y59" s="19">
        <f>4.597-0.342</f>
        <v>4.2550000000000008</v>
      </c>
      <c r="Z59" s="19">
        <f>Y59-0.059</f>
        <v>4.1960000000000006</v>
      </c>
      <c r="AA59" s="155">
        <v>0.39900000000000002</v>
      </c>
      <c r="AB59" s="155">
        <v>5.5E-2</v>
      </c>
      <c r="AC59" s="155">
        <v>5.5E-2</v>
      </c>
      <c r="AD59" s="155">
        <v>5.5E-2</v>
      </c>
      <c r="AE59" s="155">
        <f>AD59</f>
        <v>5.5E-2</v>
      </c>
      <c r="AF59" s="155">
        <v>5.5E-2</v>
      </c>
      <c r="AG59" s="155">
        <v>5.5E-2</v>
      </c>
      <c r="AH59" s="155">
        <v>0.17799999999999999</v>
      </c>
      <c r="AI59" s="155">
        <v>0.187</v>
      </c>
      <c r="AJ59" s="155">
        <f>AI59</f>
        <v>0.187</v>
      </c>
      <c r="AK59" s="155">
        <v>0.16300000000000001</v>
      </c>
      <c r="AL59" s="155">
        <v>0.22800000000000001</v>
      </c>
      <c r="AM59" s="155">
        <v>0.22800000000000001</v>
      </c>
      <c r="AN59" s="155">
        <v>0.22800000000000001</v>
      </c>
      <c r="AO59" s="155">
        <f>AN59</f>
        <v>0.22800000000000001</v>
      </c>
      <c r="AP59" s="155">
        <v>0.22800000000000001</v>
      </c>
      <c r="AQ59" s="155">
        <v>8.5999999999999993E-2</v>
      </c>
      <c r="AR59" s="155">
        <v>8.5999999999999993E-2</v>
      </c>
      <c r="AS59" s="155">
        <v>8.5999999999999993E-2</v>
      </c>
      <c r="AT59" s="155">
        <f>AS59</f>
        <v>8.5999999999999993E-2</v>
      </c>
      <c r="AU59" s="155">
        <v>0</v>
      </c>
      <c r="AV59" s="155">
        <v>0</v>
      </c>
      <c r="AW59" s="155">
        <v>0</v>
      </c>
      <c r="AX59" s="155">
        <v>0</v>
      </c>
      <c r="AY59" s="155">
        <v>0</v>
      </c>
      <c r="AZ59" s="155">
        <v>0</v>
      </c>
      <c r="BA59" s="155">
        <v>0</v>
      </c>
      <c r="BB59" s="155">
        <v>0</v>
      </c>
      <c r="BC59" s="155"/>
      <c r="BD59" s="155"/>
      <c r="BE59" s="155"/>
    </row>
    <row r="60" spans="1:106" s="19" customFormat="1" ht="12.75" customHeight="1"/>
    <row r="61" spans="1:106" s="19" customFormat="1" ht="12.75" customHeight="1">
      <c r="A61" s="19" t="s">
        <v>171</v>
      </c>
      <c r="C61" s="19">
        <f t="shared" ref="C61:O61" si="231">C22+C27</f>
        <v>-11.352</v>
      </c>
      <c r="D61" s="19">
        <f t="shared" si="231"/>
        <v>6.0060000000000002</v>
      </c>
      <c r="E61" s="19">
        <f t="shared" si="231"/>
        <v>5.8789999999999987</v>
      </c>
      <c r="F61" s="19">
        <f t="shared" si="231"/>
        <v>0.53299999999999947</v>
      </c>
      <c r="G61" s="19">
        <f t="shared" si="231"/>
        <v>-6.24</v>
      </c>
      <c r="H61" s="19">
        <f t="shared" si="231"/>
        <v>-15.697000000000001</v>
      </c>
      <c r="I61" s="19">
        <f t="shared" si="231"/>
        <v>-17.658000000000001</v>
      </c>
      <c r="J61" s="19">
        <f t="shared" si="231"/>
        <v>-6.0890000000000111</v>
      </c>
      <c r="K61" s="19">
        <f t="shared" si="231"/>
        <v>-45.684000000000012</v>
      </c>
      <c r="L61" s="19">
        <f t="shared" si="231"/>
        <v>-3.0130000000000003</v>
      </c>
      <c r="M61" s="19">
        <f t="shared" si="231"/>
        <v>-24.487999999999992</v>
      </c>
      <c r="N61" s="19">
        <f t="shared" si="231"/>
        <v>-31.481999999999999</v>
      </c>
      <c r="O61" s="19">
        <f t="shared" si="231"/>
        <v>-38.055</v>
      </c>
      <c r="Q61" s="19">
        <f t="shared" ref="Q61:BC61" si="232">Q22+Q27</f>
        <v>-30.641000000000002</v>
      </c>
      <c r="R61" s="19">
        <f t="shared" si="232"/>
        <v>-15.491000000000003</v>
      </c>
      <c r="S61" s="19">
        <f t="shared" si="232"/>
        <v>-31.663999999999998</v>
      </c>
      <c r="T61" s="19">
        <f t="shared" si="232"/>
        <v>-28.862999999999992</v>
      </c>
      <c r="U61" s="19">
        <f t="shared" si="232"/>
        <v>-106.65899999999999</v>
      </c>
      <c r="V61" s="19">
        <f t="shared" si="232"/>
        <v>0.1939999999999994</v>
      </c>
      <c r="W61" s="19">
        <f t="shared" si="232"/>
        <v>-35.917999999999999</v>
      </c>
      <c r="X61" s="19">
        <f t="shared" si="232"/>
        <v>-23.814</v>
      </c>
      <c r="Y61" s="19">
        <f t="shared" si="232"/>
        <v>-14.922999999999991</v>
      </c>
      <c r="Z61" s="19">
        <f t="shared" si="232"/>
        <v>-74.460999999999984</v>
      </c>
      <c r="AA61" s="19">
        <f t="shared" si="232"/>
        <v>-32.774000000000001</v>
      </c>
      <c r="AB61" s="19">
        <f t="shared" si="232"/>
        <v>-4.5760000000000094</v>
      </c>
      <c r="AC61" s="19">
        <f t="shared" si="232"/>
        <v>-13.593999999999994</v>
      </c>
      <c r="AD61" s="19">
        <f t="shared" si="232"/>
        <v>-17.468</v>
      </c>
      <c r="AE61" s="19">
        <f t="shared" si="232"/>
        <v>-68.411999999999992</v>
      </c>
      <c r="AF61" s="19">
        <f t="shared" si="232"/>
        <v>-43.017000000000003</v>
      </c>
      <c r="AG61" s="19">
        <f t="shared" si="232"/>
        <v>-43.192999999999998</v>
      </c>
      <c r="AH61" s="19">
        <f t="shared" si="232"/>
        <v>-35.073</v>
      </c>
      <c r="AI61" s="19">
        <f t="shared" si="232"/>
        <v>-80.832999999999998</v>
      </c>
      <c r="AJ61" s="19">
        <f t="shared" si="232"/>
        <v>-202.11599999999999</v>
      </c>
      <c r="AK61" s="19">
        <f t="shared" si="232"/>
        <v>-85.13600000000001</v>
      </c>
      <c r="AL61" s="19">
        <f t="shared" si="232"/>
        <v>-79.19399999999996</v>
      </c>
      <c r="AM61" s="19">
        <f t="shared" si="232"/>
        <v>-104.19699999999999</v>
      </c>
      <c r="AN61" s="19">
        <f t="shared" si="232"/>
        <v>-107.73900000000005</v>
      </c>
      <c r="AO61" s="19">
        <f t="shared" si="232"/>
        <v>-376.26600000000008</v>
      </c>
      <c r="AP61" s="19">
        <f t="shared" si="232"/>
        <v>-153.16199999999995</v>
      </c>
      <c r="AQ61" s="19">
        <f t="shared" si="232"/>
        <v>-118.62499999999999</v>
      </c>
      <c r="AR61" s="19">
        <f t="shared" si="232"/>
        <v>-114.45700000000005</v>
      </c>
      <c r="AS61" s="19">
        <f t="shared" si="232"/>
        <v>-92.953999999999979</v>
      </c>
      <c r="AT61" s="19">
        <f t="shared" si="232"/>
        <v>-479.19800000000004</v>
      </c>
      <c r="AU61" s="19">
        <f t="shared" si="232"/>
        <v>-92.488000000000028</v>
      </c>
      <c r="AV61" s="19">
        <f t="shared" si="232"/>
        <v>-87.353000000000009</v>
      </c>
      <c r="AW61" s="19">
        <f t="shared" si="232"/>
        <v>-38.655999999999985</v>
      </c>
      <c r="AX61" s="19">
        <f t="shared" si="232"/>
        <v>-67.656999999999996</v>
      </c>
      <c r="AY61" s="19">
        <f t="shared" si="232"/>
        <v>-286.154</v>
      </c>
      <c r="AZ61" s="19">
        <f t="shared" si="232"/>
        <v>6.6860000000000035</v>
      </c>
      <c r="BA61" s="19">
        <f t="shared" si="232"/>
        <v>-7.6880000000000015</v>
      </c>
      <c r="BB61" s="19">
        <f t="shared" si="232"/>
        <v>35.474000000000018</v>
      </c>
      <c r="BC61" s="19">
        <f t="shared" si="232"/>
        <v>34.768999999999998</v>
      </c>
      <c r="BD61" s="19">
        <f>SUM(AZ61:BC61)</f>
        <v>69.241000000000014</v>
      </c>
      <c r="BE61" s="19">
        <f t="shared" ref="BE61:CJ61" si="233">BE22+BE27</f>
        <v>22.636999999999997</v>
      </c>
      <c r="BF61" s="19">
        <f t="shared" si="233"/>
        <v>11.67700000000001</v>
      </c>
      <c r="BG61" s="19">
        <f>BG22+BG27</f>
        <v>36.981999999999999</v>
      </c>
      <c r="BH61" s="19">
        <f t="shared" si="233"/>
        <v>32.315800000000102</v>
      </c>
      <c r="BI61" s="19">
        <f t="shared" si="233"/>
        <v>103.6118000000001</v>
      </c>
      <c r="BJ61" s="19">
        <f t="shared" si="233"/>
        <v>91.497264184536164</v>
      </c>
      <c r="BK61" s="19">
        <f t="shared" si="233"/>
        <v>-42.839804331731408</v>
      </c>
      <c r="BL61" s="19">
        <f t="shared" si="233"/>
        <v>-24.730541469319718</v>
      </c>
      <c r="BM61" s="19">
        <f t="shared" si="233"/>
        <v>1.5502089912592858</v>
      </c>
      <c r="BN61" s="19">
        <f t="shared" si="233"/>
        <v>25.477127374744313</v>
      </c>
      <c r="BO61" s="19">
        <f t="shared" si="233"/>
        <v>22.299952116883802</v>
      </c>
      <c r="BP61" s="19">
        <f t="shared" si="233"/>
        <v>-7.1612115565466183</v>
      </c>
      <c r="BQ61" s="19">
        <f t="shared" si="233"/>
        <v>10.121781657409546</v>
      </c>
      <c r="BR61" s="19">
        <f t="shared" si="233"/>
        <v>25.667982458227584</v>
      </c>
      <c r="BS61" s="19">
        <f t="shared" si="233"/>
        <v>50.928504675974295</v>
      </c>
      <c r="BT61" s="19">
        <f t="shared" si="233"/>
        <v>70.063598876630209</v>
      </c>
      <c r="BU61" s="19">
        <f t="shared" si="233"/>
        <v>44.84239407516263</v>
      </c>
      <c r="BV61" s="19">
        <f t="shared" si="233"/>
        <v>64.632827591661709</v>
      </c>
      <c r="BW61" s="19">
        <f t="shared" si="233"/>
        <v>85.240096607346302</v>
      </c>
      <c r="BX61" s="19">
        <f t="shared" si="233"/>
        <v>264.77891715080085</v>
      </c>
      <c r="BY61" s="19">
        <f t="shared" si="233"/>
        <v>136.94774307662993</v>
      </c>
      <c r="BZ61" s="19">
        <f t="shared" si="233"/>
        <v>104.23991177078987</v>
      </c>
      <c r="CA61" s="19">
        <f t="shared" si="233"/>
        <v>129.98180719419011</v>
      </c>
      <c r="CB61" s="19">
        <f t="shared" si="233"/>
        <v>150.06075029797486</v>
      </c>
      <c r="CC61" s="19">
        <f t="shared" si="233"/>
        <v>521.2302123395848</v>
      </c>
      <c r="CD61" s="19">
        <f t="shared" si="233"/>
        <v>211.067227045647</v>
      </c>
      <c r="CE61" s="19">
        <f t="shared" si="233"/>
        <v>176.40352028699678</v>
      </c>
      <c r="CF61" s="19">
        <f t="shared" si="233"/>
        <v>203.71084359531511</v>
      </c>
      <c r="CG61" s="19">
        <f t="shared" si="233"/>
        <v>227.74923298621601</v>
      </c>
      <c r="CH61" s="19">
        <f t="shared" si="233"/>
        <v>818.93082391417488</v>
      </c>
      <c r="CI61" s="19">
        <f t="shared" si="233"/>
        <v>288.05827029324786</v>
      </c>
      <c r="CJ61" s="19">
        <f t="shared" si="233"/>
        <v>245.17769512912076</v>
      </c>
      <c r="CK61" s="19">
        <f t="shared" ref="CK61:DB61" si="234">CK22+CK27</f>
        <v>271.20774420517017</v>
      </c>
      <c r="CL61" s="19">
        <f t="shared" si="234"/>
        <v>292.98318683729491</v>
      </c>
      <c r="CM61" s="19">
        <f t="shared" si="234"/>
        <v>1097.4268964648338</v>
      </c>
      <c r="CN61" s="19">
        <f t="shared" si="234"/>
        <v>358.374676726703</v>
      </c>
      <c r="CO61" s="19">
        <f t="shared" si="234"/>
        <v>311.26171204726239</v>
      </c>
      <c r="CP61" s="19">
        <f t="shared" si="234"/>
        <v>339.50062339774132</v>
      </c>
      <c r="CQ61" s="19">
        <f t="shared" si="234"/>
        <v>362.83500266523089</v>
      </c>
      <c r="CR61" s="19">
        <f t="shared" si="234"/>
        <v>1371.9720148369377</v>
      </c>
      <c r="CS61" s="19">
        <f t="shared" si="234"/>
        <v>433.74974355809707</v>
      </c>
      <c r="CT61" s="19">
        <f t="shared" si="234"/>
        <v>382.78768769355787</v>
      </c>
      <c r="CU61" s="19">
        <f t="shared" si="234"/>
        <v>413.86936751421945</v>
      </c>
      <c r="CV61" s="19">
        <f t="shared" si="234"/>
        <v>439.29141704317891</v>
      </c>
      <c r="CW61" s="19">
        <f t="shared" si="234"/>
        <v>1669.6982158090534</v>
      </c>
      <c r="CX61" s="19">
        <f t="shared" si="234"/>
        <v>501.75673938018292</v>
      </c>
      <c r="CY61" s="19">
        <f t="shared" si="234"/>
        <v>442.64374131856061</v>
      </c>
      <c r="CZ61" s="19">
        <f t="shared" si="234"/>
        <v>472.26197426256192</v>
      </c>
      <c r="DA61" s="19">
        <f t="shared" si="234"/>
        <v>495.42279614417544</v>
      </c>
      <c r="DB61" s="19">
        <f t="shared" si="234"/>
        <v>1912.0852511054809</v>
      </c>
    </row>
    <row r="62" spans="1:106" s="19" customFormat="1" ht="12.75" customHeight="1">
      <c r="A62" s="19" t="s">
        <v>15</v>
      </c>
    </row>
    <row r="63" spans="1:106" s="11" customFormat="1" ht="12.75" customHeight="1">
      <c r="A63" s="11" t="s">
        <v>170</v>
      </c>
      <c r="B63" s="154"/>
      <c r="C63" s="154"/>
      <c r="D63" s="154"/>
      <c r="E63" s="154"/>
      <c r="F63" s="154"/>
    </row>
    <row r="64" spans="1:106" s="11" customFormat="1" ht="12.75" customHeight="1">
      <c r="B64" s="154"/>
      <c r="C64" s="154"/>
      <c r="D64" s="154"/>
      <c r="E64" s="154"/>
      <c r="F64" s="154"/>
    </row>
    <row r="65" spans="1:61" s="11" customFormat="1" ht="12.75" customHeight="1">
      <c r="A65" s="10" t="s">
        <v>216</v>
      </c>
      <c r="B65" s="154"/>
      <c r="C65" s="154"/>
      <c r="D65" s="154"/>
      <c r="E65" s="154"/>
      <c r="F65" s="154"/>
      <c r="AP65" s="11">
        <f>AP22+AP27+AP38-13.4</f>
        <v>-162.40599999999995</v>
      </c>
      <c r="AQ65" s="11">
        <f>AQ22+AQ27+AQ38</f>
        <v>-109.70699999999998</v>
      </c>
      <c r="AR65" s="11">
        <f>AR22+AR27+AR38</f>
        <v>-113.06400000000005</v>
      </c>
      <c r="AS65" s="11">
        <f>AS22+AS27</f>
        <v>-92.953999999999979</v>
      </c>
      <c r="AT65" s="11">
        <f>SUM(AP65:AS65)</f>
        <v>-478.13099999999997</v>
      </c>
      <c r="AU65" s="11">
        <f>AU22+AU27+AU38+3.8</f>
        <v>-86.387000000000029</v>
      </c>
      <c r="AV65" s="11">
        <f>AV22+AV27+AV38</f>
        <v>-78.041000000000011</v>
      </c>
      <c r="AW65" s="11">
        <f>AW22+AW27+AW26</f>
        <v>-38.655999999999985</v>
      </c>
      <c r="AX65" s="11">
        <f>AX22+AX27+AX38+AX26</f>
        <v>-60.811999999999998</v>
      </c>
      <c r="AY65" s="11">
        <f>SUM(AU65:AX65)</f>
        <v>-263.89600000000002</v>
      </c>
      <c r="AZ65" s="11">
        <f>AZ22+AZ27+AZ38+AZ26</f>
        <v>2.6570000000000054</v>
      </c>
      <c r="BA65" s="11">
        <f>BA22+BA27+BA38+BA26</f>
        <v>3.355999999999999</v>
      </c>
      <c r="BB65" s="11">
        <f>BB22+BB27+BB38-2.67</f>
        <v>34.524000000000015</v>
      </c>
      <c r="BC65" s="11">
        <f>BC22+BC27+BC38+BC26</f>
        <v>45.742999999999995</v>
      </c>
      <c r="BD65" s="11">
        <f>SUM(AZ65:BC65)</f>
        <v>86.280000000000015</v>
      </c>
    </row>
    <row r="66" spans="1:61" s="11" customFormat="1" ht="12.75" customHeight="1">
      <c r="A66" s="11" t="s">
        <v>220</v>
      </c>
      <c r="B66" s="154"/>
      <c r="C66" s="154"/>
      <c r="D66" s="154"/>
      <c r="E66" s="154"/>
      <c r="F66" s="154"/>
      <c r="AP66" s="11">
        <v>-162</v>
      </c>
      <c r="AQ66" s="11">
        <v>-110</v>
      </c>
      <c r="AR66" s="11">
        <v>-113</v>
      </c>
      <c r="AS66" s="11">
        <v>-88</v>
      </c>
      <c r="AT66" s="11">
        <f>SUM(AP66:AS66)</f>
        <v>-473</v>
      </c>
      <c r="AU66" s="11">
        <v>-86</v>
      </c>
      <c r="AV66" s="11">
        <v>-78</v>
      </c>
      <c r="AW66" s="11">
        <v>-38</v>
      </c>
      <c r="AX66" s="11">
        <v>-61</v>
      </c>
      <c r="AY66" s="11">
        <f>SUM(AU66:AX66)</f>
        <v>-263</v>
      </c>
      <c r="AZ66" s="11">
        <v>3</v>
      </c>
      <c r="BA66" s="11">
        <v>3</v>
      </c>
      <c r="BB66" s="11">
        <v>34.5</v>
      </c>
      <c r="BC66" s="11">
        <v>45.7</v>
      </c>
      <c r="BE66" s="11">
        <v>23.181000000000001</v>
      </c>
      <c r="BF66" s="11">
        <v>24.253</v>
      </c>
      <c r="BG66" s="11">
        <v>26.417000000000002</v>
      </c>
    </row>
    <row r="67" spans="1:61" ht="12.75" customHeight="1"/>
    <row r="68" spans="1:61" s="19" customFormat="1" ht="12.75" customHeight="1">
      <c r="A68" s="19" t="s">
        <v>173</v>
      </c>
      <c r="L68" s="19">
        <f t="shared" ref="L68:AQ68" si="235">L22+L27</f>
        <v>-3.0130000000000003</v>
      </c>
      <c r="M68" s="19">
        <f t="shared" si="235"/>
        <v>-24.487999999999992</v>
      </c>
      <c r="N68" s="19">
        <f t="shared" si="235"/>
        <v>-31.481999999999999</v>
      </c>
      <c r="O68" s="19">
        <f t="shared" si="235"/>
        <v>-38.055</v>
      </c>
      <c r="P68" s="19">
        <f>P22+P27</f>
        <v>-97.037999999999982</v>
      </c>
      <c r="Q68" s="19">
        <f t="shared" si="235"/>
        <v>-30.641000000000002</v>
      </c>
      <c r="R68" s="19">
        <f t="shared" si="235"/>
        <v>-15.491000000000003</v>
      </c>
      <c r="S68" s="19">
        <f t="shared" si="235"/>
        <v>-31.663999999999998</v>
      </c>
      <c r="T68" s="19">
        <f t="shared" si="235"/>
        <v>-28.862999999999992</v>
      </c>
      <c r="U68" s="19">
        <f t="shared" si="235"/>
        <v>-106.65899999999999</v>
      </c>
      <c r="V68" s="19">
        <f t="shared" si="235"/>
        <v>0.1939999999999994</v>
      </c>
      <c r="W68" s="19">
        <f t="shared" si="235"/>
        <v>-35.917999999999999</v>
      </c>
      <c r="X68" s="19">
        <f t="shared" si="235"/>
        <v>-23.814</v>
      </c>
      <c r="Y68" s="19">
        <f t="shared" si="235"/>
        <v>-14.922999999999991</v>
      </c>
      <c r="Z68" s="19">
        <f t="shared" si="235"/>
        <v>-74.460999999999984</v>
      </c>
      <c r="AA68" s="19">
        <f t="shared" si="235"/>
        <v>-32.774000000000001</v>
      </c>
      <c r="AB68" s="19">
        <f t="shared" si="235"/>
        <v>-4.5760000000000094</v>
      </c>
      <c r="AC68" s="19">
        <f t="shared" si="235"/>
        <v>-13.593999999999994</v>
      </c>
      <c r="AD68" s="19">
        <f t="shared" si="235"/>
        <v>-17.468</v>
      </c>
      <c r="AE68" s="19">
        <f t="shared" si="235"/>
        <v>-68.411999999999992</v>
      </c>
      <c r="AF68" s="19">
        <f t="shared" si="235"/>
        <v>-43.017000000000003</v>
      </c>
      <c r="AG68" s="19">
        <f t="shared" si="235"/>
        <v>-43.192999999999998</v>
      </c>
      <c r="AH68" s="19">
        <f t="shared" si="235"/>
        <v>-35.073</v>
      </c>
      <c r="AI68" s="19">
        <f t="shared" si="235"/>
        <v>-80.832999999999998</v>
      </c>
      <c r="AJ68" s="19">
        <f t="shared" si="235"/>
        <v>-202.11599999999999</v>
      </c>
      <c r="AK68" s="19">
        <f t="shared" si="235"/>
        <v>-85.13600000000001</v>
      </c>
      <c r="AL68" s="19">
        <f t="shared" si="235"/>
        <v>-79.19399999999996</v>
      </c>
      <c r="AM68" s="19">
        <f t="shared" si="235"/>
        <v>-104.19699999999999</v>
      </c>
      <c r="AN68" s="19">
        <f t="shared" si="235"/>
        <v>-107.73900000000005</v>
      </c>
      <c r="AO68" s="19">
        <f t="shared" si="235"/>
        <v>-376.26600000000008</v>
      </c>
      <c r="AP68" s="19">
        <f t="shared" si="235"/>
        <v>-153.16199999999995</v>
      </c>
      <c r="AQ68" s="19">
        <f t="shared" si="235"/>
        <v>-118.62499999999999</v>
      </c>
      <c r="AR68" s="19">
        <f t="shared" ref="AR68:BI68" si="236">AR22+AR27</f>
        <v>-114.45700000000005</v>
      </c>
      <c r="AS68" s="19">
        <f t="shared" si="236"/>
        <v>-92.953999999999979</v>
      </c>
      <c r="AT68" s="19">
        <f t="shared" si="236"/>
        <v>-479.19800000000004</v>
      </c>
      <c r="AU68" s="19">
        <f t="shared" si="236"/>
        <v>-92.488000000000028</v>
      </c>
      <c r="AV68" s="19">
        <f t="shared" si="236"/>
        <v>-87.353000000000009</v>
      </c>
      <c r="AW68" s="19">
        <f t="shared" si="236"/>
        <v>-38.655999999999985</v>
      </c>
      <c r="AX68" s="19">
        <f t="shared" si="236"/>
        <v>-67.656999999999996</v>
      </c>
      <c r="AY68" s="19">
        <f t="shared" si="236"/>
        <v>-286.154</v>
      </c>
      <c r="AZ68" s="19">
        <f t="shared" si="236"/>
        <v>6.6860000000000035</v>
      </c>
      <c r="BA68" s="19">
        <f t="shared" si="236"/>
        <v>-7.6880000000000015</v>
      </c>
      <c r="BB68" s="19">
        <f t="shared" si="236"/>
        <v>35.474000000000018</v>
      </c>
      <c r="BC68" s="19">
        <f t="shared" si="236"/>
        <v>34.768999999999998</v>
      </c>
      <c r="BD68" s="19">
        <f t="shared" si="236"/>
        <v>69.240999999999985</v>
      </c>
      <c r="BE68" s="19">
        <f t="shared" si="236"/>
        <v>22.636999999999997</v>
      </c>
      <c r="BF68" s="19">
        <f t="shared" si="236"/>
        <v>11.67700000000001</v>
      </c>
      <c r="BG68" s="19">
        <f t="shared" si="236"/>
        <v>36.981999999999999</v>
      </c>
      <c r="BH68" s="19">
        <f t="shared" si="236"/>
        <v>32.315800000000102</v>
      </c>
      <c r="BI68" s="19">
        <f t="shared" si="236"/>
        <v>103.6118000000001</v>
      </c>
    </row>
    <row r="69" spans="1:61" ht="12.75" customHeight="1">
      <c r="A69" s="12" t="s">
        <v>174</v>
      </c>
    </row>
    <row r="70" spans="1:61" ht="12.75" customHeight="1"/>
    <row r="71" spans="1:61" ht="12.75" customHeight="1">
      <c r="A71" s="12" t="s">
        <v>181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61" ht="12.75" customHeight="1">
      <c r="AB72" s="113" t="s">
        <v>207</v>
      </c>
      <c r="AG72" s="113" t="s">
        <v>207</v>
      </c>
    </row>
    <row r="73" spans="1:61" s="11" customFormat="1" ht="12.75" customHeight="1">
      <c r="A73" s="11" t="s">
        <v>178</v>
      </c>
      <c r="G73" s="22"/>
      <c r="H73" s="22"/>
      <c r="K73" s="11">
        <v>2.06</v>
      </c>
      <c r="L73" s="22"/>
      <c r="M73" s="22"/>
      <c r="P73" s="11">
        <v>0</v>
      </c>
      <c r="Q73" s="22"/>
      <c r="R73" s="22"/>
      <c r="U73" s="11">
        <v>3.5680000000000001</v>
      </c>
      <c r="V73" s="22"/>
      <c r="W73" s="22"/>
      <c r="X73" s="22"/>
      <c r="Z73" s="11">
        <v>7.9139999999999997</v>
      </c>
      <c r="AA73" s="22"/>
      <c r="AB73" s="22">
        <v>7.343</v>
      </c>
      <c r="AC73" s="22">
        <f>9.894-AB73</f>
        <v>2.5510000000000002</v>
      </c>
      <c r="AD73" s="11">
        <f>AE73-SUM(AB73:AC73)</f>
        <v>2.5609999999999999</v>
      </c>
      <c r="AE73" s="11">
        <v>12.455</v>
      </c>
      <c r="AG73" s="11">
        <v>2.976</v>
      </c>
      <c r="AH73" s="11">
        <f>3.137-AG73</f>
        <v>0.16100000000000003</v>
      </c>
      <c r="AI73" s="11">
        <f>AJ73-SUM(AG73:AH73)</f>
        <v>0.15899999999999981</v>
      </c>
      <c r="AJ73" s="11">
        <v>3.2959999999999998</v>
      </c>
      <c r="AK73" s="11">
        <v>0.152</v>
      </c>
      <c r="AL73" s="11">
        <f>3.538-AK73</f>
        <v>3.3859999999999997</v>
      </c>
      <c r="AM73" s="11">
        <f>3.69-AL73-AK73</f>
        <v>0.15200000000000027</v>
      </c>
      <c r="AN73" s="11">
        <f>AO73-SUM(AK73:AM73)</f>
        <v>3.387</v>
      </c>
      <c r="AO73" s="11">
        <v>7.077</v>
      </c>
      <c r="AP73" s="11">
        <v>0.159</v>
      </c>
      <c r="AQ73" s="11">
        <f>3.6-AP73</f>
        <v>3.4410000000000003</v>
      </c>
      <c r="AR73" s="11">
        <f>4.008-AQ73-AP73</f>
        <v>0.4079999999999997</v>
      </c>
      <c r="AS73" s="11">
        <f>AT73-SUM(AP73:AR73)</f>
        <v>4.0520000000000005</v>
      </c>
      <c r="AT73" s="11">
        <v>8.06</v>
      </c>
      <c r="AU73" s="11">
        <v>1.1240000000000001</v>
      </c>
      <c r="AV73" s="11">
        <f>5.596-AU73</f>
        <v>4.4719999999999995</v>
      </c>
      <c r="AW73" s="11">
        <f>6.907-AV73-AU73</f>
        <v>1.3110000000000004</v>
      </c>
      <c r="AX73" s="11">
        <f>AY73-SUM(AU73:AW73)</f>
        <v>4.4390000000000001</v>
      </c>
      <c r="AY73" s="11">
        <v>11.346</v>
      </c>
      <c r="AZ73" s="11">
        <v>1.179</v>
      </c>
      <c r="BA73" s="11">
        <f>5.592-AZ73</f>
        <v>4.4129999999999994</v>
      </c>
      <c r="BB73" s="11">
        <v>6.7850000000000001</v>
      </c>
      <c r="BD73" s="11">
        <v>7.8970000000000002</v>
      </c>
      <c r="BE73" s="11">
        <v>1.0049999999999999</v>
      </c>
      <c r="BF73" s="11">
        <f>2.034-BE73</f>
        <v>1.0289999999999999</v>
      </c>
      <c r="BG73" s="11">
        <f>3.078-SUM(BE73:BF73)</f>
        <v>1.044</v>
      </c>
    </row>
    <row r="74" spans="1:61" s="11" customFormat="1" ht="12.75" customHeight="1">
      <c r="A74" s="11" t="s">
        <v>213</v>
      </c>
      <c r="G74" s="22"/>
      <c r="H74" s="22"/>
      <c r="L74" s="22"/>
      <c r="M74" s="22"/>
      <c r="Q74" s="22"/>
      <c r="R74" s="22"/>
      <c r="V74" s="22"/>
      <c r="W74" s="22"/>
      <c r="X74" s="22"/>
      <c r="Z74" s="11">
        <v>0.33200000000000002</v>
      </c>
      <c r="AA74" s="22"/>
      <c r="AB74" s="22"/>
      <c r="AC74" s="22"/>
      <c r="AE74" s="11">
        <v>2.1539999999999999</v>
      </c>
      <c r="AJ74" s="11">
        <v>6.7000000000000004E-2</v>
      </c>
      <c r="AO74" s="11">
        <v>0.28299999999999997</v>
      </c>
      <c r="AT74" s="11">
        <v>0.54900000000000004</v>
      </c>
      <c r="AY74" s="11">
        <v>0.29499999999999998</v>
      </c>
      <c r="BD74" s="11">
        <v>1.3069999999999999</v>
      </c>
    </row>
    <row r="75" spans="1:61" ht="12.75" customHeight="1"/>
    <row r="76" spans="1:61" ht="12.75" customHeight="1">
      <c r="A76" s="12" t="s">
        <v>498</v>
      </c>
      <c r="AY76" s="12">
        <v>19.774000000000001</v>
      </c>
      <c r="BA76" s="12">
        <f>24.071-AZ76</f>
        <v>24.071000000000002</v>
      </c>
      <c r="BD76" s="12">
        <v>24.071000000000002</v>
      </c>
      <c r="BF76" s="12">
        <f>32.875-BE76</f>
        <v>32.875</v>
      </c>
      <c r="BG76" s="12">
        <f>32.875-BE76-BF76</f>
        <v>0</v>
      </c>
    </row>
    <row r="77" spans="1:61" ht="12.75" customHeight="1"/>
    <row r="78" spans="1:61" ht="12.75" customHeight="1"/>
    <row r="79" spans="1:61" ht="12.75" hidden="1" customHeight="1" outlineLevel="1"/>
    <row r="80" spans="1:61" ht="12.75" hidden="1" customHeight="1" outlineLevel="1">
      <c r="A80" s="11" t="s">
        <v>6</v>
      </c>
      <c r="BG80" s="12">
        <v>-255.41800000000001</v>
      </c>
    </row>
    <row r="81" spans="1:104" ht="12.75" hidden="1" customHeight="1" outlineLevel="1">
      <c r="A81" s="11" t="s">
        <v>397</v>
      </c>
      <c r="BG81" s="12">
        <v>29.388000000000002</v>
      </c>
    </row>
    <row r="82" spans="1:104" ht="12.75" hidden="1" customHeight="1" outlineLevel="1">
      <c r="A82" s="11" t="s">
        <v>153</v>
      </c>
      <c r="BG82" s="12">
        <v>0</v>
      </c>
    </row>
    <row r="83" spans="1:104" ht="12.75" hidden="1" customHeight="1" outlineLevel="1">
      <c r="A83" s="11" t="s">
        <v>68</v>
      </c>
      <c r="BG83" s="12">
        <v>0</v>
      </c>
    </row>
    <row r="84" spans="1:104" ht="12.75" hidden="1" customHeight="1" outlineLevel="1">
      <c r="A84" s="11" t="s">
        <v>69</v>
      </c>
      <c r="BG84" s="12">
        <v>261.822</v>
      </c>
    </row>
    <row r="85" spans="1:104" ht="12.75" hidden="1" customHeight="1" outlineLevel="1">
      <c r="A85" s="11" t="s">
        <v>151</v>
      </c>
      <c r="BG85" s="12">
        <v>0</v>
      </c>
    </row>
    <row r="86" spans="1:104" ht="12.75" hidden="1" customHeight="1" outlineLevel="1">
      <c r="A86" s="11" t="s">
        <v>70</v>
      </c>
      <c r="BG86" s="12">
        <f>0.032+14.751-1.084-3.235+0.049-0.02</f>
        <v>10.493</v>
      </c>
    </row>
    <row r="87" spans="1:104" ht="12.75" hidden="1" customHeight="1" outlineLevel="1">
      <c r="A87" s="11"/>
    </row>
    <row r="88" spans="1:104" ht="12.75" hidden="1" customHeight="1" outlineLevel="1">
      <c r="A88" s="10" t="s">
        <v>71</v>
      </c>
    </row>
    <row r="89" spans="1:104" ht="12.75" hidden="1" customHeight="1" outlineLevel="1">
      <c r="A89" s="11" t="s">
        <v>72</v>
      </c>
      <c r="BG89" s="12">
        <v>27.786000000000001</v>
      </c>
    </row>
    <row r="90" spans="1:104" ht="12.75" hidden="1" customHeight="1" outlineLevel="1">
      <c r="A90" s="11" t="s">
        <v>20</v>
      </c>
      <c r="BG90" s="12">
        <v>-19.899999999999999</v>
      </c>
    </row>
    <row r="91" spans="1:104" ht="12.75" hidden="1" customHeight="1" outlineLevel="1">
      <c r="A91" s="11" t="s">
        <v>31</v>
      </c>
      <c r="BG91" s="12">
        <v>12.346</v>
      </c>
    </row>
    <row r="92" spans="1:104" ht="12.75" hidden="1" customHeight="1" outlineLevel="1">
      <c r="A92" s="11" t="s">
        <v>32</v>
      </c>
      <c r="BG92" s="12">
        <f>-14.245+48.197+48.2</f>
        <v>82.152000000000015</v>
      </c>
    </row>
    <row r="93" spans="1:104" ht="12.75" hidden="1" customHeight="1" outlineLevel="1">
      <c r="A93" s="11" t="s">
        <v>73</v>
      </c>
      <c r="BG93" s="12">
        <f>0.088-8.982+1.638</f>
        <v>-7.2560000000000002</v>
      </c>
    </row>
    <row r="94" spans="1:104" ht="12.75" hidden="1" customHeight="1" outlineLevel="1">
      <c r="A94" s="10" t="s">
        <v>74</v>
      </c>
      <c r="BF94" s="12">
        <f>+BF80+BF81+BF82+BF83+BF84+BF85+BF86+BF89+BF90+BF91+BF92+BF93</f>
        <v>0</v>
      </c>
      <c r="BG94" s="12">
        <f>+BG80+BG81+BG82+BG83+BG84+BG85+BG86+BG89+BG90+BG91+BG92+BG93</f>
        <v>141.41300000000001</v>
      </c>
      <c r="BK94" s="12">
        <f>+BK80+BK81+BK82+BK83+BK84+BK85+BK86+BK89+BK90+BK91+BK92+BK93</f>
        <v>0</v>
      </c>
      <c r="BL94" s="12">
        <f>+BL80+BL81+BL82+BL83+BL84+BL85+BL86+BL89+BL90+BL91+BL92+BL93</f>
        <v>0</v>
      </c>
      <c r="BP94" s="12">
        <f>+BP80+BP81+BP82+BP83+BP84+BP85+BP86+BP89+BP90+BP91+BP92+BP93</f>
        <v>0</v>
      </c>
      <c r="BQ94" s="12">
        <f>+BQ80+BQ81+BQ82+BQ83+BQ84+BQ85+BQ86+BQ89+BQ90+BQ91+BQ92+BQ93</f>
        <v>0</v>
      </c>
      <c r="BU94" s="12">
        <f>+BU80+BU81+BU82+BU83+BU84+BU85+BU86+BU89+BU90+BU91+BU92+BU93</f>
        <v>0</v>
      </c>
      <c r="BV94" s="12">
        <f>+BV80+BV81+BV82+BV83+BV84+BV85+BV86+BV89+BV90+BV91+BV92+BV93</f>
        <v>0</v>
      </c>
      <c r="BZ94" s="12">
        <f>+BZ80+BZ81+BZ82+BZ83+BZ84+BZ85+BZ86+BZ89+BZ90+BZ91+BZ92+BZ93</f>
        <v>0</v>
      </c>
      <c r="CA94" s="12">
        <f>+CA80+CA81+CA82+CA83+CA84+CA85+CA86+CA89+CA90+CA91+CA92+CA93</f>
        <v>0</v>
      </c>
      <c r="CE94" s="12">
        <f>+CE80+CE81+CE82+CE83+CE84+CE85+CE86+CE89+CE90+CE91+CE92+CE93</f>
        <v>0</v>
      </c>
      <c r="CF94" s="12">
        <f>+CF80+CF81+CF82+CF83+CF84+CF85+CF86+CF89+CF90+CF91+CF92+CF93</f>
        <v>0</v>
      </c>
      <c r="CJ94" s="12">
        <f>+CJ80+CJ81+CJ82+CJ83+CJ84+CJ85+CJ86+CJ89+CJ90+CJ91+CJ92+CJ93</f>
        <v>0</v>
      </c>
      <c r="CK94" s="12">
        <f>+CK80+CK81+CK82+CK83+CK84+CK85+CK86+CK89+CK90+CK91+CK92+CK93</f>
        <v>0</v>
      </c>
      <c r="CO94" s="12">
        <f>+CO80+CO81+CO82+CO83+CO84+CO85+CO86+CO89+CO90+CO91+CO92+CO93</f>
        <v>0</v>
      </c>
      <c r="CP94" s="12">
        <f>+CP80+CP81+CP82+CP83+CP84+CP85+CP86+CP89+CP90+CP91+CP92+CP93</f>
        <v>0</v>
      </c>
      <c r="CT94" s="12">
        <f>+CT80+CT81+CT82+CT83+CT84+CT85+CT86+CT89+CT90+CT91+CT92+CT93</f>
        <v>0</v>
      </c>
      <c r="CU94" s="12">
        <f>+CU80+CU81+CU82+CU83+CU84+CU85+CU86+CU89+CU90+CU91+CU92+CU93</f>
        <v>0</v>
      </c>
      <c r="CY94" s="12">
        <f>+CY80+CY81+CY82+CY83+CY84+CY85+CY86+CY89+CY90+CY91+CY92+CY93</f>
        <v>0</v>
      </c>
      <c r="CZ94" s="12">
        <f>+CZ80+CZ81+CZ82+CZ83+CZ84+CZ85+CZ86+CZ89+CZ90+CZ91+CZ92+CZ93</f>
        <v>0</v>
      </c>
    </row>
    <row r="95" spans="1:104" ht="12.75" hidden="1" customHeight="1" outlineLevel="1">
      <c r="A95" s="11"/>
    </row>
    <row r="96" spans="1:104" ht="12.75" hidden="1" customHeight="1" outlineLevel="1">
      <c r="A96" s="10" t="s">
        <v>75</v>
      </c>
    </row>
    <row r="97" spans="1:104" ht="12.75" hidden="1" customHeight="1" outlineLevel="1">
      <c r="A97" s="11" t="s">
        <v>76</v>
      </c>
      <c r="BG97" s="12">
        <v>0</v>
      </c>
    </row>
    <row r="98" spans="1:104" ht="12.75" hidden="1" customHeight="1" outlineLevel="1">
      <c r="A98" s="11" t="s">
        <v>77</v>
      </c>
      <c r="BG98" s="12">
        <v>-12.5</v>
      </c>
    </row>
    <row r="99" spans="1:104" ht="12.75" hidden="1" customHeight="1" outlineLevel="1">
      <c r="A99" s="11" t="s">
        <v>78</v>
      </c>
      <c r="BG99" s="12">
        <v>-70.117000000000004</v>
      </c>
    </row>
    <row r="100" spans="1:104" hidden="1" outlineLevel="1">
      <c r="A100" s="11" t="s">
        <v>79</v>
      </c>
      <c r="BG100" s="12">
        <v>0</v>
      </c>
    </row>
    <row r="101" spans="1:104" hidden="1" outlineLevel="1">
      <c r="A101" s="11" t="s">
        <v>73</v>
      </c>
      <c r="BG101" s="12">
        <v>22</v>
      </c>
    </row>
    <row r="102" spans="1:104" hidden="1" outlineLevel="1">
      <c r="A102" s="10" t="s">
        <v>80</v>
      </c>
      <c r="BF102" s="12">
        <f>+BF97+BF98+BF99+BF100+BF101</f>
        <v>0</v>
      </c>
      <c r="BG102" s="12">
        <f>+BG97+BG98+BG99+BG100+BG101</f>
        <v>-60.617000000000004</v>
      </c>
      <c r="BK102" s="12">
        <f>+BK97+BK98+BK99+BK100+BK101</f>
        <v>0</v>
      </c>
      <c r="BL102" s="12">
        <f>+BL97+BL98+BL99+BL100+BL101</f>
        <v>0</v>
      </c>
      <c r="BP102" s="12">
        <f>+BP97+BP98+BP99+BP100+BP101</f>
        <v>0</v>
      </c>
      <c r="BQ102" s="12">
        <f>+BQ97+BQ98+BQ99+BQ100+BQ101</f>
        <v>0</v>
      </c>
      <c r="BU102" s="12">
        <f>+BU97+BU98+BU99+BU100+BU101</f>
        <v>0</v>
      </c>
      <c r="BV102" s="12">
        <f>+BV97+BV98+BV99+BV100+BV101</f>
        <v>0</v>
      </c>
      <c r="BZ102" s="12">
        <f>+BZ97+BZ98+BZ99+BZ100+BZ101</f>
        <v>0</v>
      </c>
      <c r="CA102" s="12">
        <f>+CA97+CA98+CA99+CA100+CA101</f>
        <v>0</v>
      </c>
      <c r="CE102" s="12">
        <f>+CE97+CE98+CE99+CE100+CE101</f>
        <v>0</v>
      </c>
      <c r="CF102" s="12">
        <f>+CF97+CF98+CF99+CF100+CF101</f>
        <v>0</v>
      </c>
      <c r="CJ102" s="12">
        <f>+CJ97+CJ98+CJ99+CJ100+CJ101</f>
        <v>0</v>
      </c>
      <c r="CK102" s="12">
        <f>+CK97+CK98+CK99+CK100+CK101</f>
        <v>0</v>
      </c>
      <c r="CO102" s="12">
        <f>+CO97+CO98+CO99+CO100+CO101</f>
        <v>0</v>
      </c>
      <c r="CP102" s="12">
        <f>+CP97+CP98+CP99+CP100+CP101</f>
        <v>0</v>
      </c>
      <c r="CT102" s="12">
        <f>+CT97+CT98+CT99+CT100+CT101</f>
        <v>0</v>
      </c>
      <c r="CU102" s="12">
        <f>+CU97+CU98+CU99+CU100+CU101</f>
        <v>0</v>
      </c>
      <c r="CY102" s="12">
        <f>+CY97+CY98+CY99+CY100+CY101</f>
        <v>0</v>
      </c>
      <c r="CZ102" s="12">
        <f>+CZ97+CZ98+CZ99+CZ100+CZ101</f>
        <v>0</v>
      </c>
    </row>
    <row r="103" spans="1:104" hidden="1" outlineLevel="1">
      <c r="A103" s="11"/>
    </row>
    <row r="104" spans="1:104" hidden="1" outlineLevel="1">
      <c r="A104" s="10" t="s">
        <v>81</v>
      </c>
    </row>
    <row r="105" spans="1:104" hidden="1" outlineLevel="1">
      <c r="A105" s="11" t="s">
        <v>82</v>
      </c>
      <c r="BG105" s="12">
        <v>0</v>
      </c>
    </row>
    <row r="106" spans="1:104" hidden="1" outlineLevel="1">
      <c r="A106" s="11" t="s">
        <v>83</v>
      </c>
      <c r="BG106" s="12">
        <v>12.236000000000001</v>
      </c>
    </row>
    <row r="107" spans="1:104" hidden="1" outlineLevel="1">
      <c r="A107" s="11" t="s">
        <v>152</v>
      </c>
      <c r="BG107" s="12">
        <v>0</v>
      </c>
    </row>
    <row r="108" spans="1:104" hidden="1" outlineLevel="1">
      <c r="A108" s="11" t="s">
        <v>84</v>
      </c>
      <c r="BG108" s="12">
        <v>0</v>
      </c>
    </row>
    <row r="109" spans="1:104" hidden="1" outlineLevel="1">
      <c r="A109" s="11" t="s">
        <v>12</v>
      </c>
      <c r="BG109" s="12">
        <v>2.819</v>
      </c>
    </row>
    <row r="110" spans="1:104" hidden="1" outlineLevel="1">
      <c r="A110" s="10" t="s">
        <v>85</v>
      </c>
      <c r="BF110" s="12">
        <f>+BF105+BF106+BF107+BF108+BF109</f>
        <v>0</v>
      </c>
      <c r="BG110" s="12">
        <f>+BG105+BG106+BG107+BG108+BG109</f>
        <v>15.055</v>
      </c>
      <c r="BK110" s="12">
        <f>+BK105+BK106+BK107+BK108+BK109</f>
        <v>0</v>
      </c>
      <c r="BL110" s="12">
        <f>+BL105+BL106+BL107+BL108+BL109</f>
        <v>0</v>
      </c>
      <c r="BP110" s="12">
        <f>+BP105+BP106+BP107+BP108+BP109</f>
        <v>0</v>
      </c>
      <c r="BQ110" s="12">
        <f>+BQ105+BQ106+BQ107+BQ108+BQ109</f>
        <v>0</v>
      </c>
      <c r="BU110" s="12">
        <f>+BU105+BU106+BU107+BU108+BU109</f>
        <v>0</v>
      </c>
      <c r="BV110" s="12">
        <f>+BV105+BV106+BV107+BV108+BV109</f>
        <v>0</v>
      </c>
      <c r="BZ110" s="12">
        <f>+BZ105+BZ106+BZ107+BZ108+BZ109</f>
        <v>0</v>
      </c>
      <c r="CA110" s="12">
        <f>+CA105+CA106+CA107+CA108+CA109</f>
        <v>0</v>
      </c>
      <c r="CE110" s="12">
        <f>+CE105+CE106+CE107+CE108+CE109</f>
        <v>0</v>
      </c>
      <c r="CF110" s="12">
        <f>+CF105+CF106+CF107+CF108+CF109</f>
        <v>0</v>
      </c>
      <c r="CJ110" s="12">
        <f>+CJ105+CJ106+CJ107+CJ108+CJ109</f>
        <v>0</v>
      </c>
      <c r="CK110" s="12">
        <f>+CK105+CK106+CK107+CK108+CK109</f>
        <v>0</v>
      </c>
      <c r="CO110" s="12">
        <f>+CO105+CO106+CO107+CO108+CO109</f>
        <v>0</v>
      </c>
      <c r="CP110" s="12">
        <f>+CP105+CP106+CP107+CP108+CP109</f>
        <v>0</v>
      </c>
      <c r="CT110" s="12">
        <f>+CT105+CT106+CT107+CT108+CT109</f>
        <v>0</v>
      </c>
      <c r="CU110" s="12">
        <f>+CU105+CU106+CU107+CU108+CU109</f>
        <v>0</v>
      </c>
      <c r="CY110" s="12">
        <f>+CY105+CY106+CY107+CY108+CY109</f>
        <v>0</v>
      </c>
      <c r="CZ110" s="12">
        <f>+CZ105+CZ106+CZ107+CZ108+CZ109</f>
        <v>0</v>
      </c>
    </row>
    <row r="111" spans="1:104" hidden="1" outlineLevel="1">
      <c r="A111" s="11"/>
    </row>
    <row r="112" spans="1:104" hidden="1" outlineLevel="1">
      <c r="A112" s="10" t="s">
        <v>86</v>
      </c>
      <c r="BF112" s="12">
        <f>+BF94+BF102+BF110</f>
        <v>0</v>
      </c>
      <c r="BG112" s="12">
        <f>+BG94+BG102+BG110</f>
        <v>95.850999999999999</v>
      </c>
      <c r="BK112" s="12">
        <f>+BK94+BK102+BK110</f>
        <v>0</v>
      </c>
      <c r="BL112" s="12">
        <f>+BL94+BL102+BL110</f>
        <v>0</v>
      </c>
      <c r="BP112" s="12">
        <f>+BP94+BP102+BP110</f>
        <v>0</v>
      </c>
      <c r="BQ112" s="12">
        <f>+BQ94+BQ102+BQ110</f>
        <v>0</v>
      </c>
      <c r="BU112" s="12">
        <f>+BU94+BU102+BU110</f>
        <v>0</v>
      </c>
      <c r="BV112" s="12">
        <f>+BV94+BV102+BV110</f>
        <v>0</v>
      </c>
      <c r="BZ112" s="12">
        <f>+BZ94+BZ102+BZ110</f>
        <v>0</v>
      </c>
      <c r="CA112" s="12">
        <f>+CA94+CA102+CA110</f>
        <v>0</v>
      </c>
      <c r="CE112" s="12">
        <f>+CE94+CE102+CE110</f>
        <v>0</v>
      </c>
      <c r="CF112" s="12">
        <f>+CF94+CF102+CF110</f>
        <v>0</v>
      </c>
      <c r="CJ112" s="12">
        <f>+CJ94+CJ102+CJ110</f>
        <v>0</v>
      </c>
      <c r="CK112" s="12">
        <f>+CK94+CK102+CK110</f>
        <v>0</v>
      </c>
      <c r="CO112" s="12">
        <f>+CO94+CO102+CO110</f>
        <v>0</v>
      </c>
      <c r="CP112" s="12">
        <f>+CP94+CP102+CP110</f>
        <v>0</v>
      </c>
      <c r="CT112" s="12">
        <f>+CT94+CT102+CT110</f>
        <v>0</v>
      </c>
      <c r="CU112" s="12">
        <f>+CU94+CU102+CU110</f>
        <v>0</v>
      </c>
      <c r="CY112" s="12">
        <f>+CY94+CY102+CY110</f>
        <v>0</v>
      </c>
      <c r="CZ112" s="12">
        <f>+CZ94+CZ102+CZ110</f>
        <v>0</v>
      </c>
    </row>
    <row r="113" spans="1:104" hidden="1" outlineLevel="1">
      <c r="A113" s="11" t="s">
        <v>14</v>
      </c>
    </row>
    <row r="114" spans="1:104" hidden="1" outlineLevel="1">
      <c r="A114" s="11" t="s">
        <v>87</v>
      </c>
      <c r="BF114" s="12">
        <f>+BF112+BF113</f>
        <v>0</v>
      </c>
      <c r="BG114" s="12">
        <f>+BG112+BG113</f>
        <v>95.850999999999999</v>
      </c>
      <c r="BK114" s="12">
        <f>+BK112+BK113</f>
        <v>0</v>
      </c>
      <c r="BL114" s="12">
        <f>+BL112+BL113</f>
        <v>0</v>
      </c>
      <c r="BP114" s="12">
        <f>+BP112+BP113</f>
        <v>0</v>
      </c>
      <c r="BQ114" s="12">
        <f>+BQ112+BQ113</f>
        <v>0</v>
      </c>
      <c r="BU114" s="12">
        <f>+BU112+BU113</f>
        <v>0</v>
      </c>
      <c r="BV114" s="12">
        <f>+BV112+BV113</f>
        <v>0</v>
      </c>
      <c r="BZ114" s="12">
        <f>+BZ112+BZ113</f>
        <v>0</v>
      </c>
      <c r="CA114" s="12">
        <f>+CA112+CA113</f>
        <v>0</v>
      </c>
      <c r="CE114" s="12">
        <f>+CE112+CE113</f>
        <v>0</v>
      </c>
      <c r="CF114" s="12">
        <f>+CF112+CF113</f>
        <v>0</v>
      </c>
      <c r="CJ114" s="12">
        <f>+CJ112+CJ113</f>
        <v>0</v>
      </c>
      <c r="CK114" s="12">
        <f>+CK112+CK113</f>
        <v>0</v>
      </c>
      <c r="CO114" s="12">
        <f>+CO112+CO113</f>
        <v>0</v>
      </c>
      <c r="CP114" s="12">
        <f>+CP112+CP113</f>
        <v>0</v>
      </c>
      <c r="CT114" s="12">
        <f>+CT112+CT113</f>
        <v>0</v>
      </c>
      <c r="CU114" s="12">
        <f>+CU112+CU113</f>
        <v>0</v>
      </c>
      <c r="CY114" s="12">
        <f>+CY112+CY113</f>
        <v>0</v>
      </c>
      <c r="CZ114" s="12">
        <f>+CZ112+CZ113</f>
        <v>0</v>
      </c>
    </row>
    <row r="115" spans="1:104" hidden="1" outlineLevel="1"/>
    <row r="116" spans="1:104" collapsed="1"/>
  </sheetData>
  <printOptions horizontalCentered="1" verticalCentered="1"/>
  <pageMargins left="0.5" right="0.5" top="0.5" bottom="0.5" header="0.5" footer="0.5"/>
  <pageSetup scale="59" orientation="landscape" r:id="rId1"/>
  <headerFooter alignWithMargins="0"/>
  <ignoredErrors>
    <ignoredError sqref="BI37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B76"/>
  <sheetViews>
    <sheetView workbookViewId="0">
      <pane xSplit="1" ySplit="6" topLeftCell="AT7" activePane="bottomRight" state="frozen"/>
      <selection pane="topRight" activeCell="B1" sqref="B1"/>
      <selection pane="bottomLeft" activeCell="A7" sqref="A7"/>
      <selection pane="bottomRight" activeCell="AZ7" sqref="AZ7"/>
    </sheetView>
  </sheetViews>
  <sheetFormatPr defaultColWidth="8" defaultRowHeight="12.75" outlineLevelRow="1" outlineLevelCol="1"/>
  <cols>
    <col min="1" max="1" width="22.3828125" style="12" customWidth="1"/>
    <col min="2" max="2" width="8" style="12" hidden="1" customWidth="1" outlineLevel="1" collapsed="1"/>
    <col min="3" max="6" width="8" style="12" hidden="1" customWidth="1" outlineLevel="1"/>
    <col min="7" max="7" width="8" style="12" hidden="1" customWidth="1" outlineLevel="1" collapsed="1"/>
    <col min="8" max="11" width="8" style="12" hidden="1" customWidth="1" outlineLevel="1"/>
    <col min="12" max="12" width="8" style="12" hidden="1" customWidth="1" outlineLevel="1" collapsed="1"/>
    <col min="13" max="31" width="8" style="12" hidden="1" customWidth="1" outlineLevel="1"/>
    <col min="32" max="32" width="8.07421875" style="12" hidden="1" customWidth="1" outlineLevel="1" collapsed="1"/>
    <col min="33" max="36" width="8.07421875" style="12" hidden="1" customWidth="1" outlineLevel="1"/>
    <col min="37" max="37" width="8" style="12" hidden="1" customWidth="1" outlineLevel="1" collapsed="1"/>
    <col min="38" max="41" width="8" style="12" hidden="1" customWidth="1" outlineLevel="1"/>
    <col min="42" max="42" width="8" style="12" hidden="1" customWidth="1" outlineLevel="1" collapsed="1"/>
    <col min="43" max="45" width="8" style="12" hidden="1" customWidth="1" outlineLevel="1"/>
    <col min="46" max="46" width="8" style="12" customWidth="1" collapsed="1"/>
    <col min="47" max="50" width="8" style="12" hidden="1" customWidth="1" outlineLevel="1"/>
    <col min="51" max="51" width="8" style="12" customWidth="1" collapsed="1"/>
    <col min="52" max="52" width="8" style="12" outlineLevel="1"/>
    <col min="53" max="53" width="8.07421875" style="12" customWidth="1" outlineLevel="1"/>
    <col min="54" max="54" width="8" style="12" outlineLevel="1"/>
    <col min="55" max="55" width="9.07421875" style="12" bestFit="1" customWidth="1" outlineLevel="1"/>
    <col min="56" max="56" width="8.3828125" style="12" bestFit="1" customWidth="1"/>
    <col min="57" max="66" width="8" style="12"/>
    <col min="67" max="70" width="8" style="12" outlineLevel="1"/>
    <col min="71" max="71" width="8" style="12"/>
    <col min="72" max="75" width="0" style="12" hidden="1" customWidth="1" outlineLevel="1"/>
    <col min="76" max="76" width="8" style="12" collapsed="1"/>
    <col min="77" max="80" width="0" style="12" hidden="1" customWidth="1" outlineLevel="1"/>
    <col min="81" max="81" width="8" style="12" collapsed="1"/>
    <col min="82" max="85" width="0" style="12" hidden="1" customWidth="1" outlineLevel="1"/>
    <col min="86" max="86" width="8" style="12" collapsed="1"/>
    <col min="87" max="90" width="0" style="12" hidden="1" customWidth="1" outlineLevel="1"/>
    <col min="91" max="91" width="8" style="12" collapsed="1"/>
    <col min="92" max="92" width="7.921875" style="12" hidden="1" customWidth="1" outlineLevel="1"/>
    <col min="93" max="95" width="0" style="12" hidden="1" customWidth="1" outlineLevel="1"/>
    <col min="96" max="96" width="8" style="12" collapsed="1"/>
    <col min="97" max="97" width="7.921875" style="12" hidden="1" customWidth="1" outlineLevel="1"/>
    <col min="98" max="100" width="0" style="12" hidden="1" customWidth="1" outlineLevel="1"/>
    <col min="101" max="101" width="8" style="12" collapsed="1"/>
    <col min="102" max="102" width="7.921875" style="12" hidden="1" customWidth="1" outlineLevel="1"/>
    <col min="103" max="105" width="0" style="12" hidden="1" customWidth="1" outlineLevel="1"/>
    <col min="106" max="106" width="8" style="12" collapsed="1"/>
    <col min="107" max="16384" width="8" style="12"/>
  </cols>
  <sheetData>
    <row r="1" spans="1:106" s="1" customFormat="1" ht="12.75" customHeight="1">
      <c r="A1" s="137" t="str">
        <f>+IS!A1</f>
        <v>Natera Inc. (NASDAQ: NTRA)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</row>
    <row r="2" spans="1:106" s="1" customFormat="1">
      <c r="A2" s="138" t="s">
        <v>127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</row>
    <row r="3" spans="1:106" s="1" customFormat="1">
      <c r="A3" s="138" t="str">
        <f>+IS!A3</f>
        <v>$ millions except per share data, FY ending Dec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</row>
    <row r="4" spans="1:106" s="1" customFormat="1">
      <c r="A4" s="152"/>
    </row>
    <row r="5" spans="1:106" s="1" customFormat="1">
      <c r="B5" s="139" t="str">
        <f>+IS!B5</f>
        <v>Mar</v>
      </c>
      <c r="C5" s="139" t="str">
        <f>+IS!C5</f>
        <v>Jun</v>
      </c>
      <c r="D5" s="139" t="str">
        <f>+IS!D5</f>
        <v>Sep</v>
      </c>
      <c r="E5" s="139" t="str">
        <f>+IS!E5</f>
        <v>Dec</v>
      </c>
      <c r="F5" s="140">
        <f>+IS!F5</f>
        <v>41974</v>
      </c>
      <c r="G5" s="139" t="str">
        <f>+IS!G5</f>
        <v>Mar</v>
      </c>
      <c r="H5" s="139" t="str">
        <f>+IS!H5</f>
        <v>Jun</v>
      </c>
      <c r="I5" s="139" t="str">
        <f>+IS!I5</f>
        <v>Sep</v>
      </c>
      <c r="J5" s="139" t="str">
        <f>+IS!J5</f>
        <v>Dec</v>
      </c>
      <c r="K5" s="140">
        <f>+IS!K5</f>
        <v>42339</v>
      </c>
      <c r="L5" s="139" t="str">
        <f>+IS!L5</f>
        <v>Mar</v>
      </c>
      <c r="M5" s="139" t="str">
        <f>+IS!M5</f>
        <v>Jun</v>
      </c>
      <c r="N5" s="139" t="str">
        <f>+IS!N5</f>
        <v>Sep</v>
      </c>
      <c r="O5" s="139" t="str">
        <f>+IS!O5</f>
        <v>Dec</v>
      </c>
      <c r="P5" s="140">
        <f>+IS!P5</f>
        <v>42705</v>
      </c>
      <c r="Q5" s="139" t="str">
        <f>+IS!Q5</f>
        <v>Mar</v>
      </c>
      <c r="R5" s="139" t="str">
        <f>+IS!R5</f>
        <v>Jun</v>
      </c>
      <c r="S5" s="139" t="str">
        <f>+IS!S5</f>
        <v>Sep</v>
      </c>
      <c r="T5" s="139" t="str">
        <f>+IS!T5</f>
        <v>Dec</v>
      </c>
      <c r="U5" s="140">
        <f>+IS!U5</f>
        <v>43070</v>
      </c>
      <c r="V5" s="139" t="str">
        <f>+IS!V5</f>
        <v>Mar</v>
      </c>
      <c r="W5" s="139" t="str">
        <f>+IS!W5</f>
        <v>Jun</v>
      </c>
      <c r="X5" s="139" t="str">
        <f>+IS!X5</f>
        <v>Sep</v>
      </c>
      <c r="Y5" s="139" t="str">
        <f>+IS!Y5</f>
        <v>Dec</v>
      </c>
      <c r="Z5" s="140">
        <f>+IS!Z5</f>
        <v>43435</v>
      </c>
      <c r="AA5" s="139" t="str">
        <f>+IS!AA5</f>
        <v>Mar</v>
      </c>
      <c r="AB5" s="139" t="str">
        <f>+IS!AB5</f>
        <v>Jun</v>
      </c>
      <c r="AC5" s="139" t="str">
        <f>+IS!AC5</f>
        <v>Sep</v>
      </c>
      <c r="AD5" s="139" t="str">
        <f>+IS!AD5</f>
        <v>Dec</v>
      </c>
      <c r="AE5" s="140">
        <f>+IS!AE5</f>
        <v>43800</v>
      </c>
      <c r="AF5" s="139" t="str">
        <f>+IS!AF5</f>
        <v>Mar</v>
      </c>
      <c r="AG5" s="139" t="str">
        <f>+IS!AG5</f>
        <v>Jun</v>
      </c>
      <c r="AH5" s="139" t="str">
        <f>+IS!AH5</f>
        <v>Sep</v>
      </c>
      <c r="AI5" s="139" t="str">
        <f>+IS!AI5</f>
        <v>Dec</v>
      </c>
      <c r="AJ5" s="140">
        <f>+IS!AJ5</f>
        <v>44166</v>
      </c>
      <c r="AK5" s="139" t="str">
        <f>+IS!AK5</f>
        <v>Mar</v>
      </c>
      <c r="AL5" s="139" t="str">
        <f>+IS!AL5</f>
        <v>Jun</v>
      </c>
      <c r="AM5" s="139" t="str">
        <f>+IS!AM5</f>
        <v>Sep</v>
      </c>
      <c r="AN5" s="139" t="str">
        <f>+IS!AN5</f>
        <v>Dec</v>
      </c>
      <c r="AO5" s="140">
        <f>+IS!AO5</f>
        <v>44531</v>
      </c>
      <c r="AP5" s="139" t="str">
        <f>+IS!AP5</f>
        <v>Mar</v>
      </c>
      <c r="AQ5" s="139" t="str">
        <f>+IS!AQ5</f>
        <v>Jun</v>
      </c>
      <c r="AR5" s="139" t="str">
        <f>+IS!AR5</f>
        <v>Sep</v>
      </c>
      <c r="AS5" s="139" t="str">
        <f>+IS!AS5</f>
        <v>Dec</v>
      </c>
      <c r="AT5" s="140">
        <f>+IS!AT5</f>
        <v>44896</v>
      </c>
      <c r="AU5" s="139" t="str">
        <f>+IS!AU5</f>
        <v>Mar</v>
      </c>
      <c r="AV5" s="139" t="str">
        <f>+IS!AV5</f>
        <v>Jun</v>
      </c>
      <c r="AW5" s="139" t="str">
        <f>+IS!AW5</f>
        <v>Sep</v>
      </c>
      <c r="AX5" s="139" t="str">
        <f>+IS!AX5</f>
        <v>Dec</v>
      </c>
      <c r="AY5" s="140">
        <f>+IS!AY5</f>
        <v>45261</v>
      </c>
      <c r="AZ5" s="139" t="str">
        <f>+IS!AZ5</f>
        <v>Mar</v>
      </c>
      <c r="BA5" s="139" t="str">
        <f>+IS!BA5</f>
        <v>Jun</v>
      </c>
      <c r="BB5" s="139" t="str">
        <f>+IS!BB5</f>
        <v>Sep</v>
      </c>
      <c r="BC5" s="139" t="str">
        <f>+IS!BC5</f>
        <v>Dec</v>
      </c>
      <c r="BD5" s="140">
        <f>+IS!BD5</f>
        <v>45627</v>
      </c>
      <c r="BE5" s="139" t="str">
        <f>+IS!BE5</f>
        <v>Mar</v>
      </c>
      <c r="BF5" s="139" t="str">
        <f>+IS!BF5</f>
        <v>Jun</v>
      </c>
      <c r="BG5" s="139" t="str">
        <f>+IS!BG5</f>
        <v>Sep</v>
      </c>
      <c r="BH5" s="139" t="str">
        <f>+IS!BH5</f>
        <v>Dec</v>
      </c>
      <c r="BI5" s="140">
        <f>+IS!BI5</f>
        <v>45992</v>
      </c>
      <c r="BJ5" s="139" t="str">
        <f>+IS!BJ5</f>
        <v>Mar</v>
      </c>
      <c r="BK5" s="139" t="str">
        <f>+IS!BK5</f>
        <v>Jun</v>
      </c>
      <c r="BL5" s="139" t="str">
        <f>+IS!BL5</f>
        <v>Sep</v>
      </c>
      <c r="BM5" s="139" t="str">
        <f>+IS!BM5</f>
        <v>Dec</v>
      </c>
      <c r="BN5" s="140">
        <f>+IS!BN5</f>
        <v>46357</v>
      </c>
      <c r="BO5" s="139" t="str">
        <f>+IS!BO5</f>
        <v>Mar</v>
      </c>
      <c r="BP5" s="139" t="str">
        <f>+IS!BP5</f>
        <v>Jun</v>
      </c>
      <c r="BQ5" s="139" t="str">
        <f>+IS!BQ5</f>
        <v>Sep</v>
      </c>
      <c r="BR5" s="139" t="str">
        <f>+IS!BR5</f>
        <v>Dec</v>
      </c>
      <c r="BS5" s="140">
        <f>+IS!BS5</f>
        <v>46722</v>
      </c>
      <c r="BT5" s="139" t="str">
        <f>+IS!BT5</f>
        <v>Mar</v>
      </c>
      <c r="BU5" s="139" t="str">
        <f>+IS!BU5</f>
        <v>Jun</v>
      </c>
      <c r="BV5" s="139" t="str">
        <f>+IS!BV5</f>
        <v>Sep</v>
      </c>
      <c r="BW5" s="139" t="str">
        <f>+IS!BW5</f>
        <v>Dec</v>
      </c>
      <c r="BX5" s="140">
        <f>+IS!BX5</f>
        <v>47088</v>
      </c>
      <c r="BY5" s="139" t="str">
        <f>+IS!BY5</f>
        <v>Mar</v>
      </c>
      <c r="BZ5" s="139" t="str">
        <f>+IS!BZ5</f>
        <v>Jun</v>
      </c>
      <c r="CA5" s="139" t="str">
        <f>+IS!CA5</f>
        <v>Sep</v>
      </c>
      <c r="CB5" s="139" t="str">
        <f>+IS!CB5</f>
        <v>Dec</v>
      </c>
      <c r="CC5" s="140">
        <f>+IS!CC5</f>
        <v>47453</v>
      </c>
      <c r="CD5" s="139" t="str">
        <f>+IS!CD5</f>
        <v>Mar</v>
      </c>
      <c r="CE5" s="139" t="str">
        <f>+IS!CE5</f>
        <v>Jun</v>
      </c>
      <c r="CF5" s="139" t="str">
        <f>+IS!CF5</f>
        <v>Sep</v>
      </c>
      <c r="CG5" s="139" t="str">
        <f>+IS!CG5</f>
        <v>Dec</v>
      </c>
      <c r="CH5" s="140">
        <f>+IS!CH5</f>
        <v>47818</v>
      </c>
      <c r="CI5" s="139" t="str">
        <f>+IS!CI5</f>
        <v>Mar</v>
      </c>
      <c r="CJ5" s="139" t="str">
        <f>+IS!CJ5</f>
        <v>Jun</v>
      </c>
      <c r="CK5" s="139" t="str">
        <f>+IS!CK5</f>
        <v>Sep</v>
      </c>
      <c r="CL5" s="139" t="str">
        <f>+IS!CL5</f>
        <v>Dec</v>
      </c>
      <c r="CM5" s="140">
        <f>+IS!CM5</f>
        <v>48183</v>
      </c>
      <c r="CN5" s="139" t="str">
        <f>+IS!CN5</f>
        <v>Mar</v>
      </c>
      <c r="CO5" s="139" t="str">
        <f>+IS!CO5</f>
        <v>Jun</v>
      </c>
      <c r="CP5" s="139" t="str">
        <f>+IS!CP5</f>
        <v>Sep</v>
      </c>
      <c r="CQ5" s="139" t="str">
        <f>+IS!CQ5</f>
        <v>Dec</v>
      </c>
      <c r="CR5" s="140">
        <f>+IS!CR5</f>
        <v>48549</v>
      </c>
      <c r="CS5" s="139" t="str">
        <f>+IS!CS5</f>
        <v>Mar</v>
      </c>
      <c r="CT5" s="139" t="str">
        <f>+IS!CT5</f>
        <v>Jun</v>
      </c>
      <c r="CU5" s="139" t="str">
        <f>+IS!CU5</f>
        <v>Sep</v>
      </c>
      <c r="CV5" s="139" t="str">
        <f>+IS!CV5</f>
        <v>Dec</v>
      </c>
      <c r="CW5" s="140">
        <f>+IS!CW5</f>
        <v>48914</v>
      </c>
      <c r="CX5" s="139" t="str">
        <f>+IS!CX5</f>
        <v>Mar</v>
      </c>
      <c r="CY5" s="139" t="str">
        <f>+IS!CY5</f>
        <v>Jun</v>
      </c>
      <c r="CZ5" s="139" t="str">
        <f>+IS!CZ5</f>
        <v>Sep</v>
      </c>
      <c r="DA5" s="139" t="str">
        <f>+IS!DA5</f>
        <v>Dec</v>
      </c>
      <c r="DB5" s="140">
        <f>+IS!DB5</f>
        <v>49279</v>
      </c>
    </row>
    <row r="6" spans="1:106" s="4" customFormat="1">
      <c r="A6" s="153"/>
      <c r="B6" s="142" t="str">
        <f>+IS!B6</f>
        <v>1Q14A</v>
      </c>
      <c r="C6" s="142" t="str">
        <f>+IS!C6</f>
        <v>2Q14A</v>
      </c>
      <c r="D6" s="142" t="str">
        <f>+IS!D6</f>
        <v>3Q14A</v>
      </c>
      <c r="E6" s="142" t="str">
        <f>+IS!E6</f>
        <v>4Q14A</v>
      </c>
      <c r="F6" s="143" t="str">
        <f>+IS!F6</f>
        <v>FY14A</v>
      </c>
      <c r="G6" s="142" t="str">
        <f>+IS!G6</f>
        <v>1Q15A</v>
      </c>
      <c r="H6" s="142" t="str">
        <f>+IS!H6</f>
        <v>2Q15A</v>
      </c>
      <c r="I6" s="142" t="str">
        <f>+IS!I6</f>
        <v>3Q15A</v>
      </c>
      <c r="J6" s="142" t="str">
        <f>+IS!J6</f>
        <v>4Q15A</v>
      </c>
      <c r="K6" s="143" t="str">
        <f>+IS!K6</f>
        <v>FY15A</v>
      </c>
      <c r="L6" s="142" t="str">
        <f>+IS!L6</f>
        <v>1Q16A</v>
      </c>
      <c r="M6" s="142" t="str">
        <f>+IS!M6</f>
        <v>2Q16A</v>
      </c>
      <c r="N6" s="142" t="str">
        <f>+IS!N6</f>
        <v>3Q16A</v>
      </c>
      <c r="O6" s="142" t="str">
        <f>+IS!O6</f>
        <v>4Q16A</v>
      </c>
      <c r="P6" s="143" t="str">
        <f>+IS!P6</f>
        <v>FY16A</v>
      </c>
      <c r="Q6" s="142" t="str">
        <f>+IS!Q6</f>
        <v>1Q17A</v>
      </c>
      <c r="R6" s="142" t="str">
        <f>+IS!R6</f>
        <v>2Q17A</v>
      </c>
      <c r="S6" s="142" t="str">
        <f>+IS!S6</f>
        <v>3Q17A</v>
      </c>
      <c r="T6" s="142" t="str">
        <f>+IS!T6</f>
        <v>4Q17A</v>
      </c>
      <c r="U6" s="143" t="str">
        <f>+IS!U6</f>
        <v>FY17A</v>
      </c>
      <c r="V6" s="142" t="str">
        <f>+IS!V6</f>
        <v>1Q18A</v>
      </c>
      <c r="W6" s="142" t="str">
        <f>+IS!W6</f>
        <v>2Q18A</v>
      </c>
      <c r="X6" s="142" t="str">
        <f>+IS!X6</f>
        <v>3Q18A</v>
      </c>
      <c r="Y6" s="142" t="str">
        <f>+IS!Y6</f>
        <v>4Q18A</v>
      </c>
      <c r="Z6" s="143" t="str">
        <f>+IS!Z6</f>
        <v>FY18A</v>
      </c>
      <c r="AA6" s="142" t="str">
        <f>+IS!AA6</f>
        <v>1Q19A</v>
      </c>
      <c r="AB6" s="142" t="str">
        <f>+IS!AB6</f>
        <v>2Q19A</v>
      </c>
      <c r="AC6" s="142" t="str">
        <f>+IS!AC6</f>
        <v>3Q19A</v>
      </c>
      <c r="AD6" s="142" t="str">
        <f>+IS!AD6</f>
        <v>4Q19A</v>
      </c>
      <c r="AE6" s="143" t="str">
        <f>+IS!AE6</f>
        <v>FY19A</v>
      </c>
      <c r="AF6" s="142" t="str">
        <f>+IS!AF6</f>
        <v>1Q20A</v>
      </c>
      <c r="AG6" s="142" t="str">
        <f>+IS!AG6</f>
        <v>2Q20A</v>
      </c>
      <c r="AH6" s="142" t="str">
        <f>+IS!AH6</f>
        <v>3Q20A</v>
      </c>
      <c r="AI6" s="142" t="str">
        <f>+IS!AI6</f>
        <v>4Q20A</v>
      </c>
      <c r="AJ6" s="143" t="str">
        <f>+IS!AJ6</f>
        <v>FY20A</v>
      </c>
      <c r="AK6" s="142" t="str">
        <f>+IS!AK6</f>
        <v>1Q21A</v>
      </c>
      <c r="AL6" s="142" t="str">
        <f>+IS!AL6</f>
        <v>2Q21A</v>
      </c>
      <c r="AM6" s="142" t="str">
        <f>+IS!AM6</f>
        <v>3Q21A</v>
      </c>
      <c r="AN6" s="142" t="str">
        <f>+IS!AN6</f>
        <v>4Q21A</v>
      </c>
      <c r="AO6" s="143" t="str">
        <f>+IS!AO6</f>
        <v>FY21A</v>
      </c>
      <c r="AP6" s="142" t="str">
        <f>+IS!AP6</f>
        <v>1Q22A</v>
      </c>
      <c r="AQ6" s="142" t="str">
        <f>+IS!AQ6</f>
        <v>2Q22A</v>
      </c>
      <c r="AR6" s="142" t="str">
        <f>+IS!AR6</f>
        <v>3Q22A</v>
      </c>
      <c r="AS6" s="142" t="str">
        <f>+IS!AS6</f>
        <v>4Q22A</v>
      </c>
      <c r="AT6" s="143" t="str">
        <f>+IS!AT6</f>
        <v>FY22A</v>
      </c>
      <c r="AU6" s="142" t="str">
        <f>+IS!AU6</f>
        <v>1Q23A</v>
      </c>
      <c r="AV6" s="142" t="str">
        <f>+IS!AV6</f>
        <v>2Q23A</v>
      </c>
      <c r="AW6" s="142" t="str">
        <f>+IS!AW6</f>
        <v>3Q23A</v>
      </c>
      <c r="AX6" s="142" t="str">
        <f>+IS!AX6</f>
        <v>4Q23A</v>
      </c>
      <c r="AY6" s="143" t="str">
        <f>+IS!AY6</f>
        <v>FY23A</v>
      </c>
      <c r="AZ6" s="142" t="str">
        <f>+IS!AZ6</f>
        <v>1Q24A</v>
      </c>
      <c r="BA6" s="142" t="str">
        <f>+IS!BA6</f>
        <v>2Q24A</v>
      </c>
      <c r="BB6" s="142" t="str">
        <f>+IS!BB6</f>
        <v>3Q24A</v>
      </c>
      <c r="BC6" s="142" t="str">
        <f>+IS!BC6</f>
        <v>4Q24A</v>
      </c>
      <c r="BD6" s="143" t="str">
        <f>+IS!BD6</f>
        <v>FY24A</v>
      </c>
      <c r="BE6" s="142" t="str">
        <f>+IS!BE6</f>
        <v>1Q25A</v>
      </c>
      <c r="BF6" s="142" t="str">
        <f>+IS!BF6</f>
        <v>2Q25A</v>
      </c>
      <c r="BG6" s="142" t="str">
        <f>+IS!BG6</f>
        <v>3Q25A</v>
      </c>
      <c r="BH6" s="142" t="str">
        <f>+IS!BH6</f>
        <v>4Q25</v>
      </c>
      <c r="BI6" s="143" t="str">
        <f>+IS!BI6</f>
        <v>FY25</v>
      </c>
      <c r="BJ6" s="142" t="str">
        <f>+IS!BJ6</f>
        <v>1Q26E</v>
      </c>
      <c r="BK6" s="142" t="str">
        <f>+IS!BK6</f>
        <v>2Q26E</v>
      </c>
      <c r="BL6" s="142" t="str">
        <f>+IS!BL6</f>
        <v>3Q26E</v>
      </c>
      <c r="BM6" s="142" t="str">
        <f>+IS!BM6</f>
        <v>4Q26E</v>
      </c>
      <c r="BN6" s="143" t="str">
        <f>+IS!BN6</f>
        <v>FY26E</v>
      </c>
      <c r="BO6" s="142" t="str">
        <f>+IS!BO6</f>
        <v>1Q27E</v>
      </c>
      <c r="BP6" s="142" t="str">
        <f>+IS!BP6</f>
        <v>2Q27E</v>
      </c>
      <c r="BQ6" s="142" t="str">
        <f>+IS!BQ6</f>
        <v>3Q27E</v>
      </c>
      <c r="BR6" s="142" t="str">
        <f>+IS!BR6</f>
        <v>4Q27E</v>
      </c>
      <c r="BS6" s="143" t="str">
        <f>+IS!BS6</f>
        <v>FY27E</v>
      </c>
      <c r="BT6" s="142" t="str">
        <f>+IS!BT6</f>
        <v>1Q28E</v>
      </c>
      <c r="BU6" s="142" t="str">
        <f>+IS!BU6</f>
        <v>2Q28E</v>
      </c>
      <c r="BV6" s="142" t="str">
        <f>+IS!BV6</f>
        <v>3Q28E</v>
      </c>
      <c r="BW6" s="142" t="str">
        <f>+IS!BW6</f>
        <v>4Q28E</v>
      </c>
      <c r="BX6" s="143" t="str">
        <f>+IS!BX6</f>
        <v>FY28E</v>
      </c>
      <c r="BY6" s="142" t="str">
        <f>+IS!BY6</f>
        <v>1Q29E</v>
      </c>
      <c r="BZ6" s="142" t="str">
        <f>+IS!BZ6</f>
        <v>2Q29E</v>
      </c>
      <c r="CA6" s="142" t="str">
        <f>+IS!CA6</f>
        <v>3Q29E</v>
      </c>
      <c r="CB6" s="142" t="str">
        <f>+IS!CB6</f>
        <v>4Q29E</v>
      </c>
      <c r="CC6" s="143" t="str">
        <f>+IS!CC6</f>
        <v>FY29E</v>
      </c>
      <c r="CD6" s="142" t="str">
        <f>+IS!CD6</f>
        <v>1Q30E</v>
      </c>
      <c r="CE6" s="142" t="str">
        <f>+IS!CE6</f>
        <v>2Q30E</v>
      </c>
      <c r="CF6" s="142" t="str">
        <f>+IS!CF6</f>
        <v>3Q30E</v>
      </c>
      <c r="CG6" s="142" t="str">
        <f>+IS!CG6</f>
        <v>4Q30E</v>
      </c>
      <c r="CH6" s="143" t="str">
        <f>+IS!CH6</f>
        <v>FY30E</v>
      </c>
      <c r="CI6" s="142" t="str">
        <f>+IS!CI6</f>
        <v>1Q31E</v>
      </c>
      <c r="CJ6" s="142" t="str">
        <f>+IS!CJ6</f>
        <v>2Q31E</v>
      </c>
      <c r="CK6" s="142" t="str">
        <f>+IS!CK6</f>
        <v>3Q31E</v>
      </c>
      <c r="CL6" s="142" t="str">
        <f>+IS!CL6</f>
        <v>4Q31E</v>
      </c>
      <c r="CM6" s="143" t="str">
        <f>+IS!CM6</f>
        <v>FY31E</v>
      </c>
      <c r="CN6" s="142" t="str">
        <f>+IS!CN6</f>
        <v>1Q32E</v>
      </c>
      <c r="CO6" s="142" t="str">
        <f>+IS!CO6</f>
        <v>2Q32E</v>
      </c>
      <c r="CP6" s="142" t="str">
        <f>+IS!CP6</f>
        <v>3Q32E</v>
      </c>
      <c r="CQ6" s="142" t="str">
        <f>+IS!CQ6</f>
        <v>4Q32E</v>
      </c>
      <c r="CR6" s="143" t="str">
        <f>+IS!CR6</f>
        <v>FY32E</v>
      </c>
      <c r="CS6" s="142" t="str">
        <f>+IS!CS6</f>
        <v>1Q33E</v>
      </c>
      <c r="CT6" s="142" t="str">
        <f>+IS!CT6</f>
        <v>2Q33E</v>
      </c>
      <c r="CU6" s="142" t="str">
        <f>+IS!CU6</f>
        <v>3Q33E</v>
      </c>
      <c r="CV6" s="142" t="str">
        <f>+IS!CV6</f>
        <v>4Q33E</v>
      </c>
      <c r="CW6" s="143" t="str">
        <f>+IS!CW6</f>
        <v>FY33E</v>
      </c>
      <c r="CX6" s="142" t="str">
        <f>+IS!CX6</f>
        <v>1Q34E</v>
      </c>
      <c r="CY6" s="142" t="str">
        <f>+IS!CY6</f>
        <v>2Q34E</v>
      </c>
      <c r="CZ6" s="142" t="str">
        <f>+IS!CZ6</f>
        <v>3Q34E</v>
      </c>
      <c r="DA6" s="142" t="str">
        <f>+IS!DA6</f>
        <v>4Q34E</v>
      </c>
      <c r="DB6" s="143" t="str">
        <f>+IS!DB6</f>
        <v>FY34E</v>
      </c>
    </row>
    <row r="7" spans="1:106" s="11" customFormat="1">
      <c r="Z7" s="214"/>
      <c r="AE7" s="214"/>
      <c r="AJ7" s="214"/>
      <c r="AO7" s="214"/>
      <c r="AT7" s="214"/>
      <c r="AY7" s="214"/>
      <c r="BD7" s="214"/>
      <c r="BI7" s="214"/>
      <c r="BJ7" s="283"/>
      <c r="BN7" s="214"/>
      <c r="BS7" s="214"/>
      <c r="BX7" s="214"/>
      <c r="CC7" s="214"/>
      <c r="CH7" s="214"/>
      <c r="CM7" s="214"/>
      <c r="CR7" s="214"/>
      <c r="CW7" s="214"/>
      <c r="DB7" s="214"/>
    </row>
    <row r="8" spans="1:106" s="11" customFormat="1">
      <c r="A8" s="11" t="s">
        <v>128</v>
      </c>
      <c r="B8" s="11">
        <f>BS!B9</f>
        <v>0</v>
      </c>
      <c r="C8" s="11">
        <f>BS!C9</f>
        <v>0</v>
      </c>
      <c r="D8" s="11">
        <f>BS!D9</f>
        <v>0</v>
      </c>
      <c r="E8" s="11">
        <f>BS!E9</f>
        <v>87.176000000000002</v>
      </c>
      <c r="G8" s="11">
        <f>BS!G9</f>
        <v>0</v>
      </c>
      <c r="H8" s="11">
        <f>BS!H9</f>
        <v>62.243000000000002</v>
      </c>
      <c r="I8" s="11">
        <f>BS!I9</f>
        <v>222.58100000000002</v>
      </c>
      <c r="J8" s="11">
        <f>BS!J9</f>
        <v>230.53300000000002</v>
      </c>
      <c r="L8" s="11">
        <f>BS!L9</f>
        <v>230.58199999999999</v>
      </c>
      <c r="M8" s="11">
        <f>BS!M9</f>
        <v>215.20399999999998</v>
      </c>
      <c r="N8" s="11">
        <f>BS!N9</f>
        <v>183.03900000000002</v>
      </c>
      <c r="O8" s="11">
        <f>BS!O9</f>
        <v>146.11600000000001</v>
      </c>
      <c r="Q8" s="11">
        <f>BS!Q9</f>
        <v>115.77799999999999</v>
      </c>
      <c r="R8" s="11">
        <f>BS!R9</f>
        <v>102.126</v>
      </c>
      <c r="S8" s="11">
        <f>BS!S9</f>
        <v>146.22800000000001</v>
      </c>
      <c r="T8" s="11">
        <f>BS!T9</f>
        <v>118.867</v>
      </c>
      <c r="V8" s="11">
        <f>BS!V9</f>
        <v>113.697</v>
      </c>
      <c r="W8" s="11">
        <f>BS!W9</f>
        <v>83.206999999999994</v>
      </c>
      <c r="X8" s="11">
        <f>BS!X9</f>
        <v>165.42599999999999</v>
      </c>
      <c r="Y8" s="11">
        <f>BS!Y9</f>
        <v>153.86799999999999</v>
      </c>
      <c r="Z8" s="214"/>
      <c r="AA8" s="11">
        <f>BS!AA9</f>
        <v>128.08600000000001</v>
      </c>
      <c r="AB8" s="11">
        <f>BS!AB9</f>
        <v>237.98099999999999</v>
      </c>
      <c r="AC8" s="11">
        <f>BS!AC9</f>
        <v>238.309</v>
      </c>
      <c r="AD8" s="11">
        <f>BS!AD9</f>
        <v>440.99099999999999</v>
      </c>
      <c r="AE8" s="214"/>
      <c r="AF8" s="11">
        <f>BS!AF9</f>
        <v>405.82499999999999</v>
      </c>
      <c r="AG8" s="11">
        <f>BS!AG9</f>
        <v>571.17399999999998</v>
      </c>
      <c r="AH8" s="11">
        <f>BS!AH9</f>
        <v>809.55600000000004</v>
      </c>
      <c r="AI8" s="11">
        <f>BS!AI9</f>
        <v>737.274</v>
      </c>
      <c r="AJ8" s="214"/>
      <c r="AK8" s="11">
        <f>BS!AK9</f>
        <v>653.572</v>
      </c>
      <c r="AL8" s="11">
        <f>BS!AL9</f>
        <v>580.24300000000005</v>
      </c>
      <c r="AM8" s="11">
        <f>BS!AM9</f>
        <v>1023.699</v>
      </c>
      <c r="AN8" s="11">
        <f>BS!AN9</f>
        <v>914.28199999999993</v>
      </c>
      <c r="AO8" s="214"/>
      <c r="AP8" s="11">
        <f>BS!AP9</f>
        <v>751.95799999999997</v>
      </c>
      <c r="AQ8" s="11">
        <f>BS!AQ9</f>
        <v>638.65099999999995</v>
      </c>
      <c r="AR8" s="11">
        <f>BS!AR9</f>
        <v>521.154</v>
      </c>
      <c r="AS8" s="11">
        <f>BS!AS9</f>
        <v>898.30600000000004</v>
      </c>
      <c r="AT8" s="214"/>
      <c r="AU8" s="11">
        <f>BS!AU9</f>
        <v>812.01199999999994</v>
      </c>
      <c r="AV8" s="11">
        <f>BS!AV9</f>
        <v>735.94100000000003</v>
      </c>
      <c r="AW8" s="11">
        <f>BS!AW9</f>
        <v>936.55700000000002</v>
      </c>
      <c r="AX8" s="11">
        <f>BS!AX9</f>
        <v>878.97700000000009</v>
      </c>
      <c r="AY8" s="214"/>
      <c r="AZ8" s="11">
        <f>BS!AZ9</f>
        <v>882.93799999999999</v>
      </c>
      <c r="BA8" s="11">
        <f>BS!BA9</f>
        <v>887.09699999999998</v>
      </c>
      <c r="BB8" s="11">
        <f>BS!BB9</f>
        <v>922.33400000000006</v>
      </c>
      <c r="BC8" s="11">
        <f>BS!BC9</f>
        <v>968.27599999999995</v>
      </c>
      <c r="BD8" s="214"/>
      <c r="BE8" s="11">
        <f>BS!BE9</f>
        <v>991.6</v>
      </c>
      <c r="BF8" s="11">
        <f>BS!BF9</f>
        <v>1015.996</v>
      </c>
      <c r="BG8" s="11">
        <f>BS!BG9</f>
        <v>1042.4380000000001</v>
      </c>
      <c r="BH8" s="11">
        <f>BS!BH9</f>
        <v>1076.1400000000001</v>
      </c>
      <c r="BI8" s="214"/>
      <c r="BJ8" s="283">
        <f>BS!BJ9</f>
        <v>1147.5565141845364</v>
      </c>
      <c r="BK8" s="11">
        <f>BS!BK9</f>
        <v>1084.656040602805</v>
      </c>
      <c r="BL8" s="11">
        <f>BS!BL9</f>
        <v>1039.8347087584852</v>
      </c>
      <c r="BM8" s="11">
        <f>BS!BM9</f>
        <v>1021.2941273747446</v>
      </c>
      <c r="BN8" s="214"/>
      <c r="BO8" s="11">
        <f>BS!BO9</f>
        <v>1043.5940794916285</v>
      </c>
      <c r="BP8" s="11">
        <f>BS!BP9</f>
        <v>1036.432867935082</v>
      </c>
      <c r="BQ8" s="11">
        <f>BS!BQ9</f>
        <v>1046.5546495924916</v>
      </c>
      <c r="BR8" s="11">
        <f>BS!BR9</f>
        <v>1072.2226320507193</v>
      </c>
      <c r="BS8" s="214"/>
      <c r="BT8" s="11">
        <f>BS!BT9</f>
        <v>1142.2862309273496</v>
      </c>
      <c r="BU8" s="11">
        <f>BS!BU9</f>
        <v>1187.1286250025123</v>
      </c>
      <c r="BV8" s="11">
        <f>BS!BV9</f>
        <v>1251.761452594174</v>
      </c>
      <c r="BW8" s="11">
        <f>BS!BW9</f>
        <v>1337.0015492015202</v>
      </c>
      <c r="BX8" s="214"/>
      <c r="BY8" s="11">
        <f>BS!BY9</f>
        <v>1473.9492922781501</v>
      </c>
      <c r="BZ8" s="11">
        <f>BS!BZ9</f>
        <v>1578.1892040489399</v>
      </c>
      <c r="CA8" s="55">
        <f>BS!CA9</f>
        <v>1708.1710112431301</v>
      </c>
      <c r="CB8" s="55">
        <f>BS!CB9</f>
        <v>1858.231761541105</v>
      </c>
      <c r="CC8" s="214"/>
      <c r="CD8" s="11">
        <f>BS!CD9</f>
        <v>2069.2989885867519</v>
      </c>
      <c r="CE8" s="11">
        <f>BS!CE9</f>
        <v>2245.7025088737487</v>
      </c>
      <c r="CF8" s="55">
        <f>BS!CF9</f>
        <v>2449.4133524690637</v>
      </c>
      <c r="CG8" s="55">
        <f>BS!CG9</f>
        <v>2677.1625854552799</v>
      </c>
      <c r="CH8" s="214"/>
      <c r="CI8" s="11">
        <f>BS!CI9</f>
        <v>2965.2208557485278</v>
      </c>
      <c r="CJ8" s="11">
        <f>BS!CJ9</f>
        <v>3210.3985508776486</v>
      </c>
      <c r="CK8" s="55">
        <f>BS!CK9</f>
        <v>3481.6062950828186</v>
      </c>
      <c r="CL8" s="55">
        <f>BS!CL9</f>
        <v>3774.5894819201135</v>
      </c>
      <c r="CM8" s="214"/>
      <c r="CN8" s="11">
        <f>BS!CN9</f>
        <v>4132.9641586468169</v>
      </c>
      <c r="CO8" s="11">
        <f>BS!CO9</f>
        <v>4444.2258706940793</v>
      </c>
      <c r="CP8" s="55">
        <f>BS!CP9</f>
        <v>4783.7264940918203</v>
      </c>
      <c r="CQ8" s="55">
        <f>BS!CQ9</f>
        <v>5146.5614967570509</v>
      </c>
      <c r="CR8" s="214"/>
      <c r="CS8" s="11">
        <f>BS!CS9</f>
        <v>5580.3112403151481</v>
      </c>
      <c r="CT8" s="11">
        <f>BS!CT9</f>
        <v>5963.098928008706</v>
      </c>
      <c r="CU8" s="55">
        <f>BS!CU9</f>
        <v>6376.9682955229255</v>
      </c>
      <c r="CV8" s="55">
        <f>BS!CV9</f>
        <v>6816.2597125661041</v>
      </c>
      <c r="CW8" s="214"/>
      <c r="CX8" s="11">
        <f>BS!CX9</f>
        <v>7318.0164519462869</v>
      </c>
      <c r="CY8" s="11">
        <f>BS!CY9</f>
        <v>7760.6601932648473</v>
      </c>
      <c r="CZ8" s="55">
        <f>BS!CZ9</f>
        <v>8232.9221675274093</v>
      </c>
      <c r="DA8" s="55">
        <f>BS!DA9</f>
        <v>8728.344963671585</v>
      </c>
      <c r="DB8" s="214"/>
    </row>
    <row r="9" spans="1:106" s="11" customFormat="1">
      <c r="A9" s="11" t="s">
        <v>5</v>
      </c>
      <c r="B9" s="11">
        <f>-IS!B16</f>
        <v>-0.80600000000000005</v>
      </c>
      <c r="C9" s="11">
        <f>-IS!C16</f>
        <v>1.34</v>
      </c>
      <c r="D9" s="11">
        <f>-IS!D16</f>
        <v>0.70799999999999996</v>
      </c>
      <c r="E9" s="11">
        <f>-IS!E16</f>
        <v>-1.1240000000000001</v>
      </c>
      <c r="G9" s="11">
        <f>-IS!G16</f>
        <v>-1.8</v>
      </c>
      <c r="H9" s="11">
        <f>-IS!H16</f>
        <v>-0.32200000000000001</v>
      </c>
      <c r="I9" s="11">
        <f>-IS!I16</f>
        <v>1.81</v>
      </c>
      <c r="J9" s="11">
        <f>-IS!J16</f>
        <v>1.2759999999999998</v>
      </c>
      <c r="K9" s="11">
        <f>SUM(G9:J9)</f>
        <v>0.96399999999999997</v>
      </c>
      <c r="L9" s="11">
        <f>-IS!L16</f>
        <v>0</v>
      </c>
      <c r="M9" s="11">
        <f>-IS!M16</f>
        <v>0</v>
      </c>
      <c r="N9" s="11">
        <f>-IS!N16</f>
        <v>0</v>
      </c>
      <c r="O9" s="11">
        <f>-IS!O16</f>
        <v>0</v>
      </c>
      <c r="P9" s="11">
        <f>SUM(L9:O9)</f>
        <v>0</v>
      </c>
      <c r="Q9" s="11">
        <f>-IS!Q16</f>
        <v>1.3</v>
      </c>
      <c r="R9" s="11">
        <f>-IS!R16</f>
        <v>-0.41299999999999998</v>
      </c>
      <c r="S9" s="11">
        <f>-IS!S16</f>
        <v>-0.437</v>
      </c>
      <c r="T9" s="11">
        <f>-IS!T16</f>
        <v>1.93</v>
      </c>
      <c r="U9" s="11">
        <f>SUM(Q9:T9)</f>
        <v>2.38</v>
      </c>
      <c r="V9" s="11">
        <f>-IS!V16</f>
        <v>0.13700000000000001</v>
      </c>
      <c r="W9" s="11">
        <f>-IS!W16</f>
        <v>-3.9329999999999998</v>
      </c>
      <c r="X9" s="11">
        <f>-IS!X16</f>
        <v>0.44900000000000001</v>
      </c>
      <c r="Y9" s="11">
        <f>-IS!Y16</f>
        <v>0.61799999999999988</v>
      </c>
      <c r="Z9" s="214">
        <f>SUM(V9:Y9)</f>
        <v>-2.7290000000000001</v>
      </c>
      <c r="AA9" s="11">
        <f>-IS!AA16</f>
        <v>0.45300000000000001</v>
      </c>
      <c r="AB9" s="11">
        <f>-IS!AB16</f>
        <v>0.83599999999999997</v>
      </c>
      <c r="AC9" s="11">
        <f>-IS!AC16</f>
        <v>0.67300000000000004</v>
      </c>
      <c r="AD9" s="11">
        <f>-IS!AD16</f>
        <v>2.1900000000000004</v>
      </c>
      <c r="AE9" s="214"/>
      <c r="AF9" s="11">
        <f>-IS!AF16</f>
        <v>1.9870000000000001</v>
      </c>
      <c r="AG9" s="11">
        <f>-IS!AG16</f>
        <v>1.9239999999999999</v>
      </c>
      <c r="AH9" s="11">
        <f>-IS!AH16</f>
        <v>1.7490000000000001</v>
      </c>
      <c r="AI9" s="11">
        <f>-IS!AI16</f>
        <v>1.9020000000000001</v>
      </c>
      <c r="AJ9" s="214"/>
      <c r="AK9" s="11">
        <f>-IS!AK16</f>
        <v>1.371</v>
      </c>
      <c r="AL9" s="11">
        <f>-IS!AL16</f>
        <v>1.585</v>
      </c>
      <c r="AM9" s="11">
        <f>-IS!AM16</f>
        <v>1.274</v>
      </c>
      <c r="AN9" s="11">
        <f>-IS!AN16</f>
        <v>1.1509999999999998</v>
      </c>
      <c r="AO9" s="214"/>
      <c r="AP9" s="11">
        <f>-IS!AP16</f>
        <v>0.80100000000000005</v>
      </c>
      <c r="AQ9" s="11">
        <f>-IS!AQ16</f>
        <v>0.27700000000000002</v>
      </c>
      <c r="AR9" s="11">
        <f>-IS!AR16</f>
        <v>8.6999999999999994E-2</v>
      </c>
      <c r="AS9" s="11">
        <f>-IS!AS16</f>
        <v>2.3729999999999998</v>
      </c>
      <c r="AT9" s="214"/>
      <c r="AU9" s="11">
        <f>-IS!AU16</f>
        <v>4.585</v>
      </c>
      <c r="AV9" s="11">
        <f>-IS!AV16</f>
        <v>4.5179999999999998</v>
      </c>
      <c r="AW9" s="11">
        <f>-IS!AW16</f>
        <v>5.4059999999999997</v>
      </c>
      <c r="AX9" s="11">
        <f>-IS!AX16</f>
        <v>9.8440000000000012</v>
      </c>
      <c r="AY9" s="214">
        <f>SUM(AU9:AX9)</f>
        <v>24.353000000000002</v>
      </c>
      <c r="AZ9" s="11">
        <f>-IS!AZ16</f>
        <v>10.266999999999999</v>
      </c>
      <c r="BA9" s="11">
        <f>-IS!BA16</f>
        <v>10.457000000000001</v>
      </c>
      <c r="BB9" s="11">
        <f>-IS!BB16</f>
        <v>11.618</v>
      </c>
      <c r="BC9" s="11">
        <f>-IS!BC16</f>
        <v>10.905999999999999</v>
      </c>
      <c r="BD9" s="214">
        <f>SUM(AZ9:BC9)</f>
        <v>43.247999999999998</v>
      </c>
      <c r="BE9" s="11">
        <f>-IS!BE16</f>
        <v>13.419</v>
      </c>
      <c r="BF9" s="11">
        <f>-IS!BF16</f>
        <v>10.738</v>
      </c>
      <c r="BG9" s="11">
        <f>-IS!BG16</f>
        <v>11.284000000000001</v>
      </c>
      <c r="BH9" s="11">
        <f>-IS!BH16</f>
        <v>10.449999999999994</v>
      </c>
      <c r="BI9" s="214">
        <f>SUM(BE9:BH9)</f>
        <v>45.890999999999998</v>
      </c>
      <c r="BJ9" s="283">
        <f>BH8*BJ10/4</f>
        <v>10.223330000000001</v>
      </c>
      <c r="BK9" s="11">
        <f>BJ8*BK10/4</f>
        <v>10.614897756206961</v>
      </c>
      <c r="BL9" s="11">
        <f>BK8*BL10/4</f>
        <v>10.033068375575946</v>
      </c>
      <c r="BM9" s="11">
        <f>BL8*BM10/4</f>
        <v>9.6184710560159878</v>
      </c>
      <c r="BN9" s="214">
        <f>SUM(BJ9:BM9)</f>
        <v>40.48976718779889</v>
      </c>
      <c r="BO9" s="11">
        <f>BM8*BO10/4</f>
        <v>6.3830882960921542</v>
      </c>
      <c r="BP9" s="11">
        <f>BO8*BP10/4</f>
        <v>5.2179703974581422</v>
      </c>
      <c r="BQ9" s="11">
        <f>BP8*BQ10/4</f>
        <v>5.1821643396754098</v>
      </c>
      <c r="BR9" s="11">
        <f>BQ8*BR10/4</f>
        <v>5.2327732479624585</v>
      </c>
      <c r="BS9" s="214">
        <f>SUM(BO9:BR9)</f>
        <v>22.015996281188166</v>
      </c>
      <c r="BT9" s="11">
        <f>BR8*BT10/4</f>
        <v>5.3611131602535966</v>
      </c>
      <c r="BU9" s="11">
        <f>BT8*BU10/4</f>
        <v>5.711431154636748</v>
      </c>
      <c r="BV9" s="11">
        <f>BU8*BV10/4</f>
        <v>5.9356431250125619</v>
      </c>
      <c r="BW9" s="11">
        <f>BV8*BW10/4</f>
        <v>6.25880726297087</v>
      </c>
      <c r="BX9" s="214">
        <f>SUM(BT9:BW9)</f>
        <v>23.266994702873774</v>
      </c>
      <c r="BY9" s="11">
        <f>BW8*BY10/4</f>
        <v>6.6850077460076012</v>
      </c>
      <c r="BZ9" s="11">
        <f>BY8*BZ10/4</f>
        <v>7.3697464613907506</v>
      </c>
      <c r="CA9" s="11">
        <f>BZ8*CA10/4</f>
        <v>7.8909460202446997</v>
      </c>
      <c r="CB9" s="11">
        <f>CA8*CB10/4</f>
        <v>8.5408550562156513</v>
      </c>
      <c r="CC9" s="214">
        <f>SUM(BY9:CB9)</f>
        <v>30.486555283858703</v>
      </c>
      <c r="CD9" s="11">
        <f>CB8*CD10/4</f>
        <v>9.2911588077055249</v>
      </c>
      <c r="CE9" s="11">
        <f>CD8*CE10/4</f>
        <v>10.346494942933759</v>
      </c>
      <c r="CF9" s="11">
        <f>CE8*CF10/4</f>
        <v>11.228512544368744</v>
      </c>
      <c r="CG9" s="11">
        <f>CF8*CG10/4</f>
        <v>12.24706676234532</v>
      </c>
      <c r="CH9" s="214">
        <f>SUM(CD9:CG9)</f>
        <v>43.113233057353348</v>
      </c>
      <c r="CI9" s="11">
        <f>CG8*CI10/4</f>
        <v>13.385812927276399</v>
      </c>
      <c r="CJ9" s="11">
        <f>CI8*CJ10/4</f>
        <v>14.826104278742639</v>
      </c>
      <c r="CK9" s="11">
        <f>CJ8*CK10/4</f>
        <v>16.051992754388245</v>
      </c>
      <c r="CL9" s="11">
        <f>CK8*CL10/4</f>
        <v>17.408031475414095</v>
      </c>
      <c r="CM9" s="214">
        <f>SUM(CI9:CL9)</f>
        <v>61.671941435821381</v>
      </c>
      <c r="CN9" s="11">
        <f>CL8*CN10/4</f>
        <v>18.872947409600567</v>
      </c>
      <c r="CO9" s="11">
        <f>CN8*CO10/4</f>
        <v>20.664820793234085</v>
      </c>
      <c r="CP9" s="11">
        <f>CO8*CP10/4</f>
        <v>22.221129353470396</v>
      </c>
      <c r="CQ9" s="11">
        <f>CP8*CQ10/4</f>
        <v>23.918632470459102</v>
      </c>
      <c r="CR9" s="214">
        <f>SUM(CN9:CQ9)</f>
        <v>85.677530026764146</v>
      </c>
      <c r="CS9" s="11">
        <f>CQ8*CS10/4</f>
        <v>25.732807483785255</v>
      </c>
      <c r="CT9" s="11">
        <f>CS8*CT10/4</f>
        <v>27.90155620157574</v>
      </c>
      <c r="CU9" s="11">
        <f>CT8*CU10/4</f>
        <v>29.815494640043532</v>
      </c>
      <c r="CV9" s="11">
        <f>CU8*CV10/4</f>
        <v>31.884841477614629</v>
      </c>
      <c r="CW9" s="214">
        <f>SUM(CS9:CV9)</f>
        <v>115.33469980301916</v>
      </c>
      <c r="CX9" s="11">
        <f>CV8*CX10/4</f>
        <v>34.081298562830519</v>
      </c>
      <c r="CY9" s="11">
        <f>CX8*CY10/4</f>
        <v>36.590082259731439</v>
      </c>
      <c r="CZ9" s="11">
        <f>CY8*CZ10/4</f>
        <v>38.803300966324237</v>
      </c>
      <c r="DA9" s="11">
        <f>CZ8*DA10/4</f>
        <v>41.164610837637049</v>
      </c>
      <c r="DB9" s="214">
        <f>SUM(CX9:DA9)</f>
        <v>150.63929262652323</v>
      </c>
    </row>
    <row r="10" spans="1:106" s="11" customFormat="1">
      <c r="A10" s="11" t="s">
        <v>129</v>
      </c>
      <c r="B10" s="62" t="e">
        <f>B9/B8*4</f>
        <v>#DIV/0!</v>
      </c>
      <c r="C10" s="62" t="e">
        <f>C9/C8*4</f>
        <v>#DIV/0!</v>
      </c>
      <c r="D10" s="62" t="e">
        <f>D9/D8*4</f>
        <v>#DIV/0!</v>
      </c>
      <c r="E10" s="62">
        <f>E9/E8*4</f>
        <v>-5.1573827658988713E-2</v>
      </c>
      <c r="G10" s="62" t="e">
        <f>G9/G8*4</f>
        <v>#DIV/0!</v>
      </c>
      <c r="H10" s="62">
        <f>H9/H8*4</f>
        <v>-2.0693089986022525E-2</v>
      </c>
      <c r="I10" s="62">
        <f>I9/I8*4</f>
        <v>3.2527484376474181E-2</v>
      </c>
      <c r="J10" s="62">
        <f>J9/J8*4</f>
        <v>2.2139997310580257E-2</v>
      </c>
      <c r="L10" s="62">
        <f>L9/L8*4</f>
        <v>0</v>
      </c>
      <c r="M10" s="62">
        <f>M9/M8*4</f>
        <v>0</v>
      </c>
      <c r="N10" s="62">
        <f>N9/N8*4</f>
        <v>0</v>
      </c>
      <c r="O10" s="62">
        <f>O9/O8*4</f>
        <v>0</v>
      </c>
      <c r="Q10" s="62">
        <f>Q9/Q8*4</f>
        <v>4.4913541432741975E-2</v>
      </c>
      <c r="R10" s="62">
        <f>R9/R8*4</f>
        <v>-1.6176096194896499E-2</v>
      </c>
      <c r="S10" s="62">
        <f>S9/S8*4</f>
        <v>-1.1953934950898595E-2</v>
      </c>
      <c r="T10" s="62">
        <f>T9/T8*4</f>
        <v>6.4946536885763073E-2</v>
      </c>
      <c r="V10" s="62">
        <f>V9/V8*4</f>
        <v>4.8198281397046541E-3</v>
      </c>
      <c r="W10" s="62">
        <f>W9/W8*4</f>
        <v>-0.18907063107671229</v>
      </c>
      <c r="X10" s="62">
        <f>X9/X8*4</f>
        <v>1.0856818154340914E-2</v>
      </c>
      <c r="Y10" s="62">
        <f>Y9/Y8*4</f>
        <v>1.6065718667949147E-2</v>
      </c>
      <c r="Z10" s="214"/>
      <c r="AA10" s="62">
        <f>AA9/AA8*4</f>
        <v>1.4146745155598581E-2</v>
      </c>
      <c r="AB10" s="62">
        <f>AB9/AB8*4</f>
        <v>1.4051541929817927E-2</v>
      </c>
      <c r="AC10" s="62">
        <f>AC9/AC8*4</f>
        <v>1.129625821937065E-2</v>
      </c>
      <c r="AD10" s="62">
        <f>AD9/AD8*4</f>
        <v>1.9864350973149116E-2</v>
      </c>
      <c r="AE10" s="214"/>
      <c r="AF10" s="62">
        <f>AF9/AF8*4</f>
        <v>1.9584796402390196E-2</v>
      </c>
      <c r="AG10" s="62">
        <f>AG9/AG8*4</f>
        <v>1.3474002668188679E-2</v>
      </c>
      <c r="AH10" s="62">
        <f>AH9/AH8*4</f>
        <v>8.6417740094570355E-3</v>
      </c>
      <c r="AI10" s="62">
        <f>AI9/AI8*4</f>
        <v>1.0319094393671823E-2</v>
      </c>
      <c r="AJ10" s="214"/>
      <c r="AK10" s="46">
        <f>AK9/AK8*4</f>
        <v>8.390812335901783E-3</v>
      </c>
      <c r="AL10" s="46">
        <f>AL9/AL8*4</f>
        <v>1.0926456674186503E-2</v>
      </c>
      <c r="AM10" s="46">
        <f>AM9/AM8*4</f>
        <v>4.9780257673398137E-3</v>
      </c>
      <c r="AN10" s="46">
        <f>AN9/AN8*4</f>
        <v>5.0356454573096702E-3</v>
      </c>
      <c r="AO10" s="214"/>
      <c r="AP10" s="46">
        <f>AP9/AP8*4</f>
        <v>4.2608762723449984E-3</v>
      </c>
      <c r="AQ10" s="46">
        <f>AQ9/AQ8*4</f>
        <v>1.7349068583623923E-3</v>
      </c>
      <c r="AR10" s="46">
        <f>AR9/AR8*4</f>
        <v>6.677488803693342E-4</v>
      </c>
      <c r="AS10" s="46">
        <f>AS9/AS8*4</f>
        <v>1.0566555271811608E-2</v>
      </c>
      <c r="AT10" s="214"/>
      <c r="AU10" s="46">
        <f>AU9/AU8*4</f>
        <v>2.2585873115175639E-2</v>
      </c>
      <c r="AV10" s="46">
        <f>AV9/AV8*4</f>
        <v>2.4556316335140993E-2</v>
      </c>
      <c r="AW10" s="102">
        <f>AW9/AW8*4</f>
        <v>2.3088824278714483E-2</v>
      </c>
      <c r="AX10" s="102">
        <f>AX9/AX8*4</f>
        <v>4.479753167602793E-2</v>
      </c>
      <c r="AY10" s="214"/>
      <c r="AZ10" s="46">
        <f>AZ9/AZ8*4</f>
        <v>4.6512892184955225E-2</v>
      </c>
      <c r="BA10" s="102">
        <f>BA9/BA8*4</f>
        <v>4.7151551634150496E-2</v>
      </c>
      <c r="BB10" s="102">
        <f>BB9/BB8*4</f>
        <v>5.0385218369918057E-2</v>
      </c>
      <c r="BC10" s="102">
        <f>BC9/BC8*4</f>
        <v>4.5053269935431628E-2</v>
      </c>
      <c r="BD10" s="214"/>
      <c r="BE10" s="102">
        <f>BE9/BE8*4</f>
        <v>5.4130697862041145E-2</v>
      </c>
      <c r="BF10" s="102">
        <f>BF9/BF8*4</f>
        <v>4.2275756991169255E-2</v>
      </c>
      <c r="BG10" s="102">
        <f>BG9/BG8*4</f>
        <v>4.329849832795811E-2</v>
      </c>
      <c r="BH10" s="102">
        <f>BH9/BH8*4</f>
        <v>3.8842529782370294E-2</v>
      </c>
      <c r="BI10" s="214"/>
      <c r="BJ10" s="381">
        <f>BJ11</f>
        <v>3.7999999999999999E-2</v>
      </c>
      <c r="BK10" s="46">
        <f>BK11</f>
        <v>3.6999999999999998E-2</v>
      </c>
      <c r="BL10" s="46">
        <f>BL11</f>
        <v>3.6999999999999998E-2</v>
      </c>
      <c r="BM10" s="46">
        <f>BM11</f>
        <v>3.6999999999999998E-2</v>
      </c>
      <c r="BN10" s="214"/>
      <c r="BO10" s="46">
        <f>BO11</f>
        <v>2.5000000000000001E-2</v>
      </c>
      <c r="BP10" s="46">
        <f>BP11</f>
        <v>0.02</v>
      </c>
      <c r="BQ10" s="46">
        <f>BQ11</f>
        <v>0.02</v>
      </c>
      <c r="BR10" s="46">
        <f>BR11</f>
        <v>0.02</v>
      </c>
      <c r="BS10" s="214"/>
      <c r="BT10" s="46">
        <f>BT11</f>
        <v>0.02</v>
      </c>
      <c r="BU10" s="46">
        <f>BU11</f>
        <v>0.02</v>
      </c>
      <c r="BV10" s="46">
        <f>BV11</f>
        <v>0.02</v>
      </c>
      <c r="BW10" s="46">
        <f>BW11</f>
        <v>0.02</v>
      </c>
      <c r="BX10" s="214"/>
      <c r="BY10" s="46">
        <f>BY11</f>
        <v>0.02</v>
      </c>
      <c r="BZ10" s="46">
        <f>BZ11</f>
        <v>0.02</v>
      </c>
      <c r="CA10" s="46">
        <f>CA11</f>
        <v>0.02</v>
      </c>
      <c r="CB10" s="46">
        <f>CB11</f>
        <v>0.02</v>
      </c>
      <c r="CC10" s="214"/>
      <c r="CD10" s="46">
        <f>CD11</f>
        <v>0.02</v>
      </c>
      <c r="CE10" s="46">
        <f>CE11</f>
        <v>0.02</v>
      </c>
      <c r="CF10" s="46">
        <f>CF11</f>
        <v>0.02</v>
      </c>
      <c r="CG10" s="46">
        <f>CG11</f>
        <v>0.02</v>
      </c>
      <c r="CH10" s="214"/>
      <c r="CI10" s="46">
        <f>CI11</f>
        <v>0.02</v>
      </c>
      <c r="CJ10" s="46">
        <f>CJ11</f>
        <v>0.02</v>
      </c>
      <c r="CK10" s="46">
        <f>CK11</f>
        <v>0.02</v>
      </c>
      <c r="CL10" s="46">
        <f>CL11</f>
        <v>0.02</v>
      </c>
      <c r="CM10" s="214"/>
      <c r="CN10" s="46">
        <f>CN11</f>
        <v>0.02</v>
      </c>
      <c r="CO10" s="46">
        <f>CO11</f>
        <v>0.02</v>
      </c>
      <c r="CP10" s="46">
        <f>CP11</f>
        <v>0.02</v>
      </c>
      <c r="CQ10" s="46">
        <f>CQ11</f>
        <v>0.02</v>
      </c>
      <c r="CR10" s="214"/>
      <c r="CS10" s="46">
        <f>CS11</f>
        <v>0.02</v>
      </c>
      <c r="CT10" s="46">
        <f>CT11</f>
        <v>0.02</v>
      </c>
      <c r="CU10" s="46">
        <f>CU11</f>
        <v>0.02</v>
      </c>
      <c r="CV10" s="46">
        <f>CV11</f>
        <v>0.02</v>
      </c>
      <c r="CW10" s="214"/>
      <c r="CX10" s="46">
        <f>CX11</f>
        <v>0.02</v>
      </c>
      <c r="CY10" s="46">
        <f>CY11</f>
        <v>0.02</v>
      </c>
      <c r="CZ10" s="46">
        <f>CZ11</f>
        <v>0.02</v>
      </c>
      <c r="DA10" s="46">
        <f>DA11</f>
        <v>0.02</v>
      </c>
      <c r="DB10" s="214"/>
    </row>
    <row r="11" spans="1:106" s="11" customFormat="1">
      <c r="A11" s="11" t="s">
        <v>130</v>
      </c>
      <c r="B11" s="62" t="e">
        <f>AVERAGE(B10,#REF!,#REF!,#REF!)</f>
        <v>#REF!</v>
      </c>
      <c r="C11" s="62" t="e">
        <f>AVERAGE(C10,B10,#REF!,#REF!)</f>
        <v>#REF!</v>
      </c>
      <c r="D11" s="62" t="e">
        <f>AVERAGE(D10,C10,B10,#REF!)</f>
        <v>#REF!</v>
      </c>
      <c r="E11" s="62" t="e">
        <f>AVERAGE(E10,D10,C10,B10)</f>
        <v>#DIV/0!</v>
      </c>
      <c r="G11" s="62" t="e">
        <f>AVERAGE(G10,E10,D10,C10)</f>
        <v>#DIV/0!</v>
      </c>
      <c r="H11" s="62" t="e">
        <f>AVERAGE(H10,G10,E10,D10)</f>
        <v>#DIV/0!</v>
      </c>
      <c r="I11" s="62" t="e">
        <f>AVERAGE(I10,H10,G10,E10)</f>
        <v>#DIV/0!</v>
      </c>
      <c r="J11" s="62" t="e">
        <f>AVERAGE(J10,I10,H10,G10)</f>
        <v>#DIV/0!</v>
      </c>
      <c r="L11" s="62">
        <f>AVERAGE(L10,J10,I10,H10)</f>
        <v>8.4935979252579782E-3</v>
      </c>
      <c r="M11" s="62">
        <f>AVERAGE(M10,L10,J10,I10)</f>
        <v>1.366687042176361E-2</v>
      </c>
      <c r="N11" s="62">
        <f>AVERAGE(N10,M10,L10,J10)</f>
        <v>5.5349993276450644E-3</v>
      </c>
      <c r="O11" s="62">
        <f>AVERAGE(O10,N10,M10,L10)</f>
        <v>0</v>
      </c>
      <c r="Q11" s="62">
        <f>AVERAGE(Q10,O10,N10,M10)</f>
        <v>1.1228385358185494E-2</v>
      </c>
      <c r="R11" s="62">
        <f>AVERAGE(R10,Q10,O10,N10)</f>
        <v>7.1843613094613691E-3</v>
      </c>
      <c r="S11" s="62">
        <f>AVERAGE(S10,R10,Q10,O10)</f>
        <v>4.1958775717367202E-3</v>
      </c>
      <c r="T11" s="62">
        <f>AVERAGE(T10,S10,R10,Q10)</f>
        <v>2.0432511793177489E-2</v>
      </c>
      <c r="V11" s="62">
        <f>AVERAGE(V10,T10,S10,R10)</f>
        <v>1.0409083469918156E-2</v>
      </c>
      <c r="W11" s="62">
        <f>AVERAGE(W10,V10,T10,S10)</f>
        <v>-3.2814550250535784E-2</v>
      </c>
      <c r="X11" s="62">
        <f>AVERAGE(X10,W10,V10,T10)</f>
        <v>-2.7111861974225909E-2</v>
      </c>
      <c r="Y11" s="62">
        <f>AVERAGE(Y10,X10,W10,V10)</f>
        <v>-3.9332066528679391E-2</v>
      </c>
      <c r="Z11" s="214"/>
      <c r="AA11" s="62">
        <f>AVERAGE(AA10,Y10,X10,W10)</f>
        <v>-3.7000337274705912E-2</v>
      </c>
      <c r="AB11" s="62">
        <f>AVERAGE(AB10,AA10,Y10,X10)</f>
        <v>1.3780205976926642E-2</v>
      </c>
      <c r="AC11" s="62">
        <f>AVERAGE(AC10,AB10,AA10,Y10)</f>
        <v>1.3890065993184077E-2</v>
      </c>
      <c r="AD11" s="62">
        <f>AVERAGE(AD10,AC10,AB10,AA10)</f>
        <v>1.483972406948407E-2</v>
      </c>
      <c r="AE11" s="214"/>
      <c r="AF11" s="62">
        <f>AVERAGE(AF10,AD10,AC10,AB10)</f>
        <v>1.6199236881181973E-2</v>
      </c>
      <c r="AG11" s="62">
        <f>AVERAGE(AG10,AF10,AD10,AC10)</f>
        <v>1.6054852065774661E-2</v>
      </c>
      <c r="AH11" s="62">
        <f>AVERAGE(AH10,AG10,AF10,AD10)</f>
        <v>1.5391231013296258E-2</v>
      </c>
      <c r="AI11" s="62">
        <f>AVERAGE(AI10,AH10,AG10,AF10)</f>
        <v>1.3004916868426933E-2</v>
      </c>
      <c r="AJ11" s="214"/>
      <c r="AK11" s="62">
        <f>AVERAGE(AK10,AI10,AH10,AG10)</f>
        <v>1.0206420851804831E-2</v>
      </c>
      <c r="AL11" s="62">
        <f>AVERAGE(AL10,AK10,AI10,AH10)</f>
        <v>9.5695343533042862E-3</v>
      </c>
      <c r="AM11" s="62">
        <f>AVERAGE(AM10,AL10,AK10,AI10)</f>
        <v>8.6535972927749803E-3</v>
      </c>
      <c r="AN11" s="62">
        <f>AVERAGE(AN10,AM10,AL10,AK10)</f>
        <v>7.3327350586844427E-3</v>
      </c>
      <c r="AO11" s="214"/>
      <c r="AP11" s="62">
        <f>AVERAGE(AP10,AN10,AM10,AL10)</f>
        <v>6.3002510427952463E-3</v>
      </c>
      <c r="AQ11" s="62">
        <f>AVERAGE(AQ10,AP10,AN10,AM10)</f>
        <v>4.0023635888392188E-3</v>
      </c>
      <c r="AR11" s="62">
        <f>AVERAGE(AR10,AQ10,AP10,AN10)</f>
        <v>2.9247943670965984E-3</v>
      </c>
      <c r="AS11" s="62">
        <f>AVERAGE(AS10,AR10,AQ10,AP10)</f>
        <v>4.3075218207220831E-3</v>
      </c>
      <c r="AT11" s="214"/>
      <c r="AU11" s="62">
        <f>AVERAGE(AU10,AS10,AR10,AQ10)</f>
        <v>8.8887710314297427E-3</v>
      </c>
      <c r="AV11" s="62">
        <f>AVERAGE(AV10,AU10,AS10,AR10)</f>
        <v>1.4594123400624394E-2</v>
      </c>
      <c r="AW11" s="62">
        <f>AVERAGE(AW10,AV10,AU10,AS10)</f>
        <v>2.0199392250210682E-2</v>
      </c>
      <c r="AX11" s="62">
        <f>AVERAGE(AX10,AW10,AV10,AU10)</f>
        <v>2.8757136351264759E-2</v>
      </c>
      <c r="AY11" s="214"/>
      <c r="AZ11" s="62">
        <f>AVERAGE(AZ10,AX10,AW10,AV10)</f>
        <v>3.4738891118709654E-2</v>
      </c>
      <c r="BA11" s="62">
        <f>AVERAGE(BA10,AZ10,AX10,AW10)</f>
        <v>4.038769994346203E-2</v>
      </c>
      <c r="BB11" s="62">
        <f>AVERAGE(BB10,BA10,AZ10,AX10)</f>
        <v>4.7211798466262923E-2</v>
      </c>
      <c r="BC11" s="62">
        <f>AVERAGE(BC10,BB10,BA10,AZ10)</f>
        <v>4.7275733031113848E-2</v>
      </c>
      <c r="BD11" s="214"/>
      <c r="BE11" s="62">
        <f>AVERAGE(BE10,BC10,BB10,BA10)</f>
        <v>4.9180184450385328E-2</v>
      </c>
      <c r="BF11" s="62">
        <f>AVERAGE(BF10,BE10,BC10,BB10)</f>
        <v>4.7961235789640018E-2</v>
      </c>
      <c r="BG11" s="62">
        <f>AVERAGE(BG10,BF10,BE10,BC10)</f>
        <v>4.6189555779150036E-2</v>
      </c>
      <c r="BH11" s="62">
        <f>AVERAGE(BH10,BG10,BF10,BE10)</f>
        <v>4.4636870740884703E-2</v>
      </c>
      <c r="BI11" s="214"/>
      <c r="BJ11" s="382">
        <v>3.7999999999999999E-2</v>
      </c>
      <c r="BK11" s="47">
        <v>3.6999999999999998E-2</v>
      </c>
      <c r="BL11" s="47">
        <v>3.6999999999999998E-2</v>
      </c>
      <c r="BM11" s="47">
        <v>3.6999999999999998E-2</v>
      </c>
      <c r="BN11" s="214"/>
      <c r="BO11" s="47">
        <v>2.5000000000000001E-2</v>
      </c>
      <c r="BP11" s="47">
        <v>0.02</v>
      </c>
      <c r="BQ11" s="47">
        <f>BP11</f>
        <v>0.02</v>
      </c>
      <c r="BR11" s="47">
        <f>BQ11</f>
        <v>0.02</v>
      </c>
      <c r="BS11" s="214"/>
      <c r="BT11" s="47">
        <f>BR11</f>
        <v>0.02</v>
      </c>
      <c r="BU11" s="47">
        <f>BT11</f>
        <v>0.02</v>
      </c>
      <c r="BV11" s="47">
        <f>BU11</f>
        <v>0.02</v>
      </c>
      <c r="BW11" s="47">
        <f>BV11</f>
        <v>0.02</v>
      </c>
      <c r="BX11" s="214"/>
      <c r="BY11" s="47">
        <f>BW11</f>
        <v>0.02</v>
      </c>
      <c r="BZ11" s="47">
        <f>BY11</f>
        <v>0.02</v>
      </c>
      <c r="CA11" s="47">
        <f>BZ11</f>
        <v>0.02</v>
      </c>
      <c r="CB11" s="47">
        <f>CA11</f>
        <v>0.02</v>
      </c>
      <c r="CC11" s="214"/>
      <c r="CD11" s="47">
        <f>CB11</f>
        <v>0.02</v>
      </c>
      <c r="CE11" s="47">
        <f>CD11</f>
        <v>0.02</v>
      </c>
      <c r="CF11" s="47">
        <f>CE11</f>
        <v>0.02</v>
      </c>
      <c r="CG11" s="47">
        <f>CF11</f>
        <v>0.02</v>
      </c>
      <c r="CH11" s="214"/>
      <c r="CI11" s="47">
        <f>CG11</f>
        <v>0.02</v>
      </c>
      <c r="CJ11" s="47">
        <f>CI11</f>
        <v>0.02</v>
      </c>
      <c r="CK11" s="47">
        <f>CJ11</f>
        <v>0.02</v>
      </c>
      <c r="CL11" s="47">
        <f>CK11</f>
        <v>0.02</v>
      </c>
      <c r="CM11" s="214"/>
      <c r="CN11" s="47">
        <f>CL11</f>
        <v>0.02</v>
      </c>
      <c r="CO11" s="47">
        <f>CN11</f>
        <v>0.02</v>
      </c>
      <c r="CP11" s="47">
        <f>CO11</f>
        <v>0.02</v>
      </c>
      <c r="CQ11" s="47">
        <f>CP11</f>
        <v>0.02</v>
      </c>
      <c r="CR11" s="214"/>
      <c r="CS11" s="47">
        <f>CQ11</f>
        <v>0.02</v>
      </c>
      <c r="CT11" s="47">
        <f>CS11</f>
        <v>0.02</v>
      </c>
      <c r="CU11" s="47">
        <f>CT11</f>
        <v>0.02</v>
      </c>
      <c r="CV11" s="47">
        <f>CU11</f>
        <v>0.02</v>
      </c>
      <c r="CW11" s="214"/>
      <c r="CX11" s="47">
        <f>CV11</f>
        <v>0.02</v>
      </c>
      <c r="CY11" s="47">
        <f>CX11</f>
        <v>0.02</v>
      </c>
      <c r="CZ11" s="47">
        <f>CY11</f>
        <v>0.02</v>
      </c>
      <c r="DA11" s="47">
        <f>CZ11</f>
        <v>0.02</v>
      </c>
      <c r="DB11" s="214"/>
    </row>
    <row r="12" spans="1:106" s="11" customFormat="1">
      <c r="Z12" s="214"/>
      <c r="AE12" s="214"/>
      <c r="AJ12" s="214"/>
      <c r="AO12" s="214"/>
      <c r="AT12" s="214"/>
      <c r="AY12" s="214"/>
      <c r="BD12" s="214"/>
      <c r="BI12" s="214"/>
      <c r="BJ12" s="283"/>
      <c r="BN12" s="214"/>
      <c r="BS12" s="214"/>
      <c r="BX12" s="214"/>
      <c r="CC12" s="214"/>
      <c r="CH12" s="214"/>
      <c r="CM12" s="214"/>
      <c r="CR12" s="214"/>
      <c r="CW12" s="214"/>
      <c r="DB12" s="214"/>
    </row>
    <row r="13" spans="1:106" s="11" customFormat="1">
      <c r="A13" s="10" t="s">
        <v>131</v>
      </c>
      <c r="Z13" s="214"/>
      <c r="AE13" s="214"/>
      <c r="AJ13" s="214"/>
      <c r="AO13" s="214"/>
      <c r="AT13" s="214"/>
      <c r="AY13" s="214"/>
      <c r="BD13" s="214"/>
      <c r="BI13" s="214"/>
      <c r="BJ13" s="283"/>
      <c r="BN13" s="214"/>
      <c r="BS13" s="214"/>
      <c r="BX13" s="214"/>
      <c r="CC13" s="214"/>
      <c r="CH13" s="214"/>
      <c r="CM13" s="214"/>
      <c r="CR13" s="214"/>
      <c r="CW13" s="214"/>
      <c r="DB13" s="214"/>
    </row>
    <row r="14" spans="1:106" s="11" customFormat="1">
      <c r="A14" s="11" t="s">
        <v>132</v>
      </c>
      <c r="B14" s="11">
        <f>B22</f>
        <v>0</v>
      </c>
      <c r="C14" s="11">
        <f>C22</f>
        <v>0</v>
      </c>
      <c r="D14" s="11">
        <f>D22</f>
        <v>0</v>
      </c>
      <c r="E14" s="11">
        <f>E22</f>
        <v>24.473999999999997</v>
      </c>
      <c r="F14" s="11">
        <f>E14</f>
        <v>24.473999999999997</v>
      </c>
      <c r="G14" s="11">
        <f>G22</f>
        <v>0</v>
      </c>
      <c r="H14" s="11">
        <f>H22</f>
        <v>25.425999999999998</v>
      </c>
      <c r="I14" s="11">
        <f>I22</f>
        <v>21.276</v>
      </c>
      <c r="J14" s="11">
        <f>J22</f>
        <v>0</v>
      </c>
      <c r="K14" s="11">
        <f>J14</f>
        <v>0</v>
      </c>
      <c r="L14" s="11">
        <f>L22</f>
        <v>0</v>
      </c>
      <c r="M14" s="11">
        <f>M22</f>
        <v>0</v>
      </c>
      <c r="N14" s="11">
        <f>N22</f>
        <v>0</v>
      </c>
      <c r="O14" s="11">
        <f>O22</f>
        <v>0</v>
      </c>
      <c r="P14" s="11">
        <f>O14</f>
        <v>0</v>
      </c>
      <c r="Q14" s="11">
        <f>Q22</f>
        <v>0</v>
      </c>
      <c r="R14" s="11">
        <f>R22</f>
        <v>0</v>
      </c>
      <c r="S14" s="11">
        <f>+S28-S24-S22</f>
        <v>0</v>
      </c>
      <c r="T14" s="11">
        <f>+T28-T24-T22</f>
        <v>0</v>
      </c>
      <c r="U14" s="11">
        <f>T14</f>
        <v>0</v>
      </c>
      <c r="V14" s="11">
        <f>+V28-V24-V22</f>
        <v>0</v>
      </c>
      <c r="W14" s="11">
        <f>+W28-W24-W22</f>
        <v>0</v>
      </c>
      <c r="X14" s="11">
        <f>+X28-X24-X22</f>
        <v>0</v>
      </c>
      <c r="Y14" s="11">
        <f>+Y28-Y24-Y22</f>
        <v>0</v>
      </c>
      <c r="Z14" s="214">
        <f>Y14</f>
        <v>0</v>
      </c>
      <c r="AA14" s="11">
        <f>+AA28-AA24-AA22</f>
        <v>0</v>
      </c>
      <c r="AB14" s="11">
        <f>+AB28-AB24-AB22</f>
        <v>0</v>
      </c>
      <c r="AC14" s="11">
        <f>+AC28-AC24-AC22</f>
        <v>0</v>
      </c>
      <c r="AD14" s="11">
        <f>+AD28-AD24-AD22</f>
        <v>0</v>
      </c>
      <c r="AE14" s="214">
        <f>AD14</f>
        <v>0</v>
      </c>
      <c r="AF14" s="11">
        <f>+AF28-AF24-AF22</f>
        <v>0</v>
      </c>
      <c r="AG14" s="11">
        <f>+AG28-AG24-AG22</f>
        <v>0</v>
      </c>
      <c r="AH14" s="11">
        <f>+AH28-AH24-AH22</f>
        <v>0</v>
      </c>
      <c r="AI14" s="11">
        <f>+AI28-AI24-AI22</f>
        <v>0</v>
      </c>
      <c r="AJ14" s="214">
        <f>AI14</f>
        <v>0</v>
      </c>
      <c r="AK14" s="11">
        <f>+AK28-AK24-AK22</f>
        <v>0</v>
      </c>
      <c r="AL14" s="11">
        <f>+AL28-AL24-AL22</f>
        <v>0</v>
      </c>
      <c r="AM14" s="11">
        <f>+AM28-AM24-AM22</f>
        <v>0</v>
      </c>
      <c r="AN14" s="11">
        <f>+AN28-AN24-AN22</f>
        <v>0</v>
      </c>
      <c r="AO14" s="214">
        <f>AN14</f>
        <v>0</v>
      </c>
      <c r="AP14" s="11">
        <f>+AP28-AP24-AP22</f>
        <v>0</v>
      </c>
      <c r="AQ14" s="11">
        <f>+AQ28-AQ24-AQ22</f>
        <v>0</v>
      </c>
      <c r="AR14" s="11">
        <f t="shared" ref="AR14:AS14" si="0">+AR28-AR24-AR22</f>
        <v>0</v>
      </c>
      <c r="AS14" s="11">
        <f t="shared" si="0"/>
        <v>0</v>
      </c>
      <c r="AT14" s="214">
        <f>AS14</f>
        <v>0</v>
      </c>
      <c r="AU14" s="11">
        <f t="shared" ref="AU14:AX14" si="1">+AU28-AU24-AU22</f>
        <v>0</v>
      </c>
      <c r="AV14" s="11">
        <f t="shared" si="1"/>
        <v>0</v>
      </c>
      <c r="AW14" s="11">
        <f t="shared" si="1"/>
        <v>0</v>
      </c>
      <c r="AX14" s="11">
        <f t="shared" si="1"/>
        <v>0</v>
      </c>
      <c r="AY14" s="214">
        <f>AX14</f>
        <v>0</v>
      </c>
      <c r="AZ14" s="11">
        <f t="shared" ref="AZ14:BC14" si="2">+AZ28-AZ24-AZ22</f>
        <v>0</v>
      </c>
      <c r="BA14" s="11">
        <f t="shared" si="2"/>
        <v>0</v>
      </c>
      <c r="BB14" s="11">
        <f t="shared" si="2"/>
        <v>0</v>
      </c>
      <c r="BC14" s="11">
        <f t="shared" si="2"/>
        <v>0</v>
      </c>
      <c r="BD14" s="214">
        <f>BC14</f>
        <v>0</v>
      </c>
      <c r="BE14" s="11">
        <f>+BE28-BE24-BE22</f>
        <v>0</v>
      </c>
      <c r="BF14" s="11">
        <f>+BF28-BF24-BF22</f>
        <v>0</v>
      </c>
      <c r="BG14" s="11">
        <f>+BG28-BG24-BG22</f>
        <v>0</v>
      </c>
      <c r="BH14" s="11">
        <f>+BH28-BH24-BH22</f>
        <v>0</v>
      </c>
      <c r="BI14" s="214">
        <f>BH14</f>
        <v>0</v>
      </c>
      <c r="BJ14" s="283">
        <v>0</v>
      </c>
      <c r="BK14" s="11">
        <v>0</v>
      </c>
      <c r="BL14" s="11">
        <v>0</v>
      </c>
      <c r="BM14" s="11">
        <v>0</v>
      </c>
      <c r="BN14" s="214">
        <f>BM14</f>
        <v>0</v>
      </c>
      <c r="BO14" s="11">
        <v>0</v>
      </c>
      <c r="BP14" s="11">
        <v>0</v>
      </c>
      <c r="BQ14" s="11">
        <v>0</v>
      </c>
      <c r="BR14" s="11">
        <v>0</v>
      </c>
      <c r="BS14" s="214">
        <f>BR14</f>
        <v>0</v>
      </c>
      <c r="BT14" s="11">
        <v>0</v>
      </c>
      <c r="BU14" s="11">
        <v>0</v>
      </c>
      <c r="BV14" s="11">
        <v>0</v>
      </c>
      <c r="BW14" s="11">
        <v>0</v>
      </c>
      <c r="BX14" s="214">
        <f>BW14</f>
        <v>0</v>
      </c>
      <c r="BY14" s="11">
        <v>0</v>
      </c>
      <c r="BZ14" s="11">
        <v>0</v>
      </c>
      <c r="CA14" s="11">
        <v>0</v>
      </c>
      <c r="CB14" s="11">
        <v>0</v>
      </c>
      <c r="CC14" s="214">
        <f>CB14</f>
        <v>0</v>
      </c>
      <c r="CD14" s="11">
        <v>0</v>
      </c>
      <c r="CE14" s="11">
        <v>0</v>
      </c>
      <c r="CF14" s="11">
        <v>0</v>
      </c>
      <c r="CG14" s="11">
        <v>0</v>
      </c>
      <c r="CH14" s="214">
        <f>CG14</f>
        <v>0</v>
      </c>
      <c r="CI14" s="11">
        <v>0</v>
      </c>
      <c r="CJ14" s="11">
        <v>0</v>
      </c>
      <c r="CK14" s="11">
        <v>0</v>
      </c>
      <c r="CL14" s="11">
        <v>0</v>
      </c>
      <c r="CM14" s="214">
        <f>CL14</f>
        <v>0</v>
      </c>
      <c r="CN14" s="11">
        <v>0</v>
      </c>
      <c r="CO14" s="11">
        <v>0</v>
      </c>
      <c r="CP14" s="11">
        <v>0</v>
      </c>
      <c r="CQ14" s="11">
        <v>0</v>
      </c>
      <c r="CR14" s="214">
        <f>CQ14</f>
        <v>0</v>
      </c>
      <c r="CS14" s="11">
        <v>0</v>
      </c>
      <c r="CT14" s="11">
        <v>0</v>
      </c>
      <c r="CU14" s="11">
        <v>0</v>
      </c>
      <c r="CV14" s="11">
        <v>0</v>
      </c>
      <c r="CW14" s="214">
        <f>CV14</f>
        <v>0</v>
      </c>
      <c r="CX14" s="11">
        <v>0</v>
      </c>
      <c r="CY14" s="11">
        <v>0</v>
      </c>
      <c r="CZ14" s="11">
        <v>0</v>
      </c>
      <c r="DA14" s="11">
        <v>0</v>
      </c>
      <c r="DB14" s="214">
        <f>DA14</f>
        <v>0</v>
      </c>
    </row>
    <row r="15" spans="1:106" s="11" customFormat="1">
      <c r="A15" s="11" t="s">
        <v>133</v>
      </c>
      <c r="B15" s="62" t="e">
        <f>B16/B14*4</f>
        <v>#DIV/0!</v>
      </c>
      <c r="C15" s="62" t="e">
        <f>C16/C14*4</f>
        <v>#DIV/0!</v>
      </c>
      <c r="D15" s="62" t="e">
        <f>D16/D14*4</f>
        <v>#DIV/0!</v>
      </c>
      <c r="E15" s="62">
        <f>E16/E14*4</f>
        <v>0.20789409168913955</v>
      </c>
      <c r="F15" s="13">
        <f>E15</f>
        <v>0.20789409168913955</v>
      </c>
      <c r="G15" s="62" t="e">
        <f>G16/G14*4</f>
        <v>#DIV/0!</v>
      </c>
      <c r="H15" s="62">
        <f>H16/H14*4</f>
        <v>0.18925509321167311</v>
      </c>
      <c r="I15" s="62">
        <f>I16/I14*4</f>
        <v>0.22128219590148526</v>
      </c>
      <c r="J15" s="62" t="e">
        <f>J16/J14*4</f>
        <v>#DIV/0!</v>
      </c>
      <c r="K15" s="13" t="e">
        <f>J15</f>
        <v>#DIV/0!</v>
      </c>
      <c r="L15" s="62" t="e">
        <f>L16/L14*4</f>
        <v>#DIV/0!</v>
      </c>
      <c r="M15" s="62" t="e">
        <f>M16/M14*4</f>
        <v>#DIV/0!</v>
      </c>
      <c r="N15" s="62" t="e">
        <f>N16/N14*4</f>
        <v>#DIV/0!</v>
      </c>
      <c r="O15" s="62" t="e">
        <f>O16/O14*4</f>
        <v>#DIV/0!</v>
      </c>
      <c r="P15" s="13" t="e">
        <f>O15</f>
        <v>#DIV/0!</v>
      </c>
      <c r="Q15" s="62" t="e">
        <f>O15</f>
        <v>#DIV/0!</v>
      </c>
      <c r="R15" s="62" t="e">
        <f>R16/R14*4</f>
        <v>#DIV/0!</v>
      </c>
      <c r="S15" s="62" t="e">
        <f>S16/S14*4</f>
        <v>#DIV/0!</v>
      </c>
      <c r="T15" s="62" t="e">
        <f>T16/T14*4</f>
        <v>#DIV/0!</v>
      </c>
      <c r="U15" s="13" t="e">
        <f>T15</f>
        <v>#DIV/0!</v>
      </c>
      <c r="V15" s="62" t="e">
        <f>T15</f>
        <v>#DIV/0!</v>
      </c>
      <c r="W15" s="62" t="e">
        <f>V15</f>
        <v>#DIV/0!</v>
      </c>
      <c r="X15" s="62" t="e">
        <f>W15</f>
        <v>#DIV/0!</v>
      </c>
      <c r="Y15" s="62" t="e">
        <f>X15</f>
        <v>#DIV/0!</v>
      </c>
      <c r="Z15" s="239" t="e">
        <f>Y15</f>
        <v>#DIV/0!</v>
      </c>
      <c r="AA15" s="62" t="e">
        <f>Y15</f>
        <v>#DIV/0!</v>
      </c>
      <c r="AB15" s="62" t="e">
        <f>AA15</f>
        <v>#DIV/0!</v>
      </c>
      <c r="AC15" s="62" t="e">
        <f>AB15</f>
        <v>#DIV/0!</v>
      </c>
      <c r="AD15" s="62" t="e">
        <f>AC15</f>
        <v>#DIV/0!</v>
      </c>
      <c r="AE15" s="239" t="e">
        <f>AD15</f>
        <v>#DIV/0!</v>
      </c>
      <c r="AF15" s="62" t="e">
        <f>AD15</f>
        <v>#DIV/0!</v>
      </c>
      <c r="AG15" s="62" t="e">
        <f>AF15</f>
        <v>#DIV/0!</v>
      </c>
      <c r="AH15" s="62" t="e">
        <f>AG15</f>
        <v>#DIV/0!</v>
      </c>
      <c r="AI15" s="62" t="e">
        <f>AH15</f>
        <v>#DIV/0!</v>
      </c>
      <c r="AJ15" s="239" t="e">
        <f>AI15</f>
        <v>#DIV/0!</v>
      </c>
      <c r="AK15" s="110">
        <v>0</v>
      </c>
      <c r="AL15" s="62">
        <f>AK15</f>
        <v>0</v>
      </c>
      <c r="AM15" s="62">
        <f>AL15</f>
        <v>0</v>
      </c>
      <c r="AN15" s="62">
        <f>AM15</f>
        <v>0</v>
      </c>
      <c r="AO15" s="239">
        <f>AN15</f>
        <v>0</v>
      </c>
      <c r="AP15" s="62">
        <f>AN15</f>
        <v>0</v>
      </c>
      <c r="AQ15" s="62">
        <f>AP15</f>
        <v>0</v>
      </c>
      <c r="AR15" s="62">
        <f>AQ15</f>
        <v>0</v>
      </c>
      <c r="AS15" s="62">
        <f>AR15</f>
        <v>0</v>
      </c>
      <c r="AT15" s="239">
        <f>AS15</f>
        <v>0</v>
      </c>
      <c r="AU15" s="62">
        <f>AS15</f>
        <v>0</v>
      </c>
      <c r="AV15" s="62">
        <f>AU15</f>
        <v>0</v>
      </c>
      <c r="AW15" s="62">
        <f>AV15</f>
        <v>0</v>
      </c>
      <c r="AX15" s="62">
        <f>AW15</f>
        <v>0</v>
      </c>
      <c r="AY15" s="239">
        <f>AX15</f>
        <v>0</v>
      </c>
      <c r="AZ15" s="62">
        <f>AX15</f>
        <v>0</v>
      </c>
      <c r="BA15" s="62">
        <f>AZ15</f>
        <v>0</v>
      </c>
      <c r="BB15" s="62">
        <f>BA15</f>
        <v>0</v>
      </c>
      <c r="BC15" s="62">
        <f>BB15</f>
        <v>0</v>
      </c>
      <c r="BD15" s="239">
        <f>BC15</f>
        <v>0</v>
      </c>
      <c r="BE15" s="62">
        <f>BC15</f>
        <v>0</v>
      </c>
      <c r="BF15" s="62">
        <f>BD15</f>
        <v>0</v>
      </c>
      <c r="BG15" s="62">
        <f>BE15</f>
        <v>0</v>
      </c>
      <c r="BH15" s="62">
        <f>BF15</f>
        <v>0</v>
      </c>
      <c r="BI15" s="239">
        <f>BH15</f>
        <v>0</v>
      </c>
      <c r="BJ15" s="328">
        <f>BH15</f>
        <v>0</v>
      </c>
      <c r="BK15" s="13">
        <f>BJ15</f>
        <v>0</v>
      </c>
      <c r="BL15" s="13">
        <f>BK15</f>
        <v>0</v>
      </c>
      <c r="BM15" s="13">
        <f>BL15</f>
        <v>0</v>
      </c>
      <c r="BN15" s="239">
        <f>BM15</f>
        <v>0</v>
      </c>
      <c r="BO15" s="13">
        <f>BM15</f>
        <v>0</v>
      </c>
      <c r="BP15" s="13">
        <f>BO15</f>
        <v>0</v>
      </c>
      <c r="BQ15" s="13">
        <f>BP15</f>
        <v>0</v>
      </c>
      <c r="BR15" s="13">
        <f>BQ15</f>
        <v>0</v>
      </c>
      <c r="BS15" s="239">
        <f>BR15</f>
        <v>0</v>
      </c>
      <c r="BT15" s="13">
        <f>BR15</f>
        <v>0</v>
      </c>
      <c r="BU15" s="13">
        <f>BT15</f>
        <v>0</v>
      </c>
      <c r="BV15" s="13">
        <f>BU15</f>
        <v>0</v>
      </c>
      <c r="BW15" s="13">
        <f>BV15</f>
        <v>0</v>
      </c>
      <c r="BX15" s="239">
        <f>BW15</f>
        <v>0</v>
      </c>
      <c r="BY15" s="13">
        <f>BW15</f>
        <v>0</v>
      </c>
      <c r="BZ15" s="13">
        <f>BY15</f>
        <v>0</v>
      </c>
      <c r="CA15" s="13">
        <f>BZ15</f>
        <v>0</v>
      </c>
      <c r="CB15" s="13">
        <f>CA15</f>
        <v>0</v>
      </c>
      <c r="CC15" s="239">
        <f>CB15</f>
        <v>0</v>
      </c>
      <c r="CD15" s="13">
        <f>CB15</f>
        <v>0</v>
      </c>
      <c r="CE15" s="13">
        <f>CD15</f>
        <v>0</v>
      </c>
      <c r="CF15" s="13">
        <f>CE15</f>
        <v>0</v>
      </c>
      <c r="CG15" s="13">
        <f>CF15</f>
        <v>0</v>
      </c>
      <c r="CH15" s="239">
        <f>CG15</f>
        <v>0</v>
      </c>
      <c r="CI15" s="13">
        <f>CG15</f>
        <v>0</v>
      </c>
      <c r="CJ15" s="13">
        <f>CI15</f>
        <v>0</v>
      </c>
      <c r="CK15" s="13">
        <f>CJ15</f>
        <v>0</v>
      </c>
      <c r="CL15" s="13">
        <f>CK15</f>
        <v>0</v>
      </c>
      <c r="CM15" s="239">
        <f>CL15</f>
        <v>0</v>
      </c>
      <c r="CN15" s="13">
        <f>CL15</f>
        <v>0</v>
      </c>
      <c r="CO15" s="13">
        <f>CN15</f>
        <v>0</v>
      </c>
      <c r="CP15" s="13">
        <f>CO15</f>
        <v>0</v>
      </c>
      <c r="CQ15" s="13">
        <f>CP15</f>
        <v>0</v>
      </c>
      <c r="CR15" s="239">
        <f>CQ15</f>
        <v>0</v>
      </c>
      <c r="CS15" s="13">
        <f>CQ15</f>
        <v>0</v>
      </c>
      <c r="CT15" s="13">
        <f>CS15</f>
        <v>0</v>
      </c>
      <c r="CU15" s="13">
        <f>CT15</f>
        <v>0</v>
      </c>
      <c r="CV15" s="13">
        <f>CU15</f>
        <v>0</v>
      </c>
      <c r="CW15" s="239">
        <f>CV15</f>
        <v>0</v>
      </c>
      <c r="CX15" s="13">
        <f>CV15</f>
        <v>0</v>
      </c>
      <c r="CY15" s="13">
        <f>CX15</f>
        <v>0</v>
      </c>
      <c r="CZ15" s="13">
        <f>CY15</f>
        <v>0</v>
      </c>
      <c r="DA15" s="13">
        <f>CZ15</f>
        <v>0</v>
      </c>
      <c r="DB15" s="239">
        <f>DA15</f>
        <v>0</v>
      </c>
    </row>
    <row r="16" spans="1:106" s="11" customFormat="1">
      <c r="A16" s="11" t="s">
        <v>4</v>
      </c>
      <c r="B16" s="11">
        <f>B30-B26</f>
        <v>0.80900000000000005</v>
      </c>
      <c r="C16" s="11">
        <f>C30-C26</f>
        <v>0.93600000000000005</v>
      </c>
      <c r="D16" s="11">
        <f>D30-D26</f>
        <v>1.202</v>
      </c>
      <c r="E16" s="11">
        <f>E30-E26</f>
        <v>1.2720000000000002</v>
      </c>
      <c r="F16" s="11">
        <f>SUM(B16:E16)</f>
        <v>4.2190000000000003</v>
      </c>
      <c r="G16" s="11">
        <f>G30-G26</f>
        <v>1.01</v>
      </c>
      <c r="H16" s="11">
        <f>H30-H26</f>
        <v>1.2030000000000001</v>
      </c>
      <c r="I16" s="11">
        <f>I30-I26</f>
        <v>1.177</v>
      </c>
      <c r="J16" s="11">
        <f>J30-J26</f>
        <v>0.11499999999999977</v>
      </c>
      <c r="K16" s="11">
        <f>SUM(G16:J16)</f>
        <v>3.5049999999999999</v>
      </c>
      <c r="L16" s="11">
        <f>L30-L26</f>
        <v>0.115</v>
      </c>
      <c r="M16" s="11">
        <f>M30-M26</f>
        <v>0.122</v>
      </c>
      <c r="N16" s="11">
        <f>N30-N26</f>
        <v>0.14599999999999999</v>
      </c>
      <c r="O16" s="11">
        <f>O30-O26</f>
        <v>0.15000000000000002</v>
      </c>
      <c r="P16" s="11">
        <f>SUM(L16:O16)</f>
        <v>0.53300000000000003</v>
      </c>
      <c r="Q16" s="11">
        <f>Q30-Q26</f>
        <v>0.183</v>
      </c>
      <c r="R16" s="11">
        <f>R30-R26</f>
        <v>0.218</v>
      </c>
      <c r="S16" s="11">
        <f>S30-S26</f>
        <v>1.4770000000000001</v>
      </c>
      <c r="T16" s="11">
        <f>T30-T26</f>
        <v>2.335</v>
      </c>
      <c r="U16" s="11">
        <f>SUM(Q16:T16)</f>
        <v>4.2130000000000001</v>
      </c>
      <c r="V16" s="11" t="e">
        <f>T14*V15/4</f>
        <v>#DIV/0!</v>
      </c>
      <c r="W16" s="11" t="e">
        <f>V14*W15/4</f>
        <v>#DIV/0!</v>
      </c>
      <c r="X16" s="11" t="e">
        <f>W14*X15/4</f>
        <v>#DIV/0!</v>
      </c>
      <c r="Y16" s="11" t="e">
        <f>X14*Y15/4</f>
        <v>#DIV/0!</v>
      </c>
      <c r="Z16" s="214" t="e">
        <f>SUM(V16:Y16)</f>
        <v>#DIV/0!</v>
      </c>
      <c r="AA16" s="11" t="e">
        <f>Y14*AA15/4</f>
        <v>#DIV/0!</v>
      </c>
      <c r="AB16" s="11" t="e">
        <f>AA14*AB15/4</f>
        <v>#DIV/0!</v>
      </c>
      <c r="AC16" s="11" t="e">
        <f>AB14*AC15/4</f>
        <v>#DIV/0!</v>
      </c>
      <c r="AD16" s="11" t="e">
        <f>AC14*AD15/4</f>
        <v>#DIV/0!</v>
      </c>
      <c r="AE16" s="214" t="e">
        <f>SUM(AA16:AD16)</f>
        <v>#DIV/0!</v>
      </c>
      <c r="AF16" s="11" t="e">
        <f>AD14*AF15/4</f>
        <v>#DIV/0!</v>
      </c>
      <c r="AG16" s="11" t="e">
        <f>AF14*AG15/4</f>
        <v>#DIV/0!</v>
      </c>
      <c r="AH16" s="11" t="e">
        <f>AG14*AH15/4</f>
        <v>#DIV/0!</v>
      </c>
      <c r="AI16" s="11" t="e">
        <f>AH14*AI15/4</f>
        <v>#DIV/0!</v>
      </c>
      <c r="AJ16" s="214" t="e">
        <f>SUM(AF16:AI16)</f>
        <v>#DIV/0!</v>
      </c>
      <c r="AK16" s="11">
        <f>AI14*AK15/4</f>
        <v>0</v>
      </c>
      <c r="AL16" s="11">
        <f>AK14*AL15/4</f>
        <v>0</v>
      </c>
      <c r="AM16" s="11">
        <f>AL14*AM15/4</f>
        <v>0</v>
      </c>
      <c r="AN16" s="11">
        <f>AM14*AN15/4</f>
        <v>0</v>
      </c>
      <c r="AO16" s="214">
        <f>SUM(AK16:AN16)</f>
        <v>0</v>
      </c>
      <c r="AP16" s="11">
        <f>AN14*AP15/4</f>
        <v>0</v>
      </c>
      <c r="AQ16" s="11">
        <f>AP14*AQ15/4</f>
        <v>0</v>
      </c>
      <c r="AR16" s="11">
        <f>AQ14*AR15/4</f>
        <v>0</v>
      </c>
      <c r="AS16" s="11">
        <f>AR14*AS15/4</f>
        <v>0</v>
      </c>
      <c r="AT16" s="214">
        <f>SUM(AP16:AS16)</f>
        <v>0</v>
      </c>
      <c r="AU16" s="11">
        <f>AS14*AU15/4</f>
        <v>0</v>
      </c>
      <c r="AV16" s="11">
        <f>AU14*AV15/4</f>
        <v>0</v>
      </c>
      <c r="AW16" s="11">
        <f>AV14*AW15/4</f>
        <v>0</v>
      </c>
      <c r="AX16" s="11">
        <f>AW14*AX15/4</f>
        <v>0</v>
      </c>
      <c r="AY16" s="214">
        <f>SUM(AU16:AX16)</f>
        <v>0</v>
      </c>
      <c r="AZ16" s="11">
        <f>AX14*AZ15/4</f>
        <v>0</v>
      </c>
      <c r="BA16" s="11">
        <f>AZ14*BA15/4</f>
        <v>0</v>
      </c>
      <c r="BB16" s="11">
        <f>BA14*BB15/4</f>
        <v>0</v>
      </c>
      <c r="BC16" s="11">
        <f>BB14*BC15/4</f>
        <v>0</v>
      </c>
      <c r="BD16" s="214">
        <f>SUM(AZ16:BC16)</f>
        <v>0</v>
      </c>
      <c r="BE16" s="11">
        <f>BE14*BE15/4</f>
        <v>0</v>
      </c>
      <c r="BF16" s="11">
        <f>BF14*BF15/4</f>
        <v>0</v>
      </c>
      <c r="BG16" s="11">
        <f>BG14*BG15/4</f>
        <v>0</v>
      </c>
      <c r="BH16" s="11">
        <f>BH14*BH15/4</f>
        <v>0</v>
      </c>
      <c r="BI16" s="214">
        <f>SUM(BE16:BH16)</f>
        <v>0</v>
      </c>
      <c r="BJ16" s="283">
        <f>BH14*BJ15/4</f>
        <v>0</v>
      </c>
      <c r="BK16" s="11">
        <f>BJ14*BK15/4</f>
        <v>0</v>
      </c>
      <c r="BL16" s="11">
        <f>BK14*BL15/4</f>
        <v>0</v>
      </c>
      <c r="BM16" s="11">
        <f>BL14*BM15/4</f>
        <v>0</v>
      </c>
      <c r="BN16" s="214">
        <f>SUM(BJ16:BM16)</f>
        <v>0</v>
      </c>
      <c r="BO16" s="11">
        <f>BM14*BO15/4</f>
        <v>0</v>
      </c>
      <c r="BP16" s="11">
        <f>BO14*BP15/4</f>
        <v>0</v>
      </c>
      <c r="BQ16" s="11">
        <f>BP14*BQ15/4</f>
        <v>0</v>
      </c>
      <c r="BR16" s="11">
        <f>BQ14*BR15/4</f>
        <v>0</v>
      </c>
      <c r="BS16" s="214">
        <f>SUM(BO16:BR16)</f>
        <v>0</v>
      </c>
      <c r="BT16" s="11">
        <f>BR14*BT15/4</f>
        <v>0</v>
      </c>
      <c r="BU16" s="11">
        <f>BT14*BU15/4</f>
        <v>0</v>
      </c>
      <c r="BV16" s="11">
        <f>BU14*BV15/4</f>
        <v>0</v>
      </c>
      <c r="BW16" s="11">
        <f>BV14*BW15/4</f>
        <v>0</v>
      </c>
      <c r="BX16" s="214">
        <f>SUM(BT16:BW16)</f>
        <v>0</v>
      </c>
      <c r="BY16" s="11">
        <f>BW14*BY15/4</f>
        <v>0</v>
      </c>
      <c r="BZ16" s="11">
        <f>BY14*BZ15/4</f>
        <v>0</v>
      </c>
      <c r="CA16" s="11">
        <f>BZ14*CA15/4</f>
        <v>0</v>
      </c>
      <c r="CB16" s="11">
        <f>CA14*CB15/4</f>
        <v>0</v>
      </c>
      <c r="CC16" s="214">
        <f>SUM(BY16:CB16)</f>
        <v>0</v>
      </c>
      <c r="CD16" s="11">
        <f>CB14*CD15/4</f>
        <v>0</v>
      </c>
      <c r="CE16" s="11">
        <f>CD14*CE15/4</f>
        <v>0</v>
      </c>
      <c r="CF16" s="11">
        <f>CE14*CF15/4</f>
        <v>0</v>
      </c>
      <c r="CG16" s="11">
        <f>CF14*CG15/4</f>
        <v>0</v>
      </c>
      <c r="CH16" s="214">
        <f>SUM(CD16:CG16)</f>
        <v>0</v>
      </c>
      <c r="CI16" s="11">
        <f>CG14*CI15/4</f>
        <v>0</v>
      </c>
      <c r="CJ16" s="11">
        <f>CI14*CJ15/4</f>
        <v>0</v>
      </c>
      <c r="CK16" s="11">
        <f>CJ14*CK15/4</f>
        <v>0</v>
      </c>
      <c r="CL16" s="11">
        <f>CK14*CL15/4</f>
        <v>0</v>
      </c>
      <c r="CM16" s="214">
        <f>SUM(CI16:CL16)</f>
        <v>0</v>
      </c>
      <c r="CN16" s="11">
        <f>CL14*CN15/4</f>
        <v>0</v>
      </c>
      <c r="CO16" s="11">
        <f>CN14*CO15/4</f>
        <v>0</v>
      </c>
      <c r="CP16" s="11">
        <f>CO14*CP15/4</f>
        <v>0</v>
      </c>
      <c r="CQ16" s="11">
        <f>CP14*CQ15/4</f>
        <v>0</v>
      </c>
      <c r="CR16" s="214">
        <f>SUM(CN16:CQ16)</f>
        <v>0</v>
      </c>
      <c r="CS16" s="11">
        <f>CQ14*CS15/4</f>
        <v>0</v>
      </c>
      <c r="CT16" s="11">
        <f>CS14*CT15/4</f>
        <v>0</v>
      </c>
      <c r="CU16" s="11">
        <f>CT14*CU15/4</f>
        <v>0</v>
      </c>
      <c r="CV16" s="11">
        <f>CU14*CV15/4</f>
        <v>0</v>
      </c>
      <c r="CW16" s="214">
        <f>SUM(CS16:CV16)</f>
        <v>0</v>
      </c>
      <c r="CX16" s="11">
        <f>CV14*CX15/4</f>
        <v>0</v>
      </c>
      <c r="CY16" s="11">
        <f>CX14*CY15/4</f>
        <v>0</v>
      </c>
      <c r="CZ16" s="11">
        <f>CY14*CZ15/4</f>
        <v>0</v>
      </c>
      <c r="DA16" s="11">
        <f>CZ14*DA15/4</f>
        <v>0</v>
      </c>
      <c r="DB16" s="214">
        <f>SUM(CX16:DA16)</f>
        <v>0</v>
      </c>
    </row>
    <row r="17" spans="1:106" s="11" customFormat="1">
      <c r="Z17" s="214"/>
      <c r="AE17" s="214"/>
      <c r="AJ17" s="214"/>
      <c r="AO17" s="214"/>
      <c r="AT17" s="214"/>
      <c r="AY17" s="214"/>
      <c r="BD17" s="214"/>
      <c r="BI17" s="214"/>
      <c r="BJ17" s="283"/>
      <c r="BN17" s="214"/>
      <c r="BS17" s="214"/>
      <c r="BX17" s="214"/>
      <c r="CC17" s="214"/>
      <c r="CH17" s="214"/>
      <c r="CM17" s="214"/>
      <c r="CR17" s="214"/>
      <c r="CW17" s="214"/>
      <c r="DB17" s="214"/>
    </row>
    <row r="18" spans="1:106" s="11" customFormat="1">
      <c r="A18" s="11" t="s">
        <v>182</v>
      </c>
      <c r="W18" s="87"/>
      <c r="Z18" s="214"/>
      <c r="AA18" s="71">
        <v>287.5</v>
      </c>
      <c r="AB18" s="71">
        <v>287.5</v>
      </c>
      <c r="AC18" s="71">
        <v>287.5</v>
      </c>
      <c r="AD18" s="71">
        <v>287.5</v>
      </c>
      <c r="AE18" s="214">
        <f t="shared" ref="AC18:AE19" si="3">+AD18</f>
        <v>287.5</v>
      </c>
      <c r="AF18" s="71">
        <v>287.5</v>
      </c>
      <c r="AG18" s="71">
        <v>287.5</v>
      </c>
      <c r="AH18" s="71">
        <v>287.5</v>
      </c>
      <c r="AI18" s="71">
        <v>287.5</v>
      </c>
      <c r="AJ18" s="214">
        <f t="shared" ref="AG18:AJ19" si="4">+AI18</f>
        <v>287.5</v>
      </c>
      <c r="AK18" s="71">
        <v>287.5</v>
      </c>
      <c r="AL18" s="71">
        <v>287.5</v>
      </c>
      <c r="AM18" s="71">
        <v>287.5</v>
      </c>
      <c r="AN18" s="71">
        <v>287.5</v>
      </c>
      <c r="AO18" s="214">
        <f t="shared" ref="AL18:AO19" si="5">+AN18</f>
        <v>287.5</v>
      </c>
      <c r="AP18" s="71">
        <v>287.5</v>
      </c>
      <c r="AQ18" s="71">
        <v>287.5</v>
      </c>
      <c r="AR18" s="71">
        <v>287.5</v>
      </c>
      <c r="AS18" s="71">
        <v>287.5</v>
      </c>
      <c r="AT18" s="214">
        <f t="shared" ref="AQ18:AT19" si="6">+AS18</f>
        <v>287.5</v>
      </c>
      <c r="AU18" s="71">
        <v>287.5</v>
      </c>
      <c r="AV18" s="71">
        <v>287.5</v>
      </c>
      <c r="AW18" s="71">
        <v>287.5</v>
      </c>
      <c r="AX18" s="71">
        <v>287.5</v>
      </c>
      <c r="AY18" s="214">
        <f t="shared" ref="AY18:AY19" si="7">+AX18</f>
        <v>287.5</v>
      </c>
      <c r="AZ18" s="71">
        <v>287.5</v>
      </c>
      <c r="BA18" s="71">
        <v>287.5</v>
      </c>
      <c r="BB18" s="71">
        <v>283.89999999999998</v>
      </c>
      <c r="BC18" s="71">
        <v>0</v>
      </c>
      <c r="BD18" s="214">
        <f t="shared" ref="BA18:BD19" si="8">+BC18</f>
        <v>0</v>
      </c>
      <c r="BE18" s="11">
        <v>0</v>
      </c>
      <c r="BF18" s="11">
        <f>+BE18</f>
        <v>0</v>
      </c>
      <c r="BG18" s="11">
        <f>+BF18</f>
        <v>0</v>
      </c>
      <c r="BH18" s="11">
        <f>+BG18</f>
        <v>0</v>
      </c>
      <c r="BI18" s="214">
        <f t="shared" ref="BF18:BI19" si="9">+BH18</f>
        <v>0</v>
      </c>
      <c r="BJ18" s="283">
        <f>+BH18</f>
        <v>0</v>
      </c>
      <c r="BK18" s="11">
        <f t="shared" ref="BK18:BN19" si="10">+BJ18</f>
        <v>0</v>
      </c>
      <c r="BL18" s="11">
        <f t="shared" si="10"/>
        <v>0</v>
      </c>
      <c r="BM18" s="11">
        <f t="shared" si="10"/>
        <v>0</v>
      </c>
      <c r="BN18" s="214">
        <f t="shared" si="10"/>
        <v>0</v>
      </c>
      <c r="BO18" s="11">
        <f>+BN18</f>
        <v>0</v>
      </c>
      <c r="BP18" s="11">
        <f t="shared" ref="BP18:BS19" si="11">+BO18</f>
        <v>0</v>
      </c>
      <c r="BQ18" s="11">
        <f t="shared" si="11"/>
        <v>0</v>
      </c>
      <c r="BR18" s="11">
        <f t="shared" si="11"/>
        <v>0</v>
      </c>
      <c r="BS18" s="214">
        <f t="shared" si="11"/>
        <v>0</v>
      </c>
      <c r="BT18" s="11">
        <f>+BR18</f>
        <v>0</v>
      </c>
      <c r="BU18" s="11">
        <f t="shared" ref="BU18:BX19" si="12">+BT18</f>
        <v>0</v>
      </c>
      <c r="BV18" s="11">
        <f t="shared" si="12"/>
        <v>0</v>
      </c>
      <c r="BW18" s="11">
        <f t="shared" si="12"/>
        <v>0</v>
      </c>
      <c r="BX18" s="214">
        <f t="shared" si="12"/>
        <v>0</v>
      </c>
      <c r="BY18" s="11">
        <f>+BW18</f>
        <v>0</v>
      </c>
      <c r="BZ18" s="11">
        <f t="shared" ref="BZ18:CC19" si="13">+BY18</f>
        <v>0</v>
      </c>
      <c r="CA18" s="11">
        <f t="shared" si="13"/>
        <v>0</v>
      </c>
      <c r="CB18" s="11">
        <f t="shared" si="13"/>
        <v>0</v>
      </c>
      <c r="CC18" s="214">
        <f t="shared" si="13"/>
        <v>0</v>
      </c>
      <c r="CD18" s="11">
        <f>+CB18</f>
        <v>0</v>
      </c>
      <c r="CE18" s="11">
        <f t="shared" ref="CE18:CH19" si="14">+CD18</f>
        <v>0</v>
      </c>
      <c r="CF18" s="11">
        <f t="shared" si="14"/>
        <v>0</v>
      </c>
      <c r="CG18" s="11">
        <f t="shared" si="14"/>
        <v>0</v>
      </c>
      <c r="CH18" s="214">
        <f t="shared" si="14"/>
        <v>0</v>
      </c>
      <c r="CI18" s="11">
        <f>+CG18</f>
        <v>0</v>
      </c>
      <c r="CJ18" s="11">
        <f t="shared" ref="CJ18:CM19" si="15">+CI18</f>
        <v>0</v>
      </c>
      <c r="CK18" s="11">
        <f t="shared" si="15"/>
        <v>0</v>
      </c>
      <c r="CL18" s="11">
        <f t="shared" si="15"/>
        <v>0</v>
      </c>
      <c r="CM18" s="214">
        <f t="shared" si="15"/>
        <v>0</v>
      </c>
      <c r="CN18" s="11">
        <f>+CL18</f>
        <v>0</v>
      </c>
      <c r="CO18" s="11">
        <f t="shared" ref="CO18:CR19" si="16">+CN18</f>
        <v>0</v>
      </c>
      <c r="CP18" s="11">
        <f t="shared" si="16"/>
        <v>0</v>
      </c>
      <c r="CQ18" s="11">
        <f t="shared" si="16"/>
        <v>0</v>
      </c>
      <c r="CR18" s="214">
        <f t="shared" si="16"/>
        <v>0</v>
      </c>
      <c r="CS18" s="11">
        <f>+CQ18</f>
        <v>0</v>
      </c>
      <c r="CT18" s="11">
        <f t="shared" ref="CT18:CW19" si="17">+CS18</f>
        <v>0</v>
      </c>
      <c r="CU18" s="11">
        <f t="shared" si="17"/>
        <v>0</v>
      </c>
      <c r="CV18" s="11">
        <f t="shared" si="17"/>
        <v>0</v>
      </c>
      <c r="CW18" s="214">
        <f t="shared" si="17"/>
        <v>0</v>
      </c>
      <c r="CX18" s="11">
        <f>+CV18</f>
        <v>0</v>
      </c>
      <c r="CY18" s="11">
        <f t="shared" ref="CY18:DB19" si="18">+CX18</f>
        <v>0</v>
      </c>
      <c r="CZ18" s="11">
        <f t="shared" si="18"/>
        <v>0</v>
      </c>
      <c r="DA18" s="11">
        <f t="shared" si="18"/>
        <v>0</v>
      </c>
      <c r="DB18" s="214">
        <f t="shared" si="18"/>
        <v>0</v>
      </c>
    </row>
    <row r="19" spans="1:106" s="11" customFormat="1">
      <c r="A19" s="71" t="s">
        <v>219</v>
      </c>
      <c r="Z19" s="270"/>
      <c r="AA19" s="96">
        <v>2.2499999999999999E-2</v>
      </c>
      <c r="AB19" s="96">
        <f>+AA19</f>
        <v>2.2499999999999999E-2</v>
      </c>
      <c r="AC19" s="96">
        <f t="shared" si="3"/>
        <v>2.2499999999999999E-2</v>
      </c>
      <c r="AD19" s="96">
        <f t="shared" si="3"/>
        <v>2.2499999999999999E-2</v>
      </c>
      <c r="AE19" s="270">
        <f t="shared" si="3"/>
        <v>2.2499999999999999E-2</v>
      </c>
      <c r="AF19" s="96">
        <v>2.2499999999999999E-2</v>
      </c>
      <c r="AG19" s="96">
        <f t="shared" si="4"/>
        <v>2.2499999999999999E-2</v>
      </c>
      <c r="AH19" s="96">
        <f t="shared" si="4"/>
        <v>2.2499999999999999E-2</v>
      </c>
      <c r="AI19" s="96">
        <f t="shared" si="4"/>
        <v>2.2499999999999999E-2</v>
      </c>
      <c r="AJ19" s="270">
        <f t="shared" si="4"/>
        <v>2.2499999999999999E-2</v>
      </c>
      <c r="AK19" s="96">
        <v>2.2499999999999999E-2</v>
      </c>
      <c r="AL19" s="96">
        <f t="shared" si="5"/>
        <v>2.2499999999999999E-2</v>
      </c>
      <c r="AM19" s="96">
        <f t="shared" si="5"/>
        <v>2.2499999999999999E-2</v>
      </c>
      <c r="AN19" s="96">
        <f t="shared" si="5"/>
        <v>2.2499999999999999E-2</v>
      </c>
      <c r="AO19" s="270">
        <f t="shared" si="5"/>
        <v>2.2499999999999999E-2</v>
      </c>
      <c r="AP19" s="111">
        <v>2.2499999999999999E-2</v>
      </c>
      <c r="AQ19" s="111">
        <f t="shared" si="6"/>
        <v>2.2499999999999999E-2</v>
      </c>
      <c r="AR19" s="111">
        <f t="shared" si="6"/>
        <v>2.2499999999999999E-2</v>
      </c>
      <c r="AS19" s="111">
        <f t="shared" si="6"/>
        <v>2.2499999999999999E-2</v>
      </c>
      <c r="AT19" s="270">
        <f t="shared" si="6"/>
        <v>2.2499999999999999E-2</v>
      </c>
      <c r="AU19" s="111">
        <v>2.2499999999999999E-2</v>
      </c>
      <c r="AV19" s="111">
        <f t="shared" ref="AV19" si="19">+AU19</f>
        <v>2.2499999999999999E-2</v>
      </c>
      <c r="AW19" s="111">
        <f t="shared" ref="AW19" si="20">+AV19</f>
        <v>2.2499999999999999E-2</v>
      </c>
      <c r="AX19" s="111">
        <f t="shared" ref="AX19" si="21">+AW19</f>
        <v>2.2499999999999999E-2</v>
      </c>
      <c r="AY19" s="270">
        <f t="shared" si="7"/>
        <v>2.2499999999999999E-2</v>
      </c>
      <c r="AZ19" s="111">
        <f>+AX19</f>
        <v>2.2499999999999999E-2</v>
      </c>
      <c r="BA19" s="111">
        <f t="shared" si="8"/>
        <v>2.2499999999999999E-2</v>
      </c>
      <c r="BB19" s="111">
        <f t="shared" si="8"/>
        <v>2.2499999999999999E-2</v>
      </c>
      <c r="BC19" s="111">
        <f t="shared" si="8"/>
        <v>2.2499999999999999E-2</v>
      </c>
      <c r="BD19" s="267">
        <f t="shared" si="8"/>
        <v>2.2499999999999999E-2</v>
      </c>
      <c r="BE19" s="111">
        <v>2.2499999999999999E-2</v>
      </c>
      <c r="BF19" s="111">
        <f t="shared" si="9"/>
        <v>2.2499999999999999E-2</v>
      </c>
      <c r="BG19" s="111">
        <f t="shared" si="9"/>
        <v>2.2499999999999999E-2</v>
      </c>
      <c r="BH19" s="111">
        <f t="shared" si="9"/>
        <v>2.2499999999999999E-2</v>
      </c>
      <c r="BI19" s="270">
        <f t="shared" si="9"/>
        <v>2.2499999999999999E-2</v>
      </c>
      <c r="BJ19" s="383">
        <v>2.2499999999999999E-2</v>
      </c>
      <c r="BK19" s="111">
        <f t="shared" si="10"/>
        <v>2.2499999999999999E-2</v>
      </c>
      <c r="BL19" s="111">
        <f t="shared" si="10"/>
        <v>2.2499999999999999E-2</v>
      </c>
      <c r="BM19" s="111">
        <f t="shared" si="10"/>
        <v>2.2499999999999999E-2</v>
      </c>
      <c r="BN19" s="270">
        <f t="shared" si="10"/>
        <v>2.2499999999999999E-2</v>
      </c>
      <c r="BO19" s="111">
        <v>2.2499999999999999E-2</v>
      </c>
      <c r="BP19" s="111">
        <f t="shared" si="11"/>
        <v>2.2499999999999999E-2</v>
      </c>
      <c r="BQ19" s="111">
        <f t="shared" si="11"/>
        <v>2.2499999999999999E-2</v>
      </c>
      <c r="BR19" s="111">
        <f t="shared" si="11"/>
        <v>2.2499999999999999E-2</v>
      </c>
      <c r="BS19" s="270">
        <f t="shared" si="11"/>
        <v>2.2499999999999999E-2</v>
      </c>
      <c r="BT19" s="111">
        <v>2.2499999999999999E-2</v>
      </c>
      <c r="BU19" s="111">
        <f t="shared" si="12"/>
        <v>2.2499999999999999E-2</v>
      </c>
      <c r="BV19" s="111">
        <f t="shared" si="12"/>
        <v>2.2499999999999999E-2</v>
      </c>
      <c r="BW19" s="111">
        <f t="shared" si="12"/>
        <v>2.2499999999999999E-2</v>
      </c>
      <c r="BX19" s="270">
        <f t="shared" si="12"/>
        <v>2.2499999999999999E-2</v>
      </c>
      <c r="BY19" s="111">
        <v>2.2499999999999999E-2</v>
      </c>
      <c r="BZ19" s="111">
        <f t="shared" si="13"/>
        <v>2.2499999999999999E-2</v>
      </c>
      <c r="CA19" s="111">
        <f t="shared" si="13"/>
        <v>2.2499999999999999E-2</v>
      </c>
      <c r="CB19" s="111">
        <f t="shared" si="13"/>
        <v>2.2499999999999999E-2</v>
      </c>
      <c r="CC19" s="270">
        <f t="shared" si="13"/>
        <v>2.2499999999999999E-2</v>
      </c>
      <c r="CD19" s="111">
        <v>2.2499999999999999E-2</v>
      </c>
      <c r="CE19" s="111">
        <f t="shared" si="14"/>
        <v>2.2499999999999999E-2</v>
      </c>
      <c r="CF19" s="111">
        <f t="shared" si="14"/>
        <v>2.2499999999999999E-2</v>
      </c>
      <c r="CG19" s="111">
        <f t="shared" si="14"/>
        <v>2.2499999999999999E-2</v>
      </c>
      <c r="CH19" s="270">
        <f t="shared" si="14"/>
        <v>2.2499999999999999E-2</v>
      </c>
      <c r="CI19" s="111">
        <v>2.2499999999999999E-2</v>
      </c>
      <c r="CJ19" s="111">
        <f t="shared" si="15"/>
        <v>2.2499999999999999E-2</v>
      </c>
      <c r="CK19" s="111">
        <f t="shared" si="15"/>
        <v>2.2499999999999999E-2</v>
      </c>
      <c r="CL19" s="111">
        <f t="shared" si="15"/>
        <v>2.2499999999999999E-2</v>
      </c>
      <c r="CM19" s="270">
        <f t="shared" si="15"/>
        <v>2.2499999999999999E-2</v>
      </c>
      <c r="CN19" s="111">
        <v>2.2499999999999999E-2</v>
      </c>
      <c r="CO19" s="111">
        <f t="shared" si="16"/>
        <v>2.2499999999999999E-2</v>
      </c>
      <c r="CP19" s="111">
        <f t="shared" si="16"/>
        <v>2.2499999999999999E-2</v>
      </c>
      <c r="CQ19" s="111">
        <f t="shared" si="16"/>
        <v>2.2499999999999999E-2</v>
      </c>
      <c r="CR19" s="270">
        <f t="shared" si="16"/>
        <v>2.2499999999999999E-2</v>
      </c>
      <c r="CS19" s="111">
        <v>2.2499999999999999E-2</v>
      </c>
      <c r="CT19" s="111">
        <f t="shared" si="17"/>
        <v>2.2499999999999999E-2</v>
      </c>
      <c r="CU19" s="111">
        <f t="shared" si="17"/>
        <v>2.2499999999999999E-2</v>
      </c>
      <c r="CV19" s="111">
        <f t="shared" si="17"/>
        <v>2.2499999999999999E-2</v>
      </c>
      <c r="CW19" s="270">
        <f t="shared" si="17"/>
        <v>2.2499999999999999E-2</v>
      </c>
      <c r="CX19" s="111">
        <v>2.2499999999999999E-2</v>
      </c>
      <c r="CY19" s="111">
        <f t="shared" si="18"/>
        <v>2.2499999999999999E-2</v>
      </c>
      <c r="CZ19" s="111">
        <f t="shared" si="18"/>
        <v>2.2499999999999999E-2</v>
      </c>
      <c r="DA19" s="111">
        <f t="shared" si="18"/>
        <v>2.2499999999999999E-2</v>
      </c>
      <c r="DB19" s="270">
        <f t="shared" si="18"/>
        <v>2.2499999999999999E-2</v>
      </c>
    </row>
    <row r="20" spans="1:106" s="11" customFormat="1">
      <c r="A20" s="11" t="s">
        <v>4</v>
      </c>
      <c r="Z20" s="214"/>
      <c r="AA20" s="11">
        <f>AA18*AA19/4</f>
        <v>1.6171875</v>
      </c>
      <c r="AB20" s="11">
        <f>AA18*AB19/4</f>
        <v>1.6171875</v>
      </c>
      <c r="AC20" s="11">
        <f>AB18*AC19/4</f>
        <v>1.6171875</v>
      </c>
      <c r="AD20" s="11">
        <f>AC18*AD19/4</f>
        <v>1.6171875</v>
      </c>
      <c r="AE20" s="214">
        <f>SUM(AA20:AD20)</f>
        <v>6.46875</v>
      </c>
      <c r="AF20" s="11">
        <f>AE18*AF19/4</f>
        <v>1.6171875</v>
      </c>
      <c r="AG20" s="11">
        <f>AF18*AG19/4</f>
        <v>1.6171875</v>
      </c>
      <c r="AH20" s="11">
        <f>AG18*AH19/4</f>
        <v>1.6171875</v>
      </c>
      <c r="AI20" s="11">
        <f>AH18*AI19/4</f>
        <v>1.6171875</v>
      </c>
      <c r="AJ20" s="214">
        <f>SUM(AF20:AI20)</f>
        <v>6.46875</v>
      </c>
      <c r="AK20" s="11">
        <f>AJ18*AK19/4</f>
        <v>1.6171875</v>
      </c>
      <c r="AL20" s="11">
        <f>AK18*AL19/4</f>
        <v>1.6171875</v>
      </c>
      <c r="AM20" s="11">
        <f>AL18*AM19/4</f>
        <v>1.6171875</v>
      </c>
      <c r="AN20" s="11">
        <f>AM18*AN19/4</f>
        <v>1.6171875</v>
      </c>
      <c r="AO20" s="214">
        <f>SUM(AK20:AN20)</f>
        <v>6.46875</v>
      </c>
      <c r="AP20" s="11">
        <f>AO18*AP19/4</f>
        <v>1.6171875</v>
      </c>
      <c r="AQ20" s="11">
        <f>AP18*AQ19/4</f>
        <v>1.6171875</v>
      </c>
      <c r="AR20" s="11">
        <f>AQ18*AR19/4</f>
        <v>1.6171875</v>
      </c>
      <c r="AS20" s="11">
        <f>AR18*AS19/4</f>
        <v>1.6171875</v>
      </c>
      <c r="AT20" s="214">
        <f>SUM(AP20:AS20)</f>
        <v>6.46875</v>
      </c>
      <c r="AU20" s="11">
        <f>AT18*AU19/4</f>
        <v>1.6171875</v>
      </c>
      <c r="AV20" s="11">
        <f>AU18*AV19/4</f>
        <v>1.6171875</v>
      </c>
      <c r="AW20" s="11">
        <f>AV18*AW19/4</f>
        <v>1.6171875</v>
      </c>
      <c r="AX20" s="11">
        <f>AW18*AX19/4</f>
        <v>1.6171875</v>
      </c>
      <c r="AY20" s="214">
        <f>SUM(AU20:AX20)</f>
        <v>6.46875</v>
      </c>
      <c r="AZ20" s="11">
        <f>AY18*AZ19/4</f>
        <v>1.6171875</v>
      </c>
      <c r="BA20" s="11">
        <f>AZ18*BA19/4</f>
        <v>1.6171875</v>
      </c>
      <c r="BB20" s="11">
        <f>BA18*BB19/4</f>
        <v>1.6171875</v>
      </c>
      <c r="BC20" s="11">
        <f>BB18*BC19/4</f>
        <v>1.5969374999999999</v>
      </c>
      <c r="BD20" s="214">
        <f>SUM(AZ20:BC20)</f>
        <v>6.4485000000000001</v>
      </c>
      <c r="BE20" s="11">
        <f>BD18*BE19/4</f>
        <v>0</v>
      </c>
      <c r="BF20" s="11">
        <f>BE18*BF19/4</f>
        <v>0</v>
      </c>
      <c r="BG20" s="11">
        <f>BF18*BG19/4</f>
        <v>0</v>
      </c>
      <c r="BH20" s="11">
        <f>BG18*BH19/4</f>
        <v>0</v>
      </c>
      <c r="BI20" s="214">
        <f>SUM(BE20:BH20)</f>
        <v>0</v>
      </c>
      <c r="BJ20" s="283">
        <f>BI18*BJ19/4</f>
        <v>0</v>
      </c>
      <c r="BK20" s="11">
        <f>BJ18*BK19/4</f>
        <v>0</v>
      </c>
      <c r="BL20" s="11">
        <f>BK18*BL19/4</f>
        <v>0</v>
      </c>
      <c r="BM20" s="11">
        <f>BL18*BM19/4</f>
        <v>0</v>
      </c>
      <c r="BN20" s="214">
        <f>SUM(BJ20:BM20)</f>
        <v>0</v>
      </c>
      <c r="BO20" s="11">
        <f>BN18*BO19/4</f>
        <v>0</v>
      </c>
      <c r="BP20" s="11">
        <f>BO18*BP19/4</f>
        <v>0</v>
      </c>
      <c r="BQ20" s="11">
        <f>BP18*BQ19/4</f>
        <v>0</v>
      </c>
      <c r="BR20" s="11">
        <f>BQ18*BR19/4</f>
        <v>0</v>
      </c>
      <c r="BS20" s="214">
        <f>SUM(BO20:BR20)</f>
        <v>0</v>
      </c>
      <c r="BT20" s="11">
        <f>BS18*BT19/4</f>
        <v>0</v>
      </c>
      <c r="BU20" s="11">
        <f>BT18*BU19/4</f>
        <v>0</v>
      </c>
      <c r="BV20" s="11">
        <f>BU18*BV19/4</f>
        <v>0</v>
      </c>
      <c r="BW20" s="11">
        <f>BV18*BW19/4</f>
        <v>0</v>
      </c>
      <c r="BX20" s="214">
        <f>SUM(BT20:BW20)</f>
        <v>0</v>
      </c>
      <c r="BY20" s="11">
        <f>BX18*BY19/4</f>
        <v>0</v>
      </c>
      <c r="BZ20" s="11">
        <f>BY18*BZ19/4</f>
        <v>0</v>
      </c>
      <c r="CA20" s="11">
        <f>BZ18*CA19/4</f>
        <v>0</v>
      </c>
      <c r="CB20" s="11">
        <f>CA18*CB19/4</f>
        <v>0</v>
      </c>
      <c r="CC20" s="214">
        <f>SUM(BY20:CB20)</f>
        <v>0</v>
      </c>
      <c r="CD20" s="11">
        <f>CC18*CD19/4</f>
        <v>0</v>
      </c>
      <c r="CE20" s="11">
        <f>CD18*CE19/4</f>
        <v>0</v>
      </c>
      <c r="CF20" s="11">
        <f>CE18*CF19/4</f>
        <v>0</v>
      </c>
      <c r="CG20" s="11">
        <f>CF18*CG19/4</f>
        <v>0</v>
      </c>
      <c r="CH20" s="214">
        <f>SUM(CD20:CG20)</f>
        <v>0</v>
      </c>
      <c r="CI20" s="11">
        <f>CH18*CI19/4</f>
        <v>0</v>
      </c>
      <c r="CJ20" s="11">
        <f>CI18*CJ19/4</f>
        <v>0</v>
      </c>
      <c r="CK20" s="11">
        <f>CJ18*CK19/4</f>
        <v>0</v>
      </c>
      <c r="CL20" s="11">
        <f>CK18*CL19/4</f>
        <v>0</v>
      </c>
      <c r="CM20" s="214">
        <f>SUM(CI20:CL20)</f>
        <v>0</v>
      </c>
      <c r="CN20" s="11">
        <f>CM18*CN19/4</f>
        <v>0</v>
      </c>
      <c r="CO20" s="11">
        <f>CN18*CO19/4</f>
        <v>0</v>
      </c>
      <c r="CP20" s="11">
        <f>CO18*CP19/4</f>
        <v>0</v>
      </c>
      <c r="CQ20" s="11">
        <f>CP18*CQ19/4</f>
        <v>0</v>
      </c>
      <c r="CR20" s="214">
        <f>SUM(CN20:CQ20)</f>
        <v>0</v>
      </c>
      <c r="CS20" s="11">
        <f>CR18*CS19/4</f>
        <v>0</v>
      </c>
      <c r="CT20" s="11">
        <f>CS18*CT19/4</f>
        <v>0</v>
      </c>
      <c r="CU20" s="11">
        <f>CT18*CU19/4</f>
        <v>0</v>
      </c>
      <c r="CV20" s="11">
        <f>CU18*CV19/4</f>
        <v>0</v>
      </c>
      <c r="CW20" s="214">
        <f>SUM(CS20:CV20)</f>
        <v>0</v>
      </c>
      <c r="CX20" s="11">
        <f>CW18*CX19/4</f>
        <v>0</v>
      </c>
      <c r="CY20" s="11">
        <f>CX18*CY19/4</f>
        <v>0</v>
      </c>
      <c r="CZ20" s="11">
        <f>CY18*CZ19/4</f>
        <v>0</v>
      </c>
      <c r="DA20" s="11">
        <f>CZ18*DA19/4</f>
        <v>0</v>
      </c>
      <c r="DB20" s="214">
        <f>SUM(CX20:DA20)</f>
        <v>0</v>
      </c>
    </row>
    <row r="21" spans="1:106" s="11" customFormat="1">
      <c r="R21" s="62"/>
      <c r="Z21" s="214"/>
      <c r="AE21" s="214"/>
      <c r="AJ21" s="214"/>
      <c r="AO21" s="214"/>
      <c r="AT21" s="214"/>
      <c r="AY21" s="214"/>
      <c r="BD21" s="214"/>
      <c r="BI21" s="214"/>
      <c r="BJ21" s="283"/>
      <c r="BN21" s="214"/>
      <c r="BS21" s="214"/>
      <c r="BX21" s="214"/>
      <c r="CC21" s="214"/>
      <c r="CH21" s="214"/>
      <c r="CM21" s="214"/>
      <c r="CR21" s="214"/>
      <c r="CW21" s="214"/>
      <c r="DB21" s="214"/>
    </row>
    <row r="22" spans="1:106" s="11" customFormat="1">
      <c r="A22" s="11" t="s">
        <v>134</v>
      </c>
      <c r="B22" s="11">
        <f>BS!B33</f>
        <v>0</v>
      </c>
      <c r="C22" s="11">
        <f>BS!C33</f>
        <v>0</v>
      </c>
      <c r="D22" s="11">
        <f>BS!D33</f>
        <v>0</v>
      </c>
      <c r="E22" s="11">
        <f>BS!E33</f>
        <v>24.473999999999997</v>
      </c>
      <c r="F22" s="11">
        <f>E22</f>
        <v>24.473999999999997</v>
      </c>
      <c r="G22" s="11">
        <f>BS!G33</f>
        <v>0</v>
      </c>
      <c r="H22" s="11">
        <f>BS!H33</f>
        <v>25.425999999999998</v>
      </c>
      <c r="I22" s="11">
        <f>BS!I33</f>
        <v>21.276</v>
      </c>
      <c r="J22" s="11">
        <f>BS!J33</f>
        <v>0</v>
      </c>
      <c r="K22" s="11">
        <f>J22</f>
        <v>0</v>
      </c>
      <c r="L22" s="11">
        <f>BS!L33</f>
        <v>0</v>
      </c>
      <c r="M22" s="11">
        <f>BS!M33</f>
        <v>0</v>
      </c>
      <c r="N22" s="11">
        <f>BS!N33</f>
        <v>0</v>
      </c>
      <c r="O22" s="11">
        <f>BS!O33</f>
        <v>0</v>
      </c>
      <c r="P22" s="11">
        <f>O22</f>
        <v>0</v>
      </c>
      <c r="Q22" s="11">
        <f>BS!Q33</f>
        <v>0</v>
      </c>
      <c r="R22" s="11">
        <f>BS!R33</f>
        <v>0</v>
      </c>
      <c r="S22" s="11">
        <f>BS!S33</f>
        <v>73.201999999999998</v>
      </c>
      <c r="T22" s="11">
        <f>BS!T33</f>
        <v>73.064999999999998</v>
      </c>
      <c r="U22" s="11">
        <f>T22</f>
        <v>73.064999999999998</v>
      </c>
      <c r="V22" s="11">
        <f>BS!V33</f>
        <v>73.138000000000005</v>
      </c>
      <c r="W22" s="11">
        <f>BS!W33</f>
        <v>73.210999999999999</v>
      </c>
      <c r="X22" s="11">
        <f>BS!X33</f>
        <v>73.284000000000006</v>
      </c>
      <c r="Y22" s="11">
        <f>BS!Y33</f>
        <v>73.356999999999999</v>
      </c>
      <c r="Z22" s="271">
        <f>Y22</f>
        <v>73.356999999999999</v>
      </c>
      <c r="AA22" s="11">
        <f>BS!AA33</f>
        <v>73.430999999999997</v>
      </c>
      <c r="AB22" s="11">
        <f>BS!AB33</f>
        <v>73.510999999999996</v>
      </c>
      <c r="AC22" s="11">
        <f>BS!AC33</f>
        <v>73.582999999999998</v>
      </c>
      <c r="AD22" s="11">
        <f>BS!AD33</f>
        <v>73.656000000000006</v>
      </c>
      <c r="AE22" s="271">
        <f>AD22</f>
        <v>73.656000000000006</v>
      </c>
      <c r="AF22" s="11">
        <f>BS!AF33</f>
        <v>72.881</v>
      </c>
      <c r="AG22" s="11">
        <f>BS!AG33</f>
        <v>197.476</v>
      </c>
      <c r="AH22" s="11">
        <f>BS!AH33</f>
        <v>199.959</v>
      </c>
      <c r="AI22" s="11">
        <f>BS!AI33</f>
        <v>202.49299999999999</v>
      </c>
      <c r="AJ22" s="271">
        <f>AI22</f>
        <v>202.49299999999999</v>
      </c>
      <c r="AK22" s="11">
        <f>BS!AK33</f>
        <v>279.471</v>
      </c>
      <c r="AL22" s="11">
        <f>BS!AL33</f>
        <v>279.77699999999999</v>
      </c>
      <c r="AM22" s="11">
        <f>BS!AM33</f>
        <v>280.08499999999998</v>
      </c>
      <c r="AN22" s="11">
        <f>BS!AN33</f>
        <v>280.39400000000001</v>
      </c>
      <c r="AO22" s="271">
        <f>AN22</f>
        <v>280.39400000000001</v>
      </c>
      <c r="AP22" s="11">
        <f>BS!AP33</f>
        <v>280.70600000000002</v>
      </c>
      <c r="AQ22" s="11">
        <f>BS!AQ33</f>
        <v>281.02</v>
      </c>
      <c r="AR22" s="11">
        <f>BS!AR33</f>
        <v>281.33600000000001</v>
      </c>
      <c r="AS22" s="11">
        <f>BS!AS33</f>
        <v>281.65300000000002</v>
      </c>
      <c r="AT22" s="271">
        <f>SUM(AT14,AT18)</f>
        <v>287.5</v>
      </c>
      <c r="AU22" s="55">
        <f>BS!AU33</f>
        <v>281.97300000000001</v>
      </c>
      <c r="AV22" s="55">
        <f>BS!AV33</f>
        <v>282.29500000000002</v>
      </c>
      <c r="AW22" s="55">
        <f>BS!AW33</f>
        <v>282.61900000000003</v>
      </c>
      <c r="AX22" s="55">
        <f>BS!AX33</f>
        <v>282.94499999999999</v>
      </c>
      <c r="AY22" s="271">
        <f>SUM(AY14,AY18)</f>
        <v>287.5</v>
      </c>
      <c r="AZ22" s="55">
        <f>BS!AZ33</f>
        <v>283.27300000000002</v>
      </c>
      <c r="BA22" s="55">
        <f>BS!BA33</f>
        <v>283.60399999999998</v>
      </c>
      <c r="BB22" s="55">
        <f>BS!BB33</f>
        <v>286.54899999999998</v>
      </c>
      <c r="BC22" s="55">
        <f>BS!BC33</f>
        <v>0</v>
      </c>
      <c r="BD22" s="214">
        <f>BC22</f>
        <v>0</v>
      </c>
      <c r="BE22" s="55">
        <f>BS!BE33</f>
        <v>0</v>
      </c>
      <c r="BF22" s="55">
        <f>BS!BF33</f>
        <v>0</v>
      </c>
      <c r="BG22" s="55">
        <f>BS!BG33</f>
        <v>0</v>
      </c>
      <c r="BH22" s="55">
        <f>BS!BH33</f>
        <v>0</v>
      </c>
      <c r="BI22" s="271">
        <f>BH22</f>
        <v>0</v>
      </c>
      <c r="BJ22" s="384">
        <f>SUM(BJ14,BJ18)</f>
        <v>0</v>
      </c>
      <c r="BK22" s="55">
        <f t="shared" ref="BK22:BM22" si="22">SUM(BK14,BK18)</f>
        <v>0</v>
      </c>
      <c r="BL22" s="55">
        <f t="shared" si="22"/>
        <v>0</v>
      </c>
      <c r="BM22" s="55">
        <f t="shared" si="22"/>
        <v>0</v>
      </c>
      <c r="BN22" s="271">
        <f>BM22</f>
        <v>0</v>
      </c>
      <c r="BO22" s="55">
        <f>SUM(BO14,BO18)</f>
        <v>0</v>
      </c>
      <c r="BP22" s="55">
        <f t="shared" ref="BP22:BR22" si="23">SUM(BP14,BP18)</f>
        <v>0</v>
      </c>
      <c r="BQ22" s="55">
        <f t="shared" si="23"/>
        <v>0</v>
      </c>
      <c r="BR22" s="55">
        <f t="shared" si="23"/>
        <v>0</v>
      </c>
      <c r="BS22" s="271">
        <f>BR22</f>
        <v>0</v>
      </c>
      <c r="BT22" s="55">
        <f>SUM(BT14,BT18)</f>
        <v>0</v>
      </c>
      <c r="BU22" s="55">
        <f t="shared" ref="BU22:BW22" si="24">SUM(BU14,BU18)</f>
        <v>0</v>
      </c>
      <c r="BV22" s="55">
        <f t="shared" si="24"/>
        <v>0</v>
      </c>
      <c r="BW22" s="55">
        <f t="shared" si="24"/>
        <v>0</v>
      </c>
      <c r="BX22" s="271">
        <f>BW22</f>
        <v>0</v>
      </c>
      <c r="BY22" s="55">
        <f>SUM(BY14,BY18)</f>
        <v>0</v>
      </c>
      <c r="BZ22" s="55">
        <f t="shared" ref="BZ22:CB22" si="25">SUM(BZ14,BZ18)</f>
        <v>0</v>
      </c>
      <c r="CA22" s="55">
        <f t="shared" si="25"/>
        <v>0</v>
      </c>
      <c r="CB22" s="55">
        <f t="shared" si="25"/>
        <v>0</v>
      </c>
      <c r="CC22" s="271">
        <f>CB22</f>
        <v>0</v>
      </c>
      <c r="CD22" s="55">
        <f>SUM(CD14,CD18)</f>
        <v>0</v>
      </c>
      <c r="CE22" s="55">
        <f t="shared" ref="CE22:CG22" si="26">SUM(CE14,CE18)</f>
        <v>0</v>
      </c>
      <c r="CF22" s="55">
        <f t="shared" si="26"/>
        <v>0</v>
      </c>
      <c r="CG22" s="55">
        <f t="shared" si="26"/>
        <v>0</v>
      </c>
      <c r="CH22" s="271">
        <f>CG22</f>
        <v>0</v>
      </c>
      <c r="CI22" s="55">
        <f>SUM(CI14,CI18)</f>
        <v>0</v>
      </c>
      <c r="CJ22" s="55">
        <f t="shared" ref="CJ22:CL22" si="27">SUM(CJ14,CJ18)</f>
        <v>0</v>
      </c>
      <c r="CK22" s="55">
        <f t="shared" si="27"/>
        <v>0</v>
      </c>
      <c r="CL22" s="55">
        <f t="shared" si="27"/>
        <v>0</v>
      </c>
      <c r="CM22" s="271">
        <f>CL22</f>
        <v>0</v>
      </c>
      <c r="CN22" s="55">
        <f>SUM(CN14,CN18)</f>
        <v>0</v>
      </c>
      <c r="CO22" s="55">
        <f t="shared" ref="CO22:CQ22" si="28">SUM(CO14,CO18)</f>
        <v>0</v>
      </c>
      <c r="CP22" s="55">
        <f t="shared" si="28"/>
        <v>0</v>
      </c>
      <c r="CQ22" s="55">
        <f t="shared" si="28"/>
        <v>0</v>
      </c>
      <c r="CR22" s="271">
        <f>CQ22</f>
        <v>0</v>
      </c>
      <c r="CS22" s="55">
        <f>SUM(CS14,CS18)</f>
        <v>0</v>
      </c>
      <c r="CT22" s="55">
        <f t="shared" ref="CT22:CV22" si="29">SUM(CT14,CT18)</f>
        <v>0</v>
      </c>
      <c r="CU22" s="55">
        <f t="shared" si="29"/>
        <v>0</v>
      </c>
      <c r="CV22" s="55">
        <f t="shared" si="29"/>
        <v>0</v>
      </c>
      <c r="CW22" s="271">
        <f>CV22</f>
        <v>0</v>
      </c>
      <c r="CX22" s="55">
        <f>SUM(CX14,CX18)</f>
        <v>0</v>
      </c>
      <c r="CY22" s="55">
        <f t="shared" ref="CY22:DA22" si="30">SUM(CY14,CY18)</f>
        <v>0</v>
      </c>
      <c r="CZ22" s="55">
        <f t="shared" si="30"/>
        <v>0</v>
      </c>
      <c r="DA22" s="55">
        <f t="shared" si="30"/>
        <v>0</v>
      </c>
      <c r="DB22" s="271">
        <f>DA22</f>
        <v>0</v>
      </c>
    </row>
    <row r="23" spans="1:106" s="11" customFormat="1">
      <c r="Z23" s="214"/>
      <c r="AE23" s="214"/>
      <c r="AJ23" s="214"/>
      <c r="AO23" s="214"/>
      <c r="AT23" s="214"/>
      <c r="AY23" s="214"/>
      <c r="BD23" s="214"/>
      <c r="BI23" s="214"/>
      <c r="BJ23" s="283"/>
      <c r="BN23" s="214"/>
      <c r="BS23" s="214"/>
      <c r="BX23" s="214"/>
      <c r="CC23" s="214"/>
      <c r="CH23" s="214"/>
      <c r="CM23" s="214"/>
      <c r="CR23" s="214"/>
      <c r="CW23" s="214"/>
      <c r="DB23" s="214"/>
    </row>
    <row r="24" spans="1:106" s="11" customFormat="1">
      <c r="A24" s="11" t="s">
        <v>135</v>
      </c>
      <c r="B24" s="11">
        <f>BS!B30</f>
        <v>0</v>
      </c>
      <c r="C24" s="11">
        <f>BS!C30</f>
        <v>0</v>
      </c>
      <c r="D24" s="11">
        <f>BS!D30</f>
        <v>0</v>
      </c>
      <c r="E24" s="11">
        <f>BS!E30</f>
        <v>2.34</v>
      </c>
      <c r="F24" s="11">
        <f>E24</f>
        <v>2.34</v>
      </c>
      <c r="G24" s="11">
        <f>BS!G30</f>
        <v>0</v>
      </c>
      <c r="H24" s="11">
        <f>BS!H30</f>
        <v>2.34</v>
      </c>
      <c r="I24" s="11">
        <f>BS!I30</f>
        <v>3.7410000000000001</v>
      </c>
      <c r="J24" s="11">
        <f>BS!J30</f>
        <v>42.09</v>
      </c>
      <c r="K24" s="11">
        <f>J24</f>
        <v>42.09</v>
      </c>
      <c r="L24" s="11">
        <f>BS!L30</f>
        <v>42.204999999999998</v>
      </c>
      <c r="M24" s="11">
        <f>BS!M30</f>
        <v>49.326999999999998</v>
      </c>
      <c r="N24" s="11">
        <f>BS!N30</f>
        <v>49.472999999999999</v>
      </c>
      <c r="O24" s="11">
        <f>BS!O30</f>
        <v>49.624000000000002</v>
      </c>
      <c r="P24" s="11">
        <f>O24</f>
        <v>49.624000000000002</v>
      </c>
      <c r="Q24" s="11">
        <f>BS!Q30</f>
        <v>49.807000000000002</v>
      </c>
      <c r="R24" s="11">
        <f>BS!R30</f>
        <v>50.021999999999998</v>
      </c>
      <c r="S24" s="11">
        <f>BS!S30</f>
        <v>50.097000000000001</v>
      </c>
      <c r="T24" s="11">
        <f>BS!T30</f>
        <v>50.112000000000002</v>
      </c>
      <c r="U24" s="11">
        <f>T24</f>
        <v>50.112000000000002</v>
      </c>
      <c r="V24" s="11">
        <f>BS!V30</f>
        <v>50.125</v>
      </c>
      <c r="W24" s="11">
        <f>BS!W30</f>
        <v>50.131999999999998</v>
      </c>
      <c r="X24" s="11">
        <f>BS!X30</f>
        <v>50.134999999999998</v>
      </c>
      <c r="Y24" s="11">
        <f>BS!Y30</f>
        <v>50.152999999999999</v>
      </c>
      <c r="Z24" s="214">
        <f>Y24</f>
        <v>50.152999999999999</v>
      </c>
      <c r="AA24" s="11">
        <f>BS!AA30</f>
        <v>50.154000000000003</v>
      </c>
      <c r="AB24" s="11">
        <f>BS!AB30</f>
        <v>50.146000000000001</v>
      </c>
      <c r="AC24" s="11">
        <f>BS!AC30</f>
        <v>50.131</v>
      </c>
      <c r="AD24" s="11">
        <f>BS!AD30</f>
        <v>50.122999999999998</v>
      </c>
      <c r="AE24" s="214">
        <f>AD24</f>
        <v>50.122999999999998</v>
      </c>
      <c r="AF24" s="11">
        <f>BS!AF30</f>
        <v>50.087000000000003</v>
      </c>
      <c r="AG24" s="11">
        <f>BS!AG30</f>
        <v>50.052999999999997</v>
      </c>
      <c r="AH24" s="11">
        <f>BS!AH30</f>
        <v>50.052</v>
      </c>
      <c r="AI24" s="11">
        <f>BS!AI30</f>
        <v>50.054000000000002</v>
      </c>
      <c r="AJ24" s="214">
        <f>AI24</f>
        <v>50.054000000000002</v>
      </c>
      <c r="AK24" s="11">
        <f>BS!AK30</f>
        <v>50.052</v>
      </c>
      <c r="AL24" s="11">
        <f>BS!AL30</f>
        <v>50.048999999999999</v>
      </c>
      <c r="AM24" s="11">
        <f>BS!AM30</f>
        <v>50.048999999999999</v>
      </c>
      <c r="AN24" s="11">
        <f>BS!AN30</f>
        <v>50.052</v>
      </c>
      <c r="AO24" s="214">
        <f>AN24</f>
        <v>50.052</v>
      </c>
      <c r="AP24" s="11">
        <f>BS!AP30</f>
        <v>50.055</v>
      </c>
      <c r="AQ24" s="11">
        <f>BS!AQ30</f>
        <v>50.085999999999999</v>
      </c>
      <c r="AR24" s="11">
        <f>BS!AR30</f>
        <v>50.146999999999998</v>
      </c>
      <c r="AS24" s="11">
        <f>BS!AS30</f>
        <v>80.349999999999994</v>
      </c>
      <c r="AT24" s="214">
        <f>AS24</f>
        <v>80.349999999999994</v>
      </c>
      <c r="AU24" s="11">
        <f>BS!AU30</f>
        <v>80.397999999999996</v>
      </c>
      <c r="AV24" s="11">
        <f>BS!AV30</f>
        <v>80.418000000000006</v>
      </c>
      <c r="AW24" s="11">
        <f>BS!AW30</f>
        <v>80.435000000000002</v>
      </c>
      <c r="AX24" s="11">
        <f>BS!AX30</f>
        <v>80.402000000000001</v>
      </c>
      <c r="AY24" s="214">
        <f>AX24</f>
        <v>80.402000000000001</v>
      </c>
      <c r="AZ24" s="11">
        <f>BS!AZ30</f>
        <v>80.400999999999996</v>
      </c>
      <c r="BA24" s="11">
        <f>BS!BA30</f>
        <v>80.388999999999996</v>
      </c>
      <c r="BB24" s="11">
        <f>BS!BB30</f>
        <v>80.468999999999994</v>
      </c>
      <c r="BC24" s="11">
        <f>BS!BC30</f>
        <v>80.361999999999995</v>
      </c>
      <c r="BD24" s="214">
        <f>BC24</f>
        <v>80.361999999999995</v>
      </c>
      <c r="BE24" s="11">
        <f>BS!BE30</f>
        <v>80.344999999999999</v>
      </c>
      <c r="BF24" s="11">
        <f>BS!BF30</f>
        <v>80.337999999999994</v>
      </c>
      <c r="BG24" s="11">
        <f>BS!BG30</f>
        <v>80.340999999999994</v>
      </c>
      <c r="BH24" s="11">
        <f>BS!BH30</f>
        <v>80.322999999999993</v>
      </c>
      <c r="BI24" s="214">
        <f>BH24</f>
        <v>80.322999999999993</v>
      </c>
      <c r="BJ24" s="283">
        <f>BI24-(0.25*BH24)</f>
        <v>60.242249999999999</v>
      </c>
      <c r="BK24" s="11">
        <f>BJ24-(0.333*BJ24)</f>
        <v>40.181580749999995</v>
      </c>
      <c r="BL24" s="11">
        <f>BK24-(0.5*BK24)</f>
        <v>20.090790374999997</v>
      </c>
      <c r="BM24" s="11">
        <f>BL24-BL24</f>
        <v>0</v>
      </c>
      <c r="BN24" s="214">
        <f>BM24</f>
        <v>0</v>
      </c>
      <c r="BO24" s="11">
        <f>BN24-(0.25*BM24)</f>
        <v>0</v>
      </c>
      <c r="BP24" s="11">
        <f>BO24-(0.333*BO24)</f>
        <v>0</v>
      </c>
      <c r="BQ24" s="11">
        <f>BP24-(0.5*BP24)</f>
        <v>0</v>
      </c>
      <c r="BR24" s="11">
        <f>BQ24-BQ24</f>
        <v>0</v>
      </c>
      <c r="BS24" s="214">
        <f>BR24</f>
        <v>0</v>
      </c>
      <c r="BT24" s="11">
        <f>BS24-(0.25*BR24)</f>
        <v>0</v>
      </c>
      <c r="BU24" s="11">
        <f>BT24-(0.333*BT24)</f>
        <v>0</v>
      </c>
      <c r="BV24" s="11">
        <f>BU24-(0.5*BU24)</f>
        <v>0</v>
      </c>
      <c r="BW24" s="11">
        <f>BV24-BV24</f>
        <v>0</v>
      </c>
      <c r="BX24" s="214">
        <f>BW24</f>
        <v>0</v>
      </c>
      <c r="BY24" s="11">
        <f>BX24-(0.25*BW24)</f>
        <v>0</v>
      </c>
      <c r="BZ24" s="11">
        <f>BY24-(0.333*BY24)</f>
        <v>0</v>
      </c>
      <c r="CA24" s="11">
        <f>BZ24-(0.5*BZ24)</f>
        <v>0</v>
      </c>
      <c r="CB24" s="11">
        <f>CA24-CA24</f>
        <v>0</v>
      </c>
      <c r="CC24" s="214">
        <f>CB24</f>
        <v>0</v>
      </c>
      <c r="CD24" s="11">
        <f>CC24-(0.25*CB24)</f>
        <v>0</v>
      </c>
      <c r="CE24" s="11">
        <f>CD24-(0.333*CD24)</f>
        <v>0</v>
      </c>
      <c r="CF24" s="11">
        <f>CE24-(0.5*CE24)</f>
        <v>0</v>
      </c>
      <c r="CG24" s="11">
        <f>CF24-CF24</f>
        <v>0</v>
      </c>
      <c r="CH24" s="214">
        <f>CG24</f>
        <v>0</v>
      </c>
      <c r="CI24" s="11">
        <f>CH24-(0.25*CG24)</f>
        <v>0</v>
      </c>
      <c r="CJ24" s="11">
        <f>CI24-(0.333*CI24)</f>
        <v>0</v>
      </c>
      <c r="CK24" s="11">
        <f>CJ24-(0.5*CJ24)</f>
        <v>0</v>
      </c>
      <c r="CL24" s="11">
        <f>CK24-CK24</f>
        <v>0</v>
      </c>
      <c r="CM24" s="214">
        <f>CL24</f>
        <v>0</v>
      </c>
      <c r="CN24" s="11">
        <f>CM24-(0.25*CL24)</f>
        <v>0</v>
      </c>
      <c r="CO24" s="11">
        <f>CN24-(0.333*CN24)</f>
        <v>0</v>
      </c>
      <c r="CP24" s="11">
        <f>CO24-(0.5*CO24)</f>
        <v>0</v>
      </c>
      <c r="CQ24" s="11">
        <f>CP24-CP24</f>
        <v>0</v>
      </c>
      <c r="CR24" s="214">
        <f>CQ24</f>
        <v>0</v>
      </c>
      <c r="CS24" s="11">
        <f>CR24-(0.25*CQ24)</f>
        <v>0</v>
      </c>
      <c r="CT24" s="11">
        <f>CS24-(0.333*CS24)</f>
        <v>0</v>
      </c>
      <c r="CU24" s="11">
        <f>CT24-(0.5*CT24)</f>
        <v>0</v>
      </c>
      <c r="CV24" s="11">
        <f>CU24-CU24</f>
        <v>0</v>
      </c>
      <c r="CW24" s="214">
        <f>CV24</f>
        <v>0</v>
      </c>
      <c r="CX24" s="11">
        <f>CW24-(0.25*CV24)</f>
        <v>0</v>
      </c>
      <c r="CY24" s="11">
        <f>CX24-(0.333*CX24)</f>
        <v>0</v>
      </c>
      <c r="CZ24" s="11">
        <f>CY24-(0.5*CY24)</f>
        <v>0</v>
      </c>
      <c r="DA24" s="11">
        <f>CZ24-CZ24</f>
        <v>0</v>
      </c>
      <c r="DB24" s="214">
        <f>DA24</f>
        <v>0</v>
      </c>
    </row>
    <row r="25" spans="1:106" s="11" customFormat="1">
      <c r="A25" s="11" t="s">
        <v>133</v>
      </c>
      <c r="B25" s="48">
        <v>0</v>
      </c>
      <c r="C25" s="48">
        <f>+B25</f>
        <v>0</v>
      </c>
      <c r="D25" s="48">
        <f>+C25</f>
        <v>0</v>
      </c>
      <c r="E25" s="48">
        <f>D25</f>
        <v>0</v>
      </c>
      <c r="F25" s="13">
        <f>E25</f>
        <v>0</v>
      </c>
      <c r="G25" s="48">
        <f>+E25</f>
        <v>0</v>
      </c>
      <c r="H25" s="48">
        <f>G25</f>
        <v>0</v>
      </c>
      <c r="I25" s="48">
        <f>H25</f>
        <v>0</v>
      </c>
      <c r="J25" s="48">
        <f>I25</f>
        <v>0</v>
      </c>
      <c r="K25" s="13">
        <f>J25</f>
        <v>0</v>
      </c>
      <c r="L25" s="48">
        <f>J25</f>
        <v>0</v>
      </c>
      <c r="M25" s="48">
        <f>L25</f>
        <v>0</v>
      </c>
      <c r="N25" s="48">
        <f>M25</f>
        <v>0</v>
      </c>
      <c r="O25" s="48">
        <f>N25</f>
        <v>0</v>
      </c>
      <c r="P25" s="13">
        <f>O25</f>
        <v>0</v>
      </c>
      <c r="Q25" s="48">
        <f>O25</f>
        <v>0</v>
      </c>
      <c r="R25" s="48">
        <f>P25</f>
        <v>0</v>
      </c>
      <c r="S25" s="48">
        <f>R25</f>
        <v>0</v>
      </c>
      <c r="T25" s="48">
        <f>S25</f>
        <v>0</v>
      </c>
      <c r="U25" s="13">
        <f>T25</f>
        <v>0</v>
      </c>
      <c r="V25" s="48">
        <f>T25</f>
        <v>0</v>
      </c>
      <c r="W25" s="48">
        <f>V25</f>
        <v>0</v>
      </c>
      <c r="X25" s="48">
        <f>W25</f>
        <v>0</v>
      </c>
      <c r="Y25" s="48">
        <f>X25</f>
        <v>0</v>
      </c>
      <c r="Z25" s="239">
        <f>Y25</f>
        <v>0</v>
      </c>
      <c r="AA25" s="48">
        <f>Y25</f>
        <v>0</v>
      </c>
      <c r="AB25" s="48">
        <f>AA25</f>
        <v>0</v>
      </c>
      <c r="AC25" s="48">
        <f>AB25</f>
        <v>0</v>
      </c>
      <c r="AD25" s="48">
        <f>AC25</f>
        <v>0</v>
      </c>
      <c r="AE25" s="239">
        <f>AD25</f>
        <v>0</v>
      </c>
      <c r="AF25" s="48">
        <f>AD25</f>
        <v>0</v>
      </c>
      <c r="AG25" s="48">
        <f>AF25</f>
        <v>0</v>
      </c>
      <c r="AH25" s="48">
        <f>AG25</f>
        <v>0</v>
      </c>
      <c r="AI25" s="48">
        <f>AH25</f>
        <v>0</v>
      </c>
      <c r="AJ25" s="239">
        <f>AI25</f>
        <v>0</v>
      </c>
      <c r="AK25" s="48">
        <f>AI25</f>
        <v>0</v>
      </c>
      <c r="AL25" s="48">
        <f>AK25</f>
        <v>0</v>
      </c>
      <c r="AM25" s="48">
        <f>AL25</f>
        <v>0</v>
      </c>
      <c r="AN25" s="48">
        <f>AM25</f>
        <v>0</v>
      </c>
      <c r="AO25" s="239">
        <f>AN25</f>
        <v>0</v>
      </c>
      <c r="AP25" s="48">
        <v>4.8000000000000001E-2</v>
      </c>
      <c r="AQ25" s="48">
        <f>AP25</f>
        <v>4.8000000000000001E-2</v>
      </c>
      <c r="AR25" s="48">
        <f>AQ25</f>
        <v>4.8000000000000001E-2</v>
      </c>
      <c r="AS25" s="48">
        <f>AR25</f>
        <v>4.8000000000000001E-2</v>
      </c>
      <c r="AT25" s="239">
        <f>AS25</f>
        <v>4.8000000000000001E-2</v>
      </c>
      <c r="AU25" s="48">
        <f>AS25</f>
        <v>4.8000000000000001E-2</v>
      </c>
      <c r="AV25" s="48">
        <f>AU25</f>
        <v>4.8000000000000001E-2</v>
      </c>
      <c r="AW25" s="48">
        <f>AV25</f>
        <v>4.8000000000000001E-2</v>
      </c>
      <c r="AX25" s="48">
        <f>AW25</f>
        <v>4.8000000000000001E-2</v>
      </c>
      <c r="AY25" s="239">
        <f>AX25</f>
        <v>4.8000000000000001E-2</v>
      </c>
      <c r="AZ25" s="110">
        <v>4.8000000000000001E-2</v>
      </c>
      <c r="BA25" s="48">
        <v>4.8000000000000001E-2</v>
      </c>
      <c r="BB25" s="48">
        <f>BA25</f>
        <v>4.8000000000000001E-2</v>
      </c>
      <c r="BC25" s="48">
        <f>BB25</f>
        <v>4.8000000000000001E-2</v>
      </c>
      <c r="BD25" s="239">
        <f>BC25</f>
        <v>4.8000000000000001E-2</v>
      </c>
      <c r="BE25" s="48">
        <v>4.8000000000000001E-2</v>
      </c>
      <c r="BF25" s="48">
        <f>BE25</f>
        <v>4.8000000000000001E-2</v>
      </c>
      <c r="BG25" s="48">
        <f>BF25</f>
        <v>4.8000000000000001E-2</v>
      </c>
      <c r="BH25" s="48">
        <f>BG25</f>
        <v>4.8000000000000001E-2</v>
      </c>
      <c r="BI25" s="239">
        <f>BH25</f>
        <v>4.8000000000000001E-2</v>
      </c>
      <c r="BJ25" s="382">
        <f>BH25</f>
        <v>4.8000000000000001E-2</v>
      </c>
      <c r="BK25" s="47">
        <f>BJ25</f>
        <v>4.8000000000000001E-2</v>
      </c>
      <c r="BL25" s="47">
        <f>BK25</f>
        <v>4.8000000000000001E-2</v>
      </c>
      <c r="BM25" s="47">
        <f>BL25</f>
        <v>4.8000000000000001E-2</v>
      </c>
      <c r="BN25" s="239">
        <f>BM25</f>
        <v>4.8000000000000001E-2</v>
      </c>
      <c r="BO25" s="47">
        <f>BM25</f>
        <v>4.8000000000000001E-2</v>
      </c>
      <c r="BP25" s="47">
        <f>BO25</f>
        <v>4.8000000000000001E-2</v>
      </c>
      <c r="BQ25" s="47">
        <f>BP25</f>
        <v>4.8000000000000001E-2</v>
      </c>
      <c r="BR25" s="47">
        <f>BQ25</f>
        <v>4.8000000000000001E-2</v>
      </c>
      <c r="BS25" s="239">
        <f>BR25</f>
        <v>4.8000000000000001E-2</v>
      </c>
      <c r="BT25" s="47">
        <f>BR25</f>
        <v>4.8000000000000001E-2</v>
      </c>
      <c r="BU25" s="47">
        <f>BT25</f>
        <v>4.8000000000000001E-2</v>
      </c>
      <c r="BV25" s="47">
        <f>BU25</f>
        <v>4.8000000000000001E-2</v>
      </c>
      <c r="BW25" s="47">
        <f>BV25</f>
        <v>4.8000000000000001E-2</v>
      </c>
      <c r="BX25" s="239">
        <f>BW25</f>
        <v>4.8000000000000001E-2</v>
      </c>
      <c r="BY25" s="47">
        <f>BW25</f>
        <v>4.8000000000000001E-2</v>
      </c>
      <c r="BZ25" s="47">
        <f>BY25</f>
        <v>4.8000000000000001E-2</v>
      </c>
      <c r="CA25" s="47">
        <f>BZ25</f>
        <v>4.8000000000000001E-2</v>
      </c>
      <c r="CB25" s="47">
        <f>CA25</f>
        <v>4.8000000000000001E-2</v>
      </c>
      <c r="CC25" s="239">
        <f>CB25</f>
        <v>4.8000000000000001E-2</v>
      </c>
      <c r="CD25" s="47">
        <f>CB25</f>
        <v>4.8000000000000001E-2</v>
      </c>
      <c r="CE25" s="47">
        <f>CD25</f>
        <v>4.8000000000000001E-2</v>
      </c>
      <c r="CF25" s="47">
        <f>CE25</f>
        <v>4.8000000000000001E-2</v>
      </c>
      <c r="CG25" s="47">
        <f>CF25</f>
        <v>4.8000000000000001E-2</v>
      </c>
      <c r="CH25" s="239">
        <f>CG25</f>
        <v>4.8000000000000001E-2</v>
      </c>
      <c r="CI25" s="47">
        <f>CG25</f>
        <v>4.8000000000000001E-2</v>
      </c>
      <c r="CJ25" s="47">
        <f>CI25</f>
        <v>4.8000000000000001E-2</v>
      </c>
      <c r="CK25" s="47">
        <f>CJ25</f>
        <v>4.8000000000000001E-2</v>
      </c>
      <c r="CL25" s="47">
        <f>CK25</f>
        <v>4.8000000000000001E-2</v>
      </c>
      <c r="CM25" s="239">
        <f>CL25</f>
        <v>4.8000000000000001E-2</v>
      </c>
      <c r="CN25" s="47">
        <f>CL25</f>
        <v>4.8000000000000001E-2</v>
      </c>
      <c r="CO25" s="47">
        <f>CN25</f>
        <v>4.8000000000000001E-2</v>
      </c>
      <c r="CP25" s="47">
        <f>CO25</f>
        <v>4.8000000000000001E-2</v>
      </c>
      <c r="CQ25" s="47">
        <f>CP25</f>
        <v>4.8000000000000001E-2</v>
      </c>
      <c r="CR25" s="239">
        <f>CQ25</f>
        <v>4.8000000000000001E-2</v>
      </c>
      <c r="CS25" s="47">
        <f>CQ25</f>
        <v>4.8000000000000001E-2</v>
      </c>
      <c r="CT25" s="47">
        <f>CS25</f>
        <v>4.8000000000000001E-2</v>
      </c>
      <c r="CU25" s="47">
        <f>CT25</f>
        <v>4.8000000000000001E-2</v>
      </c>
      <c r="CV25" s="47">
        <f>CU25</f>
        <v>4.8000000000000001E-2</v>
      </c>
      <c r="CW25" s="239">
        <f>CV25</f>
        <v>4.8000000000000001E-2</v>
      </c>
      <c r="CX25" s="47">
        <f>CV25</f>
        <v>4.8000000000000001E-2</v>
      </c>
      <c r="CY25" s="47">
        <f>CX25</f>
        <v>4.8000000000000001E-2</v>
      </c>
      <c r="CZ25" s="47">
        <f>CY25</f>
        <v>4.8000000000000001E-2</v>
      </c>
      <c r="DA25" s="47">
        <f>CZ25</f>
        <v>4.8000000000000001E-2</v>
      </c>
      <c r="DB25" s="239">
        <f>DA25</f>
        <v>4.8000000000000001E-2</v>
      </c>
    </row>
    <row r="26" spans="1:106" s="11" customFormat="1">
      <c r="A26" s="11" t="s">
        <v>4</v>
      </c>
      <c r="B26" s="11">
        <v>0</v>
      </c>
      <c r="C26" s="11">
        <f>B24*C25/4</f>
        <v>0</v>
      </c>
      <c r="D26" s="11">
        <f>C24*D25/4</f>
        <v>0</v>
      </c>
      <c r="E26" s="11">
        <f>D24*E25/4</f>
        <v>0</v>
      </c>
      <c r="F26" s="11">
        <f>SUM(B26:E26)</f>
        <v>0</v>
      </c>
      <c r="G26" s="11">
        <f>E24*G25/4</f>
        <v>0</v>
      </c>
      <c r="H26" s="11">
        <f>G24*H25/4</f>
        <v>0</v>
      </c>
      <c r="I26" s="11">
        <f>H24*I25/4</f>
        <v>0</v>
      </c>
      <c r="J26" s="11">
        <f>I24*J25/4</f>
        <v>0</v>
      </c>
      <c r="K26" s="11">
        <f>SUM(G26:J26)</f>
        <v>0</v>
      </c>
      <c r="L26" s="11">
        <f>J24*L25/4</f>
        <v>0</v>
      </c>
      <c r="M26" s="11">
        <f>L24*M25/4</f>
        <v>0</v>
      </c>
      <c r="N26" s="11">
        <f>M24*N25/4</f>
        <v>0</v>
      </c>
      <c r="O26" s="11">
        <f>N24*O25/4</f>
        <v>0</v>
      </c>
      <c r="P26" s="11">
        <f>SUM(L26:O26)</f>
        <v>0</v>
      </c>
      <c r="Q26" s="11">
        <f>O24*Q25/4</f>
        <v>0</v>
      </c>
      <c r="R26" s="11">
        <f>P24*R25/4</f>
        <v>0</v>
      </c>
      <c r="S26" s="11">
        <f>R24*S25/4</f>
        <v>0</v>
      </c>
      <c r="T26" s="11">
        <f>S24*T25/4</f>
        <v>0</v>
      </c>
      <c r="U26" s="11">
        <f>SUM(Q26:T26)</f>
        <v>0</v>
      </c>
      <c r="V26" s="11">
        <f>T24*V25/4</f>
        <v>0</v>
      </c>
      <c r="W26" s="11">
        <f>V24*W25/4</f>
        <v>0</v>
      </c>
      <c r="X26" s="11">
        <f>W24*X25/4</f>
        <v>0</v>
      </c>
      <c r="Y26" s="11">
        <f>X24*Y25/4</f>
        <v>0</v>
      </c>
      <c r="Z26" s="214">
        <f>SUM(V26:Y26)</f>
        <v>0</v>
      </c>
      <c r="AA26" s="11">
        <f>Y24*AA25/4</f>
        <v>0</v>
      </c>
      <c r="AB26" s="11">
        <f>AA24*AB25/4</f>
        <v>0</v>
      </c>
      <c r="AC26" s="11">
        <f>AB24*AC25/4</f>
        <v>0</v>
      </c>
      <c r="AD26" s="11">
        <f>AC24*AD25/4</f>
        <v>0</v>
      </c>
      <c r="AE26" s="214">
        <f>SUM(AA26:AD26)</f>
        <v>0</v>
      </c>
      <c r="AF26" s="11">
        <f>AE24*AF25/4</f>
        <v>0</v>
      </c>
      <c r="AG26" s="11">
        <f>AF24*AG25/4</f>
        <v>0</v>
      </c>
      <c r="AH26" s="11">
        <f>AG24*AH25/4</f>
        <v>0</v>
      </c>
      <c r="AI26" s="11">
        <f>AH24*AI25/4</f>
        <v>0</v>
      </c>
      <c r="AJ26" s="214">
        <f>SUM(AF26:AI26)</f>
        <v>0</v>
      </c>
      <c r="AK26" s="11">
        <f>AI24*AK25/4</f>
        <v>0</v>
      </c>
      <c r="AL26" s="11">
        <f>AK24*AL25/4</f>
        <v>0</v>
      </c>
      <c r="AM26" s="11">
        <f>AL24*AM25/4</f>
        <v>0</v>
      </c>
      <c r="AN26" s="11">
        <f>AM24*AN25/4</f>
        <v>0</v>
      </c>
      <c r="AO26" s="214">
        <f>SUM(AK26:AN26)</f>
        <v>0</v>
      </c>
      <c r="AP26" s="11">
        <f>AN24*AP25/4</f>
        <v>0.60062400000000005</v>
      </c>
      <c r="AQ26" s="11">
        <f>AP24*AQ25/4</f>
        <v>0.60065999999999997</v>
      </c>
      <c r="AR26" s="11">
        <f>AQ24*AR25/4</f>
        <v>0.60103200000000001</v>
      </c>
      <c r="AS26" s="11">
        <f>AR24*AS25/4</f>
        <v>0.60176399999999997</v>
      </c>
      <c r="AT26" s="214">
        <f>SUM(AP26:AS26)</f>
        <v>2.40408</v>
      </c>
      <c r="AU26" s="11">
        <f>AS24*AU25/4</f>
        <v>0.96419999999999995</v>
      </c>
      <c r="AV26" s="11">
        <f>AT24*AV25/4</f>
        <v>0.96419999999999995</v>
      </c>
      <c r="AW26" s="11">
        <f>AV24*AW25/4</f>
        <v>0.9650160000000001</v>
      </c>
      <c r="AX26" s="11">
        <f>AW24*AX25/4</f>
        <v>0.96522000000000008</v>
      </c>
      <c r="AY26" s="214">
        <f>SUM(AU26:AX26)</f>
        <v>3.8586360000000002</v>
      </c>
      <c r="AZ26" s="11">
        <f>AX24*AZ25/4</f>
        <v>0.96482400000000001</v>
      </c>
      <c r="BA26" s="11">
        <f>AZ24*BA25/4</f>
        <v>0.964812</v>
      </c>
      <c r="BB26" s="11">
        <f>BA24*BB25/4</f>
        <v>0.96466799999999997</v>
      </c>
      <c r="BC26" s="11">
        <f>BB24*BC25/4</f>
        <v>0.96562799999999993</v>
      </c>
      <c r="BD26" s="214">
        <f>SUM(AZ26:BC26)</f>
        <v>3.8599319999999997</v>
      </c>
      <c r="BE26" s="11">
        <f>BC24*BE25/4</f>
        <v>0.96434399999999998</v>
      </c>
      <c r="BF26" s="11">
        <f>BE24*BF25/4</f>
        <v>0.96414</v>
      </c>
      <c r="BG26" s="11">
        <f>BF24*BG25/4</f>
        <v>0.96405599999999991</v>
      </c>
      <c r="BH26" s="11">
        <f>BG24*BH25/4</f>
        <v>0.96409199999999995</v>
      </c>
      <c r="BI26" s="214">
        <f>SUM(BE26:BH26)</f>
        <v>3.8566319999999998</v>
      </c>
      <c r="BJ26" s="283">
        <f>BH24*BJ25/4</f>
        <v>0.96387599999999996</v>
      </c>
      <c r="BK26" s="11">
        <f>BJ24*BK25/4</f>
        <v>0.72290699999999997</v>
      </c>
      <c r="BL26" s="11">
        <f>BK24*BL25/4</f>
        <v>0.48217896899999996</v>
      </c>
      <c r="BM26" s="11">
        <f>BL24*BM25/4</f>
        <v>0.24108948449999998</v>
      </c>
      <c r="BN26" s="214">
        <f>SUM(BJ26:BM26)</f>
        <v>2.4100514534999995</v>
      </c>
      <c r="BO26" s="11">
        <f>BM24*BO25/4</f>
        <v>0</v>
      </c>
      <c r="BP26" s="11">
        <f>BO24*BP25/4</f>
        <v>0</v>
      </c>
      <c r="BQ26" s="11">
        <f>BP24*BQ25/4</f>
        <v>0</v>
      </c>
      <c r="BR26" s="11">
        <f>BQ24*BR25/4</f>
        <v>0</v>
      </c>
      <c r="BS26" s="214">
        <f>SUM(BO26:BR26)</f>
        <v>0</v>
      </c>
      <c r="BT26" s="11">
        <f>BR24*BT25/4</f>
        <v>0</v>
      </c>
      <c r="BU26" s="11">
        <f>BT24*BU25/4</f>
        <v>0</v>
      </c>
      <c r="BV26" s="11">
        <f>BU24*BV25/4</f>
        <v>0</v>
      </c>
      <c r="BW26" s="11">
        <f>BV24*BW25/4</f>
        <v>0</v>
      </c>
      <c r="BX26" s="214">
        <f>SUM(BT26:BW26)</f>
        <v>0</v>
      </c>
      <c r="BY26" s="11">
        <f>BW24*BY25/4</f>
        <v>0</v>
      </c>
      <c r="BZ26" s="11">
        <f>BY24*BZ25/4</f>
        <v>0</v>
      </c>
      <c r="CA26" s="11">
        <f>BZ24*CA25/4</f>
        <v>0</v>
      </c>
      <c r="CB26" s="11">
        <f>CA24*CB25/4</f>
        <v>0</v>
      </c>
      <c r="CC26" s="214">
        <f>SUM(BY26:CB26)</f>
        <v>0</v>
      </c>
      <c r="CD26" s="11">
        <f>CB24*CD25/4</f>
        <v>0</v>
      </c>
      <c r="CE26" s="11">
        <f>CD24*CE25/4</f>
        <v>0</v>
      </c>
      <c r="CF26" s="11">
        <f>CE24*CF25/4</f>
        <v>0</v>
      </c>
      <c r="CG26" s="11">
        <f>CF24*CG25/4</f>
        <v>0</v>
      </c>
      <c r="CH26" s="214">
        <f>SUM(CD26:CG26)</f>
        <v>0</v>
      </c>
      <c r="CI26" s="11">
        <f>CG24*CI25/4</f>
        <v>0</v>
      </c>
      <c r="CJ26" s="11">
        <f>CI24*CJ25/4</f>
        <v>0</v>
      </c>
      <c r="CK26" s="11">
        <f>CJ24*CK25/4</f>
        <v>0</v>
      </c>
      <c r="CL26" s="11">
        <f>CK24*CL25/4</f>
        <v>0</v>
      </c>
      <c r="CM26" s="214">
        <f>SUM(CI26:CL26)</f>
        <v>0</v>
      </c>
      <c r="CN26" s="11">
        <f>CL24*CN25/4</f>
        <v>0</v>
      </c>
      <c r="CO26" s="11">
        <f>CN24*CO25/4</f>
        <v>0</v>
      </c>
      <c r="CP26" s="11">
        <f>CO24*CP25/4</f>
        <v>0</v>
      </c>
      <c r="CQ26" s="11">
        <f>CP24*CQ25/4</f>
        <v>0</v>
      </c>
      <c r="CR26" s="214">
        <f>SUM(CN26:CQ26)</f>
        <v>0</v>
      </c>
      <c r="CS26" s="11">
        <f>CQ24*CS25/4</f>
        <v>0</v>
      </c>
      <c r="CT26" s="11">
        <f>CS24*CT25/4</f>
        <v>0</v>
      </c>
      <c r="CU26" s="11">
        <f>CT24*CU25/4</f>
        <v>0</v>
      </c>
      <c r="CV26" s="11">
        <f>CU24*CV25/4</f>
        <v>0</v>
      </c>
      <c r="CW26" s="214">
        <f>SUM(CS26:CV26)</f>
        <v>0</v>
      </c>
      <c r="CX26" s="11">
        <f>CV24*CX25/4</f>
        <v>0</v>
      </c>
      <c r="CY26" s="11">
        <f>CX24*CY25/4</f>
        <v>0</v>
      </c>
      <c r="CZ26" s="11">
        <f>CY24*CZ25/4</f>
        <v>0</v>
      </c>
      <c r="DA26" s="11">
        <f>CZ24*DA25/4</f>
        <v>0</v>
      </c>
      <c r="DB26" s="214">
        <f>SUM(CX26:DA26)</f>
        <v>0</v>
      </c>
    </row>
    <row r="27" spans="1:106" s="11" customFormat="1">
      <c r="Z27" s="214"/>
      <c r="AE27" s="214"/>
      <c r="AJ27" s="214"/>
      <c r="AO27" s="214"/>
      <c r="AT27" s="214"/>
      <c r="AY27" s="214"/>
      <c r="BD27" s="214"/>
      <c r="BI27" s="214"/>
      <c r="BJ27" s="283"/>
      <c r="BN27" s="214"/>
      <c r="BS27" s="214"/>
      <c r="BX27" s="214"/>
      <c r="CC27" s="214"/>
      <c r="CH27" s="214"/>
      <c r="CM27" s="214"/>
      <c r="CR27" s="214"/>
      <c r="CW27" s="214"/>
      <c r="DB27" s="214"/>
    </row>
    <row r="28" spans="1:106" s="11" customFormat="1">
      <c r="A28" s="11" t="s">
        <v>136</v>
      </c>
      <c r="B28" s="11">
        <f>BS!B33+BS!B30</f>
        <v>0</v>
      </c>
      <c r="C28" s="11">
        <f>BS!C33+BS!C30</f>
        <v>0</v>
      </c>
      <c r="D28" s="11">
        <f>BS!D33+BS!D30</f>
        <v>0</v>
      </c>
      <c r="E28" s="11">
        <f>BS!E33+BS!E30</f>
        <v>26.813999999999997</v>
      </c>
      <c r="F28" s="11">
        <f>E28</f>
        <v>26.813999999999997</v>
      </c>
      <c r="G28" s="11">
        <f>BS!G33+BS!G30</f>
        <v>0</v>
      </c>
      <c r="H28" s="11">
        <f>BS!H33+BS!H30</f>
        <v>27.765999999999998</v>
      </c>
      <c r="I28" s="11">
        <f>BS!I33+BS!I30</f>
        <v>25.016999999999999</v>
      </c>
      <c r="J28" s="11">
        <f>BS!J33+BS!J30</f>
        <v>42.09</v>
      </c>
      <c r="K28" s="11">
        <f>J28</f>
        <v>42.09</v>
      </c>
      <c r="L28" s="11">
        <f>BS!L33+BS!L30</f>
        <v>42.204999999999998</v>
      </c>
      <c r="M28" s="11">
        <f>BS!M33+BS!M30</f>
        <v>49.326999999999998</v>
      </c>
      <c r="N28" s="11">
        <f>BS!N33+BS!N30</f>
        <v>49.472999999999999</v>
      </c>
      <c r="O28" s="11">
        <f>BS!O33+BS!O30</f>
        <v>49.624000000000002</v>
      </c>
      <c r="P28" s="11">
        <f>O28</f>
        <v>49.624000000000002</v>
      </c>
      <c r="Q28" s="11">
        <f>SUM(Q22,Q24)</f>
        <v>49.807000000000002</v>
      </c>
      <c r="R28" s="11">
        <f>BS!R33+BS!R30</f>
        <v>50.021999999999998</v>
      </c>
      <c r="S28" s="11">
        <f>BS!S33+BS!S30</f>
        <v>123.29900000000001</v>
      </c>
      <c r="T28" s="11">
        <f>BS!T33+BS!T30</f>
        <v>123.17699999999999</v>
      </c>
      <c r="U28" s="11">
        <f>T28</f>
        <v>123.17699999999999</v>
      </c>
      <c r="V28" s="11">
        <f>BS!V33+BS!V30</f>
        <v>123.26300000000001</v>
      </c>
      <c r="W28" s="11">
        <f>BS!W33+BS!W30</f>
        <v>123.34299999999999</v>
      </c>
      <c r="X28" s="11">
        <f>BS!X33+BS!X30</f>
        <v>123.41900000000001</v>
      </c>
      <c r="Y28" s="11">
        <f>BS!Y33+BS!Y30</f>
        <v>123.50999999999999</v>
      </c>
      <c r="Z28" s="214">
        <f>Y28</f>
        <v>123.50999999999999</v>
      </c>
      <c r="AA28" s="11">
        <f>BS!AA33+BS!AA30</f>
        <v>123.58500000000001</v>
      </c>
      <c r="AB28" s="11">
        <f>BS!AB33+BS!AB30</f>
        <v>123.657</v>
      </c>
      <c r="AC28" s="11">
        <f>BS!AC33+BS!AC30</f>
        <v>123.714</v>
      </c>
      <c r="AD28" s="11">
        <f>BS!AD33+BS!AD30</f>
        <v>123.779</v>
      </c>
      <c r="AE28" s="214">
        <f>AD28</f>
        <v>123.779</v>
      </c>
      <c r="AF28" s="11">
        <f>BS!AF33+BS!AF30</f>
        <v>122.968</v>
      </c>
      <c r="AG28" s="11">
        <f>BS!AG33+BS!AG30</f>
        <v>247.529</v>
      </c>
      <c r="AH28" s="11">
        <f>BS!AH33+BS!AH30</f>
        <v>250.011</v>
      </c>
      <c r="AI28" s="11">
        <f>BS!AI33+BS!AI30</f>
        <v>252.547</v>
      </c>
      <c r="AJ28" s="214">
        <f>AI28</f>
        <v>252.547</v>
      </c>
      <c r="AK28" s="11">
        <f>BS!AK33+BS!AK30</f>
        <v>329.52300000000002</v>
      </c>
      <c r="AL28" s="11">
        <f>BS!AL33+BS!AL30</f>
        <v>329.82599999999996</v>
      </c>
      <c r="AM28" s="11">
        <f>BS!AM33+BS!AM30</f>
        <v>330.13399999999996</v>
      </c>
      <c r="AN28" s="11">
        <f>BS!AN33+BS!AN30</f>
        <v>330.44600000000003</v>
      </c>
      <c r="AO28" s="214">
        <f>AN28</f>
        <v>330.44600000000003</v>
      </c>
      <c r="AP28" s="11">
        <f>BS!AP33+BS!AP30</f>
        <v>330.76100000000002</v>
      </c>
      <c r="AQ28" s="11">
        <f>BS!AQ33+BS!AQ30</f>
        <v>331.10599999999999</v>
      </c>
      <c r="AR28" s="11">
        <f>BS!AR33+BS!AR30</f>
        <v>331.483</v>
      </c>
      <c r="AS28" s="11">
        <f>BS!AS33+BS!AS30</f>
        <v>362.00300000000004</v>
      </c>
      <c r="AT28" s="214">
        <f>AS28</f>
        <v>362.00300000000004</v>
      </c>
      <c r="AU28" s="11">
        <f>BS!AU33+BS!AU30</f>
        <v>362.37099999999998</v>
      </c>
      <c r="AV28" s="11">
        <f>BS!AV33+BS!AV30</f>
        <v>362.71300000000002</v>
      </c>
      <c r="AW28" s="11">
        <f>BS!AW33+BS!AW30</f>
        <v>363.05400000000003</v>
      </c>
      <c r="AX28" s="11">
        <f>BS!AX33+BS!AX30</f>
        <v>363.34699999999998</v>
      </c>
      <c r="AY28" s="214">
        <f>AX28</f>
        <v>363.34699999999998</v>
      </c>
      <c r="AZ28" s="11">
        <f>BS!AZ33+BS!AZ30</f>
        <v>363.67400000000004</v>
      </c>
      <c r="BA28" s="11">
        <f>BS!BA33+BS!BA30</f>
        <v>363.99299999999999</v>
      </c>
      <c r="BB28" s="11">
        <f>BS!BB33+BS!BB30</f>
        <v>367.01799999999997</v>
      </c>
      <c r="BC28" s="11">
        <f>BS!BC33+BS!BC30</f>
        <v>80.361999999999995</v>
      </c>
      <c r="BD28" s="214">
        <f>BC28</f>
        <v>80.361999999999995</v>
      </c>
      <c r="BE28" s="11">
        <f>BS!BE33+BS!BE30</f>
        <v>80.344999999999999</v>
      </c>
      <c r="BF28" s="11">
        <f>BS!BF33+BS!BF30</f>
        <v>80.337999999999994</v>
      </c>
      <c r="BG28" s="11">
        <f>BS!BG33+BS!BG30</f>
        <v>80.340999999999994</v>
      </c>
      <c r="BH28" s="11">
        <f>BS!BH33+BS!BH30</f>
        <v>80.322999999999993</v>
      </c>
      <c r="BI28" s="214">
        <f>BH28</f>
        <v>80.322999999999993</v>
      </c>
      <c r="BJ28" s="283">
        <f>SUM(BJ22,BJ24)</f>
        <v>60.242249999999999</v>
      </c>
      <c r="BK28" s="11">
        <f t="shared" ref="BK28:BM28" si="31">SUM(BK22,BK24)</f>
        <v>40.181580749999995</v>
      </c>
      <c r="BL28" s="11">
        <f t="shared" si="31"/>
        <v>20.090790374999997</v>
      </c>
      <c r="BM28" s="11">
        <f t="shared" si="31"/>
        <v>0</v>
      </c>
      <c r="BN28" s="214">
        <f>BM28</f>
        <v>0</v>
      </c>
      <c r="BO28" s="11">
        <f>SUM(BO22,BO24)</f>
        <v>0</v>
      </c>
      <c r="BP28" s="11">
        <f>SUM(BP22,BP24)</f>
        <v>0</v>
      </c>
      <c r="BQ28" s="11">
        <f>SUM(BQ22,BQ24)</f>
        <v>0</v>
      </c>
      <c r="BR28" s="11">
        <f>SUM(BR22,BR24)</f>
        <v>0</v>
      </c>
      <c r="BS28" s="214">
        <f>BR28</f>
        <v>0</v>
      </c>
      <c r="BT28" s="11">
        <f>SUM(BT22,BT24)</f>
        <v>0</v>
      </c>
      <c r="BU28" s="11">
        <f>SUM(BU22,BU24)</f>
        <v>0</v>
      </c>
      <c r="BV28" s="11">
        <f>SUM(BV22,BV24)</f>
        <v>0</v>
      </c>
      <c r="BW28" s="11">
        <f>SUM(BW22,BW24)</f>
        <v>0</v>
      </c>
      <c r="BX28" s="214">
        <f>BW28</f>
        <v>0</v>
      </c>
      <c r="BY28" s="11">
        <f>SUM(BY22,BY24)</f>
        <v>0</v>
      </c>
      <c r="BZ28" s="11">
        <f>SUM(BZ22,BZ24)</f>
        <v>0</v>
      </c>
      <c r="CA28" s="11">
        <f>SUM(CA22,CA24)</f>
        <v>0</v>
      </c>
      <c r="CB28" s="11">
        <f>SUM(CB22,CB24)</f>
        <v>0</v>
      </c>
      <c r="CC28" s="214">
        <f>CB28</f>
        <v>0</v>
      </c>
      <c r="CD28" s="11">
        <f>SUM(CD22,CD24)</f>
        <v>0</v>
      </c>
      <c r="CE28" s="11">
        <f>SUM(CE22,CE24)</f>
        <v>0</v>
      </c>
      <c r="CF28" s="11">
        <f>SUM(CF22,CF24)</f>
        <v>0</v>
      </c>
      <c r="CG28" s="11">
        <f>SUM(CG22,CG24)</f>
        <v>0</v>
      </c>
      <c r="CH28" s="214">
        <f>CG28</f>
        <v>0</v>
      </c>
      <c r="CI28" s="11">
        <f>SUM(CI22,CI24)</f>
        <v>0</v>
      </c>
      <c r="CJ28" s="11">
        <f>SUM(CJ22,CJ24)</f>
        <v>0</v>
      </c>
      <c r="CK28" s="11">
        <f>SUM(CK22,CK24)</f>
        <v>0</v>
      </c>
      <c r="CL28" s="11">
        <f>SUM(CL22,CL24)</f>
        <v>0</v>
      </c>
      <c r="CM28" s="214">
        <f>CL28</f>
        <v>0</v>
      </c>
      <c r="CN28" s="11">
        <f>SUM(CN22,CN24)</f>
        <v>0</v>
      </c>
      <c r="CO28" s="11">
        <f>SUM(CO22,CO24)</f>
        <v>0</v>
      </c>
      <c r="CP28" s="11">
        <f>SUM(CP22,CP24)</f>
        <v>0</v>
      </c>
      <c r="CQ28" s="11">
        <f>SUM(CQ22,CQ24)</f>
        <v>0</v>
      </c>
      <c r="CR28" s="214">
        <f>CQ28</f>
        <v>0</v>
      </c>
      <c r="CS28" s="11">
        <f>SUM(CS22,CS24)</f>
        <v>0</v>
      </c>
      <c r="CT28" s="11">
        <f>SUM(CT22,CT24)</f>
        <v>0</v>
      </c>
      <c r="CU28" s="11">
        <f>SUM(CU22,CU24)</f>
        <v>0</v>
      </c>
      <c r="CV28" s="11">
        <f>SUM(CV22,CV24)</f>
        <v>0</v>
      </c>
      <c r="CW28" s="214">
        <f>CV28</f>
        <v>0</v>
      </c>
      <c r="CX28" s="11">
        <f>SUM(CX22,CX24)</f>
        <v>0</v>
      </c>
      <c r="CY28" s="11">
        <f>SUM(CY22,CY24)</f>
        <v>0</v>
      </c>
      <c r="CZ28" s="11">
        <f>SUM(CZ22,CZ24)</f>
        <v>0</v>
      </c>
      <c r="DA28" s="11">
        <f>SUM(DA22,DA24)</f>
        <v>0</v>
      </c>
      <c r="DB28" s="214">
        <f>DA28</f>
        <v>0</v>
      </c>
    </row>
    <row r="29" spans="1:106" s="11" customFormat="1">
      <c r="A29" s="11" t="s">
        <v>137</v>
      </c>
      <c r="B29" s="11">
        <f t="shared" ref="B29:O29" si="32">SUM(B26,B16)</f>
        <v>0.80900000000000005</v>
      </c>
      <c r="C29" s="11">
        <f t="shared" si="32"/>
        <v>0.93600000000000005</v>
      </c>
      <c r="D29" s="11">
        <f t="shared" si="32"/>
        <v>1.202</v>
      </c>
      <c r="E29" s="11">
        <f t="shared" si="32"/>
        <v>1.2720000000000002</v>
      </c>
      <c r="F29" s="11">
        <f t="shared" si="32"/>
        <v>4.2190000000000003</v>
      </c>
      <c r="G29" s="11">
        <f t="shared" si="32"/>
        <v>1.01</v>
      </c>
      <c r="H29" s="11">
        <f t="shared" si="32"/>
        <v>1.2030000000000001</v>
      </c>
      <c r="I29" s="11">
        <f t="shared" si="32"/>
        <v>1.177</v>
      </c>
      <c r="J29" s="11">
        <f t="shared" si="32"/>
        <v>0.11499999999999977</v>
      </c>
      <c r="K29" s="11">
        <f t="shared" si="32"/>
        <v>3.5049999999999999</v>
      </c>
      <c r="L29" s="11">
        <f t="shared" si="32"/>
        <v>0.115</v>
      </c>
      <c r="M29" s="11">
        <f t="shared" si="32"/>
        <v>0.122</v>
      </c>
      <c r="N29" s="11">
        <f t="shared" si="32"/>
        <v>0.14599999999999999</v>
      </c>
      <c r="O29" s="11">
        <f t="shared" si="32"/>
        <v>0.15000000000000002</v>
      </c>
      <c r="P29" s="11">
        <f>SUM(L29:O29)</f>
        <v>0.53300000000000003</v>
      </c>
      <c r="Q29" s="11">
        <f>SUM(Q26,Q16)</f>
        <v>0.183</v>
      </c>
      <c r="R29" s="11">
        <f>SUM(R26,R16)</f>
        <v>0.218</v>
      </c>
      <c r="S29" s="11">
        <f>SUM(S26,S16)</f>
        <v>1.4770000000000001</v>
      </c>
      <c r="T29" s="11">
        <f>SUM(T26,T16)</f>
        <v>2.335</v>
      </c>
      <c r="U29" s="11">
        <f>SUM(Q29:T29)</f>
        <v>4.2130000000000001</v>
      </c>
      <c r="V29" s="11" t="e">
        <f>SUM(V26,V16)</f>
        <v>#DIV/0!</v>
      </c>
      <c r="W29" s="11" t="e">
        <f t="shared" ref="W29:AO29" si="33">SUM(W26,W16)</f>
        <v>#DIV/0!</v>
      </c>
      <c r="X29" s="11" t="e">
        <f t="shared" si="33"/>
        <v>#DIV/0!</v>
      </c>
      <c r="Y29" s="11" t="e">
        <f t="shared" si="33"/>
        <v>#DIV/0!</v>
      </c>
      <c r="Z29" s="214" t="e">
        <f t="shared" si="33"/>
        <v>#DIV/0!</v>
      </c>
      <c r="AA29" s="11" t="e">
        <f>SUM(AA26,AA16)</f>
        <v>#DIV/0!</v>
      </c>
      <c r="AB29" s="11" t="e">
        <f t="shared" si="33"/>
        <v>#DIV/0!</v>
      </c>
      <c r="AC29" s="11" t="e">
        <f t="shared" si="33"/>
        <v>#DIV/0!</v>
      </c>
      <c r="AD29" s="11" t="e">
        <f t="shared" si="33"/>
        <v>#DIV/0!</v>
      </c>
      <c r="AE29" s="214" t="e">
        <f t="shared" si="33"/>
        <v>#DIV/0!</v>
      </c>
      <c r="AF29" s="11" t="e">
        <f t="shared" si="33"/>
        <v>#DIV/0!</v>
      </c>
      <c r="AG29" s="11" t="e">
        <f t="shared" si="33"/>
        <v>#DIV/0!</v>
      </c>
      <c r="AH29" s="11" t="e">
        <f t="shared" si="33"/>
        <v>#DIV/0!</v>
      </c>
      <c r="AI29" s="11" t="e">
        <f t="shared" si="33"/>
        <v>#DIV/0!</v>
      </c>
      <c r="AJ29" s="214" t="e">
        <f t="shared" si="33"/>
        <v>#DIV/0!</v>
      </c>
      <c r="AK29" s="11">
        <f t="shared" si="33"/>
        <v>0</v>
      </c>
      <c r="AL29" s="11">
        <f t="shared" si="33"/>
        <v>0</v>
      </c>
      <c r="AM29" s="11">
        <f t="shared" si="33"/>
        <v>0</v>
      </c>
      <c r="AN29" s="11">
        <f t="shared" si="33"/>
        <v>0</v>
      </c>
      <c r="AO29" s="214">
        <f t="shared" si="33"/>
        <v>0</v>
      </c>
      <c r="AP29" s="11">
        <f>SUM(AP26,AP20)</f>
        <v>2.2178114999999998</v>
      </c>
      <c r="AQ29" s="11">
        <f>SUM(AQ26,AQ20)</f>
        <v>2.2178475</v>
      </c>
      <c r="AR29" s="11">
        <f>SUM(AR26,AR20)</f>
        <v>2.2182195</v>
      </c>
      <c r="AS29" s="11">
        <f>SUM(AS26,AS20)</f>
        <v>2.2189515000000002</v>
      </c>
      <c r="AT29" s="214">
        <f>SUM(AP29:AS29)</f>
        <v>8.8728300000000004</v>
      </c>
      <c r="AU29" s="11">
        <f>+AU20+AU26</f>
        <v>2.5813874999999999</v>
      </c>
      <c r="AV29" s="11">
        <f>+AV20+AV26</f>
        <v>2.5813874999999999</v>
      </c>
      <c r="AW29" s="11">
        <f>+AW20+AW26</f>
        <v>2.5822035000000003</v>
      </c>
      <c r="AX29" s="11">
        <f>+AX20+AX26</f>
        <v>2.5824075</v>
      </c>
      <c r="AY29" s="214">
        <f>SUM(AU29:AX29)</f>
        <v>10.327386000000001</v>
      </c>
      <c r="AZ29" s="11">
        <f>+AZ20+AZ26</f>
        <v>2.5820115000000001</v>
      </c>
      <c r="BA29" s="11">
        <f>+BA20+BA26</f>
        <v>2.5819995000000002</v>
      </c>
      <c r="BB29" s="11">
        <f>+BB20+BB26</f>
        <v>2.5818555000000001</v>
      </c>
      <c r="BC29" s="11">
        <f>+BC20+BC26</f>
        <v>2.5625654999999998</v>
      </c>
      <c r="BD29" s="214">
        <f>SUM(AZ29:BC29)</f>
        <v>10.308432</v>
      </c>
      <c r="BE29" s="11">
        <f>+BE20+BE26</f>
        <v>0.96434399999999998</v>
      </c>
      <c r="BF29" s="11">
        <f>+BF20+BF26</f>
        <v>0.96414</v>
      </c>
      <c r="BG29" s="11">
        <f>+BG20+BG26</f>
        <v>0.96405599999999991</v>
      </c>
      <c r="BH29" s="11">
        <f>+BH20+BH26</f>
        <v>0.96409199999999995</v>
      </c>
      <c r="BI29" s="214">
        <f>SUM(BE29:BH29)</f>
        <v>3.8566319999999998</v>
      </c>
      <c r="BJ29" s="283">
        <f>+BJ20+BJ26</f>
        <v>0.96387599999999996</v>
      </c>
      <c r="BK29" s="11">
        <f t="shared" ref="BK29:BM29" si="34">+BK20+BK26</f>
        <v>0.72290699999999997</v>
      </c>
      <c r="BL29" s="11">
        <f t="shared" si="34"/>
        <v>0.48217896899999996</v>
      </c>
      <c r="BM29" s="11">
        <f t="shared" si="34"/>
        <v>0.24108948449999998</v>
      </c>
      <c r="BN29" s="214">
        <f>SUM(BJ29:BM29)</f>
        <v>2.4100514534999995</v>
      </c>
      <c r="BO29" s="11">
        <f>+BO20+BO26</f>
        <v>0</v>
      </c>
      <c r="BP29" s="11">
        <f t="shared" ref="BP29:BR29" si="35">+BP20+BP26</f>
        <v>0</v>
      </c>
      <c r="BQ29" s="11">
        <f t="shared" si="35"/>
        <v>0</v>
      </c>
      <c r="BR29" s="11">
        <f t="shared" si="35"/>
        <v>0</v>
      </c>
      <c r="BS29" s="214">
        <f>SUM(BO29:BR29)</f>
        <v>0</v>
      </c>
      <c r="BT29" s="11">
        <f>+BT20+BT26</f>
        <v>0</v>
      </c>
      <c r="BU29" s="11">
        <f t="shared" ref="BU29:BW29" si="36">+BU20+BU26</f>
        <v>0</v>
      </c>
      <c r="BV29" s="11">
        <f t="shared" si="36"/>
        <v>0</v>
      </c>
      <c r="BW29" s="11">
        <f t="shared" si="36"/>
        <v>0</v>
      </c>
      <c r="BX29" s="214">
        <f>SUM(BT29:BW29)</f>
        <v>0</v>
      </c>
      <c r="BY29" s="11">
        <f>+BY20+BY26</f>
        <v>0</v>
      </c>
      <c r="BZ29" s="11">
        <f t="shared" ref="BZ29:CB29" si="37">+BZ20+BZ26</f>
        <v>0</v>
      </c>
      <c r="CA29" s="11">
        <f t="shared" si="37"/>
        <v>0</v>
      </c>
      <c r="CB29" s="11">
        <f t="shared" si="37"/>
        <v>0</v>
      </c>
      <c r="CC29" s="214">
        <f>SUM(BY29:CB29)</f>
        <v>0</v>
      </c>
      <c r="CD29" s="11">
        <f>+CD20+CD26</f>
        <v>0</v>
      </c>
      <c r="CE29" s="11">
        <f t="shared" ref="CE29:CG29" si="38">+CE20+CE26</f>
        <v>0</v>
      </c>
      <c r="CF29" s="11">
        <f t="shared" si="38"/>
        <v>0</v>
      </c>
      <c r="CG29" s="11">
        <f t="shared" si="38"/>
        <v>0</v>
      </c>
      <c r="CH29" s="214">
        <f>SUM(CD29:CG29)</f>
        <v>0</v>
      </c>
      <c r="CI29" s="11">
        <f>+CI20+CI26</f>
        <v>0</v>
      </c>
      <c r="CJ29" s="11">
        <f t="shared" ref="CJ29:CL29" si="39">+CJ20+CJ26</f>
        <v>0</v>
      </c>
      <c r="CK29" s="11">
        <f t="shared" si="39"/>
        <v>0</v>
      </c>
      <c r="CL29" s="11">
        <f t="shared" si="39"/>
        <v>0</v>
      </c>
      <c r="CM29" s="214">
        <f>SUM(CI29:CL29)</f>
        <v>0</v>
      </c>
      <c r="CN29" s="11">
        <f>+CN20+CN26</f>
        <v>0</v>
      </c>
      <c r="CO29" s="11">
        <f t="shared" ref="CO29:CQ29" si="40">+CO20+CO26</f>
        <v>0</v>
      </c>
      <c r="CP29" s="11">
        <f t="shared" si="40"/>
        <v>0</v>
      </c>
      <c r="CQ29" s="11">
        <f t="shared" si="40"/>
        <v>0</v>
      </c>
      <c r="CR29" s="214">
        <f>SUM(CN29:CQ29)</f>
        <v>0</v>
      </c>
      <c r="CS29" s="11">
        <f>+CS20+CS26</f>
        <v>0</v>
      </c>
      <c r="CT29" s="11">
        <f t="shared" ref="CT29:CV29" si="41">+CT20+CT26</f>
        <v>0</v>
      </c>
      <c r="CU29" s="11">
        <f t="shared" si="41"/>
        <v>0</v>
      </c>
      <c r="CV29" s="11">
        <f t="shared" si="41"/>
        <v>0</v>
      </c>
      <c r="CW29" s="214">
        <f>SUM(CS29:CV29)</f>
        <v>0</v>
      </c>
      <c r="CX29" s="11">
        <f>+CX20+CX26</f>
        <v>0</v>
      </c>
      <c r="CY29" s="11">
        <f t="shared" ref="CY29:DA29" si="42">+CY20+CY26</f>
        <v>0</v>
      </c>
      <c r="CZ29" s="11">
        <f t="shared" si="42"/>
        <v>0</v>
      </c>
      <c r="DA29" s="11">
        <f t="shared" si="42"/>
        <v>0</v>
      </c>
      <c r="DB29" s="214">
        <f>SUM(CX29:DA29)</f>
        <v>0</v>
      </c>
    </row>
    <row r="30" spans="1:106" s="11" customFormat="1">
      <c r="A30" s="11" t="s">
        <v>138</v>
      </c>
      <c r="B30" s="11">
        <f>IS!B15</f>
        <v>0.80900000000000005</v>
      </c>
      <c r="C30" s="11">
        <f>IS!C15</f>
        <v>0.93600000000000005</v>
      </c>
      <c r="D30" s="11">
        <f>IS!D15</f>
        <v>1.202</v>
      </c>
      <c r="E30" s="11">
        <f>IS!E15</f>
        <v>1.2720000000000002</v>
      </c>
      <c r="G30" s="11">
        <f>IS!G15</f>
        <v>1.01</v>
      </c>
      <c r="H30" s="11">
        <f>IS!H15</f>
        <v>1.2030000000000001</v>
      </c>
      <c r="I30" s="11">
        <f>IS!I15</f>
        <v>1.177</v>
      </c>
      <c r="J30" s="11">
        <f>IS!J15</f>
        <v>0.11499999999999977</v>
      </c>
      <c r="K30" s="11">
        <f>IS!K15</f>
        <v>3.5049999999999999</v>
      </c>
      <c r="L30" s="11">
        <f>IS!L15</f>
        <v>0.115</v>
      </c>
      <c r="M30" s="11">
        <f>IS!M15</f>
        <v>0.122</v>
      </c>
      <c r="N30" s="11">
        <f>IS!N15</f>
        <v>0.14599999999999999</v>
      </c>
      <c r="O30" s="11">
        <f>IS!O15</f>
        <v>0.15000000000000002</v>
      </c>
      <c r="Q30" s="11">
        <f>IS!Q15</f>
        <v>0.183</v>
      </c>
      <c r="R30" s="11">
        <f>IS!R15</f>
        <v>0.218</v>
      </c>
      <c r="S30" s="11">
        <f>IS!S15</f>
        <v>1.4770000000000001</v>
      </c>
      <c r="T30" s="11">
        <f>IS!T15</f>
        <v>2.335</v>
      </c>
      <c r="V30" s="11">
        <f>IS!V15</f>
        <v>2.3889999999999998</v>
      </c>
      <c r="W30" s="11">
        <f>IS!W15</f>
        <v>2.56</v>
      </c>
      <c r="X30" s="11">
        <f>IS!X15</f>
        <v>2.7810000000000001</v>
      </c>
      <c r="Y30" s="11">
        <f>IS!Y15</f>
        <v>2.7460000000000004</v>
      </c>
      <c r="Z30" s="214"/>
      <c r="AA30" s="11">
        <f>IS!AA15</f>
        <v>2.7240000000000002</v>
      </c>
      <c r="AB30" s="11">
        <f>IS!AB15</f>
        <v>2.7210000000000001</v>
      </c>
      <c r="AC30" s="11">
        <f>IS!AC15</f>
        <v>2.6720000000000002</v>
      </c>
      <c r="AE30" s="214"/>
      <c r="AF30" s="11">
        <f>IS!AF15</f>
        <v>2.464</v>
      </c>
      <c r="AG30" s="11">
        <f>IS!AG15</f>
        <v>4.0380000000000003</v>
      </c>
      <c r="AH30" s="11">
        <f>IS!AH15</f>
        <v>4.2699999999999996</v>
      </c>
      <c r="AI30" s="11">
        <f>IS!AI15</f>
        <v>4.3100000000000005</v>
      </c>
      <c r="AJ30" s="214"/>
      <c r="AK30" s="11">
        <f>IS!AK15</f>
        <v>2.073</v>
      </c>
      <c r="AL30" s="11">
        <f>IS!AL15</f>
        <v>2.0750000000000002</v>
      </c>
      <c r="AM30" s="11">
        <f>IS!AM15</f>
        <v>2.0779999999999998</v>
      </c>
      <c r="AN30" s="11">
        <f>IS!AN15</f>
        <v>2.0790000000000006</v>
      </c>
      <c r="AO30" s="214"/>
      <c r="AP30" s="11">
        <f>IS!AP15</f>
        <v>2.0870000000000002</v>
      </c>
      <c r="AQ30" s="11">
        <f>IS!AQ15</f>
        <v>2.15</v>
      </c>
      <c r="AR30" s="11">
        <f>IS!AR15</f>
        <v>2.33</v>
      </c>
      <c r="AS30" s="11">
        <f>IS!AS15</f>
        <v>2.7520000000000007</v>
      </c>
      <c r="AT30" s="214">
        <f>IS!AT15</f>
        <v>9.3190000000000008</v>
      </c>
      <c r="AU30" s="11">
        <f>IS!AU15</f>
        <v>3.0609999999999999</v>
      </c>
      <c r="AV30" s="11">
        <f>IS!AV15</f>
        <v>3.177</v>
      </c>
      <c r="AW30" s="11">
        <f>IS!AW15</f>
        <v>3.2519999999999998</v>
      </c>
      <c r="AX30" s="11">
        <f>IS!AX15</f>
        <v>3.1480000000000015</v>
      </c>
      <c r="AY30" s="214">
        <f>IS!AY15</f>
        <v>12.638</v>
      </c>
      <c r="AZ30" s="11">
        <f>IS!AZ15</f>
        <v>3.1240000000000001</v>
      </c>
      <c r="BA30" s="11">
        <f>IS!BA15</f>
        <v>3.1269999999999998</v>
      </c>
      <c r="BB30" s="11">
        <f>IS!BB15</f>
        <v>3.1419999999999999</v>
      </c>
      <c r="BC30" s="11">
        <f>IS!BC15</f>
        <v>1.2920000000000016</v>
      </c>
      <c r="BD30" s="214">
        <f>IS!BD15</f>
        <v>10.685</v>
      </c>
      <c r="BE30" s="11">
        <f>IS!BE15</f>
        <v>1.0049999999999999</v>
      </c>
      <c r="BF30" s="11">
        <f>IS!BF15</f>
        <v>1.0289999999999999</v>
      </c>
      <c r="BG30" s="11">
        <f>IS!BG15</f>
        <v>1.0449999999999999</v>
      </c>
      <c r="BH30" s="11">
        <f>IS!BH15</f>
        <v>0.99000000000000021</v>
      </c>
      <c r="BI30" s="214">
        <f>IS!BI15</f>
        <v>4.069</v>
      </c>
      <c r="BJ30" s="283">
        <f>IS!BJ15</f>
        <v>0.96387599999999996</v>
      </c>
      <c r="BK30" s="11">
        <f>IS!BK15</f>
        <v>0.72290699999999997</v>
      </c>
      <c r="BL30" s="11">
        <f>IS!BL15</f>
        <v>0.48217896899999996</v>
      </c>
      <c r="BM30" s="11">
        <f>IS!BM15</f>
        <v>0.24108948449999998</v>
      </c>
      <c r="BN30" s="214">
        <f>IS!BN15</f>
        <v>2.4100514534999995</v>
      </c>
      <c r="BO30" s="11">
        <f>IS!BO15</f>
        <v>0</v>
      </c>
      <c r="BP30" s="11">
        <f>IS!BP15</f>
        <v>0</v>
      </c>
      <c r="BQ30" s="11">
        <f>IS!BQ15</f>
        <v>0</v>
      </c>
      <c r="BR30" s="11">
        <f>IS!BR15</f>
        <v>0</v>
      </c>
      <c r="BS30" s="214">
        <f>IS!BS15</f>
        <v>0</v>
      </c>
      <c r="BT30" s="11">
        <f>IS!BT15</f>
        <v>0</v>
      </c>
      <c r="BU30" s="11">
        <f>IS!BU15</f>
        <v>0</v>
      </c>
      <c r="BV30" s="11">
        <f>IS!BV15</f>
        <v>0</v>
      </c>
      <c r="BW30" s="11">
        <f>IS!BW15</f>
        <v>0</v>
      </c>
      <c r="BX30" s="214">
        <f>IS!BX15</f>
        <v>0</v>
      </c>
      <c r="BY30" s="11">
        <f>IS!BY15</f>
        <v>0</v>
      </c>
      <c r="BZ30" s="11">
        <f>IS!BZ15</f>
        <v>0</v>
      </c>
      <c r="CA30" s="11">
        <f>IS!CA15</f>
        <v>0</v>
      </c>
      <c r="CB30" s="11">
        <f>IS!CB15</f>
        <v>0</v>
      </c>
      <c r="CC30" s="214">
        <f>IS!CC15</f>
        <v>0</v>
      </c>
      <c r="CD30" s="11">
        <f>IS!CD15</f>
        <v>0</v>
      </c>
      <c r="CE30" s="11">
        <f>IS!CE15</f>
        <v>0</v>
      </c>
      <c r="CF30" s="11">
        <f>IS!CF15</f>
        <v>0</v>
      </c>
      <c r="CG30" s="11">
        <f>IS!CG15</f>
        <v>0</v>
      </c>
      <c r="CH30" s="214">
        <f>IS!CH15</f>
        <v>0</v>
      </c>
      <c r="CI30" s="11">
        <f>IS!CI15</f>
        <v>0</v>
      </c>
      <c r="CJ30" s="11">
        <f>IS!CJ15</f>
        <v>0</v>
      </c>
      <c r="CK30" s="11">
        <f>IS!CK15</f>
        <v>0</v>
      </c>
      <c r="CL30" s="11">
        <f>IS!CL15</f>
        <v>0</v>
      </c>
      <c r="CM30" s="214">
        <f>IS!CM15</f>
        <v>0</v>
      </c>
      <c r="CN30" s="11">
        <f>IS!CN15</f>
        <v>0</v>
      </c>
      <c r="CO30" s="11">
        <f>IS!CO15</f>
        <v>0</v>
      </c>
      <c r="CP30" s="11">
        <f>IS!CP15</f>
        <v>0</v>
      </c>
      <c r="CQ30" s="11">
        <f>IS!CQ15</f>
        <v>0</v>
      </c>
      <c r="CR30" s="214">
        <f>IS!CR15</f>
        <v>0</v>
      </c>
      <c r="CS30" s="11">
        <f>IS!CS15</f>
        <v>0</v>
      </c>
      <c r="CT30" s="11">
        <f>IS!CT15</f>
        <v>0</v>
      </c>
      <c r="CU30" s="11">
        <f>IS!CU15</f>
        <v>0</v>
      </c>
      <c r="CV30" s="11">
        <f>IS!CV15</f>
        <v>0</v>
      </c>
      <c r="CW30" s="214">
        <f>IS!CW15</f>
        <v>0</v>
      </c>
      <c r="CX30" s="11">
        <f>IS!CX15</f>
        <v>0</v>
      </c>
      <c r="CY30" s="11">
        <f>IS!CY15</f>
        <v>0</v>
      </c>
      <c r="CZ30" s="11">
        <f>IS!CZ15</f>
        <v>0</v>
      </c>
      <c r="DA30" s="11">
        <f>IS!DA15</f>
        <v>0</v>
      </c>
      <c r="DB30" s="214">
        <f>IS!DB15</f>
        <v>0</v>
      </c>
    </row>
    <row r="31" spans="1:106" s="11" customFormat="1">
      <c r="Z31" s="214"/>
      <c r="AE31" s="214"/>
      <c r="AJ31" s="214"/>
      <c r="AO31" s="214"/>
      <c r="AT31" s="214"/>
      <c r="AY31" s="214"/>
      <c r="BD31" s="214"/>
      <c r="BI31" s="214"/>
      <c r="BJ31" s="283"/>
      <c r="BN31" s="214"/>
      <c r="BS31" s="214"/>
      <c r="BX31" s="214"/>
      <c r="CC31" s="214"/>
      <c r="CH31" s="214"/>
      <c r="CM31" s="214"/>
      <c r="CR31" s="214"/>
      <c r="CW31" s="214"/>
      <c r="DB31" s="214"/>
    </row>
    <row r="32" spans="1:106" s="11" customFormat="1">
      <c r="A32" s="11" t="s">
        <v>176</v>
      </c>
      <c r="V32" s="11">
        <v>1.4</v>
      </c>
      <c r="W32" s="11">
        <v>1.9</v>
      </c>
      <c r="X32" s="11">
        <v>2.2999999999999998</v>
      </c>
      <c r="Y32" s="11">
        <f>Z32-SUM(V32:X32)</f>
        <v>2.2000000000000002</v>
      </c>
      <c r="Z32" s="214">
        <v>7.8</v>
      </c>
      <c r="AA32" s="71">
        <f>4.3-AB32</f>
        <v>2.2999999999999998</v>
      </c>
      <c r="AB32" s="71">
        <v>2</v>
      </c>
      <c r="AC32" s="71">
        <v>2.2000000000000002</v>
      </c>
      <c r="AD32" s="71">
        <f>AE32-SUM(AA32:AC32)</f>
        <v>2.3000000000000007</v>
      </c>
      <c r="AE32" s="214">
        <v>8.8000000000000007</v>
      </c>
      <c r="AF32" s="71">
        <v>2.6</v>
      </c>
      <c r="AG32" s="71">
        <v>2.9</v>
      </c>
      <c r="AH32" s="71">
        <v>3</v>
      </c>
      <c r="AI32" s="71">
        <f>AJ32-SUM(AF32:AH32)</f>
        <v>1.4000000000000057</v>
      </c>
      <c r="AJ32" s="214">
        <f>96-AJ33</f>
        <v>9.9000000000000057</v>
      </c>
      <c r="AK32" s="71">
        <f>2.567</f>
        <v>2.5670000000000002</v>
      </c>
      <c r="AL32" s="71">
        <f>2.566</f>
        <v>2.5659999999999998</v>
      </c>
      <c r="AM32" s="71">
        <v>2.556</v>
      </c>
      <c r="AN32" s="71">
        <f>AO32-SUM(AK32:AM32)</f>
        <v>2.577</v>
      </c>
      <c r="AO32" s="214">
        <v>10.266</v>
      </c>
      <c r="AP32" s="11">
        <f t="shared" ref="AP32:AS32" si="43">AP20</f>
        <v>1.6171875</v>
      </c>
      <c r="AQ32" s="11">
        <f t="shared" si="43"/>
        <v>1.6171875</v>
      </c>
      <c r="AR32" s="11">
        <f t="shared" si="43"/>
        <v>1.6171875</v>
      </c>
      <c r="AS32" s="11">
        <f t="shared" si="43"/>
        <v>1.6171875</v>
      </c>
      <c r="AT32" s="214">
        <f>SUM(AP32:AS32)</f>
        <v>6.46875</v>
      </c>
      <c r="AU32" s="11">
        <f t="shared" ref="AU32:AX32" si="44">AU20</f>
        <v>1.6171875</v>
      </c>
      <c r="AV32" s="11">
        <f t="shared" si="44"/>
        <v>1.6171875</v>
      </c>
      <c r="AW32" s="11">
        <f t="shared" si="44"/>
        <v>1.6171875</v>
      </c>
      <c r="AX32" s="11">
        <f t="shared" si="44"/>
        <v>1.6171875</v>
      </c>
      <c r="AY32" s="214">
        <f>SUM(AU32:AX32)</f>
        <v>6.46875</v>
      </c>
      <c r="AZ32" s="11">
        <f t="shared" ref="AZ32:BA32" si="45">AZ20</f>
        <v>1.6171875</v>
      </c>
      <c r="BA32" s="11">
        <f t="shared" si="45"/>
        <v>1.6171875</v>
      </c>
      <c r="BB32" s="11">
        <f>BB20</f>
        <v>1.6171875</v>
      </c>
      <c r="BC32" s="11">
        <f>BC20</f>
        <v>1.5969374999999999</v>
      </c>
      <c r="BD32" s="214">
        <f>SUM(AZ32:BC32)</f>
        <v>6.4485000000000001</v>
      </c>
      <c r="BE32" s="11">
        <f>BE20</f>
        <v>0</v>
      </c>
      <c r="BF32" s="11">
        <f>BF20</f>
        <v>0</v>
      </c>
      <c r="BG32" s="11">
        <f>BG20</f>
        <v>0</v>
      </c>
      <c r="BH32" s="11">
        <f>BH20</f>
        <v>0</v>
      </c>
      <c r="BI32" s="214">
        <f>SUM(BE32:BH32)</f>
        <v>0</v>
      </c>
      <c r="BJ32" s="283">
        <f t="shared" ref="BJ32:BM32" si="46">BJ20</f>
        <v>0</v>
      </c>
      <c r="BK32" s="11">
        <f t="shared" si="46"/>
        <v>0</v>
      </c>
      <c r="BL32" s="11">
        <f t="shared" si="46"/>
        <v>0</v>
      </c>
      <c r="BM32" s="11">
        <f t="shared" si="46"/>
        <v>0</v>
      </c>
      <c r="BN32" s="214">
        <f>SUM(BJ32:BM32)</f>
        <v>0</v>
      </c>
      <c r="BO32" s="11">
        <f t="shared" ref="BO32:BR32" si="47">BO20</f>
        <v>0</v>
      </c>
      <c r="BP32" s="11">
        <f t="shared" si="47"/>
        <v>0</v>
      </c>
      <c r="BQ32" s="11">
        <f t="shared" si="47"/>
        <v>0</v>
      </c>
      <c r="BR32" s="11">
        <f t="shared" si="47"/>
        <v>0</v>
      </c>
      <c r="BS32" s="214">
        <f>SUM(BO32:BR32)</f>
        <v>0</v>
      </c>
      <c r="BT32" s="11">
        <f t="shared" ref="BT32:BW32" si="48">BT20</f>
        <v>0</v>
      </c>
      <c r="BU32" s="11">
        <f t="shared" si="48"/>
        <v>0</v>
      </c>
      <c r="BV32" s="11">
        <f t="shared" si="48"/>
        <v>0</v>
      </c>
      <c r="BW32" s="11">
        <f t="shared" si="48"/>
        <v>0</v>
      </c>
      <c r="BX32" s="214">
        <f>SUM(BT32:BW32)</f>
        <v>0</v>
      </c>
      <c r="BY32" s="11">
        <f t="shared" ref="BY32:CB32" si="49">BY20</f>
        <v>0</v>
      </c>
      <c r="BZ32" s="11">
        <f t="shared" si="49"/>
        <v>0</v>
      </c>
      <c r="CA32" s="11">
        <f t="shared" si="49"/>
        <v>0</v>
      </c>
      <c r="CB32" s="11">
        <f t="shared" si="49"/>
        <v>0</v>
      </c>
      <c r="CC32" s="214">
        <f>SUM(BY32:CB32)</f>
        <v>0</v>
      </c>
      <c r="CD32" s="11">
        <f t="shared" ref="CD32:CG32" si="50">CD20</f>
        <v>0</v>
      </c>
      <c r="CE32" s="11">
        <f t="shared" si="50"/>
        <v>0</v>
      </c>
      <c r="CF32" s="11">
        <f t="shared" si="50"/>
        <v>0</v>
      </c>
      <c r="CG32" s="11">
        <f t="shared" si="50"/>
        <v>0</v>
      </c>
      <c r="CH32" s="214">
        <f>SUM(CD32:CG32)</f>
        <v>0</v>
      </c>
      <c r="CI32" s="11">
        <f t="shared" ref="CI32:CL32" si="51">CI20</f>
        <v>0</v>
      </c>
      <c r="CJ32" s="11">
        <f t="shared" si="51"/>
        <v>0</v>
      </c>
      <c r="CK32" s="11">
        <f t="shared" si="51"/>
        <v>0</v>
      </c>
      <c r="CL32" s="11">
        <f t="shared" si="51"/>
        <v>0</v>
      </c>
      <c r="CM32" s="214">
        <f>SUM(CI32:CL32)</f>
        <v>0</v>
      </c>
      <c r="CN32" s="11">
        <f t="shared" ref="CN32:CQ32" si="52">CN20</f>
        <v>0</v>
      </c>
      <c r="CO32" s="11">
        <f t="shared" si="52"/>
        <v>0</v>
      </c>
      <c r="CP32" s="11">
        <f t="shared" si="52"/>
        <v>0</v>
      </c>
      <c r="CQ32" s="11">
        <f t="shared" si="52"/>
        <v>0</v>
      </c>
      <c r="CR32" s="214">
        <f>SUM(CN32:CQ32)</f>
        <v>0</v>
      </c>
      <c r="CS32" s="11">
        <f t="shared" ref="CS32:CV32" si="53">CS20</f>
        <v>0</v>
      </c>
      <c r="CT32" s="11">
        <f t="shared" si="53"/>
        <v>0</v>
      </c>
      <c r="CU32" s="11">
        <f t="shared" si="53"/>
        <v>0</v>
      </c>
      <c r="CV32" s="11">
        <f t="shared" si="53"/>
        <v>0</v>
      </c>
      <c r="CW32" s="214">
        <f>SUM(CS32:CV32)</f>
        <v>0</v>
      </c>
      <c r="CX32" s="11">
        <f t="shared" ref="CX32:DA32" si="54">CX20</f>
        <v>0</v>
      </c>
      <c r="CY32" s="11">
        <f t="shared" si="54"/>
        <v>0</v>
      </c>
      <c r="CZ32" s="11">
        <f t="shared" si="54"/>
        <v>0</v>
      </c>
      <c r="DA32" s="11">
        <f t="shared" si="54"/>
        <v>0</v>
      </c>
      <c r="DB32" s="214">
        <f>SUM(CX32:DA32)</f>
        <v>0</v>
      </c>
    </row>
    <row r="33" spans="1:106" s="11" customFormat="1">
      <c r="A33" s="11" t="s">
        <v>177</v>
      </c>
      <c r="V33" s="11">
        <v>5.0999999999999996</v>
      </c>
      <c r="W33" s="11">
        <f>8.6-W32</f>
        <v>6.6999999999999993</v>
      </c>
      <c r="X33" s="11">
        <f>10.7-X32</f>
        <v>8.3999999999999986</v>
      </c>
      <c r="Y33" s="11">
        <f>Z33-SUM(V33:X33)-Z32</f>
        <v>8.4000000000000021</v>
      </c>
      <c r="Z33" s="214">
        <v>36.4</v>
      </c>
      <c r="AA33" s="71">
        <f>Y33</f>
        <v>8.4000000000000021</v>
      </c>
      <c r="AB33" s="71">
        <f>AA33</f>
        <v>8.4000000000000021</v>
      </c>
      <c r="AC33" s="71">
        <f>AB33</f>
        <v>8.4000000000000021</v>
      </c>
      <c r="AD33" s="71">
        <f>AE33-SUM(AA33:AC33)-AE32</f>
        <v>15.599999999999994</v>
      </c>
      <c r="AE33" s="214">
        <v>49.6</v>
      </c>
      <c r="AF33" s="71">
        <f>AD33</f>
        <v>15.599999999999994</v>
      </c>
      <c r="AG33" s="71">
        <v>20</v>
      </c>
      <c r="AH33" s="71">
        <v>20.6</v>
      </c>
      <c r="AI33" s="71">
        <f>AJ33-SUM(AF33:AH33)-AJ32</f>
        <v>19.999999999999993</v>
      </c>
      <c r="AJ33" s="214">
        <v>86.1</v>
      </c>
      <c r="AK33" s="71">
        <f>1.449+0.6</f>
        <v>2.0489999999999999</v>
      </c>
      <c r="AL33" s="71">
        <f>1.428+0.039+0.621</f>
        <v>2.0880000000000001</v>
      </c>
      <c r="AM33" s="71">
        <f>0.037+0.633+1.444</f>
        <v>2.1139999999999999</v>
      </c>
      <c r="AN33" s="71">
        <f>AO33-SUM(AK33:AM33)</f>
        <v>2.0889999999999995</v>
      </c>
      <c r="AO33" s="214">
        <f>2.466+0.147+5.727</f>
        <v>8.34</v>
      </c>
      <c r="AP33" s="11">
        <f>AN33</f>
        <v>2.0889999999999995</v>
      </c>
      <c r="AQ33" s="11">
        <f>AP33</f>
        <v>2.0889999999999995</v>
      </c>
      <c r="AR33" s="11">
        <f>AQ33</f>
        <v>2.0889999999999995</v>
      </c>
      <c r="AS33" s="11">
        <f>AR33</f>
        <v>2.0889999999999995</v>
      </c>
      <c r="AT33" s="214">
        <f>SUM(AP33:AS33)</f>
        <v>8.3559999999999981</v>
      </c>
      <c r="AU33" s="11">
        <f>AS33</f>
        <v>2.0889999999999995</v>
      </c>
      <c r="AV33" s="11">
        <f>AU33</f>
        <v>2.0889999999999995</v>
      </c>
      <c r="AW33" s="11">
        <f>AV33</f>
        <v>2.0889999999999995</v>
      </c>
      <c r="AX33" s="11">
        <f>AW33</f>
        <v>2.0889999999999995</v>
      </c>
      <c r="AY33" s="214">
        <f>SUM(AU33:AX33)</f>
        <v>8.3559999999999981</v>
      </c>
      <c r="AZ33" s="11">
        <f>AX33</f>
        <v>2.0889999999999995</v>
      </c>
      <c r="BA33" s="11">
        <f>AZ33</f>
        <v>2.0889999999999995</v>
      </c>
      <c r="BB33" s="11">
        <f>BA33</f>
        <v>2.0889999999999995</v>
      </c>
      <c r="BC33" s="11">
        <f>BB33</f>
        <v>2.0889999999999995</v>
      </c>
      <c r="BD33" s="214">
        <f>SUM(AZ33:BC33)</f>
        <v>8.3559999999999981</v>
      </c>
      <c r="BE33" s="71">
        <v>0</v>
      </c>
      <c r="BF33" s="71">
        <v>0</v>
      </c>
      <c r="BG33" s="71">
        <v>0</v>
      </c>
      <c r="BH33" s="71">
        <v>0</v>
      </c>
      <c r="BI33" s="214">
        <f>SUM(BE33:BH33)</f>
        <v>0</v>
      </c>
      <c r="BJ33" s="283">
        <f>BH33</f>
        <v>0</v>
      </c>
      <c r="BK33" s="71">
        <f>BJ33-BJ33</f>
        <v>0</v>
      </c>
      <c r="BL33" s="11">
        <f>BK33</f>
        <v>0</v>
      </c>
      <c r="BM33" s="11">
        <f>BL33</f>
        <v>0</v>
      </c>
      <c r="BN33" s="214">
        <f>SUM(BJ33:BM33)</f>
        <v>0</v>
      </c>
      <c r="BO33" s="11">
        <f>BM33</f>
        <v>0</v>
      </c>
      <c r="BP33" s="11">
        <f>BO33</f>
        <v>0</v>
      </c>
      <c r="BQ33" s="11">
        <f>BP33</f>
        <v>0</v>
      </c>
      <c r="BR33" s="11">
        <f>BQ33</f>
        <v>0</v>
      </c>
      <c r="BS33" s="214">
        <f>SUM(BO33:BR33)</f>
        <v>0</v>
      </c>
      <c r="BT33" s="11">
        <f>BR33</f>
        <v>0</v>
      </c>
      <c r="BU33" s="11">
        <f>BT33</f>
        <v>0</v>
      </c>
      <c r="BV33" s="11">
        <f>BU33</f>
        <v>0</v>
      </c>
      <c r="BW33" s="11">
        <f>BV33</f>
        <v>0</v>
      </c>
      <c r="BX33" s="214">
        <f>SUM(BT33:BW33)</f>
        <v>0</v>
      </c>
      <c r="BY33" s="11">
        <f>BW33</f>
        <v>0</v>
      </c>
      <c r="BZ33" s="11">
        <f>BY33</f>
        <v>0</v>
      </c>
      <c r="CA33" s="11">
        <f>BZ33</f>
        <v>0</v>
      </c>
      <c r="CB33" s="11">
        <f>CA33</f>
        <v>0</v>
      </c>
      <c r="CC33" s="214">
        <f>SUM(BY33:CB33)</f>
        <v>0</v>
      </c>
      <c r="CD33" s="11">
        <f>CB33</f>
        <v>0</v>
      </c>
      <c r="CE33" s="11">
        <f>CD33</f>
        <v>0</v>
      </c>
      <c r="CF33" s="11">
        <f>CE33</f>
        <v>0</v>
      </c>
      <c r="CG33" s="11">
        <f>CF33</f>
        <v>0</v>
      </c>
      <c r="CH33" s="214">
        <f>SUM(CD33:CG33)</f>
        <v>0</v>
      </c>
      <c r="CI33" s="11">
        <f>CG33</f>
        <v>0</v>
      </c>
      <c r="CJ33" s="11">
        <f>CI33</f>
        <v>0</v>
      </c>
      <c r="CK33" s="11">
        <f>CJ33</f>
        <v>0</v>
      </c>
      <c r="CL33" s="11">
        <f>CK33</f>
        <v>0</v>
      </c>
      <c r="CM33" s="214">
        <f>SUM(CI33:CL33)</f>
        <v>0</v>
      </c>
      <c r="CN33" s="11">
        <f>CL33</f>
        <v>0</v>
      </c>
      <c r="CO33" s="11">
        <f>CN33</f>
        <v>0</v>
      </c>
      <c r="CP33" s="11">
        <f>CO33</f>
        <v>0</v>
      </c>
      <c r="CQ33" s="11">
        <f>CP33</f>
        <v>0</v>
      </c>
      <c r="CR33" s="214">
        <f>SUM(CN33:CQ33)</f>
        <v>0</v>
      </c>
      <c r="CS33" s="11">
        <f>CQ33</f>
        <v>0</v>
      </c>
      <c r="CT33" s="11">
        <f>CS33</f>
        <v>0</v>
      </c>
      <c r="CU33" s="11">
        <f>CT33</f>
        <v>0</v>
      </c>
      <c r="CV33" s="11">
        <f>CU33</f>
        <v>0</v>
      </c>
      <c r="CW33" s="214">
        <f>SUM(CS33:CV33)</f>
        <v>0</v>
      </c>
      <c r="CX33" s="11">
        <f>CV33</f>
        <v>0</v>
      </c>
      <c r="CY33" s="11">
        <f>CX33</f>
        <v>0</v>
      </c>
      <c r="CZ33" s="11">
        <f>CY33</f>
        <v>0</v>
      </c>
      <c r="DA33" s="11">
        <f>CZ33</f>
        <v>0</v>
      </c>
      <c r="DB33" s="214">
        <f>SUM(CX33:DA33)</f>
        <v>0</v>
      </c>
    </row>
    <row r="34" spans="1:106" s="14" customFormat="1">
      <c r="A34" s="11"/>
      <c r="F34" s="11"/>
      <c r="K34" s="11"/>
      <c r="P34" s="11"/>
      <c r="U34" s="11"/>
      <c r="Z34" s="214"/>
      <c r="AE34" s="214"/>
      <c r="AF34" s="11"/>
      <c r="AG34" s="11"/>
      <c r="AH34" s="11"/>
      <c r="AI34" s="11"/>
      <c r="AJ34" s="214"/>
      <c r="AO34" s="214"/>
      <c r="AT34" s="214"/>
      <c r="AY34" s="214"/>
      <c r="BD34" s="214"/>
      <c r="BI34" s="214"/>
      <c r="BJ34" s="385"/>
      <c r="BN34" s="214"/>
      <c r="BS34" s="214"/>
      <c r="BX34" s="214"/>
      <c r="CC34" s="214"/>
      <c r="CH34" s="214"/>
      <c r="CM34" s="214"/>
      <c r="CR34" s="214"/>
      <c r="CW34" s="214"/>
      <c r="DB34" s="214"/>
    </row>
    <row r="35" spans="1:106" s="33" customFormat="1">
      <c r="A35" s="49" t="s">
        <v>93</v>
      </c>
      <c r="F35" s="36"/>
      <c r="K35" s="36"/>
      <c r="P35" s="36"/>
      <c r="U35" s="36"/>
      <c r="Z35" s="268"/>
      <c r="AE35" s="268"/>
      <c r="AF35" s="36"/>
      <c r="AG35" s="36"/>
      <c r="AH35" s="36"/>
      <c r="AI35" s="36"/>
      <c r="AJ35" s="268"/>
      <c r="AO35" s="268"/>
      <c r="AT35" s="268"/>
      <c r="AY35" s="268"/>
      <c r="BD35" s="268"/>
      <c r="BH35" s="389" t="s">
        <v>508</v>
      </c>
      <c r="BI35" s="268"/>
      <c r="BJ35" s="386"/>
      <c r="BN35" s="268"/>
      <c r="BS35" s="268"/>
      <c r="BX35" s="268"/>
      <c r="CC35" s="268"/>
      <c r="CH35" s="268"/>
      <c r="CM35" s="268"/>
      <c r="CR35" s="268"/>
      <c r="CW35" s="268"/>
      <c r="DB35" s="268"/>
    </row>
    <row r="36" spans="1:106" s="33" customFormat="1">
      <c r="A36" s="36" t="s">
        <v>139</v>
      </c>
      <c r="B36" s="36">
        <v>0</v>
      </c>
      <c r="C36" s="36">
        <v>0</v>
      </c>
      <c r="D36" s="36">
        <f>C40</f>
        <v>0</v>
      </c>
      <c r="E36" s="36">
        <f>D40</f>
        <v>0</v>
      </c>
      <c r="F36" s="36">
        <f>B36</f>
        <v>0</v>
      </c>
      <c r="G36" s="36">
        <f>E40</f>
        <v>14.574</v>
      </c>
      <c r="H36" s="36">
        <f>G40</f>
        <v>0</v>
      </c>
      <c r="I36" s="36">
        <f>H40</f>
        <v>15.047000000000001</v>
      </c>
      <c r="J36" s="36">
        <f>I40</f>
        <v>13.992000000000001</v>
      </c>
      <c r="K36" s="36">
        <f>G36</f>
        <v>14.574</v>
      </c>
      <c r="L36" s="36">
        <f>J40</f>
        <v>12.71</v>
      </c>
      <c r="M36" s="36">
        <f>L40</f>
        <v>15.098000000000001</v>
      </c>
      <c r="N36" s="36">
        <f>M40</f>
        <v>19.096</v>
      </c>
      <c r="O36" s="36">
        <f>N40</f>
        <v>25.616</v>
      </c>
      <c r="P36" s="36">
        <f>L36</f>
        <v>12.71</v>
      </c>
      <c r="Q36" s="36">
        <f>O40</f>
        <v>32.289000000000001</v>
      </c>
      <c r="R36" s="36">
        <f>Q40</f>
        <v>31.751999999999999</v>
      </c>
      <c r="S36" s="36">
        <f>R40</f>
        <v>31.268000000000001</v>
      </c>
      <c r="T36" s="36">
        <f>S40</f>
        <v>30.417000000000002</v>
      </c>
      <c r="U36" s="36">
        <f>Q36</f>
        <v>32.289000000000001</v>
      </c>
      <c r="V36" s="36">
        <f>T40</f>
        <v>29.667000000000002</v>
      </c>
      <c r="W36" s="36">
        <f>V40</f>
        <v>26.878</v>
      </c>
      <c r="X36" s="36">
        <f>W40</f>
        <v>25.312999999999999</v>
      </c>
      <c r="Y36" s="36">
        <f>X40</f>
        <v>24.832999999999998</v>
      </c>
      <c r="Z36" s="268">
        <f>V36</f>
        <v>29.667000000000002</v>
      </c>
      <c r="AA36" s="36">
        <f>Y40</f>
        <v>24.335999999999999</v>
      </c>
      <c r="AB36" s="36">
        <f>AA40</f>
        <v>23.302</v>
      </c>
      <c r="AC36" s="36">
        <f>AB40</f>
        <v>22.039000000000001</v>
      </c>
      <c r="AD36" s="36">
        <f>AC40</f>
        <v>19.027000000000001</v>
      </c>
      <c r="AE36" s="268">
        <f>AA36</f>
        <v>24.335999999999999</v>
      </c>
      <c r="AF36" s="36">
        <f>AD40</f>
        <v>23.283000000000001</v>
      </c>
      <c r="AG36" s="36">
        <f>AF40</f>
        <v>26.718</v>
      </c>
      <c r="AH36" s="36">
        <f>AG40</f>
        <v>25.925000000000001</v>
      </c>
      <c r="AI36" s="36">
        <f>AH40</f>
        <v>28.248999999999999</v>
      </c>
      <c r="AJ36" s="268">
        <f>AF36</f>
        <v>23.283000000000001</v>
      </c>
      <c r="AK36" s="36">
        <f>AI40</f>
        <v>33.347999999999999</v>
      </c>
      <c r="AL36" s="36">
        <f>AK40</f>
        <v>40.177</v>
      </c>
      <c r="AM36" s="36">
        <f>AL40</f>
        <v>48.884</v>
      </c>
      <c r="AN36" s="36">
        <f>AM40</f>
        <v>59.292999999999999</v>
      </c>
      <c r="AO36" s="268">
        <f>AK36</f>
        <v>33.347999999999999</v>
      </c>
      <c r="AP36" s="36">
        <f>AN40</f>
        <v>65.516000000000005</v>
      </c>
      <c r="AQ36" s="36">
        <f>AP40</f>
        <v>78.361000000000004</v>
      </c>
      <c r="AR36" s="36">
        <f>AQ40</f>
        <v>81.772000000000006</v>
      </c>
      <c r="AS36" s="36">
        <f>AR40</f>
        <v>87.486000000000004</v>
      </c>
      <c r="AT36" s="268">
        <f>AP36</f>
        <v>65.516000000000005</v>
      </c>
      <c r="AU36" s="36">
        <f>AS40</f>
        <v>92.453000000000003</v>
      </c>
      <c r="AV36" s="36">
        <f>AU40</f>
        <v>100.587</v>
      </c>
      <c r="AW36" s="36">
        <f>AV40</f>
        <v>102.92100000000001</v>
      </c>
      <c r="AX36" s="36">
        <f>AW40</f>
        <v>104.83</v>
      </c>
      <c r="AY36" s="268">
        <f>AU36</f>
        <v>92.453000000000003</v>
      </c>
      <c r="AZ36" s="36">
        <f>AX40</f>
        <v>111.21</v>
      </c>
      <c r="BA36" s="36">
        <f>AZ40</f>
        <v>125.791</v>
      </c>
      <c r="BB36" s="36">
        <f>BA40</f>
        <v>133.28</v>
      </c>
      <c r="BC36" s="36">
        <f>BB40</f>
        <v>142.16999999999999</v>
      </c>
      <c r="BD36" s="268">
        <f>AZ36</f>
        <v>111.21</v>
      </c>
      <c r="BE36" s="36">
        <f>BC40</f>
        <v>162.04599999999999</v>
      </c>
      <c r="BF36" s="36">
        <f>BE40</f>
        <v>180.453</v>
      </c>
      <c r="BG36" s="36">
        <f>BF40</f>
        <v>189.22399999999999</v>
      </c>
      <c r="BH36" s="284">
        <f>BG40</f>
        <v>206.49600000000001</v>
      </c>
      <c r="BI36" s="268">
        <f>BE36</f>
        <v>162.04599999999999</v>
      </c>
      <c r="BJ36" s="284">
        <f>BH40</f>
        <v>241.18399999999971</v>
      </c>
      <c r="BK36" s="36">
        <f>BJ40</f>
        <v>252.47786666666642</v>
      </c>
      <c r="BL36" s="36">
        <f>BK40</f>
        <v>263.39527111111084</v>
      </c>
      <c r="BM36" s="36">
        <f>BL40</f>
        <v>273.94876207407384</v>
      </c>
      <c r="BN36" s="268">
        <f>BJ36</f>
        <v>241.18399999999971</v>
      </c>
      <c r="BO36" s="36">
        <f>BM40</f>
        <v>284.15047000493803</v>
      </c>
      <c r="BP36" s="36">
        <f>BO40</f>
        <v>294.9787876714401</v>
      </c>
      <c r="BQ36" s="36">
        <f>BP40</f>
        <v>305.44616141572544</v>
      </c>
      <c r="BR36" s="36">
        <f>BQ40</f>
        <v>315.5646227018679</v>
      </c>
      <c r="BS36" s="268">
        <f>BO36</f>
        <v>284.15047000493803</v>
      </c>
      <c r="BT36" s="36">
        <f>BR40</f>
        <v>325.34580194513899</v>
      </c>
      <c r="BU36" s="36">
        <f>BT40</f>
        <v>335.81594188030101</v>
      </c>
      <c r="BV36" s="36">
        <f>BU40</f>
        <v>345.93707715095763</v>
      </c>
      <c r="BW36" s="36">
        <f>BV40</f>
        <v>355.72084124592573</v>
      </c>
      <c r="BX36" s="268">
        <f>BT36</f>
        <v>325.34580194513899</v>
      </c>
      <c r="BY36" s="36">
        <f>BW40</f>
        <v>365.17847987106154</v>
      </c>
      <c r="BZ36" s="36">
        <f>BY40</f>
        <v>375.3866138753595</v>
      </c>
      <c r="CA36" s="36">
        <f>BZ40</f>
        <v>385.25447674618084</v>
      </c>
      <c r="CB36" s="36">
        <f>CA40</f>
        <v>394.79341085464148</v>
      </c>
      <c r="CC36" s="268">
        <f>BY36</f>
        <v>365.17847987106154</v>
      </c>
      <c r="CD36" s="36">
        <f>CB40</f>
        <v>404.01438049282012</v>
      </c>
      <c r="CE36" s="36">
        <f>CD40</f>
        <v>414.04702197639278</v>
      </c>
      <c r="CF36" s="36">
        <f>CE40</f>
        <v>423.74524207717974</v>
      </c>
      <c r="CG36" s="36">
        <f>CF40</f>
        <v>433.12018817460711</v>
      </c>
      <c r="CH36" s="268">
        <f>CD36</f>
        <v>404.01438049282012</v>
      </c>
      <c r="CI36" s="36">
        <f>CG40</f>
        <v>442.18263606878691</v>
      </c>
      <c r="CJ36" s="36">
        <f>CI40</f>
        <v>452.117991741494</v>
      </c>
      <c r="CK36" s="36">
        <f>CJ40</f>
        <v>461.72216889177753</v>
      </c>
      <c r="CL36" s="36">
        <f>CK40</f>
        <v>471.00620680371827</v>
      </c>
      <c r="CM36" s="268">
        <f>CI36</f>
        <v>442.18263606878691</v>
      </c>
      <c r="CN36" s="36">
        <f>CL40</f>
        <v>479.98077678526101</v>
      </c>
      <c r="CO36" s="36">
        <f>CN40</f>
        <v>489.88993327783567</v>
      </c>
      <c r="CP36" s="36">
        <f>CO40</f>
        <v>499.46878455399121</v>
      </c>
      <c r="CQ36" s="36">
        <f>CP40</f>
        <v>508.72834078760826</v>
      </c>
      <c r="CR36" s="268">
        <f>CN36</f>
        <v>479.98077678526101</v>
      </c>
      <c r="CS36" s="36">
        <f>CQ40</f>
        <v>517.67924514677134</v>
      </c>
      <c r="CT36" s="36">
        <f>CS40</f>
        <v>527.62721181323309</v>
      </c>
      <c r="CU36" s="36">
        <f>CT40</f>
        <v>537.24357959081283</v>
      </c>
      <c r="CV36" s="36">
        <f>CU40</f>
        <v>546.53940177580648</v>
      </c>
      <c r="CW36" s="268">
        <f>CS36</f>
        <v>517.67924514677134</v>
      </c>
      <c r="CX36" s="36">
        <f>CV40</f>
        <v>555.52536322130038</v>
      </c>
      <c r="CY36" s="36">
        <f>CX40</f>
        <v>565.57198969384558</v>
      </c>
      <c r="CZ36" s="36">
        <f>CY40</f>
        <v>575.283728617306</v>
      </c>
      <c r="DA36" s="36">
        <f>CZ40</f>
        <v>584.67174290998435</v>
      </c>
      <c r="DB36" s="268">
        <f>CX36</f>
        <v>555.52536322130038</v>
      </c>
    </row>
    <row r="37" spans="1:106" s="33" customFormat="1">
      <c r="A37" s="36" t="s">
        <v>140</v>
      </c>
      <c r="B37" s="36">
        <f>B40-B36-B38-B39</f>
        <v>0</v>
      </c>
      <c r="C37" s="36">
        <f>C40-C36-C38-C39</f>
        <v>-3.5630000000000006</v>
      </c>
      <c r="D37" s="36">
        <f>D40-D36-D38-D39</f>
        <v>1.1160000000000005</v>
      </c>
      <c r="E37" s="36">
        <f>E40-E36-E38-E39</f>
        <v>10.861999999999998</v>
      </c>
      <c r="F37" s="36">
        <f>SUM(B37:E37)</f>
        <v>8.4149999999999991</v>
      </c>
      <c r="G37" s="36">
        <f>G40-G36-G38-G39</f>
        <v>-16.682000000000002</v>
      </c>
      <c r="H37" s="36">
        <f>H40-H36-H38-H39</f>
        <v>14.092000000000001</v>
      </c>
      <c r="I37" s="36">
        <f>I40-I36-I38-I39</f>
        <v>-8.0999999999999073E-2</v>
      </c>
      <c r="J37" s="36">
        <f>J40-J36-J38-J39</f>
        <v>-1.5100000000000007</v>
      </c>
      <c r="K37" s="36">
        <f>SUM(G37:J37)</f>
        <v>-4.1810000000000009</v>
      </c>
      <c r="L37" s="36">
        <f>L40-L36-L38-L39</f>
        <v>9.7999999999999865E-2</v>
      </c>
      <c r="M37" s="36">
        <f>M40-M36-M38-M39</f>
        <v>1.4049999999999994</v>
      </c>
      <c r="N37" s="36">
        <f>N40-N36-N38-N39</f>
        <v>1.0029999999999992</v>
      </c>
      <c r="O37" s="36">
        <f>O40-O36-O38-O39</f>
        <v>0.1130000000000031</v>
      </c>
      <c r="P37" s="36">
        <f>SUM(L37:O37)</f>
        <v>2.6190000000000015</v>
      </c>
      <c r="Q37" s="36">
        <f>Q40-Q36-Q38-Q39</f>
        <v>-5.1170000000000027</v>
      </c>
      <c r="R37" s="36">
        <f>R40-R36-R38-R39</f>
        <v>-0.34999999999999876</v>
      </c>
      <c r="S37" s="36">
        <f>S40-S36-S38-S39</f>
        <v>-0.23199999999999843</v>
      </c>
      <c r="T37" s="36">
        <f>T40-T36-T38-T39</f>
        <v>0.35299999999999887</v>
      </c>
      <c r="U37" s="36">
        <f>SUM(Q37:T37)</f>
        <v>-5.346000000000001</v>
      </c>
      <c r="V37" s="36">
        <f>V40-V36-V38-V39</f>
        <v>-2.1810000000000009</v>
      </c>
      <c r="W37" s="36">
        <f>W40-W36-W38-W39</f>
        <v>-0.4210000000000016</v>
      </c>
      <c r="X37" s="36">
        <f>X40-X36-X38-X39</f>
        <v>0.77199999999999935</v>
      </c>
      <c r="Y37" s="36">
        <f>Y40-Y36-Y38-Y39</f>
        <v>-0.97999999999999932</v>
      </c>
      <c r="Z37" s="268">
        <f>SUM(V37:Y37)</f>
        <v>-2.8100000000000023</v>
      </c>
      <c r="AA37" s="36">
        <f>AA40-AA36-AA38-AA39</f>
        <v>-0.13899999999999912</v>
      </c>
      <c r="AB37" s="36">
        <f>AB40-AB36-AB38-AB39</f>
        <v>5.5000000000001714E-2</v>
      </c>
      <c r="AC37" s="36">
        <f>AC40-AC36-AC38-AC39</f>
        <v>-2.0679999999999996</v>
      </c>
      <c r="AD37" s="36">
        <f>AD40-AD36-AD38-AD39</f>
        <v>3.581</v>
      </c>
      <c r="AE37" s="268">
        <f>SUM(AA37:AD37)</f>
        <v>1.4290000000000029</v>
      </c>
      <c r="AF37" s="36">
        <f>AF40-AF36-AF38-AF39</f>
        <v>-2.7260000000000009</v>
      </c>
      <c r="AG37" s="36">
        <f>AG40-AG36-AG38-AG39</f>
        <v>-0.86600000000000055</v>
      </c>
      <c r="AH37" s="36">
        <f>AH40-AH36-AH38-AH39</f>
        <v>2.4899999999999993</v>
      </c>
      <c r="AI37" s="36">
        <f>AI40-AI36-AI38-AI39</f>
        <v>-0.10399999999999876</v>
      </c>
      <c r="AJ37" s="268">
        <f>SUM(AF37:AI37)</f>
        <v>-1.2060000000000008</v>
      </c>
      <c r="AK37" s="36">
        <f>AK40-AK36-AK38-AK39</f>
        <v>-0.95199999999999907</v>
      </c>
      <c r="AL37" s="36">
        <f>AL40-AL36-AL38-AL39</f>
        <v>2.7190000000000021</v>
      </c>
      <c r="AM37" s="36">
        <f>AM40-AM36-AM38-AM39</f>
        <v>0.19999999999999929</v>
      </c>
      <c r="AN37" s="36">
        <f>AN40-AN36-AN38-AN39</f>
        <v>0.14500000000000535</v>
      </c>
      <c r="AO37" s="268">
        <f>SUM(AK37:AN37)</f>
        <v>2.1120000000000076</v>
      </c>
      <c r="AP37" s="36">
        <f>AP40-AP36-AP38-AP39</f>
        <v>-0.10800000000000098</v>
      </c>
      <c r="AQ37" s="36">
        <f>AQ40-AQ36-AQ38-AQ39</f>
        <v>0.19399999999999995</v>
      </c>
      <c r="AR37" s="36">
        <f>AR40-AR36-AR38-AR39</f>
        <v>-1.423999999999995</v>
      </c>
      <c r="AS37" s="36">
        <f>AS40-AS36-AS38-AS39</f>
        <v>-3.0000000000000067</v>
      </c>
      <c r="AT37" s="268">
        <f>SUM(AP37:AS37)</f>
        <v>-4.3380000000000027</v>
      </c>
      <c r="AU37" s="36">
        <f>AU40-AU36-AU38-AU39</f>
        <v>1.5429999999999993</v>
      </c>
      <c r="AV37" s="36">
        <f>AV40-AV36-AV38-AV39</f>
        <v>-1.5799999999999947</v>
      </c>
      <c r="AW37" s="36">
        <f>AW40-AW36-AW38-AW39</f>
        <v>-0.27700000000001346</v>
      </c>
      <c r="AX37" s="36">
        <f>AX40-AX36-AX38-AX39</f>
        <v>3.6890000000000001</v>
      </c>
      <c r="AY37" s="268">
        <f>SUM(AU37:AX37)</f>
        <v>3.3749999999999911</v>
      </c>
      <c r="AZ37" s="36">
        <f>AZ40-AZ36-AZ38-AZ39</f>
        <v>0.56600000000000161</v>
      </c>
      <c r="BA37" s="36">
        <f>BA40-BA36-BA38-BA39</f>
        <v>2.8110000000000079</v>
      </c>
      <c r="BB37" s="36">
        <f>BB40-BB36-BB38-BB39</f>
        <v>-0.82200000000001783</v>
      </c>
      <c r="BC37" s="36">
        <f>BC40-BC36-BC38-BC39</f>
        <v>9.0580000000000034</v>
      </c>
      <c r="BD37" s="268">
        <f>SUM(AZ37:BC37)</f>
        <v>11.612999999999996</v>
      </c>
      <c r="BE37" s="36">
        <f>BE40-BE36-BE38-BE39</f>
        <v>4.7920000000000087</v>
      </c>
      <c r="BF37" s="36">
        <f>BF40-BF36-BF38-BF39</f>
        <v>-8.2260000000000133</v>
      </c>
      <c r="BG37" s="36">
        <f>BG40-BG36-BG38-BG39</f>
        <v>4.1670000000000158</v>
      </c>
      <c r="BH37" s="295">
        <v>1.3857066666664699</v>
      </c>
      <c r="BI37" s="268">
        <f>SUM(BE37:BH37)</f>
        <v>2.1187066666664811</v>
      </c>
      <c r="BJ37" s="284">
        <v>0</v>
      </c>
      <c r="BK37" s="36">
        <v>0</v>
      </c>
      <c r="BL37" s="36">
        <v>0</v>
      </c>
      <c r="BM37" s="36">
        <v>0</v>
      </c>
      <c r="BN37" s="268">
        <f>SUM(BJ37:BM37)</f>
        <v>0</v>
      </c>
      <c r="BO37" s="36">
        <v>0</v>
      </c>
      <c r="BP37" s="36">
        <v>0</v>
      </c>
      <c r="BQ37" s="36">
        <v>0</v>
      </c>
      <c r="BR37" s="36">
        <v>0</v>
      </c>
      <c r="BS37" s="268">
        <f>SUM(BO37:BR37)</f>
        <v>0</v>
      </c>
      <c r="BT37" s="36">
        <v>0</v>
      </c>
      <c r="BU37" s="36">
        <v>0</v>
      </c>
      <c r="BV37" s="36">
        <v>0</v>
      </c>
      <c r="BW37" s="36">
        <v>0</v>
      </c>
      <c r="BX37" s="268">
        <f>SUM(BT37:BW37)</f>
        <v>0</v>
      </c>
      <c r="BY37" s="36">
        <v>0</v>
      </c>
      <c r="BZ37" s="36">
        <v>0</v>
      </c>
      <c r="CA37" s="36">
        <v>0</v>
      </c>
      <c r="CB37" s="36">
        <v>0</v>
      </c>
      <c r="CC37" s="268">
        <f>SUM(BY37:CB37)</f>
        <v>0</v>
      </c>
      <c r="CD37" s="36">
        <v>0</v>
      </c>
      <c r="CE37" s="36">
        <v>0</v>
      </c>
      <c r="CF37" s="36">
        <v>0</v>
      </c>
      <c r="CG37" s="36">
        <v>0</v>
      </c>
      <c r="CH37" s="268">
        <f>SUM(CD37:CG37)</f>
        <v>0</v>
      </c>
      <c r="CI37" s="36">
        <v>0</v>
      </c>
      <c r="CJ37" s="36">
        <v>0</v>
      </c>
      <c r="CK37" s="36">
        <v>0</v>
      </c>
      <c r="CL37" s="36">
        <v>0</v>
      </c>
      <c r="CM37" s="268">
        <f>SUM(CI37:CL37)</f>
        <v>0</v>
      </c>
      <c r="CN37" s="36">
        <v>0</v>
      </c>
      <c r="CO37" s="36">
        <v>0</v>
      </c>
      <c r="CP37" s="36">
        <v>0</v>
      </c>
      <c r="CQ37" s="36">
        <v>0</v>
      </c>
      <c r="CR37" s="268">
        <f>SUM(CN37:CQ37)</f>
        <v>0</v>
      </c>
      <c r="CS37" s="36">
        <v>0</v>
      </c>
      <c r="CT37" s="36">
        <v>0</v>
      </c>
      <c r="CU37" s="36">
        <v>0</v>
      </c>
      <c r="CV37" s="36">
        <v>0</v>
      </c>
      <c r="CW37" s="268">
        <f>SUM(CS37:CV37)</f>
        <v>0</v>
      </c>
      <c r="CX37" s="36">
        <v>0</v>
      </c>
      <c r="CY37" s="36">
        <v>0</v>
      </c>
      <c r="CZ37" s="36">
        <v>0</v>
      </c>
      <c r="DA37" s="36">
        <v>0</v>
      </c>
      <c r="DB37" s="268">
        <f>SUM(CX37:DA37)</f>
        <v>0</v>
      </c>
    </row>
    <row r="38" spans="1:106" s="33" customFormat="1">
      <c r="A38" s="36" t="s">
        <v>141</v>
      </c>
      <c r="B38" s="36">
        <f>-CF!B27</f>
        <v>0</v>
      </c>
      <c r="C38" s="36">
        <f>-CF!C27</f>
        <v>5.8710000000000004</v>
      </c>
      <c r="D38" s="36">
        <f>-CF!D27</f>
        <v>0.24599999999999955</v>
      </c>
      <c r="E38" s="36">
        <f>-CF!E27</f>
        <v>3.8400000000000007</v>
      </c>
      <c r="F38" s="36">
        <f>SUM(B38:E38)</f>
        <v>9.9570000000000007</v>
      </c>
      <c r="G38" s="36">
        <f>-CF!G27</f>
        <v>3.7490000000000001</v>
      </c>
      <c r="H38" s="36">
        <f>-CF!H27</f>
        <v>2.2879999999999998</v>
      </c>
      <c r="I38" s="36">
        <f>-CF!I27</f>
        <v>0.41499999999999959</v>
      </c>
      <c r="J38" s="36">
        <f>-CF!J27</f>
        <v>1.4000000000000004</v>
      </c>
      <c r="K38" s="36">
        <f>SUM(G38:J38)</f>
        <v>7.8520000000000003</v>
      </c>
      <c r="L38" s="36">
        <f>-CF!L27</f>
        <v>3.484</v>
      </c>
      <c r="M38" s="36">
        <f>-CF!M27</f>
        <v>3.827</v>
      </c>
      <c r="N38" s="36">
        <f>-CF!N27</f>
        <v>7.266</v>
      </c>
      <c r="O38" s="36">
        <f>-CF!O27</f>
        <v>8.5589999999999993</v>
      </c>
      <c r="P38" s="36">
        <f>SUM(L38:O38)</f>
        <v>23.135999999999999</v>
      </c>
      <c r="Q38" s="36">
        <f>-CF!Q27</f>
        <v>6.3380000000000001</v>
      </c>
      <c r="R38" s="36">
        <f>-CF!R27</f>
        <v>1.7280000000000006</v>
      </c>
      <c r="S38" s="36">
        <f>-CF!S27</f>
        <v>1.0809999999999995</v>
      </c>
      <c r="T38" s="36">
        <f>-CF!T27</f>
        <v>0.72000000000000064</v>
      </c>
      <c r="U38" s="36">
        <f>+SUM(Q38:T38)</f>
        <v>9.8670000000000009</v>
      </c>
      <c r="V38" s="36">
        <f>-CF!V27</f>
        <v>0.85199999999999998</v>
      </c>
      <c r="W38" s="36">
        <f>-CF!W27</f>
        <v>0.37500000000000011</v>
      </c>
      <c r="X38" s="36">
        <f>-CF!X27</f>
        <v>0.54300000000000004</v>
      </c>
      <c r="Y38" s="36">
        <f>-CF!Y27</f>
        <v>2.11</v>
      </c>
      <c r="Z38" s="268">
        <f>SUM(V38:Y38)</f>
        <v>3.88</v>
      </c>
      <c r="AA38" s="36">
        <f>-CF!AA27</f>
        <v>0.95499999999999996</v>
      </c>
      <c r="AB38" s="36">
        <f>-CF!AB27</f>
        <v>0.64400000000000002</v>
      </c>
      <c r="AC38" s="36">
        <f>-CF!AC27</f>
        <v>0.95499999999999974</v>
      </c>
      <c r="AD38" s="36">
        <f>-CF!AD27</f>
        <v>2.4140000000000001</v>
      </c>
      <c r="AE38" s="268">
        <f>SUM(AA38:AD38)</f>
        <v>4.968</v>
      </c>
      <c r="AF38" s="36">
        <f>-CF!AF27</f>
        <v>7.9169999999999998</v>
      </c>
      <c r="AG38" s="36">
        <f>-CF!AG27</f>
        <v>2.213000000000001</v>
      </c>
      <c r="AH38" s="36">
        <f>-CF!AH27</f>
        <v>1.9429999999999996</v>
      </c>
      <c r="AI38" s="36">
        <f>-CF!AI27</f>
        <v>7.5309999999999988</v>
      </c>
      <c r="AJ38" s="268">
        <f>SUM(AF38:AI38)</f>
        <v>19.603999999999999</v>
      </c>
      <c r="AK38" s="36">
        <f>-CF!AK27</f>
        <v>10.26</v>
      </c>
      <c r="AL38" s="36">
        <f>-CF!AL27</f>
        <v>8.6309999999999985</v>
      </c>
      <c r="AM38" s="36">
        <f>-CF!AM27</f>
        <v>13.136000000000001</v>
      </c>
      <c r="AN38" s="36">
        <f>-CF!AN27</f>
        <v>9.0030000000000001</v>
      </c>
      <c r="AO38" s="268">
        <f>SUM(AK38:AN38)</f>
        <v>41.03</v>
      </c>
      <c r="AP38" s="36">
        <f>-CF!AP27</f>
        <v>15.885</v>
      </c>
      <c r="AQ38" s="36">
        <f>-CF!AQ27</f>
        <v>7.7760000000000016</v>
      </c>
      <c r="AR38" s="36">
        <f>-CF!AR27</f>
        <v>12.208999999999994</v>
      </c>
      <c r="AS38" s="36">
        <f>-CF!AS27</f>
        <v>11.827000000000005</v>
      </c>
      <c r="AT38" s="268">
        <f>SUM(AP38:AS38)</f>
        <v>47.697000000000003</v>
      </c>
      <c r="AU38" s="36">
        <f>-CF!AU27</f>
        <v>11.598000000000001</v>
      </c>
      <c r="AV38" s="36">
        <f>-CF!AV27</f>
        <v>8.9679999999999982</v>
      </c>
      <c r="AW38" s="36">
        <f>-CF!AW27</f>
        <v>9.1010000000000044</v>
      </c>
      <c r="AX38" s="36">
        <f>-CF!AX27</f>
        <v>9.5319999999999965</v>
      </c>
      <c r="AY38" s="268">
        <f>SUM(AU38:AX38)</f>
        <v>39.198999999999998</v>
      </c>
      <c r="AZ38" s="36">
        <f>-CF!AZ27</f>
        <v>20.315000000000001</v>
      </c>
      <c r="BA38" s="36">
        <f>-CF!BA27</f>
        <v>11.677999999999997</v>
      </c>
      <c r="BB38" s="36">
        <f>-CF!BB27</f>
        <v>16.312000000000001</v>
      </c>
      <c r="BC38" s="36">
        <f>-CF!BC27</f>
        <v>18.118000000000002</v>
      </c>
      <c r="BD38" s="268">
        <f>SUM(AZ38:BC38)</f>
        <v>66.423000000000002</v>
      </c>
      <c r="BE38" s="36">
        <f>-CF!BE27</f>
        <v>21.815000000000001</v>
      </c>
      <c r="BF38" s="36">
        <f>-CF!BF27</f>
        <v>25.897000000000002</v>
      </c>
      <c r="BG38" s="36">
        <f>-CF!BG27</f>
        <v>22.405000000000001</v>
      </c>
      <c r="BH38" s="295">
        <v>41.571199999999898</v>
      </c>
      <c r="BI38" s="268">
        <f>SUM(BE38:BH38)</f>
        <v>111.68819999999991</v>
      </c>
      <c r="BJ38" s="295">
        <v>20</v>
      </c>
      <c r="BK38" s="296">
        <v>20</v>
      </c>
      <c r="BL38" s="296">
        <v>20</v>
      </c>
      <c r="BM38" s="296">
        <v>20</v>
      </c>
      <c r="BN38" s="268">
        <f>SUM(BJ38:BM38)</f>
        <v>80</v>
      </c>
      <c r="BO38" s="301">
        <f>BS38/4</f>
        <v>21</v>
      </c>
      <c r="BP38" s="301">
        <f>(BS38-BO38)/3</f>
        <v>21</v>
      </c>
      <c r="BQ38" s="301">
        <f>(BS38-BP38-BO38)/2</f>
        <v>21</v>
      </c>
      <c r="BR38" s="301">
        <f>BS38-SUM(BO38:BQ38)</f>
        <v>21</v>
      </c>
      <c r="BS38" s="300">
        <f>BN38*(1+A41)</f>
        <v>84</v>
      </c>
      <c r="BT38" s="301">
        <f>BX38/4</f>
        <v>22.05</v>
      </c>
      <c r="BU38" s="301">
        <f>(BX38-BT38)/3</f>
        <v>22.05</v>
      </c>
      <c r="BV38" s="301">
        <f>(BX38-BU38-BT38)/2</f>
        <v>22.050000000000004</v>
      </c>
      <c r="BW38" s="301">
        <f>BX38-SUM(BT38:BV38)</f>
        <v>22.049999999999997</v>
      </c>
      <c r="BX38" s="300">
        <f>BS38*(1+$A$41)</f>
        <v>88.2</v>
      </c>
      <c r="BY38" s="301">
        <f>CC38/4</f>
        <v>23.152500000000003</v>
      </c>
      <c r="BZ38" s="301">
        <f>(CC38-BY38)/3</f>
        <v>23.152500000000003</v>
      </c>
      <c r="CA38" s="301">
        <f>(CC38-BZ38-BY38)/2</f>
        <v>23.152500000000003</v>
      </c>
      <c r="CB38" s="301">
        <f>CC38-SUM(BY38:CA38)</f>
        <v>23.152500000000003</v>
      </c>
      <c r="CC38" s="300">
        <f>BX38*(1+$A$41)</f>
        <v>92.610000000000014</v>
      </c>
      <c r="CD38" s="301">
        <f>CH38/4</f>
        <v>24.310125000000003</v>
      </c>
      <c r="CE38" s="301">
        <f>(CH38-CD38)/3</f>
        <v>24.310125000000003</v>
      </c>
      <c r="CF38" s="301">
        <f>(CH38-CE38-CD38)/2</f>
        <v>24.310125000000006</v>
      </c>
      <c r="CG38" s="301">
        <f>CH38-SUM(CD38:CF38)</f>
        <v>24.310124999999999</v>
      </c>
      <c r="CH38" s="300">
        <f>CC38*(1+$A$41)</f>
        <v>97.240500000000011</v>
      </c>
      <c r="CI38" s="301">
        <f>CM38/4</f>
        <v>25.525631250000004</v>
      </c>
      <c r="CJ38" s="301">
        <f>(CM38-CI38)/3</f>
        <v>25.525631250000004</v>
      </c>
      <c r="CK38" s="301">
        <f>(CM38-CJ38-CI38)/2</f>
        <v>25.525631250000004</v>
      </c>
      <c r="CL38" s="301">
        <f>CM38-SUM(CI38:CK38)</f>
        <v>25.525631250000004</v>
      </c>
      <c r="CM38" s="300">
        <f>CH38*(1+$A$41)</f>
        <v>102.10252500000001</v>
      </c>
      <c r="CN38" s="301">
        <f>CR38/4</f>
        <v>26.801912812500007</v>
      </c>
      <c r="CO38" s="301">
        <f>(CR38-CN38)/3</f>
        <v>26.801912812500007</v>
      </c>
      <c r="CP38" s="301">
        <f>(CR38-CO38-CN38)/2</f>
        <v>26.801912812500007</v>
      </c>
      <c r="CQ38" s="301">
        <f>CR38-SUM(CN38:CP38)</f>
        <v>26.801912812500007</v>
      </c>
      <c r="CR38" s="300">
        <f>CM38*(1+$A$41)</f>
        <v>107.20765125000003</v>
      </c>
      <c r="CS38" s="301">
        <f>CW38/4</f>
        <v>28.142008453125008</v>
      </c>
      <c r="CT38" s="301">
        <f>(CW38-CS38)/3</f>
        <v>28.142008453125005</v>
      </c>
      <c r="CU38" s="301">
        <f>(CW38-CT38-CS38)/2</f>
        <v>28.142008453125012</v>
      </c>
      <c r="CV38" s="301">
        <f>CW38-SUM(CS38:CU38)</f>
        <v>28.142008453125001</v>
      </c>
      <c r="CW38" s="300">
        <f>CR38*(1+$A$41)</f>
        <v>112.56803381250003</v>
      </c>
      <c r="CX38" s="301">
        <f>DB38/4</f>
        <v>29.549108875781261</v>
      </c>
      <c r="CY38" s="301">
        <f>(DB38-CX38)/3</f>
        <v>29.549108875781261</v>
      </c>
      <c r="CZ38" s="301">
        <f>(DB38-CY38-CX38)/2</f>
        <v>29.549108875781265</v>
      </c>
      <c r="DA38" s="301">
        <f>DB38-SUM(CX38:CZ38)</f>
        <v>29.549108875781258</v>
      </c>
      <c r="DB38" s="300">
        <f>CW38*(1+$A$41)</f>
        <v>118.19643550312504</v>
      </c>
    </row>
    <row r="39" spans="1:106" s="36" customFormat="1">
      <c r="A39" s="36" t="s">
        <v>142</v>
      </c>
      <c r="B39" s="36">
        <f>-CF!B9-B47</f>
        <v>0</v>
      </c>
      <c r="C39" s="36">
        <f>-CF!C9-C47</f>
        <v>-2.3079999999999998</v>
      </c>
      <c r="D39" s="36">
        <f>-CF!D9-D47</f>
        <v>-1.3620000000000001</v>
      </c>
      <c r="E39" s="36">
        <f>-(E36+E38)/$A$42/4</f>
        <v>-0.12800000000000003</v>
      </c>
      <c r="F39" s="36">
        <f>SUM(B39:E39)</f>
        <v>-3.798</v>
      </c>
      <c r="G39" s="36">
        <f>-CF!G9-G47</f>
        <v>-1.641</v>
      </c>
      <c r="H39" s="36">
        <f>-CF!H9-H47</f>
        <v>-1.3330000000000002</v>
      </c>
      <c r="I39" s="36">
        <f>-CF!I9-I47</f>
        <v>-1.3890000000000002</v>
      </c>
      <c r="J39" s="36">
        <f>-CF!J9-J47</f>
        <v>-1.1719999999999997</v>
      </c>
      <c r="K39" s="36">
        <f>SUM(G39:J39)</f>
        <v>-5.5350000000000001</v>
      </c>
      <c r="L39" s="36">
        <f>-CF!L9-L47</f>
        <v>-1.194</v>
      </c>
      <c r="M39" s="36">
        <f>-CF!M9-M47</f>
        <v>-1.234</v>
      </c>
      <c r="N39" s="36">
        <f>-CF!N9-N47</f>
        <v>-1.7489999999999997</v>
      </c>
      <c r="O39" s="36">
        <f>-CF!O9-O47</f>
        <v>-1.9990000000000006</v>
      </c>
      <c r="P39" s="36">
        <f>SUM(L39:O39)</f>
        <v>-6.1760000000000002</v>
      </c>
      <c r="Q39" s="36">
        <f>-CF!Q9-Q47</f>
        <v>-1.758</v>
      </c>
      <c r="R39" s="36">
        <f>-CF!R9-R47</f>
        <v>-1.8620000000000001</v>
      </c>
      <c r="S39" s="36">
        <f>-CF!S9-S47</f>
        <v>-1.7000000000000002</v>
      </c>
      <c r="T39" s="36">
        <f>-CF!T9-T47</f>
        <v>-1.8229999999999995</v>
      </c>
      <c r="U39" s="36">
        <f>SUM(Q39:T39)</f>
        <v>-7.1429999999999998</v>
      </c>
      <c r="V39" s="36">
        <f>-CF!V9-V47</f>
        <v>-1.4600000000000002</v>
      </c>
      <c r="W39" s="36">
        <f>-CF!W9-W47</f>
        <v>-1.5189999999999997</v>
      </c>
      <c r="X39" s="36">
        <f>-CF!X9-X47</f>
        <v>-1.7949999999999999</v>
      </c>
      <c r="Y39" s="36">
        <f>-CF!Y9-Y47</f>
        <v>-1.6270000000000004</v>
      </c>
      <c r="Z39" s="268">
        <f>SUM(V39:Y39)</f>
        <v>-6.4010000000000007</v>
      </c>
      <c r="AA39" s="36">
        <f>-CF!AA9-AA47</f>
        <v>-1.8499999999999999</v>
      </c>
      <c r="AB39" s="36">
        <f>-CF!AB9-AB47</f>
        <v>-1.962</v>
      </c>
      <c r="AC39" s="36">
        <f>-CF!AC9-AC47</f>
        <v>-1.8990000000000002</v>
      </c>
      <c r="AD39" s="36">
        <f>AE39-SUM(AA39:AC39)</f>
        <v>-1.7389999999999999</v>
      </c>
      <c r="AE39" s="268">
        <f>-CF!AE9-AE47</f>
        <v>-7.45</v>
      </c>
      <c r="AF39" s="36">
        <f>-CF!AF9-AF47</f>
        <v>-1.756</v>
      </c>
      <c r="AG39" s="36">
        <f>-CF!AG9-AG47</f>
        <v>-2.1399999999999997</v>
      </c>
      <c r="AH39" s="36">
        <f>-CF!AH9-AH47</f>
        <v>-2.1090000000000009</v>
      </c>
      <c r="AI39" s="36">
        <f>-CF!AI9-AI47</f>
        <v>-2.3279999999999998</v>
      </c>
      <c r="AJ39" s="268">
        <f>+AF39+AG39+AH39+AI39</f>
        <v>-8.3330000000000002</v>
      </c>
      <c r="AK39" s="36">
        <f>-CF!AK9-AK47</f>
        <v>-2.4790000000000001</v>
      </c>
      <c r="AL39" s="36">
        <f>-CF!AL9-AL47</f>
        <v>-2.6429999999999998</v>
      </c>
      <c r="AM39" s="36">
        <f>-CF!AM9-AM47</f>
        <v>-2.9270000000000014</v>
      </c>
      <c r="AN39" s="36">
        <f>-CF!AN9-AN47</f>
        <v>-2.9249999999999994</v>
      </c>
      <c r="AO39" s="268">
        <f>+AK39+AL39+AM39+AN39</f>
        <v>-10.974</v>
      </c>
      <c r="AP39" s="36">
        <f>-CF!AP9-AP47</f>
        <v>-2.9319999999999999</v>
      </c>
      <c r="AQ39" s="36">
        <f>-CF!AQ9-AQ47</f>
        <v>-4.5590000000000002</v>
      </c>
      <c r="AR39" s="36">
        <f>-CF!AR9-AR47</f>
        <v>-5.0710000000000006</v>
      </c>
      <c r="AS39" s="36">
        <f>-CF!AS9-AS47</f>
        <v>-3.86</v>
      </c>
      <c r="AT39" s="268">
        <f>+AP39+AQ39+AR39+AS39</f>
        <v>-16.422000000000001</v>
      </c>
      <c r="AU39" s="36">
        <f>-CF!AU9-AU47</f>
        <v>-5.0069999999999997</v>
      </c>
      <c r="AV39" s="36">
        <f>-CF!AV9-AV47</f>
        <v>-5.0540000000000003</v>
      </c>
      <c r="AW39" s="36">
        <f>-CF!AW9-AW47</f>
        <v>-6.9149999999999991</v>
      </c>
      <c r="AX39" s="36">
        <f>-CF!AX9-AX47</f>
        <v>-6.8410000000000011</v>
      </c>
      <c r="AY39" s="268">
        <f>+AU39+AV39+AW39+AX39</f>
        <v>-23.817</v>
      </c>
      <c r="AZ39" s="36">
        <v>-6.3</v>
      </c>
      <c r="BA39" s="36">
        <f>-13.3-AZ39</f>
        <v>-7.0000000000000009</v>
      </c>
      <c r="BB39" s="36">
        <f>-19.9-AZ39-BA39</f>
        <v>-6.599999999999997</v>
      </c>
      <c r="BC39" s="36">
        <f>-27.2-AZ39-BA39-BB39</f>
        <v>-7.3000000000000016</v>
      </c>
      <c r="BD39" s="268">
        <f>SUM(AZ39:BC39)</f>
        <v>-27.2</v>
      </c>
      <c r="BE39" s="33">
        <v>-8.1999999999999993</v>
      </c>
      <c r="BF39" s="33">
        <f>-17.1-BE39</f>
        <v>-8.9000000000000021</v>
      </c>
      <c r="BG39" s="33">
        <f>-26.4-BE39-BF39</f>
        <v>-9.2999999999999972</v>
      </c>
      <c r="BH39" s="386">
        <f>-(BH36+BH38)/$A$42/4</f>
        <v>-8.2689066666666626</v>
      </c>
      <c r="BI39" s="268">
        <f>SUM(BE39:BH39)</f>
        <v>-34.668906666666658</v>
      </c>
      <c r="BJ39" s="284">
        <f>-(BJ36+BJ38)/$A$42/4</f>
        <v>-8.7061333333333248</v>
      </c>
      <c r="BK39" s="36">
        <f>-(BK36+BK38)/$A$42/4</f>
        <v>-9.082595555555546</v>
      </c>
      <c r="BL39" s="36">
        <f>-(BL36+BL38)/$A$42/4</f>
        <v>-9.4465090370370284</v>
      </c>
      <c r="BM39" s="36">
        <f>-(BM36+BM38)/$A$42/4</f>
        <v>-9.798292069135794</v>
      </c>
      <c r="BN39" s="268">
        <f>SUM(BJ39:BM39)</f>
        <v>-37.033529995061691</v>
      </c>
      <c r="BO39" s="36">
        <f>-(BO36+BO38)/$A$42/4</f>
        <v>-10.171682333497934</v>
      </c>
      <c r="BP39" s="36">
        <f>-(BP36+BP38)/$A$42/4</f>
        <v>-10.532626255714669</v>
      </c>
      <c r="BQ39" s="36">
        <f>-(BQ36+BQ38)/$A$42/4</f>
        <v>-10.881538713857514</v>
      </c>
      <c r="BR39" s="36">
        <f>-(BR36+BR38)/$A$42/4</f>
        <v>-11.218820756728929</v>
      </c>
      <c r="BS39" s="268">
        <f>SUM(BO39:BR39)</f>
        <v>-42.804668059799049</v>
      </c>
      <c r="BT39" s="36">
        <f>-(BT36+BT38)/$A$42/4</f>
        <v>-11.579860064837966</v>
      </c>
      <c r="BU39" s="36">
        <f>-(BU36+BU38)/$A$42/4</f>
        <v>-11.928864729343367</v>
      </c>
      <c r="BV39" s="36">
        <f>-(BV36+BV38)/$A$42/4</f>
        <v>-12.266235905031921</v>
      </c>
      <c r="BW39" s="36">
        <f>-(BW36+BW38)/$A$42/4</f>
        <v>-12.592361374864192</v>
      </c>
      <c r="BX39" s="268">
        <f>SUM(BT39:BW39)</f>
        <v>-48.367322074077443</v>
      </c>
      <c r="BY39" s="36">
        <f>-(BY36+BY38)/$A$42/4</f>
        <v>-12.944365995702052</v>
      </c>
      <c r="BZ39" s="36">
        <f>-(BZ36+BZ38)/$A$42/4</f>
        <v>-13.28463712917865</v>
      </c>
      <c r="CA39" s="36">
        <f>-(CA36+CA38)/$A$42/4</f>
        <v>-13.613565891539361</v>
      </c>
      <c r="CB39" s="36">
        <f>-(CB36+CB38)/$A$42/4</f>
        <v>-13.931530361821384</v>
      </c>
      <c r="CC39" s="268">
        <f>SUM(BY39:CB39)</f>
        <v>-53.774099378241445</v>
      </c>
      <c r="CD39" s="36">
        <f>-(CD36+CD38)/$A$42/4</f>
        <v>-14.277483516427338</v>
      </c>
      <c r="CE39" s="36">
        <f>-(CE36+CE38)/$A$42/4</f>
        <v>-14.611904899213094</v>
      </c>
      <c r="CF39" s="36">
        <f>-(CF36+CF38)/$A$42/4</f>
        <v>-14.935178902572659</v>
      </c>
      <c r="CG39" s="36">
        <f>-(CG36+CG38)/$A$42/4</f>
        <v>-15.247677105820237</v>
      </c>
      <c r="CH39" s="268">
        <f>SUM(CD39:CG39)</f>
        <v>-59.072244424033329</v>
      </c>
      <c r="CI39" s="36">
        <f>-(CI36+CI38)/$A$42/4</f>
        <v>-15.590275577292896</v>
      </c>
      <c r="CJ39" s="36">
        <f>-(CJ36+CJ38)/$A$42/4</f>
        <v>-15.921454099716467</v>
      </c>
      <c r="CK39" s="36">
        <f>-(CK36+CK38)/$A$42/4</f>
        <v>-16.24159333805925</v>
      </c>
      <c r="CL39" s="36">
        <f>-(CL36+CL38)/$A$42/4</f>
        <v>-16.551061268457275</v>
      </c>
      <c r="CM39" s="268">
        <f>SUM(CI39:CL39)</f>
        <v>-64.304384283525891</v>
      </c>
      <c r="CN39" s="36">
        <f>-(CN36+CN38)/$A$42/4</f>
        <v>-16.892756319925368</v>
      </c>
      <c r="CO39" s="36">
        <f>-(CO36+CO38)/$A$42/4</f>
        <v>-17.223061536344524</v>
      </c>
      <c r="CP39" s="36">
        <f>-(CP36+CP38)/$A$42/4</f>
        <v>-17.542356578883041</v>
      </c>
      <c r="CQ39" s="36">
        <f>-(CQ36+CQ38)/$A$42/4</f>
        <v>-17.851008453336942</v>
      </c>
      <c r="CR39" s="268">
        <f>SUM(CN39:CQ39)</f>
        <v>-69.509182888489875</v>
      </c>
      <c r="CS39" s="36">
        <f>-(CS36+CS38)/$A$42/4</f>
        <v>-18.19404178666321</v>
      </c>
      <c r="CT39" s="36">
        <f>-(CT36+CT38)/$A$42/4</f>
        <v>-18.525640675545269</v>
      </c>
      <c r="CU39" s="36">
        <f>-(CU36+CU38)/$A$42/4</f>
        <v>-18.846186268131259</v>
      </c>
      <c r="CV39" s="36">
        <f>-(CV36+CV38)/$A$42/4</f>
        <v>-19.156047007631049</v>
      </c>
      <c r="CW39" s="268">
        <f>SUM(CS39:CV39)</f>
        <v>-74.721915737970789</v>
      </c>
      <c r="CX39" s="36">
        <f>-(CX36+CX38)/$A$42/4</f>
        <v>-19.502482403236055</v>
      </c>
      <c r="CY39" s="36">
        <f>-(CY36+CY38)/$A$42/4</f>
        <v>-19.837369952320895</v>
      </c>
      <c r="CZ39" s="36">
        <f>-(CZ36+CZ38)/$A$42/4</f>
        <v>-20.161094583102908</v>
      </c>
      <c r="DA39" s="36">
        <f>-(DA36+DA38)/$A$42/4</f>
        <v>-20.474028392858852</v>
      </c>
      <c r="DB39" s="268">
        <f>SUM(CX39:DA39)</f>
        <v>-79.974975331518706</v>
      </c>
    </row>
    <row r="40" spans="1:106" s="33" customFormat="1">
      <c r="A40" s="36" t="s">
        <v>143</v>
      </c>
      <c r="B40" s="36">
        <f>BS!B15</f>
        <v>0</v>
      </c>
      <c r="C40" s="36">
        <f>BS!C15</f>
        <v>0</v>
      </c>
      <c r="D40" s="36">
        <f>BS!D15</f>
        <v>0</v>
      </c>
      <c r="E40" s="36">
        <f>BS!E15</f>
        <v>14.574</v>
      </c>
      <c r="F40" s="36">
        <f>SUM(F36:F39)</f>
        <v>14.574</v>
      </c>
      <c r="G40" s="36">
        <f>BS!G15</f>
        <v>0</v>
      </c>
      <c r="H40" s="36">
        <f>BS!H15</f>
        <v>15.047000000000001</v>
      </c>
      <c r="I40" s="36">
        <f>BS!I15</f>
        <v>13.992000000000001</v>
      </c>
      <c r="J40" s="36">
        <f>BS!J15</f>
        <v>12.71</v>
      </c>
      <c r="K40" s="36">
        <f>SUM(K36:K39)</f>
        <v>12.709999999999997</v>
      </c>
      <c r="L40" s="36">
        <f>BS!L15</f>
        <v>15.098000000000001</v>
      </c>
      <c r="M40" s="36">
        <f>BS!M15</f>
        <v>19.096</v>
      </c>
      <c r="N40" s="36">
        <f>BS!N15</f>
        <v>25.616</v>
      </c>
      <c r="O40" s="36">
        <f>BS!O15</f>
        <v>32.289000000000001</v>
      </c>
      <c r="P40" s="36">
        <f>SUM(P36:P39)</f>
        <v>32.289000000000001</v>
      </c>
      <c r="Q40" s="36">
        <f>BS!Q15</f>
        <v>31.751999999999999</v>
      </c>
      <c r="R40" s="36">
        <f>BS!R15</f>
        <v>31.268000000000001</v>
      </c>
      <c r="S40" s="36">
        <f>BS!S15</f>
        <v>30.417000000000002</v>
      </c>
      <c r="T40" s="36">
        <f>BS!T15</f>
        <v>29.667000000000002</v>
      </c>
      <c r="U40" s="36">
        <f>SUM(U36:U39)</f>
        <v>29.667000000000002</v>
      </c>
      <c r="V40" s="36">
        <f>BS!V15</f>
        <v>26.878</v>
      </c>
      <c r="W40" s="36">
        <f>BS!W15</f>
        <v>25.312999999999999</v>
      </c>
      <c r="X40" s="36">
        <f>BS!X15</f>
        <v>24.832999999999998</v>
      </c>
      <c r="Y40" s="36">
        <f>BS!Y15</f>
        <v>24.335999999999999</v>
      </c>
      <c r="Z40" s="268">
        <f>SUM(Z36:Z39)</f>
        <v>24.335999999999999</v>
      </c>
      <c r="AA40" s="36">
        <f>BS!AA15</f>
        <v>23.302</v>
      </c>
      <c r="AB40" s="36">
        <f>BS!AB15</f>
        <v>22.039000000000001</v>
      </c>
      <c r="AC40" s="36">
        <f>BS!AC15</f>
        <v>19.027000000000001</v>
      </c>
      <c r="AD40" s="36">
        <f>BS!AD15</f>
        <v>23.283000000000001</v>
      </c>
      <c r="AE40" s="268">
        <f>SUM(AE36:AE39)</f>
        <v>23.283000000000001</v>
      </c>
      <c r="AF40" s="36">
        <f>BS!AF15</f>
        <v>26.718</v>
      </c>
      <c r="AG40" s="36">
        <f>BS!AG15</f>
        <v>25.925000000000001</v>
      </c>
      <c r="AH40" s="36">
        <f>BS!AH15</f>
        <v>28.248999999999999</v>
      </c>
      <c r="AI40" s="36">
        <f>BS!AI15</f>
        <v>33.347999999999999</v>
      </c>
      <c r="AJ40" s="268">
        <f>SUM(AJ36:AJ39)</f>
        <v>33.347999999999999</v>
      </c>
      <c r="AK40" s="36">
        <f>BS!AK15</f>
        <v>40.177</v>
      </c>
      <c r="AL40" s="36">
        <f>BS!AL15</f>
        <v>48.884</v>
      </c>
      <c r="AM40" s="36">
        <f>BS!AM15</f>
        <v>59.292999999999999</v>
      </c>
      <c r="AN40" s="36">
        <f>BS!AN15</f>
        <v>65.516000000000005</v>
      </c>
      <c r="AO40" s="268">
        <f>SUM(AO36:AO39)</f>
        <v>65.516000000000005</v>
      </c>
      <c r="AP40" s="36">
        <f>BS!AP15</f>
        <v>78.361000000000004</v>
      </c>
      <c r="AQ40" s="36">
        <f>BS!AQ15</f>
        <v>81.772000000000006</v>
      </c>
      <c r="AR40" s="36">
        <f>BS!AR15</f>
        <v>87.486000000000004</v>
      </c>
      <c r="AS40" s="36">
        <f>BS!AS15</f>
        <v>92.453000000000003</v>
      </c>
      <c r="AT40" s="268">
        <f>SUM(AT36:AT39)</f>
        <v>92.453000000000003</v>
      </c>
      <c r="AU40" s="36">
        <f>BS!AU15</f>
        <v>100.587</v>
      </c>
      <c r="AV40" s="36">
        <f>BS!AV15</f>
        <v>102.92100000000001</v>
      </c>
      <c r="AW40" s="36">
        <f>BS!AW15</f>
        <v>104.83</v>
      </c>
      <c r="AX40" s="36">
        <f>BS!AX15</f>
        <v>111.21</v>
      </c>
      <c r="AY40" s="268">
        <f>SUM(AY36:AY39)</f>
        <v>111.20999999999998</v>
      </c>
      <c r="AZ40" s="36">
        <f>BS!AZ15</f>
        <v>125.791</v>
      </c>
      <c r="BA40" s="36">
        <f>BS!BA15</f>
        <v>133.28</v>
      </c>
      <c r="BB40" s="36">
        <f>BS!BB15</f>
        <v>142.16999999999999</v>
      </c>
      <c r="BC40" s="36">
        <f>BS!BC15</f>
        <v>162.04599999999999</v>
      </c>
      <c r="BD40" s="268">
        <f>SUM(BD36:BD39)</f>
        <v>162.04599999999999</v>
      </c>
      <c r="BE40" s="36">
        <f>BS!BE15</f>
        <v>180.453</v>
      </c>
      <c r="BF40" s="36">
        <f>BS!BF15</f>
        <v>189.22399999999999</v>
      </c>
      <c r="BG40" s="36">
        <f>BS!BG15</f>
        <v>206.49600000000001</v>
      </c>
      <c r="BH40" s="284">
        <f t="shared" ref="BH40" si="55">SUM(BH36:BH39)</f>
        <v>241.18399999999971</v>
      </c>
      <c r="BI40" s="268">
        <f t="shared" ref="BI40:CK40" si="56">SUM(BI36:BI39)</f>
        <v>241.18399999999974</v>
      </c>
      <c r="BJ40" s="284">
        <f t="shared" si="56"/>
        <v>252.47786666666642</v>
      </c>
      <c r="BK40" s="36">
        <f t="shared" si="56"/>
        <v>263.39527111111084</v>
      </c>
      <c r="BL40" s="36">
        <f t="shared" si="56"/>
        <v>273.94876207407384</v>
      </c>
      <c r="BM40" s="36">
        <f t="shared" si="56"/>
        <v>284.15047000493803</v>
      </c>
      <c r="BN40" s="268">
        <f t="shared" si="56"/>
        <v>284.15047000493803</v>
      </c>
      <c r="BO40" s="36">
        <f t="shared" si="56"/>
        <v>294.9787876714401</v>
      </c>
      <c r="BP40" s="36">
        <f t="shared" si="56"/>
        <v>305.44616141572544</v>
      </c>
      <c r="BQ40" s="36">
        <f t="shared" si="56"/>
        <v>315.5646227018679</v>
      </c>
      <c r="BR40" s="36">
        <f t="shared" si="56"/>
        <v>325.34580194513899</v>
      </c>
      <c r="BS40" s="268">
        <f t="shared" si="56"/>
        <v>325.34580194513899</v>
      </c>
      <c r="BT40" s="36">
        <f t="shared" si="56"/>
        <v>335.81594188030101</v>
      </c>
      <c r="BU40" s="36">
        <f t="shared" si="56"/>
        <v>345.93707715095763</v>
      </c>
      <c r="BV40" s="36">
        <f t="shared" si="56"/>
        <v>355.72084124592573</v>
      </c>
      <c r="BW40" s="36">
        <f t="shared" si="56"/>
        <v>365.17847987106154</v>
      </c>
      <c r="BX40" s="268">
        <f t="shared" si="56"/>
        <v>365.17847987106154</v>
      </c>
      <c r="BY40" s="36">
        <f t="shared" si="56"/>
        <v>375.3866138753595</v>
      </c>
      <c r="BZ40" s="36">
        <f t="shared" si="56"/>
        <v>385.25447674618084</v>
      </c>
      <c r="CA40" s="36">
        <f t="shared" si="56"/>
        <v>394.79341085464148</v>
      </c>
      <c r="CB40" s="36">
        <f t="shared" si="56"/>
        <v>404.01438049282012</v>
      </c>
      <c r="CC40" s="268">
        <f t="shared" si="56"/>
        <v>404.01438049282012</v>
      </c>
      <c r="CD40" s="36">
        <f t="shared" si="56"/>
        <v>414.04702197639278</v>
      </c>
      <c r="CE40" s="36">
        <f t="shared" si="56"/>
        <v>423.74524207717974</v>
      </c>
      <c r="CF40" s="36">
        <f t="shared" si="56"/>
        <v>433.12018817460711</v>
      </c>
      <c r="CG40" s="36">
        <f t="shared" si="56"/>
        <v>442.18263606878691</v>
      </c>
      <c r="CH40" s="268">
        <f t="shared" si="56"/>
        <v>442.18263606878679</v>
      </c>
      <c r="CI40" s="36">
        <f t="shared" si="56"/>
        <v>452.117991741494</v>
      </c>
      <c r="CJ40" s="36">
        <f t="shared" si="56"/>
        <v>461.72216889177753</v>
      </c>
      <c r="CK40" s="36">
        <f t="shared" si="56"/>
        <v>471.00620680371827</v>
      </c>
      <c r="CL40" s="36">
        <f t="shared" ref="CL40:DB40" si="57">SUM(CL36:CL39)</f>
        <v>479.98077678526101</v>
      </c>
      <c r="CM40" s="268">
        <f t="shared" si="57"/>
        <v>479.98077678526101</v>
      </c>
      <c r="CN40" s="36">
        <f t="shared" si="57"/>
        <v>489.88993327783567</v>
      </c>
      <c r="CO40" s="36">
        <f t="shared" si="57"/>
        <v>499.46878455399121</v>
      </c>
      <c r="CP40" s="36">
        <f t="shared" si="57"/>
        <v>508.72834078760826</v>
      </c>
      <c r="CQ40" s="36">
        <f t="shared" si="57"/>
        <v>517.67924514677134</v>
      </c>
      <c r="CR40" s="268">
        <f t="shared" si="57"/>
        <v>517.67924514677111</v>
      </c>
      <c r="CS40" s="36">
        <f t="shared" si="57"/>
        <v>527.62721181323309</v>
      </c>
      <c r="CT40" s="36">
        <f t="shared" si="57"/>
        <v>537.24357959081283</v>
      </c>
      <c r="CU40" s="36">
        <f t="shared" si="57"/>
        <v>546.53940177580648</v>
      </c>
      <c r="CV40" s="36">
        <f t="shared" si="57"/>
        <v>555.52536322130038</v>
      </c>
      <c r="CW40" s="268">
        <f t="shared" si="57"/>
        <v>555.52536322130061</v>
      </c>
      <c r="CX40" s="36">
        <f t="shared" si="57"/>
        <v>565.57198969384558</v>
      </c>
      <c r="CY40" s="36">
        <f t="shared" si="57"/>
        <v>575.283728617306</v>
      </c>
      <c r="CZ40" s="36">
        <f t="shared" si="57"/>
        <v>584.67174290998435</v>
      </c>
      <c r="DA40" s="36">
        <f t="shared" si="57"/>
        <v>593.74682339290678</v>
      </c>
      <c r="DB40" s="268">
        <f t="shared" si="57"/>
        <v>593.74682339290666</v>
      </c>
    </row>
    <row r="41" spans="1:106" s="33" customFormat="1">
      <c r="A41" s="5">
        <v>0.05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268"/>
      <c r="AA41" s="36"/>
      <c r="AB41" s="36"/>
      <c r="AC41" s="36"/>
      <c r="AD41" s="36"/>
      <c r="AE41" s="268"/>
      <c r="AF41" s="36"/>
      <c r="AG41" s="36"/>
      <c r="AH41" s="36"/>
      <c r="AI41" s="36"/>
      <c r="AJ41" s="268"/>
      <c r="AK41" s="36"/>
      <c r="AL41" s="36"/>
      <c r="AM41" s="36"/>
      <c r="AN41" s="36"/>
      <c r="AO41" s="268"/>
      <c r="AP41" s="36"/>
      <c r="AQ41" s="36"/>
      <c r="AR41" s="36"/>
      <c r="AS41" s="36"/>
      <c r="AT41" s="268"/>
      <c r="AU41" s="36"/>
      <c r="AV41" s="36"/>
      <c r="AW41" s="36"/>
      <c r="AX41" s="36"/>
      <c r="AY41" s="268"/>
      <c r="AZ41" s="36"/>
      <c r="BA41" s="36"/>
      <c r="BB41" s="36"/>
      <c r="BC41" s="36"/>
      <c r="BD41" s="268"/>
      <c r="BE41" s="36"/>
      <c r="BF41" s="36"/>
      <c r="BG41" s="36"/>
      <c r="BH41" s="36"/>
      <c r="BI41" s="268"/>
      <c r="BJ41" s="284"/>
      <c r="BK41" s="36"/>
      <c r="BL41" s="36"/>
      <c r="BM41" s="36"/>
      <c r="BN41" s="268"/>
      <c r="BO41" s="36"/>
      <c r="BP41" s="36"/>
      <c r="BQ41" s="36"/>
      <c r="BR41" s="36"/>
      <c r="BS41" s="268"/>
      <c r="BT41" s="36"/>
      <c r="BU41" s="36"/>
      <c r="BV41" s="36"/>
      <c r="BW41" s="36"/>
      <c r="BX41" s="268"/>
      <c r="BY41" s="36"/>
      <c r="BZ41" s="36"/>
      <c r="CA41" s="36"/>
      <c r="CB41" s="36"/>
      <c r="CC41" s="268"/>
      <c r="CD41" s="36"/>
      <c r="CE41" s="36"/>
      <c r="CF41" s="36"/>
      <c r="CG41" s="36"/>
      <c r="CH41" s="268"/>
      <c r="CI41" s="36"/>
      <c r="CJ41" s="36"/>
      <c r="CK41" s="36"/>
      <c r="CL41" s="36"/>
      <c r="CM41" s="268"/>
      <c r="CN41" s="36"/>
      <c r="CO41" s="36"/>
      <c r="CP41" s="36"/>
      <c r="CQ41" s="36"/>
      <c r="CR41" s="268"/>
      <c r="CS41" s="36"/>
      <c r="CT41" s="36"/>
      <c r="CU41" s="36"/>
      <c r="CV41" s="36"/>
      <c r="CW41" s="268"/>
      <c r="CX41" s="36"/>
      <c r="CY41" s="36"/>
      <c r="CZ41" s="36"/>
      <c r="DA41" s="36"/>
      <c r="DB41" s="268"/>
    </row>
    <row r="42" spans="1:106" s="33" customFormat="1">
      <c r="A42" s="36">
        <v>7.5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268"/>
      <c r="AA42" s="36"/>
      <c r="AB42" s="36"/>
      <c r="AC42" s="36"/>
      <c r="AD42" s="36"/>
      <c r="AE42" s="268"/>
      <c r="AF42" s="36"/>
      <c r="AG42" s="36"/>
      <c r="AH42" s="36"/>
      <c r="AI42" s="36"/>
      <c r="AJ42" s="268"/>
      <c r="AK42" s="36"/>
      <c r="AL42" s="36"/>
      <c r="AM42" s="36"/>
      <c r="AN42" s="36"/>
      <c r="AO42" s="268"/>
      <c r="AP42" s="36"/>
      <c r="AQ42" s="36"/>
      <c r="AR42" s="36"/>
      <c r="AS42" s="36"/>
      <c r="AT42" s="268"/>
      <c r="AU42" s="36"/>
      <c r="AV42" s="36"/>
      <c r="AW42" s="36"/>
      <c r="AX42" s="36"/>
      <c r="AY42" s="268"/>
      <c r="AZ42" s="36"/>
      <c r="BA42" s="36"/>
      <c r="BB42" s="36"/>
      <c r="BC42" s="36"/>
      <c r="BD42" s="268"/>
      <c r="BE42" s="36"/>
      <c r="BF42" s="36"/>
      <c r="BG42" s="36"/>
      <c r="BH42" s="36"/>
      <c r="BI42" s="268"/>
      <c r="BJ42" s="284"/>
      <c r="BK42" s="36"/>
      <c r="BL42" s="36"/>
      <c r="BM42" s="36"/>
      <c r="BN42" s="268"/>
      <c r="BO42" s="36"/>
      <c r="BP42" s="36"/>
      <c r="BQ42" s="36"/>
      <c r="BR42" s="36"/>
      <c r="BS42" s="268"/>
      <c r="BT42" s="36"/>
      <c r="BU42" s="36"/>
      <c r="BV42" s="36"/>
      <c r="BW42" s="36"/>
      <c r="BX42" s="268"/>
      <c r="BY42" s="36"/>
      <c r="BZ42" s="36"/>
      <c r="CA42" s="36"/>
      <c r="CB42" s="36"/>
      <c r="CC42" s="268"/>
      <c r="CD42" s="36"/>
      <c r="CE42" s="36"/>
      <c r="CF42" s="36"/>
      <c r="CG42" s="36"/>
      <c r="CH42" s="268"/>
      <c r="CI42" s="36"/>
      <c r="CJ42" s="36"/>
      <c r="CK42" s="36"/>
      <c r="CL42" s="36"/>
      <c r="CM42" s="268"/>
      <c r="CN42" s="36"/>
      <c r="CO42" s="36"/>
      <c r="CP42" s="36"/>
      <c r="CQ42" s="36"/>
      <c r="CR42" s="268"/>
      <c r="CS42" s="36"/>
      <c r="CT42" s="36"/>
      <c r="CU42" s="36"/>
      <c r="CV42" s="36"/>
      <c r="CW42" s="268"/>
      <c r="CX42" s="36"/>
      <c r="CY42" s="36"/>
      <c r="CZ42" s="36"/>
      <c r="DA42" s="36"/>
      <c r="DB42" s="268"/>
    </row>
    <row r="43" spans="1:106" s="33" customFormat="1">
      <c r="A43" s="36"/>
      <c r="F43" s="36"/>
      <c r="K43" s="36"/>
      <c r="P43" s="36"/>
      <c r="U43" s="36"/>
      <c r="Z43" s="268"/>
      <c r="AE43" s="268"/>
      <c r="AF43" s="36"/>
      <c r="AG43" s="36"/>
      <c r="AH43" s="36"/>
      <c r="AI43" s="36"/>
      <c r="AJ43" s="268"/>
      <c r="AL43" s="36"/>
      <c r="AM43" s="36"/>
      <c r="AN43" s="36"/>
      <c r="AO43" s="268"/>
      <c r="AT43" s="268"/>
      <c r="AY43" s="268"/>
      <c r="BD43" s="268"/>
      <c r="BI43" s="268"/>
      <c r="BJ43" s="386"/>
      <c r="BN43" s="268"/>
      <c r="BS43" s="268"/>
      <c r="BX43" s="268"/>
      <c r="CC43" s="268"/>
      <c r="CH43" s="268"/>
      <c r="CM43" s="268"/>
      <c r="CR43" s="268"/>
      <c r="CW43" s="268"/>
      <c r="DB43" s="268"/>
    </row>
    <row r="44" spans="1:106" s="33" customFormat="1">
      <c r="A44" s="49" t="s">
        <v>144</v>
      </c>
      <c r="F44" s="36"/>
      <c r="K44" s="36"/>
      <c r="P44" s="36"/>
      <c r="U44" s="36"/>
      <c r="Z44" s="268"/>
      <c r="AE44" s="268"/>
      <c r="AF44" s="36"/>
      <c r="AG44" s="36"/>
      <c r="AH44" s="36"/>
      <c r="AI44" s="36"/>
      <c r="AJ44" s="268"/>
      <c r="AO44" s="268"/>
      <c r="AT44" s="268"/>
      <c r="AY44" s="268"/>
      <c r="BD44" s="268"/>
      <c r="BH44" s="33" t="s">
        <v>508</v>
      </c>
      <c r="BI44" s="268"/>
      <c r="BJ44" s="386"/>
      <c r="BN44" s="268"/>
      <c r="BS44" s="268"/>
      <c r="BX44" s="268"/>
      <c r="CC44" s="268"/>
      <c r="CH44" s="268"/>
      <c r="CM44" s="268"/>
      <c r="CR44" s="268"/>
      <c r="CW44" s="268"/>
      <c r="DB44" s="268"/>
    </row>
    <row r="45" spans="1:106" s="33" customFormat="1">
      <c r="A45" s="36" t="s">
        <v>139</v>
      </c>
      <c r="B45" s="36">
        <v>0</v>
      </c>
      <c r="C45" s="36">
        <f>B48</f>
        <v>0</v>
      </c>
      <c r="D45" s="36">
        <f>C48</f>
        <v>0</v>
      </c>
      <c r="E45" s="36">
        <f>D48</f>
        <v>0</v>
      </c>
      <c r="F45" s="36">
        <f>B45</f>
        <v>0</v>
      </c>
      <c r="G45" s="36">
        <v>0</v>
      </c>
      <c r="H45" s="36">
        <f>G48</f>
        <v>0</v>
      </c>
      <c r="I45" s="36">
        <f>H48</f>
        <v>0</v>
      </c>
      <c r="J45" s="36">
        <f>I48</f>
        <v>0</v>
      </c>
      <c r="K45" s="36">
        <f>G45</f>
        <v>0</v>
      </c>
      <c r="L45" s="36">
        <v>0</v>
      </c>
      <c r="M45" s="36">
        <f>L48</f>
        <v>0</v>
      </c>
      <c r="N45" s="36">
        <f>M48</f>
        <v>0</v>
      </c>
      <c r="O45" s="36">
        <f>N48</f>
        <v>0</v>
      </c>
      <c r="P45" s="36">
        <f>L45</f>
        <v>0</v>
      </c>
      <c r="Q45" s="36">
        <v>0</v>
      </c>
      <c r="R45" s="36">
        <f>Q48</f>
        <v>0</v>
      </c>
      <c r="S45" s="36">
        <f>R48</f>
        <v>0</v>
      </c>
      <c r="T45" s="36">
        <f>S48</f>
        <v>0</v>
      </c>
      <c r="U45" s="36">
        <f>Q45</f>
        <v>0</v>
      </c>
      <c r="V45" s="36">
        <f>T48</f>
        <v>0</v>
      </c>
      <c r="W45" s="36">
        <f>V48</f>
        <v>0</v>
      </c>
      <c r="X45" s="36">
        <f>W48</f>
        <v>0</v>
      </c>
      <c r="Y45" s="36">
        <f>X48</f>
        <v>0</v>
      </c>
      <c r="Z45" s="268">
        <f>V45</f>
        <v>0</v>
      </c>
      <c r="AA45" s="36">
        <f>Y48</f>
        <v>0</v>
      </c>
      <c r="AB45" s="36">
        <f>AA48</f>
        <v>27.26</v>
      </c>
      <c r="AC45" s="36">
        <f>AB48</f>
        <v>26.228999999999999</v>
      </c>
      <c r="AD45" s="36">
        <f>AC48</f>
        <v>24.806999999999999</v>
      </c>
      <c r="AE45" s="268">
        <f>AA45</f>
        <v>0</v>
      </c>
      <c r="AF45" s="36">
        <f>AD48</f>
        <v>23.73</v>
      </c>
      <c r="AG45" s="36">
        <f>AF48</f>
        <v>22.62</v>
      </c>
      <c r="AH45" s="36">
        <f>AG48</f>
        <v>21.475000000000001</v>
      </c>
      <c r="AI45" s="36">
        <f>AH48</f>
        <v>20.295999999999999</v>
      </c>
      <c r="AJ45" s="268">
        <f>AF45</f>
        <v>23.73</v>
      </c>
      <c r="AK45" s="36">
        <f>AI48</f>
        <v>21.399000000000001</v>
      </c>
      <c r="AL45" s="36">
        <f>AK48</f>
        <v>49.526000000000003</v>
      </c>
      <c r="AM45" s="36">
        <f>AL48</f>
        <v>48.337000000000003</v>
      </c>
      <c r="AN45" s="36">
        <f>AM48</f>
        <v>47.655999999999999</v>
      </c>
      <c r="AO45" s="268">
        <f>AK45</f>
        <v>21.399000000000001</v>
      </c>
      <c r="AP45" s="36">
        <f>AN48</f>
        <v>59.012999999999998</v>
      </c>
      <c r="AQ45" s="36">
        <f>AP48</f>
        <v>64.400999999999996</v>
      </c>
      <c r="AR45" s="36">
        <f>AQ48</f>
        <v>62.146999999999998</v>
      </c>
      <c r="AS45" s="36">
        <f>AR48</f>
        <v>73.790999999999997</v>
      </c>
      <c r="AT45" s="268">
        <f>AP45</f>
        <v>59.012999999999998</v>
      </c>
      <c r="AU45" s="36">
        <f>AS48</f>
        <v>71.873999999999995</v>
      </c>
      <c r="AV45" s="36">
        <f>AU48</f>
        <v>69.537000000000006</v>
      </c>
      <c r="AW45" s="36">
        <f>AV48</f>
        <v>61.942</v>
      </c>
      <c r="AX45" s="36">
        <f>AW48</f>
        <v>58.206000000000003</v>
      </c>
      <c r="AY45" s="268">
        <f>AU45</f>
        <v>71.873999999999995</v>
      </c>
      <c r="AZ45" s="36">
        <f>AX48</f>
        <v>56.536999999999999</v>
      </c>
      <c r="BA45" s="36">
        <f>AZ48</f>
        <v>0</v>
      </c>
      <c r="BB45" s="36">
        <f>BA48</f>
        <v>0</v>
      </c>
      <c r="BC45" s="36">
        <f>BB48</f>
        <v>0</v>
      </c>
      <c r="BD45" s="268">
        <f>AZ45</f>
        <v>56.536999999999999</v>
      </c>
      <c r="BE45" s="36">
        <f>BC48</f>
        <v>0</v>
      </c>
      <c r="BF45" s="36">
        <f>BE48</f>
        <v>0</v>
      </c>
      <c r="BG45" s="36">
        <f>BF48</f>
        <v>0</v>
      </c>
      <c r="BH45" s="36">
        <f>BG48</f>
        <v>0</v>
      </c>
      <c r="BI45" s="268">
        <f>BE45</f>
        <v>0</v>
      </c>
      <c r="BJ45" s="284">
        <f>BH48</f>
        <v>373.71300000000002</v>
      </c>
      <c r="BK45" s="36">
        <f>BJ48</f>
        <v>369.04158750000005</v>
      </c>
      <c r="BL45" s="36">
        <f>BK48</f>
        <v>364.42856765625004</v>
      </c>
      <c r="BM45" s="36">
        <f>BL48</f>
        <v>359.87321056054691</v>
      </c>
      <c r="BN45" s="268">
        <f>BJ45</f>
        <v>373.71300000000002</v>
      </c>
      <c r="BO45" s="36">
        <f>BM48</f>
        <v>355.3747954285401</v>
      </c>
      <c r="BP45" s="36">
        <f>BO48</f>
        <v>350.93261048568337</v>
      </c>
      <c r="BQ45" s="36">
        <f>BP48</f>
        <v>346.54595285461232</v>
      </c>
      <c r="BR45" s="36">
        <f>BQ48</f>
        <v>342.21412844392967</v>
      </c>
      <c r="BS45" s="268">
        <f>BO45</f>
        <v>355.3747954285401</v>
      </c>
      <c r="BT45" s="36">
        <f>BR48</f>
        <v>337.93645183838055</v>
      </c>
      <c r="BU45" s="36">
        <f>BT48</f>
        <v>333.71224619040078</v>
      </c>
      <c r="BV45" s="36">
        <f>BU48</f>
        <v>329.54084311302074</v>
      </c>
      <c r="BW45" s="36">
        <f>BV48</f>
        <v>325.42158257410796</v>
      </c>
      <c r="BX45" s="268">
        <f>BT45</f>
        <v>337.93645183838055</v>
      </c>
      <c r="BY45" s="36">
        <f>BW48</f>
        <v>321.3538127919316</v>
      </c>
      <c r="BZ45" s="36">
        <f>BY48</f>
        <v>317.33689013203247</v>
      </c>
      <c r="CA45" s="36">
        <f>BZ48</f>
        <v>313.37017900538206</v>
      </c>
      <c r="CB45" s="36">
        <f>CA48</f>
        <v>309.45305176781477</v>
      </c>
      <c r="CC45" s="268">
        <f>BY45</f>
        <v>321.3538127919316</v>
      </c>
      <c r="CD45" s="36">
        <f>CB48</f>
        <v>305.58488862071709</v>
      </c>
      <c r="CE45" s="36">
        <f>CD48</f>
        <v>301.76507751295816</v>
      </c>
      <c r="CF45" s="36">
        <f>CE48</f>
        <v>297.99301404404616</v>
      </c>
      <c r="CG45" s="36">
        <f>CF48</f>
        <v>294.26810136849559</v>
      </c>
      <c r="CH45" s="268">
        <f>CD45</f>
        <v>305.58488862071709</v>
      </c>
      <c r="CI45" s="36">
        <f>CG48</f>
        <v>290.58975010138937</v>
      </c>
      <c r="CJ45" s="36">
        <f>CI48</f>
        <v>286.957378225122</v>
      </c>
      <c r="CK45" s="36">
        <f>CJ48</f>
        <v>283.370410997308</v>
      </c>
      <c r="CL45" s="36">
        <f>CK48</f>
        <v>279.82828085984164</v>
      </c>
      <c r="CM45" s="268">
        <f>CI45</f>
        <v>290.58975010138937</v>
      </c>
      <c r="CN45" s="36">
        <f>CL48</f>
        <v>276.33042734909361</v>
      </c>
      <c r="CO45" s="36">
        <f>CN48</f>
        <v>272.87629700722994</v>
      </c>
      <c r="CP45" s="36">
        <f>CO48</f>
        <v>269.46534329463958</v>
      </c>
      <c r="CQ45" s="36">
        <f>CP48</f>
        <v>266.09702650345656</v>
      </c>
      <c r="CR45" s="268">
        <f>CN45</f>
        <v>276.33042734909361</v>
      </c>
      <c r="CS45" s="36">
        <f>CQ48</f>
        <v>262.77081367216334</v>
      </c>
      <c r="CT45" s="36">
        <f>CS48</f>
        <v>259.48617850126129</v>
      </c>
      <c r="CU45" s="36">
        <f>CT48</f>
        <v>256.24260126999553</v>
      </c>
      <c r="CV45" s="36">
        <f>CU48</f>
        <v>253.03956875412058</v>
      </c>
      <c r="CW45" s="268">
        <f>CS45</f>
        <v>262.77081367216334</v>
      </c>
      <c r="CX45" s="36">
        <f>CV48</f>
        <v>249.87657414469408</v>
      </c>
      <c r="CY45" s="36">
        <f>CX48</f>
        <v>246.7531169678854</v>
      </c>
      <c r="CZ45" s="36">
        <f>CY48</f>
        <v>243.66870300578682</v>
      </c>
      <c r="DA45" s="36">
        <f>CZ48</f>
        <v>240.62284421821448</v>
      </c>
      <c r="DB45" s="268">
        <f>CX45</f>
        <v>249.87657414469408</v>
      </c>
    </row>
    <row r="46" spans="1:106" s="33" customFormat="1">
      <c r="A46" s="36" t="s">
        <v>145</v>
      </c>
      <c r="B46" s="36">
        <f>B48-B47-B45</f>
        <v>0</v>
      </c>
      <c r="C46" s="36">
        <f>C48-C47-C45</f>
        <v>0</v>
      </c>
      <c r="D46" s="36">
        <f>D48-D47-D45</f>
        <v>0</v>
      </c>
      <c r="E46" s="36">
        <f>E48-E47-E45</f>
        <v>0</v>
      </c>
      <c r="F46" s="36">
        <f>SUM(B46:E46)</f>
        <v>0</v>
      </c>
      <c r="G46" s="36">
        <f>G48-G47-G45</f>
        <v>0</v>
      </c>
      <c r="H46" s="36">
        <f>H48-H47-H45</f>
        <v>0</v>
      </c>
      <c r="I46" s="36">
        <f>I48-I47-I45</f>
        <v>0</v>
      </c>
      <c r="J46" s="36">
        <f>J48-J47-J45</f>
        <v>0</v>
      </c>
      <c r="K46" s="36">
        <f>SUM(G46:J46)</f>
        <v>0</v>
      </c>
      <c r="L46" s="36">
        <f>L48-L47-L45</f>
        <v>0</v>
      </c>
      <c r="M46" s="36">
        <f>M48-M47-M45</f>
        <v>0</v>
      </c>
      <c r="N46" s="36">
        <f>N48-N47-N45</f>
        <v>0</v>
      </c>
      <c r="O46" s="36">
        <f>O48-O47-O45</f>
        <v>0</v>
      </c>
      <c r="P46" s="36">
        <f>SUM(L46:O46)</f>
        <v>0</v>
      </c>
      <c r="Q46" s="36">
        <f>Q48-Q47-Q45</f>
        <v>0</v>
      </c>
      <c r="R46" s="36">
        <f>R48-R47-R45</f>
        <v>0</v>
      </c>
      <c r="S46" s="36">
        <f>S48-S47-S45</f>
        <v>0</v>
      </c>
      <c r="T46" s="36">
        <v>0</v>
      </c>
      <c r="U46" s="36">
        <f>SUM(Q46:T46)</f>
        <v>0</v>
      </c>
      <c r="V46" s="36">
        <f>V48-V47-V45</f>
        <v>0.39999999999999997</v>
      </c>
      <c r="W46" s="36">
        <f>W48-W47-W45</f>
        <v>0.3</v>
      </c>
      <c r="X46" s="36">
        <f>X48-X47-X45</f>
        <v>9.9999999999999978E-2</v>
      </c>
      <c r="Y46" s="36">
        <f>Y48-Y47-Y45</f>
        <v>0.3</v>
      </c>
      <c r="Z46" s="268">
        <f>SUM(V46:Y46)</f>
        <v>1.0999999999999999</v>
      </c>
      <c r="AA46" s="36">
        <f>AA48-AA47-AA45</f>
        <v>27.330000000000002</v>
      </c>
      <c r="AB46" s="36">
        <f>AB48-AB47-AB45</f>
        <v>-0.96100000000000207</v>
      </c>
      <c r="AC46" s="36">
        <f>AC48-AC47-AC45</f>
        <v>-1.3520000000000003</v>
      </c>
      <c r="AD46" s="36">
        <f>AD48-AD47-AD45</f>
        <v>-1.0069999999999979</v>
      </c>
      <c r="AE46" s="268">
        <f>SUM(AA46:AD46)</f>
        <v>24.01</v>
      </c>
      <c r="AF46" s="36">
        <f>AF48-AF47-AF45</f>
        <v>-1.0399999999999991</v>
      </c>
      <c r="AG46" s="36">
        <f>AG48-AG47-AG45</f>
        <v>-1.0749999999999993</v>
      </c>
      <c r="AH46" s="36">
        <f>AH48-AH47-AH45</f>
        <v>-1.1090000000000018</v>
      </c>
      <c r="AI46" s="36">
        <f>AI48-AI47-AI45</f>
        <v>1.1730000000000018</v>
      </c>
      <c r="AJ46" s="268">
        <f>SUM(AF46:AI46)</f>
        <v>-2.0509999999999984</v>
      </c>
      <c r="AK46" s="36">
        <f>AK48-AK47-AK45</f>
        <v>28.197000000000003</v>
      </c>
      <c r="AL46" s="36">
        <f>AL48-AL47-AL45</f>
        <v>-1.1189999999999998</v>
      </c>
      <c r="AM46" s="36">
        <f>AM48-AM47-AM45</f>
        <v>-0.61100000000000421</v>
      </c>
      <c r="AN46" s="36">
        <f>AN48-AN47-AN45</f>
        <v>11.427</v>
      </c>
      <c r="AO46" s="268">
        <f>SUM(AK46:AN46)</f>
        <v>37.893999999999998</v>
      </c>
      <c r="AP46" s="36">
        <f>AP48-AP47-AP45</f>
        <v>5.4579999999999913</v>
      </c>
      <c r="AQ46" s="36">
        <f>AQ48-AQ47-AQ45</f>
        <v>-2.1839999999999975</v>
      </c>
      <c r="AR46" s="36">
        <f>AR48-AR47-AR45</f>
        <v>11.713999999999992</v>
      </c>
      <c r="AS46" s="36">
        <f>AS48-AS47-AS45</f>
        <v>-1.8470000000000084</v>
      </c>
      <c r="AT46" s="268">
        <f>SUM(AP46:AS46)</f>
        <v>13.140999999999977</v>
      </c>
      <c r="AU46" s="36">
        <f>AU48-AU47-AU45</f>
        <v>-2.2669999999999959</v>
      </c>
      <c r="AV46" s="36">
        <f>AV48-AV47-AV45</f>
        <v>-7.5250000000000057</v>
      </c>
      <c r="AW46" s="36">
        <f>AW48-AW47-AW45</f>
        <v>-3.6659999999999968</v>
      </c>
      <c r="AX46" s="36">
        <f>AX48-AX47-AX45</f>
        <v>-1.5990000000000038</v>
      </c>
      <c r="AY46" s="268">
        <f>SUM(AU46:AX46)</f>
        <v>-15.057000000000002</v>
      </c>
      <c r="AZ46" s="36">
        <f>AZ48-AZ47-AZ45</f>
        <v>-55.774000000000001</v>
      </c>
      <c r="BA46" s="36">
        <f>BA48-BA47-BA45</f>
        <v>0.91499999999999915</v>
      </c>
      <c r="BB46" s="36">
        <f>BB48-BB47-BB45</f>
        <v>1.6000000000000059</v>
      </c>
      <c r="BC46" s="36">
        <f>BC48-BC47-BC45</f>
        <v>0.489999999999994</v>
      </c>
      <c r="BD46" s="268">
        <f>SUM(AZ46:BC46)</f>
        <v>-52.768999999999998</v>
      </c>
      <c r="BE46" s="36">
        <f>BE48-BE47-BE45</f>
        <v>1.0370000000000008</v>
      </c>
      <c r="BF46" s="36">
        <f>BF48-BF47-BF45</f>
        <v>0.95899999999999785</v>
      </c>
      <c r="BG46" s="36">
        <f>BG48-BG47-BG45</f>
        <v>0.99200000000000443</v>
      </c>
      <c r="BH46" s="36">
        <f>BH48-BH47-BH45</f>
        <v>375.41300000000001</v>
      </c>
      <c r="BI46" s="272">
        <f>+BE46+BF46+BG46+BH46</f>
        <v>378.40100000000001</v>
      </c>
      <c r="BJ46" s="387">
        <f>BN46/4</f>
        <v>0</v>
      </c>
      <c r="BK46" s="50">
        <f>(BN46-BJ46)/3</f>
        <v>0</v>
      </c>
      <c r="BL46" s="50">
        <f>(BN46-SUM(BJ46:BK46))/2</f>
        <v>0</v>
      </c>
      <c r="BM46" s="50">
        <f>BN46-SUM(BJ46:BL46)</f>
        <v>0</v>
      </c>
      <c r="BN46" s="272">
        <f>-CF!BN26</f>
        <v>0</v>
      </c>
      <c r="BO46" s="50">
        <f>BS46/4</f>
        <v>0</v>
      </c>
      <c r="BP46" s="50">
        <f>(BS46-BO46)/3</f>
        <v>0</v>
      </c>
      <c r="BQ46" s="50">
        <f>(BS46-SUM(BO46:BP46))/2</f>
        <v>0</v>
      </c>
      <c r="BR46" s="50">
        <f>BS46-SUM(BO46:BQ46)</f>
        <v>0</v>
      </c>
      <c r="BS46" s="272">
        <f>-CF!BS26</f>
        <v>0</v>
      </c>
      <c r="BT46" s="50">
        <f>BX46/4</f>
        <v>0</v>
      </c>
      <c r="BU46" s="50">
        <f>(BX46-BT46)/3</f>
        <v>0</v>
      </c>
      <c r="BV46" s="50">
        <f>(BX46-SUM(BT46:BU46))/2</f>
        <v>0</v>
      </c>
      <c r="BW46" s="50">
        <f>BX46-SUM(BT46:BV46)</f>
        <v>0</v>
      </c>
      <c r="BX46" s="272">
        <f>-CF!BX26</f>
        <v>0</v>
      </c>
      <c r="BY46" s="50">
        <f>CC46/4</f>
        <v>0</v>
      </c>
      <c r="BZ46" s="50">
        <f>(CC46-BY46)/3</f>
        <v>0</v>
      </c>
      <c r="CA46" s="50">
        <f>(CC46-SUM(BY46:BZ46))/2</f>
        <v>0</v>
      </c>
      <c r="CB46" s="50">
        <f>CC46-SUM(BY46:CA46)</f>
        <v>0</v>
      </c>
      <c r="CC46" s="272">
        <f>-CF!CC26</f>
        <v>0</v>
      </c>
      <c r="CD46" s="50">
        <f>CH46/4</f>
        <v>0</v>
      </c>
      <c r="CE46" s="50">
        <f>(CH46-CD46)/3</f>
        <v>0</v>
      </c>
      <c r="CF46" s="50">
        <f>(CH46-SUM(CD46:CE46))/2</f>
        <v>0</v>
      </c>
      <c r="CG46" s="50">
        <f>CH46-SUM(CD46:CF46)</f>
        <v>0</v>
      </c>
      <c r="CH46" s="272">
        <f>-CF!CH26</f>
        <v>0</v>
      </c>
      <c r="CI46" s="50">
        <f>CM46/4</f>
        <v>0</v>
      </c>
      <c r="CJ46" s="50">
        <f>(CM46-CI46)/3</f>
        <v>0</v>
      </c>
      <c r="CK46" s="50">
        <f>(CM46-SUM(CI46:CJ46))/2</f>
        <v>0</v>
      </c>
      <c r="CL46" s="50">
        <f>CM46-SUM(CI46:CK46)</f>
        <v>0</v>
      </c>
      <c r="CM46" s="272">
        <f>-CF!CM26</f>
        <v>0</v>
      </c>
      <c r="CN46" s="50">
        <f>CR46/4</f>
        <v>0</v>
      </c>
      <c r="CO46" s="50">
        <f>(CR46-CN46)/3</f>
        <v>0</v>
      </c>
      <c r="CP46" s="50">
        <f>(CR46-SUM(CN46:CO46))/2</f>
        <v>0</v>
      </c>
      <c r="CQ46" s="50">
        <f>CR46-SUM(CN46:CP46)</f>
        <v>0</v>
      </c>
      <c r="CR46" s="272">
        <f>-CF!CR26</f>
        <v>0</v>
      </c>
      <c r="CS46" s="50">
        <f>CW46/4</f>
        <v>0</v>
      </c>
      <c r="CT46" s="50">
        <f>(CW46-CS46)/3</f>
        <v>0</v>
      </c>
      <c r="CU46" s="50">
        <f>(CW46-SUM(CS46:CT46))/2</f>
        <v>0</v>
      </c>
      <c r="CV46" s="50">
        <f>CW46-SUM(CS46:CU46)</f>
        <v>0</v>
      </c>
      <c r="CW46" s="272">
        <f>-CF!CW26</f>
        <v>0</v>
      </c>
      <c r="CX46" s="50">
        <f>DB46/4</f>
        <v>0</v>
      </c>
      <c r="CY46" s="50">
        <f>(DB46-CX46)/3</f>
        <v>0</v>
      </c>
      <c r="CZ46" s="50">
        <f>(DB46-SUM(CX46:CY46))/2</f>
        <v>0</v>
      </c>
      <c r="DA46" s="50">
        <f>DB46-SUM(CX46:CZ46)</f>
        <v>0</v>
      </c>
      <c r="DB46" s="272">
        <f>-CF!DB26</f>
        <v>0</v>
      </c>
    </row>
    <row r="47" spans="1:106" s="36" customFormat="1">
      <c r="A47" s="36" t="s">
        <v>146</v>
      </c>
      <c r="B47" s="50"/>
      <c r="C47" s="296"/>
      <c r="D47" s="296"/>
      <c r="E47" s="50"/>
      <c r="F47" s="36">
        <f>SUM(B47:E47)</f>
        <v>0</v>
      </c>
      <c r="G47" s="50"/>
      <c r="H47" s="50"/>
      <c r="I47" s="50"/>
      <c r="J47" s="50"/>
      <c r="K47" s="349"/>
      <c r="L47" s="50"/>
      <c r="M47" s="50"/>
      <c r="N47" s="50"/>
      <c r="O47" s="50"/>
      <c r="P47" s="36">
        <f>SUM(L47:O47)</f>
        <v>0</v>
      </c>
      <c r="Q47" s="50"/>
      <c r="R47" s="50"/>
      <c r="S47" s="50"/>
      <c r="T47" s="50"/>
      <c r="U47" s="36">
        <f>SUM(Q47:T47)</f>
        <v>0</v>
      </c>
      <c r="V47" s="36">
        <f>-0.7-W47</f>
        <v>-0.39999999999999997</v>
      </c>
      <c r="W47" s="36">
        <v>-0.3</v>
      </c>
      <c r="X47" s="36">
        <f>-0.7-0.1-W47-V47</f>
        <v>-9.9999999999999978E-2</v>
      </c>
      <c r="Y47" s="36">
        <v>-0.3</v>
      </c>
      <c r="Z47" s="268">
        <f>SUM(V47:Y47)</f>
        <v>-1.0999999999999999</v>
      </c>
      <c r="AA47" s="296">
        <v>-7.0000000000000007E-2</v>
      </c>
      <c r="AB47" s="296">
        <v>-7.0000000000000007E-2</v>
      </c>
      <c r="AC47" s="296">
        <v>-7.0000000000000007E-2</v>
      </c>
      <c r="AD47" s="296">
        <v>-7.0000000000000007E-2</v>
      </c>
      <c r="AE47" s="268">
        <f>+AA47+AB47+AC47+AD47</f>
        <v>-0.28000000000000003</v>
      </c>
      <c r="AF47" s="296">
        <v>-7.0000000000000007E-2</v>
      </c>
      <c r="AG47" s="296">
        <v>-7.0000000000000007E-2</v>
      </c>
      <c r="AH47" s="296">
        <v>-7.0000000000000007E-2</v>
      </c>
      <c r="AI47" s="296">
        <v>-7.0000000000000007E-2</v>
      </c>
      <c r="AJ47" s="268">
        <f>SUM(AF47:AI47)</f>
        <v>-0.28000000000000003</v>
      </c>
      <c r="AK47" s="296">
        <v>-7.0000000000000007E-2</v>
      </c>
      <c r="AL47" s="296">
        <v>-7.0000000000000007E-2</v>
      </c>
      <c r="AM47" s="296">
        <v>-7.0000000000000007E-2</v>
      </c>
      <c r="AN47" s="296">
        <v>-7.0000000000000007E-2</v>
      </c>
      <c r="AO47" s="268">
        <f>SUM(AK47:AN47)</f>
        <v>-0.28000000000000003</v>
      </c>
      <c r="AP47" s="296">
        <v>-7.0000000000000007E-2</v>
      </c>
      <c r="AQ47" s="296">
        <v>-7.0000000000000007E-2</v>
      </c>
      <c r="AR47" s="296">
        <v>-7.0000000000000007E-2</v>
      </c>
      <c r="AS47" s="296">
        <v>-7.0000000000000007E-2</v>
      </c>
      <c r="AT47" s="268">
        <f>SUM(AP47:AS47)</f>
        <v>-0.28000000000000003</v>
      </c>
      <c r="AU47" s="296">
        <v>-7.0000000000000007E-2</v>
      </c>
      <c r="AV47" s="296">
        <v>-7.0000000000000007E-2</v>
      </c>
      <c r="AW47" s="296">
        <v>-7.0000000000000007E-2</v>
      </c>
      <c r="AX47" s="296">
        <v>-7.0000000000000007E-2</v>
      </c>
      <c r="AY47" s="268">
        <f>SUM(AU47:AX47)</f>
        <v>-0.28000000000000003</v>
      </c>
      <c r="AZ47" s="36">
        <f>-CF!AZ9-'Other Accts'!AZ39</f>
        <v>-0.7629999999999999</v>
      </c>
      <c r="BA47" s="36">
        <f>-CF!BA9-'Other Accts'!BA39</f>
        <v>-0.91499999999999915</v>
      </c>
      <c r="BB47" s="36">
        <f>-CF!BB9-'Other Accts'!BB39</f>
        <v>-1.6000000000000059</v>
      </c>
      <c r="BC47" s="36">
        <f>-CF!BC9-'Other Accts'!BC39</f>
        <v>-0.489999999999994</v>
      </c>
      <c r="BD47" s="268">
        <f>SUM(AZ47:BC47)</f>
        <v>-3.7679999999999989</v>
      </c>
      <c r="BE47" s="33">
        <f>-CF!BE9-'Other Accts'!BE39</f>
        <v>-1.0370000000000008</v>
      </c>
      <c r="BF47" s="33">
        <f>-CF!BF9-'Other Accts'!BF39</f>
        <v>-0.95899999999999785</v>
      </c>
      <c r="BG47" s="33">
        <f>-CF!BG9-'Other Accts'!BG39</f>
        <v>-0.99200000000000443</v>
      </c>
      <c r="BH47" s="388">
        <v>-1.7</v>
      </c>
      <c r="BI47" s="272">
        <f>+BE47+BF47+BG47+BH47</f>
        <v>-4.6880000000000033</v>
      </c>
      <c r="BJ47" s="295">
        <f>-(BJ45+BJ46)/$A$49/4</f>
        <v>-4.6714125000000006</v>
      </c>
      <c r="BK47" s="296">
        <f>-(BK45+BK46)/$A$49/4</f>
        <v>-4.613019843750001</v>
      </c>
      <c r="BL47" s="296">
        <f>-(BL45+BL46)/$A$49/4</f>
        <v>-4.5553570957031253</v>
      </c>
      <c r="BM47" s="296">
        <f>-(BM45+BM46)/$A$49/4</f>
        <v>-4.4984151320068362</v>
      </c>
      <c r="BN47" s="272">
        <f>+BJ47+BK47+BL47+BM47</f>
        <v>-18.338204571459965</v>
      </c>
      <c r="BO47" s="296">
        <f>-(BO45+BO46)/$A$49/4</f>
        <v>-4.442184942856751</v>
      </c>
      <c r="BP47" s="296">
        <f>-(BP45+BP46)/$A$49/4</f>
        <v>-4.3866576310710421</v>
      </c>
      <c r="BQ47" s="296">
        <f>-(BQ45+BQ46)/$A$49/4</f>
        <v>-4.3318244106826542</v>
      </c>
      <c r="BR47" s="296">
        <f>-(BR45+BR46)/$A$49/4</f>
        <v>-4.2776766055491207</v>
      </c>
      <c r="BS47" s="272">
        <f>+BO47+BP47+BQ47+BR47</f>
        <v>-17.438343590159569</v>
      </c>
      <c r="BT47" s="296">
        <f>-(BT45+BT46)/$A$49/4</f>
        <v>-4.2242056479797565</v>
      </c>
      <c r="BU47" s="296">
        <f>-(BU45+BU46)/$A$49/4</f>
        <v>-4.1714030773800097</v>
      </c>
      <c r="BV47" s="296">
        <f>-(BV45+BV46)/$A$49/4</f>
        <v>-4.1192605389127595</v>
      </c>
      <c r="BW47" s="296">
        <f>-(BW45+BW46)/$A$49/4</f>
        <v>-4.0677697821763497</v>
      </c>
      <c r="BX47" s="272">
        <f>+BT47+BU47+BV47+BW47</f>
        <v>-16.582639046448875</v>
      </c>
      <c r="BY47" s="296">
        <f>-(BY45+BY46)/$A$49/4</f>
        <v>-4.0169226598991452</v>
      </c>
      <c r="BZ47" s="296">
        <f>-(BZ45+BZ46)/$A$49/4</f>
        <v>-3.9667111266504058</v>
      </c>
      <c r="CA47" s="296">
        <f>-(CA45+CA46)/$A$49/4</f>
        <v>-3.9171272375672759</v>
      </c>
      <c r="CB47" s="296">
        <f>-(CB45+CB46)/$A$49/4</f>
        <v>-3.8681631470976847</v>
      </c>
      <c r="CC47" s="272">
        <f>+BY47+BZ47+CA47+CB47</f>
        <v>-15.768924171214511</v>
      </c>
      <c r="CD47" s="296">
        <f>-(CD45+CD46)/$A$49/4</f>
        <v>-3.8198111077589636</v>
      </c>
      <c r="CE47" s="296">
        <f>-(CE45+CE46)/$A$49/4</f>
        <v>-3.772063468911977</v>
      </c>
      <c r="CF47" s="296">
        <f>-(CF45+CF46)/$A$49/4</f>
        <v>-3.724912675550577</v>
      </c>
      <c r="CG47" s="296">
        <f>-(CG45+CG46)/$A$49/4</f>
        <v>-3.6783512671061951</v>
      </c>
      <c r="CH47" s="272">
        <f>+CD47+CE47+CF47+CG47</f>
        <v>-14.995138519327714</v>
      </c>
      <c r="CI47" s="296">
        <f>-(CI45+CI46)/$A$49/4</f>
        <v>-3.6323718762673671</v>
      </c>
      <c r="CJ47" s="296">
        <f>-(CJ45+CJ46)/$A$49/4</f>
        <v>-3.586967227814025</v>
      </c>
      <c r="CK47" s="296">
        <f>-(CK45+CK46)/$A$49/4</f>
        <v>-3.5421301374663501</v>
      </c>
      <c r="CL47" s="296">
        <f>-(CL45+CL46)/$A$49/4</f>
        <v>-3.4978535107480204</v>
      </c>
      <c r="CM47" s="272">
        <f>+CI47+CJ47+CK47+CL47</f>
        <v>-14.259322752295763</v>
      </c>
      <c r="CN47" s="296">
        <f>-(CN45+CN46)/$A$49/4</f>
        <v>-3.45413034186367</v>
      </c>
      <c r="CO47" s="296">
        <f>-(CO45+CO46)/$A$49/4</f>
        <v>-3.4109537125903744</v>
      </c>
      <c r="CP47" s="296">
        <f>-(CP45+CP46)/$A$49/4</f>
        <v>-3.3683167911829948</v>
      </c>
      <c r="CQ47" s="296">
        <f>-(CQ45+CQ46)/$A$49/4</f>
        <v>-3.3262128312932071</v>
      </c>
      <c r="CR47" s="272">
        <f>+CN47+CO47+CP47+CQ47</f>
        <v>-13.559613676930246</v>
      </c>
      <c r="CS47" s="296">
        <f>-(CS45+CS46)/$A$49/4</f>
        <v>-3.2846351709020416</v>
      </c>
      <c r="CT47" s="296">
        <f>-(CT45+CT46)/$A$49/4</f>
        <v>-3.2435772312657662</v>
      </c>
      <c r="CU47" s="296">
        <f>-(CU45+CU46)/$A$49/4</f>
        <v>-3.203032515874944</v>
      </c>
      <c r="CV47" s="296">
        <f>-(CV45+CV46)/$A$49/4</f>
        <v>-3.1629946094265073</v>
      </c>
      <c r="CW47" s="272">
        <f>+CS47+CT47+CU47+CV47</f>
        <v>-12.894239527469258</v>
      </c>
      <c r="CX47" s="296">
        <f>-(CX45+CX46)/$A$49/4</f>
        <v>-3.1234571768086759</v>
      </c>
      <c r="CY47" s="296">
        <f>-(CY45+CY46)/$A$49/4</f>
        <v>-3.0844139620985676</v>
      </c>
      <c r="CZ47" s="296">
        <f>-(CZ45+CZ46)/$A$49/4</f>
        <v>-3.0458587875723353</v>
      </c>
      <c r="DA47" s="296">
        <f>-(DA45+DA46)/$A$49/4</f>
        <v>-3.0077855527276811</v>
      </c>
      <c r="DB47" s="272">
        <f>+CX47+CY47+CZ47+DA47</f>
        <v>-12.26151547920726</v>
      </c>
    </row>
    <row r="48" spans="1:106" s="33" customFormat="1">
      <c r="A48" s="36" t="s">
        <v>143</v>
      </c>
      <c r="B48" s="36">
        <f>BS!B16</f>
        <v>0</v>
      </c>
      <c r="C48" s="36">
        <f>BS!C16</f>
        <v>0</v>
      </c>
      <c r="D48" s="36">
        <f>BS!D16</f>
        <v>0</v>
      </c>
      <c r="E48" s="36">
        <f>BS!E16</f>
        <v>0</v>
      </c>
      <c r="F48" s="36">
        <f>SUM(F45:F47)</f>
        <v>0</v>
      </c>
      <c r="G48" s="36">
        <f>BS!G16</f>
        <v>0</v>
      </c>
      <c r="H48" s="36">
        <f>BS!H16</f>
        <v>0</v>
      </c>
      <c r="I48" s="36">
        <f>BS!I16</f>
        <v>0</v>
      </c>
      <c r="J48" s="36">
        <f>BS!J16</f>
        <v>0</v>
      </c>
      <c r="K48" s="36">
        <f>SUM(K45:K47)</f>
        <v>0</v>
      </c>
      <c r="L48" s="36">
        <f>BS!L16</f>
        <v>0</v>
      </c>
      <c r="M48" s="36">
        <f>BS!M16</f>
        <v>0</v>
      </c>
      <c r="N48" s="36">
        <f>BS!N16</f>
        <v>0</v>
      </c>
      <c r="O48" s="36">
        <f>BS!O16</f>
        <v>0</v>
      </c>
      <c r="P48" s="36">
        <f>SUM(P45:P47)</f>
        <v>0</v>
      </c>
      <c r="Q48" s="36">
        <f>BS!Q16</f>
        <v>0</v>
      </c>
      <c r="R48" s="36">
        <f>BS!R16</f>
        <v>0</v>
      </c>
      <c r="S48" s="36">
        <f>BS!S16</f>
        <v>0</v>
      </c>
      <c r="T48" s="36">
        <f>BS!T16</f>
        <v>0</v>
      </c>
      <c r="U48" s="36">
        <f>SUM(U45:U47)</f>
        <v>0</v>
      </c>
      <c r="V48" s="36">
        <f>BS!V16</f>
        <v>0</v>
      </c>
      <c r="W48" s="36">
        <f>BS!W16</f>
        <v>0</v>
      </c>
      <c r="X48" s="36">
        <f>BS!X16</f>
        <v>0</v>
      </c>
      <c r="Y48" s="36">
        <f>BS!Y16</f>
        <v>0</v>
      </c>
      <c r="Z48" s="268">
        <f>SUM(Z45:Z47)</f>
        <v>0</v>
      </c>
      <c r="AA48" s="36">
        <f>BS!AA16</f>
        <v>27.26</v>
      </c>
      <c r="AB48" s="36">
        <f>BS!AB16</f>
        <v>26.228999999999999</v>
      </c>
      <c r="AC48" s="36">
        <f>BS!AC16</f>
        <v>24.806999999999999</v>
      </c>
      <c r="AD48" s="36">
        <f>BS!AD16</f>
        <v>23.73</v>
      </c>
      <c r="AE48" s="268">
        <f>SUM(AE45:AE47)</f>
        <v>23.73</v>
      </c>
      <c r="AF48" s="36">
        <f>BS!AF16</f>
        <v>22.62</v>
      </c>
      <c r="AG48" s="36">
        <f>BS!AG16</f>
        <v>21.475000000000001</v>
      </c>
      <c r="AH48" s="36">
        <f>BS!AH16</f>
        <v>20.295999999999999</v>
      </c>
      <c r="AI48" s="36">
        <f>BS!AI16</f>
        <v>21.399000000000001</v>
      </c>
      <c r="AJ48" s="268">
        <f>SUM(AJ45:AJ47)</f>
        <v>21.399000000000001</v>
      </c>
      <c r="AK48" s="36">
        <f>BS!AK16</f>
        <v>49.526000000000003</v>
      </c>
      <c r="AL48" s="36">
        <f>BS!AL16</f>
        <v>48.337000000000003</v>
      </c>
      <c r="AM48" s="36">
        <f>BS!AM16</f>
        <v>47.655999999999999</v>
      </c>
      <c r="AN48" s="36">
        <f>BS!AN16</f>
        <v>59.012999999999998</v>
      </c>
      <c r="AO48" s="268">
        <f>SUM(AO45:AO47)</f>
        <v>59.012999999999998</v>
      </c>
      <c r="AP48" s="36">
        <f>BS!AP16</f>
        <v>64.400999999999996</v>
      </c>
      <c r="AQ48" s="36">
        <f>BS!AQ16</f>
        <v>62.146999999999998</v>
      </c>
      <c r="AR48" s="36">
        <f>BS!AR16</f>
        <v>73.790999999999997</v>
      </c>
      <c r="AS48" s="36">
        <f>BS!AS16</f>
        <v>71.873999999999995</v>
      </c>
      <c r="AT48" s="268">
        <f>SUM(AT45:AT47)</f>
        <v>71.873999999999967</v>
      </c>
      <c r="AU48" s="36">
        <f>BS!AU16</f>
        <v>69.537000000000006</v>
      </c>
      <c r="AV48" s="36">
        <f>BS!AV16</f>
        <v>61.942</v>
      </c>
      <c r="AW48" s="36">
        <f>BS!AW16</f>
        <v>58.206000000000003</v>
      </c>
      <c r="AX48" s="36">
        <f>BS!AX16</f>
        <v>56.536999999999999</v>
      </c>
      <c r="AY48" s="268">
        <f>SUM(AY45:AY47)</f>
        <v>56.536999999999992</v>
      </c>
      <c r="AZ48" s="36">
        <f>BS!AZ16</f>
        <v>0</v>
      </c>
      <c r="BA48" s="36">
        <f>BS!BA16</f>
        <v>0</v>
      </c>
      <c r="BB48" s="36">
        <f>BS!BB16</f>
        <v>0</v>
      </c>
      <c r="BC48" s="36">
        <f>BS!BC16</f>
        <v>0</v>
      </c>
      <c r="BD48" s="268">
        <f>SUM(BD45:BD47)</f>
        <v>0</v>
      </c>
      <c r="BE48" s="36">
        <f>BS!BE16</f>
        <v>0</v>
      </c>
      <c r="BF48" s="36">
        <f>BS!BF16</f>
        <v>0</v>
      </c>
      <c r="BG48" s="36">
        <f>BS!BG16</f>
        <v>0</v>
      </c>
      <c r="BH48" s="36">
        <f>BS!BH16</f>
        <v>373.71300000000002</v>
      </c>
      <c r="BI48" s="268">
        <f>SUM(BI45:BI47)</f>
        <v>373.71300000000002</v>
      </c>
      <c r="BJ48" s="284">
        <f t="shared" ref="BJ48:CK48" si="58">SUM(BJ45:BJ47)</f>
        <v>369.04158750000005</v>
      </c>
      <c r="BK48" s="36">
        <f t="shared" si="58"/>
        <v>364.42856765625004</v>
      </c>
      <c r="BL48" s="36">
        <f t="shared" si="58"/>
        <v>359.87321056054691</v>
      </c>
      <c r="BM48" s="36">
        <f t="shared" si="58"/>
        <v>355.3747954285401</v>
      </c>
      <c r="BN48" s="268">
        <f t="shared" si="58"/>
        <v>355.37479542854004</v>
      </c>
      <c r="BO48" s="36">
        <f t="shared" si="58"/>
        <v>350.93261048568337</v>
      </c>
      <c r="BP48" s="36">
        <f t="shared" si="58"/>
        <v>346.54595285461232</v>
      </c>
      <c r="BQ48" s="36">
        <f t="shared" si="58"/>
        <v>342.21412844392967</v>
      </c>
      <c r="BR48" s="36">
        <f t="shared" si="58"/>
        <v>337.93645183838055</v>
      </c>
      <c r="BS48" s="268">
        <f t="shared" si="58"/>
        <v>337.93645183838055</v>
      </c>
      <c r="BT48" s="36">
        <f t="shared" si="58"/>
        <v>333.71224619040078</v>
      </c>
      <c r="BU48" s="36">
        <f t="shared" si="58"/>
        <v>329.54084311302074</v>
      </c>
      <c r="BV48" s="36">
        <f t="shared" si="58"/>
        <v>325.42158257410796</v>
      </c>
      <c r="BW48" s="36">
        <f t="shared" si="58"/>
        <v>321.3538127919316</v>
      </c>
      <c r="BX48" s="268">
        <f t="shared" si="58"/>
        <v>321.35381279193166</v>
      </c>
      <c r="BY48" s="36">
        <f t="shared" si="58"/>
        <v>317.33689013203247</v>
      </c>
      <c r="BZ48" s="36">
        <f t="shared" si="58"/>
        <v>313.37017900538206</v>
      </c>
      <c r="CA48" s="36">
        <f t="shared" si="58"/>
        <v>309.45305176781477</v>
      </c>
      <c r="CB48" s="36">
        <f t="shared" si="58"/>
        <v>305.58488862071709</v>
      </c>
      <c r="CC48" s="268">
        <f t="shared" si="58"/>
        <v>305.58488862071709</v>
      </c>
      <c r="CD48" s="36">
        <f t="shared" si="58"/>
        <v>301.76507751295816</v>
      </c>
      <c r="CE48" s="36">
        <f t="shared" si="58"/>
        <v>297.99301404404616</v>
      </c>
      <c r="CF48" s="36">
        <f t="shared" si="58"/>
        <v>294.26810136849559</v>
      </c>
      <c r="CG48" s="36">
        <f t="shared" si="58"/>
        <v>290.58975010138937</v>
      </c>
      <c r="CH48" s="268">
        <f t="shared" si="58"/>
        <v>290.58975010138937</v>
      </c>
      <c r="CI48" s="36">
        <f t="shared" si="58"/>
        <v>286.957378225122</v>
      </c>
      <c r="CJ48" s="36">
        <f t="shared" si="58"/>
        <v>283.370410997308</v>
      </c>
      <c r="CK48" s="36">
        <f t="shared" si="58"/>
        <v>279.82828085984164</v>
      </c>
      <c r="CL48" s="36">
        <f t="shared" ref="CL48:DB48" si="59">SUM(CL45:CL47)</f>
        <v>276.33042734909361</v>
      </c>
      <c r="CM48" s="268">
        <f t="shared" si="59"/>
        <v>276.33042734909361</v>
      </c>
      <c r="CN48" s="36">
        <f t="shared" si="59"/>
        <v>272.87629700722994</v>
      </c>
      <c r="CO48" s="36">
        <f t="shared" si="59"/>
        <v>269.46534329463958</v>
      </c>
      <c r="CP48" s="36">
        <f t="shared" si="59"/>
        <v>266.09702650345656</v>
      </c>
      <c r="CQ48" s="36">
        <f t="shared" si="59"/>
        <v>262.77081367216334</v>
      </c>
      <c r="CR48" s="268">
        <f t="shared" si="59"/>
        <v>262.77081367216334</v>
      </c>
      <c r="CS48" s="36">
        <f t="shared" si="59"/>
        <v>259.48617850126129</v>
      </c>
      <c r="CT48" s="36">
        <f t="shared" si="59"/>
        <v>256.24260126999553</v>
      </c>
      <c r="CU48" s="36">
        <f t="shared" si="59"/>
        <v>253.03956875412058</v>
      </c>
      <c r="CV48" s="36">
        <f t="shared" si="59"/>
        <v>249.87657414469408</v>
      </c>
      <c r="CW48" s="268">
        <f t="shared" si="59"/>
        <v>249.87657414469408</v>
      </c>
      <c r="CX48" s="36">
        <f t="shared" si="59"/>
        <v>246.7531169678854</v>
      </c>
      <c r="CY48" s="36">
        <f t="shared" si="59"/>
        <v>243.66870300578682</v>
      </c>
      <c r="CZ48" s="36">
        <f t="shared" si="59"/>
        <v>240.62284421821448</v>
      </c>
      <c r="DA48" s="36">
        <f t="shared" si="59"/>
        <v>237.6150586654868</v>
      </c>
      <c r="DB48" s="268">
        <f t="shared" si="59"/>
        <v>237.61505866548683</v>
      </c>
    </row>
    <row r="49" spans="1:106" s="33" customFormat="1">
      <c r="A49" s="36">
        <v>20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268"/>
      <c r="AA49" s="36"/>
      <c r="AB49" s="36"/>
      <c r="AC49" s="36"/>
      <c r="AD49" s="36"/>
      <c r="AE49" s="268"/>
      <c r="AF49" s="36"/>
      <c r="AG49" s="36"/>
      <c r="AH49" s="36"/>
      <c r="AI49" s="36"/>
      <c r="AJ49" s="268"/>
      <c r="AK49" s="36"/>
      <c r="AL49" s="36"/>
      <c r="AM49" s="36"/>
      <c r="AN49" s="36"/>
      <c r="AO49" s="268"/>
      <c r="AP49" s="36"/>
      <c r="AQ49" s="36"/>
      <c r="AR49" s="36"/>
      <c r="AS49" s="36"/>
      <c r="AT49" s="268"/>
      <c r="AU49" s="36"/>
      <c r="AV49" s="36"/>
      <c r="AW49" s="36"/>
      <c r="AX49" s="36"/>
      <c r="AY49" s="268"/>
      <c r="AZ49" s="36"/>
      <c r="BA49" s="36"/>
      <c r="BB49" s="36"/>
      <c r="BC49" s="36"/>
      <c r="BD49" s="268"/>
      <c r="BE49" s="36"/>
      <c r="BF49" s="36"/>
      <c r="BG49" s="36"/>
      <c r="BH49" s="36"/>
      <c r="BI49" s="268"/>
      <c r="BJ49" s="284"/>
      <c r="BK49" s="36"/>
      <c r="BL49" s="36"/>
      <c r="BM49" s="36"/>
      <c r="BN49" s="268"/>
      <c r="BO49" s="36"/>
      <c r="BP49" s="36"/>
      <c r="BQ49" s="36"/>
      <c r="BR49" s="36"/>
      <c r="BS49" s="268"/>
      <c r="BT49" s="36"/>
      <c r="BU49" s="36"/>
      <c r="BV49" s="36"/>
      <c r="BW49" s="36"/>
      <c r="BX49" s="268"/>
      <c r="BY49" s="36"/>
      <c r="BZ49" s="36"/>
      <c r="CA49" s="36"/>
      <c r="CB49" s="36"/>
      <c r="CC49" s="268"/>
      <c r="CD49" s="36"/>
      <c r="CE49" s="36"/>
      <c r="CF49" s="36"/>
      <c r="CG49" s="36"/>
      <c r="CH49" s="268"/>
      <c r="CI49" s="36"/>
      <c r="CJ49" s="36"/>
      <c r="CK49" s="36"/>
      <c r="CL49" s="36"/>
      <c r="CM49" s="268"/>
      <c r="CN49" s="36"/>
      <c r="CO49" s="36"/>
      <c r="CP49" s="36"/>
      <c r="CQ49" s="36"/>
      <c r="CR49" s="268"/>
      <c r="CS49" s="36"/>
      <c r="CT49" s="36"/>
      <c r="CU49" s="36"/>
      <c r="CV49" s="36"/>
      <c r="CW49" s="268"/>
      <c r="CX49" s="36"/>
      <c r="CY49" s="36"/>
      <c r="CZ49" s="36"/>
      <c r="DA49" s="36"/>
      <c r="DB49" s="268"/>
    </row>
    <row r="50" spans="1:106" s="33" customFormat="1">
      <c r="A50" s="36"/>
      <c r="F50" s="36"/>
      <c r="K50" s="36"/>
      <c r="P50" s="36"/>
      <c r="U50" s="36"/>
      <c r="Z50" s="268"/>
      <c r="AE50" s="268"/>
      <c r="AF50" s="36"/>
      <c r="AG50" s="36"/>
      <c r="AH50" s="36"/>
      <c r="AI50" s="36"/>
      <c r="AJ50" s="268"/>
      <c r="AL50" s="36"/>
      <c r="AM50" s="36"/>
      <c r="AN50" s="36"/>
      <c r="AO50" s="268"/>
      <c r="AT50" s="268"/>
      <c r="AY50" s="268"/>
      <c r="BD50" s="268"/>
      <c r="BI50" s="268"/>
      <c r="BJ50" s="386"/>
      <c r="BN50" s="268"/>
      <c r="BS50" s="268"/>
      <c r="BX50" s="268"/>
      <c r="CC50" s="268"/>
      <c r="CH50" s="268"/>
      <c r="CM50" s="268"/>
      <c r="CR50" s="268"/>
      <c r="CW50" s="268"/>
      <c r="DB50" s="268"/>
    </row>
    <row r="51" spans="1:106" s="33" customFormat="1">
      <c r="A51" s="49" t="s">
        <v>147</v>
      </c>
      <c r="F51" s="36"/>
      <c r="K51" s="36"/>
      <c r="P51" s="36"/>
      <c r="U51" s="36"/>
      <c r="Z51" s="268"/>
      <c r="AE51" s="268"/>
      <c r="AF51" s="36"/>
      <c r="AG51" s="36"/>
      <c r="AH51" s="36"/>
      <c r="AI51" s="36"/>
      <c r="AJ51" s="268"/>
      <c r="AL51" s="36"/>
      <c r="AM51" s="36"/>
      <c r="AN51" s="36"/>
      <c r="AO51" s="268"/>
      <c r="AT51" s="268"/>
      <c r="AY51" s="268"/>
      <c r="BD51" s="268"/>
      <c r="BI51" s="268"/>
      <c r="BJ51" s="386"/>
      <c r="BN51" s="268"/>
      <c r="BS51" s="268"/>
      <c r="BX51" s="268"/>
      <c r="CC51" s="268"/>
      <c r="CH51" s="268"/>
      <c r="CM51" s="268"/>
      <c r="CR51" s="268"/>
      <c r="CW51" s="268"/>
      <c r="DB51" s="268"/>
    </row>
    <row r="52" spans="1:106" s="33" customFormat="1">
      <c r="A52" s="36" t="s">
        <v>139</v>
      </c>
      <c r="B52" s="36">
        <v>0</v>
      </c>
      <c r="C52" s="36">
        <f>B55</f>
        <v>0</v>
      </c>
      <c r="D52" s="36">
        <f>C55</f>
        <v>0</v>
      </c>
      <c r="E52" s="36">
        <f>D55</f>
        <v>0</v>
      </c>
      <c r="F52" s="36">
        <v>0</v>
      </c>
      <c r="G52" s="36">
        <v>0</v>
      </c>
      <c r="H52" s="36">
        <f>G55</f>
        <v>0</v>
      </c>
      <c r="I52" s="36">
        <f>H55</f>
        <v>0</v>
      </c>
      <c r="J52" s="36">
        <f>I55</f>
        <v>0</v>
      </c>
      <c r="K52" s="36">
        <f>G52</f>
        <v>0</v>
      </c>
      <c r="L52" s="36">
        <f>J55</f>
        <v>0</v>
      </c>
      <c r="M52" s="36">
        <f>L55</f>
        <v>0</v>
      </c>
      <c r="N52" s="36">
        <f>M55</f>
        <v>0</v>
      </c>
      <c r="O52" s="36">
        <f>N55</f>
        <v>0</v>
      </c>
      <c r="P52" s="36">
        <f>L52</f>
        <v>0</v>
      </c>
      <c r="Q52" s="36">
        <f>O55</f>
        <v>0</v>
      </c>
      <c r="R52" s="36">
        <f>Q55</f>
        <v>0</v>
      </c>
      <c r="S52" s="36">
        <f>R55</f>
        <v>0</v>
      </c>
      <c r="T52" s="36">
        <f>S55</f>
        <v>0</v>
      </c>
      <c r="U52" s="36">
        <f>Q52</f>
        <v>0</v>
      </c>
      <c r="V52" s="36">
        <f>T55</f>
        <v>0</v>
      </c>
      <c r="W52" s="36">
        <f>V55</f>
        <v>0</v>
      </c>
      <c r="X52" s="36">
        <f>W55</f>
        <v>0</v>
      </c>
      <c r="Y52" s="36">
        <f>X55</f>
        <v>0</v>
      </c>
      <c r="Z52" s="268">
        <f>V52</f>
        <v>0</v>
      </c>
      <c r="AA52" s="36">
        <f>Y55</f>
        <v>0</v>
      </c>
      <c r="AB52" s="36">
        <f>AA55</f>
        <v>0</v>
      </c>
      <c r="AC52" s="36">
        <f>AB55</f>
        <v>0</v>
      </c>
      <c r="AD52" s="36">
        <f>AC55</f>
        <v>0</v>
      </c>
      <c r="AE52" s="268">
        <f>AA52</f>
        <v>0</v>
      </c>
      <c r="AF52" s="36">
        <f>AD55</f>
        <v>0</v>
      </c>
      <c r="AG52" s="36">
        <f>AF55</f>
        <v>0</v>
      </c>
      <c r="AH52" s="36">
        <f>AG55</f>
        <v>0</v>
      </c>
      <c r="AI52" s="36">
        <f>AH55</f>
        <v>0</v>
      </c>
      <c r="AJ52" s="268">
        <f>AF52</f>
        <v>0</v>
      </c>
      <c r="AK52" s="36">
        <f>AI55</f>
        <v>0</v>
      </c>
      <c r="AL52" s="36">
        <f>AK55</f>
        <v>0</v>
      </c>
      <c r="AM52" s="36">
        <f>AL55</f>
        <v>0</v>
      </c>
      <c r="AN52" s="36">
        <f>AM55</f>
        <v>0</v>
      </c>
      <c r="AO52" s="268">
        <f>AK52</f>
        <v>0</v>
      </c>
      <c r="AP52" s="36">
        <f>AN55</f>
        <v>0</v>
      </c>
      <c r="AQ52" s="36">
        <f>AP55</f>
        <v>0</v>
      </c>
      <c r="AR52" s="36">
        <f>AQ55</f>
        <v>0</v>
      </c>
      <c r="AS52" s="36">
        <f>AR55</f>
        <v>0</v>
      </c>
      <c r="AT52" s="268">
        <f>AP52</f>
        <v>0</v>
      </c>
      <c r="AU52" s="36">
        <f>AS55</f>
        <v>0</v>
      </c>
      <c r="AV52" s="36">
        <f>AU55</f>
        <v>0</v>
      </c>
      <c r="AW52" s="36">
        <f>AV55</f>
        <v>0</v>
      </c>
      <c r="AX52" s="36">
        <f>AW55</f>
        <v>0</v>
      </c>
      <c r="AY52" s="268">
        <f>AU52</f>
        <v>0</v>
      </c>
      <c r="AZ52" s="36">
        <f>AX55</f>
        <v>0</v>
      </c>
      <c r="BA52" s="36">
        <f>AZ55</f>
        <v>0</v>
      </c>
      <c r="BB52" s="36">
        <f>BA55</f>
        <v>0</v>
      </c>
      <c r="BC52" s="36">
        <f>BB55</f>
        <v>0</v>
      </c>
      <c r="BD52" s="268">
        <f>AZ52</f>
        <v>0</v>
      </c>
      <c r="BE52" s="36">
        <f>BC55</f>
        <v>0</v>
      </c>
      <c r="BF52" s="36">
        <f>BE55</f>
        <v>0</v>
      </c>
      <c r="BG52" s="36">
        <f>BF55</f>
        <v>0</v>
      </c>
      <c r="BH52" s="36">
        <f>BG55</f>
        <v>0</v>
      </c>
      <c r="BI52" s="268">
        <f>BE52</f>
        <v>0</v>
      </c>
      <c r="BJ52" s="284">
        <f>BH55</f>
        <v>141.07</v>
      </c>
      <c r="BK52" s="36">
        <f>BJ55</f>
        <v>141.07</v>
      </c>
      <c r="BL52" s="36">
        <f>BK55</f>
        <v>141.07</v>
      </c>
      <c r="BM52" s="36">
        <f>BL55</f>
        <v>141.07</v>
      </c>
      <c r="BN52" s="268">
        <f>BJ52</f>
        <v>141.07</v>
      </c>
      <c r="BO52" s="36">
        <f>BM55</f>
        <v>141.07</v>
      </c>
      <c r="BP52" s="36">
        <f>BO55</f>
        <v>141.07</v>
      </c>
      <c r="BQ52" s="36">
        <f>BP55</f>
        <v>141.07</v>
      </c>
      <c r="BR52" s="36">
        <f>BQ55</f>
        <v>141.07</v>
      </c>
      <c r="BS52" s="268">
        <f>BO52</f>
        <v>141.07</v>
      </c>
      <c r="BT52" s="36">
        <f>BR55</f>
        <v>141.07</v>
      </c>
      <c r="BU52" s="36">
        <f>BT55</f>
        <v>141.07</v>
      </c>
      <c r="BV52" s="36">
        <f>BU55</f>
        <v>141.07</v>
      </c>
      <c r="BW52" s="36">
        <f>BV55</f>
        <v>141.07</v>
      </c>
      <c r="BX52" s="268">
        <f>BT52</f>
        <v>141.07</v>
      </c>
      <c r="BY52" s="36">
        <f>BW55</f>
        <v>141.07</v>
      </c>
      <c r="BZ52" s="36">
        <f>BY55</f>
        <v>141.07</v>
      </c>
      <c r="CA52" s="36">
        <f>BZ55</f>
        <v>141.07</v>
      </c>
      <c r="CB52" s="36">
        <f>CA55</f>
        <v>141.07</v>
      </c>
      <c r="CC52" s="268">
        <f>BY52</f>
        <v>141.07</v>
      </c>
      <c r="CD52" s="36">
        <f>CB55</f>
        <v>141.07</v>
      </c>
      <c r="CE52" s="36">
        <f>CD55</f>
        <v>141.07</v>
      </c>
      <c r="CF52" s="36">
        <f>CE55</f>
        <v>141.07</v>
      </c>
      <c r="CG52" s="36">
        <f>CF55</f>
        <v>141.07</v>
      </c>
      <c r="CH52" s="268">
        <f>CD52</f>
        <v>141.07</v>
      </c>
      <c r="CI52" s="36">
        <f>CG55</f>
        <v>141.07</v>
      </c>
      <c r="CJ52" s="36">
        <f>CI55</f>
        <v>141.07</v>
      </c>
      <c r="CK52" s="36">
        <f>CJ55</f>
        <v>141.07</v>
      </c>
      <c r="CL52" s="36">
        <f>CK55</f>
        <v>141.07</v>
      </c>
      <c r="CM52" s="268">
        <f>CI52</f>
        <v>141.07</v>
      </c>
      <c r="CN52" s="36">
        <f>CL55</f>
        <v>141.07</v>
      </c>
      <c r="CO52" s="36">
        <f>CN55</f>
        <v>141.07</v>
      </c>
      <c r="CP52" s="36">
        <f>CO55</f>
        <v>141.07</v>
      </c>
      <c r="CQ52" s="36">
        <f>CP55</f>
        <v>141.07</v>
      </c>
      <c r="CR52" s="268">
        <f>CN52</f>
        <v>141.07</v>
      </c>
      <c r="CS52" s="36">
        <f>CQ55</f>
        <v>141.07</v>
      </c>
      <c r="CT52" s="36">
        <f>CS55</f>
        <v>141.07</v>
      </c>
      <c r="CU52" s="36">
        <f>CT55</f>
        <v>141.07</v>
      </c>
      <c r="CV52" s="36">
        <f>CU55</f>
        <v>141.07</v>
      </c>
      <c r="CW52" s="268">
        <f>CS52</f>
        <v>141.07</v>
      </c>
      <c r="CX52" s="36">
        <f>CV55</f>
        <v>141.07</v>
      </c>
      <c r="CY52" s="36">
        <f>CX55</f>
        <v>141.07</v>
      </c>
      <c r="CZ52" s="36">
        <f>CY55</f>
        <v>141.07</v>
      </c>
      <c r="DA52" s="36">
        <f>CZ55</f>
        <v>141.07</v>
      </c>
      <c r="DB52" s="268">
        <f>CX52</f>
        <v>141.07</v>
      </c>
    </row>
    <row r="53" spans="1:106" s="33" customFormat="1">
      <c r="A53" s="36" t="s">
        <v>145</v>
      </c>
      <c r="B53" s="36">
        <v>0</v>
      </c>
      <c r="C53" s="36">
        <f>C55-C52</f>
        <v>0</v>
      </c>
      <c r="D53" s="36">
        <f>D55-D52</f>
        <v>0</v>
      </c>
      <c r="E53" s="36">
        <f>E55-E52</f>
        <v>0</v>
      </c>
      <c r="F53" s="36">
        <v>0</v>
      </c>
      <c r="G53" s="36">
        <v>0</v>
      </c>
      <c r="H53" s="36">
        <f>H55-H52</f>
        <v>0</v>
      </c>
      <c r="I53" s="36">
        <f>I55-I52</f>
        <v>0</v>
      </c>
      <c r="J53" s="36">
        <f>J55-J52</f>
        <v>0</v>
      </c>
      <c r="K53" s="36">
        <f>SUM(G53:J53)</f>
        <v>0</v>
      </c>
      <c r="L53" s="36">
        <f>L55-L52</f>
        <v>0</v>
      </c>
      <c r="M53" s="36">
        <f>M55-M52</f>
        <v>0</v>
      </c>
      <c r="N53" s="36">
        <f>N55-N52</f>
        <v>0</v>
      </c>
      <c r="O53" s="36">
        <f>O55-O52</f>
        <v>0</v>
      </c>
      <c r="P53" s="36">
        <f>SUM(L53:O53)</f>
        <v>0</v>
      </c>
      <c r="Q53" s="36">
        <f>Q55-Q52</f>
        <v>0</v>
      </c>
      <c r="R53" s="36">
        <f>R55-R52</f>
        <v>0</v>
      </c>
      <c r="S53" s="36">
        <f>S55-S52</f>
        <v>0</v>
      </c>
      <c r="T53" s="36">
        <f>T55-T52</f>
        <v>0</v>
      </c>
      <c r="U53" s="36">
        <f>SUM(Q53:T53)</f>
        <v>0</v>
      </c>
      <c r="V53" s="36">
        <f>V55-V52</f>
        <v>0</v>
      </c>
      <c r="W53" s="36">
        <f>W55-W52</f>
        <v>0</v>
      </c>
      <c r="X53" s="36">
        <f>X55-X52</f>
        <v>0</v>
      </c>
      <c r="Y53" s="36">
        <f>Y55-Y52</f>
        <v>0</v>
      </c>
      <c r="Z53" s="268">
        <f>SUM(V53:Y53)</f>
        <v>0</v>
      </c>
      <c r="AA53" s="36">
        <f>AA55-AA52</f>
        <v>0</v>
      </c>
      <c r="AB53" s="36">
        <v>0</v>
      </c>
      <c r="AC53" s="36">
        <v>0</v>
      </c>
      <c r="AD53" s="36">
        <f>AD55-AD54-AD52</f>
        <v>0</v>
      </c>
      <c r="AE53" s="268">
        <f>SUM(AA53:AD53)</f>
        <v>0</v>
      </c>
      <c r="AF53" s="36">
        <f>AF55-AF54-AF52</f>
        <v>0</v>
      </c>
      <c r="AG53" s="36">
        <f>AG55-AG54-AG52</f>
        <v>0</v>
      </c>
      <c r="AH53" s="36">
        <f>AH55-AH54-AH52</f>
        <v>0</v>
      </c>
      <c r="AI53" s="36">
        <f>AI55-AI54-AI52</f>
        <v>0</v>
      </c>
      <c r="AJ53" s="268">
        <f>SUM(AF53:AI53)</f>
        <v>0</v>
      </c>
      <c r="AK53" s="36">
        <f>AK55-AK54-AK52</f>
        <v>0</v>
      </c>
      <c r="AL53" s="36">
        <f>AL55-AL54-AL52</f>
        <v>0</v>
      </c>
      <c r="AM53" s="36">
        <f>AM55-AM54-AM52</f>
        <v>0</v>
      </c>
      <c r="AN53" s="36">
        <f>AN55-AN54-AN52</f>
        <v>0</v>
      </c>
      <c r="AO53" s="268">
        <v>0</v>
      </c>
      <c r="AP53" s="36">
        <f>AP55-AP54-AP52</f>
        <v>0</v>
      </c>
      <c r="AQ53" s="36">
        <f>AQ55-AQ54-AQ52</f>
        <v>0</v>
      </c>
      <c r="AR53" s="36">
        <f>AR55-AR54-AR52</f>
        <v>0</v>
      </c>
      <c r="AS53" s="36">
        <f>AS55-AS54-AS52</f>
        <v>0</v>
      </c>
      <c r="AT53" s="268">
        <f>SUM(AP53:AS53)</f>
        <v>0</v>
      </c>
      <c r="AU53" s="36">
        <f>AU55-AU54-AU52</f>
        <v>0</v>
      </c>
      <c r="AV53" s="36">
        <f>AV55-AV54-AV52</f>
        <v>0</v>
      </c>
      <c r="AW53" s="36">
        <f>AW55-AW54-AW52</f>
        <v>0</v>
      </c>
      <c r="AX53" s="36">
        <f>AX55-AX54-AX52</f>
        <v>0</v>
      </c>
      <c r="AY53" s="268">
        <f>SUM(AU53:AX53)</f>
        <v>0</v>
      </c>
      <c r="AZ53" s="36">
        <f>AZ55-AZ54-AZ52</f>
        <v>0</v>
      </c>
      <c r="BA53" s="36">
        <f>BA55-BA54-BA52</f>
        <v>0</v>
      </c>
      <c r="BB53" s="36">
        <f>BB55-BB54-BB52</f>
        <v>0</v>
      </c>
      <c r="BC53" s="36">
        <f>BC55-BC54-BC52</f>
        <v>0</v>
      </c>
      <c r="BD53" s="268">
        <f>SUM(AZ53:BC53)</f>
        <v>0</v>
      </c>
      <c r="BE53" s="36">
        <f>BE55-BE54-BE52</f>
        <v>0</v>
      </c>
      <c r="BF53" s="36">
        <f>BF55-BF54-BF52</f>
        <v>0</v>
      </c>
      <c r="BG53" s="36">
        <f>BG55-BG54-BG52</f>
        <v>0</v>
      </c>
      <c r="BH53" s="36">
        <f>BH55-BH54-BH52</f>
        <v>141.07</v>
      </c>
      <c r="BI53" s="272">
        <f>-CF!BI25</f>
        <v>275</v>
      </c>
      <c r="BJ53" s="387">
        <f>BN53/4</f>
        <v>0</v>
      </c>
      <c r="BK53" s="50">
        <f>(BN53-BJ53)/3</f>
        <v>0</v>
      </c>
      <c r="BL53" s="50">
        <f>(BN53-SUM(BJ53:BK53))/2</f>
        <v>0</v>
      </c>
      <c r="BM53" s="50">
        <f>BN53-SUM(BJ53:BL53)</f>
        <v>0</v>
      </c>
      <c r="BN53" s="272">
        <f>-CF!BN25</f>
        <v>0</v>
      </c>
      <c r="BO53" s="50">
        <f>BS53/4</f>
        <v>0</v>
      </c>
      <c r="BP53" s="50">
        <f>(BS53-BO53)/3</f>
        <v>0</v>
      </c>
      <c r="BQ53" s="50">
        <f>(BS53-SUM(BO53:BP53))/2</f>
        <v>0</v>
      </c>
      <c r="BR53" s="50">
        <f>BS53-SUM(BO53:BQ53)</f>
        <v>0</v>
      </c>
      <c r="BS53" s="272">
        <f>-CF!BS25</f>
        <v>0</v>
      </c>
      <c r="BT53" s="50">
        <f>BX53/4</f>
        <v>0</v>
      </c>
      <c r="BU53" s="50">
        <f>(BX53-BT53)/3</f>
        <v>0</v>
      </c>
      <c r="BV53" s="50">
        <f>(BX53-SUM(BT53:BU53))/2</f>
        <v>0</v>
      </c>
      <c r="BW53" s="50">
        <f>BX53-SUM(BT53:BV53)</f>
        <v>0</v>
      </c>
      <c r="BX53" s="272">
        <f>-CF!BX25</f>
        <v>0</v>
      </c>
      <c r="BY53" s="50">
        <f>CC53/4</f>
        <v>0</v>
      </c>
      <c r="BZ53" s="50">
        <f>(CC53-BY53)/3</f>
        <v>0</v>
      </c>
      <c r="CA53" s="50">
        <f>(CC53-SUM(BY53:BZ53))/2</f>
        <v>0</v>
      </c>
      <c r="CB53" s="50">
        <f>CC53-SUM(BY53:CA53)</f>
        <v>0</v>
      </c>
      <c r="CC53" s="272">
        <f>-CF!CC25</f>
        <v>0</v>
      </c>
      <c r="CD53" s="50">
        <f>CH53/4</f>
        <v>0</v>
      </c>
      <c r="CE53" s="50">
        <f>(CH53-CD53)/3</f>
        <v>0</v>
      </c>
      <c r="CF53" s="50">
        <f>(CH53-SUM(CD53:CE53))/2</f>
        <v>0</v>
      </c>
      <c r="CG53" s="50">
        <f>CH53-SUM(CD53:CF53)</f>
        <v>0</v>
      </c>
      <c r="CH53" s="272">
        <f>-CF!CH25</f>
        <v>0</v>
      </c>
      <c r="CI53" s="50">
        <f>CM53/4</f>
        <v>0</v>
      </c>
      <c r="CJ53" s="50">
        <f>(CM53-CI53)/3</f>
        <v>0</v>
      </c>
      <c r="CK53" s="50">
        <f>(CM53-SUM(CI53:CJ53))/2</f>
        <v>0</v>
      </c>
      <c r="CL53" s="50">
        <f>CM53-SUM(CI53:CK53)</f>
        <v>0</v>
      </c>
      <c r="CM53" s="272">
        <f>-CF!CM25</f>
        <v>0</v>
      </c>
      <c r="CN53" s="50">
        <f>CR53/4</f>
        <v>0</v>
      </c>
      <c r="CO53" s="50">
        <f>(CR53-CN53)/3</f>
        <v>0</v>
      </c>
      <c r="CP53" s="50">
        <f>(CR53-SUM(CN53:CO53))/2</f>
        <v>0</v>
      </c>
      <c r="CQ53" s="50">
        <f>CR53-SUM(CN53:CP53)</f>
        <v>0</v>
      </c>
      <c r="CR53" s="272">
        <f>-CF!CR25</f>
        <v>0</v>
      </c>
      <c r="CS53" s="50">
        <f>CW53/4</f>
        <v>0</v>
      </c>
      <c r="CT53" s="50">
        <f>(CW53-CS53)/3</f>
        <v>0</v>
      </c>
      <c r="CU53" s="50">
        <f>(CW53-SUM(CS53:CT53))/2</f>
        <v>0</v>
      </c>
      <c r="CV53" s="50">
        <f>CW53-SUM(CS53:CU53)</f>
        <v>0</v>
      </c>
      <c r="CW53" s="272">
        <f>-CF!CW25</f>
        <v>0</v>
      </c>
      <c r="CX53" s="50">
        <f>DB53/4</f>
        <v>0</v>
      </c>
      <c r="CY53" s="50">
        <f>(DB53-CX53)/3</f>
        <v>0</v>
      </c>
      <c r="CZ53" s="50">
        <f>(DB53-SUM(CX53:CY53))/2</f>
        <v>0</v>
      </c>
      <c r="DA53" s="50">
        <f>DB53-SUM(CX53:CZ53)</f>
        <v>0</v>
      </c>
      <c r="DB53" s="272">
        <f>-CF!DB25</f>
        <v>0</v>
      </c>
    </row>
    <row r="54" spans="1:106" s="36" customFormat="1">
      <c r="A54" s="36" t="s">
        <v>146</v>
      </c>
      <c r="B54" s="36">
        <v>0</v>
      </c>
      <c r="C54" s="36">
        <v>0</v>
      </c>
      <c r="D54" s="36">
        <v>0</v>
      </c>
      <c r="E54" s="36">
        <v>0</v>
      </c>
      <c r="F54" s="36">
        <f>SUM(B54:E54)</f>
        <v>0</v>
      </c>
      <c r="G54" s="36">
        <v>0</v>
      </c>
      <c r="H54" s="36">
        <v>0</v>
      </c>
      <c r="I54" s="36">
        <v>0</v>
      </c>
      <c r="J54" s="36">
        <v>0</v>
      </c>
      <c r="K54" s="36">
        <f>SUM(G54:J54)</f>
        <v>0</v>
      </c>
      <c r="L54" s="36">
        <v>0</v>
      </c>
      <c r="M54" s="36">
        <v>0</v>
      </c>
      <c r="N54" s="36">
        <v>0</v>
      </c>
      <c r="O54" s="36">
        <v>0</v>
      </c>
      <c r="P54" s="36">
        <f>SUM(L54:O54)</f>
        <v>0</v>
      </c>
      <c r="Q54" s="36">
        <v>0</v>
      </c>
      <c r="R54" s="36">
        <v>0</v>
      </c>
      <c r="S54" s="36">
        <v>0</v>
      </c>
      <c r="T54" s="36">
        <v>0</v>
      </c>
      <c r="U54" s="36">
        <f>SUM(Q54:T54)</f>
        <v>0</v>
      </c>
      <c r="V54" s="36">
        <v>0</v>
      </c>
      <c r="W54" s="36">
        <v>0</v>
      </c>
      <c r="X54" s="36">
        <v>0</v>
      </c>
      <c r="Y54" s="36">
        <v>0</v>
      </c>
      <c r="Z54" s="268">
        <f>SUM(V54:Y54)</f>
        <v>0</v>
      </c>
      <c r="AA54" s="36">
        <v>0</v>
      </c>
      <c r="AB54" s="36">
        <v>0</v>
      </c>
      <c r="AC54" s="36">
        <v>0</v>
      </c>
      <c r="AD54" s="36">
        <v>0</v>
      </c>
      <c r="AE54" s="268">
        <f>SUM(AA54:AD54)</f>
        <v>0</v>
      </c>
      <c r="AF54" s="36">
        <v>0</v>
      </c>
      <c r="AG54" s="36">
        <v>0</v>
      </c>
      <c r="AH54" s="36">
        <v>0</v>
      </c>
      <c r="AI54" s="36">
        <v>0</v>
      </c>
      <c r="AJ54" s="268">
        <f>SUM(AF54:AI54)</f>
        <v>0</v>
      </c>
      <c r="AK54" s="36">
        <v>0</v>
      </c>
      <c r="AL54" s="36">
        <v>0</v>
      </c>
      <c r="AM54" s="36">
        <v>0</v>
      </c>
      <c r="AN54" s="36">
        <v>0</v>
      </c>
      <c r="AO54" s="268">
        <f>SUM(AK54:AN54)</f>
        <v>0</v>
      </c>
      <c r="AP54" s="36">
        <v>0</v>
      </c>
      <c r="AQ54" s="36">
        <v>0</v>
      </c>
      <c r="AR54" s="36">
        <v>0</v>
      </c>
      <c r="AS54" s="36">
        <v>0</v>
      </c>
      <c r="AT54" s="268">
        <f>SUM(AP54:AS54)</f>
        <v>0</v>
      </c>
      <c r="AU54" s="36">
        <v>0</v>
      </c>
      <c r="AV54" s="36">
        <v>0</v>
      </c>
      <c r="AW54" s="36">
        <v>0</v>
      </c>
      <c r="AX54" s="36">
        <v>0</v>
      </c>
      <c r="AY54" s="268">
        <f>SUM(AU54:AX54)</f>
        <v>0</v>
      </c>
      <c r="AZ54" s="36">
        <v>0</v>
      </c>
      <c r="BA54" s="36">
        <v>0</v>
      </c>
      <c r="BB54" s="36">
        <v>0</v>
      </c>
      <c r="BC54" s="36">
        <v>0</v>
      </c>
      <c r="BD54" s="268">
        <f>SUM(AZ54:BC54)</f>
        <v>0</v>
      </c>
      <c r="BE54" s="33">
        <v>0</v>
      </c>
      <c r="BF54" s="33">
        <v>0</v>
      </c>
      <c r="BG54" s="33">
        <v>0</v>
      </c>
      <c r="BH54" s="33">
        <v>0</v>
      </c>
      <c r="BI54" s="268">
        <f>SUM(BE54:BH54)</f>
        <v>0</v>
      </c>
      <c r="BJ54" s="284">
        <v>0</v>
      </c>
      <c r="BK54" s="36">
        <v>0</v>
      </c>
      <c r="BL54" s="36">
        <v>0</v>
      </c>
      <c r="BM54" s="36">
        <v>0</v>
      </c>
      <c r="BN54" s="268">
        <f>SUM(BJ54:BM54)</f>
        <v>0</v>
      </c>
      <c r="BO54" s="36">
        <v>0</v>
      </c>
      <c r="BP54" s="36">
        <v>0</v>
      </c>
      <c r="BQ54" s="36">
        <v>0</v>
      </c>
      <c r="BR54" s="36">
        <v>0</v>
      </c>
      <c r="BS54" s="268">
        <f>SUM(BO54:BR54)</f>
        <v>0</v>
      </c>
      <c r="BT54" s="36">
        <v>0</v>
      </c>
      <c r="BU54" s="36">
        <v>0</v>
      </c>
      <c r="BV54" s="36">
        <v>0</v>
      </c>
      <c r="BW54" s="36">
        <v>0</v>
      </c>
      <c r="BX54" s="268">
        <f>SUM(BT54:BW54)</f>
        <v>0</v>
      </c>
      <c r="BY54" s="36">
        <v>0</v>
      </c>
      <c r="BZ54" s="36">
        <v>0</v>
      </c>
      <c r="CA54" s="36">
        <v>0</v>
      </c>
      <c r="CB54" s="36">
        <v>0</v>
      </c>
      <c r="CC54" s="268">
        <f>SUM(BY54:CB54)</f>
        <v>0</v>
      </c>
      <c r="CD54" s="36">
        <v>0</v>
      </c>
      <c r="CE54" s="36">
        <v>0</v>
      </c>
      <c r="CF54" s="36">
        <v>0</v>
      </c>
      <c r="CG54" s="36">
        <v>0</v>
      </c>
      <c r="CH54" s="268">
        <f>SUM(CD54:CG54)</f>
        <v>0</v>
      </c>
      <c r="CI54" s="36">
        <v>0</v>
      </c>
      <c r="CJ54" s="36">
        <v>0</v>
      </c>
      <c r="CK54" s="36">
        <v>0</v>
      </c>
      <c r="CL54" s="36">
        <v>0</v>
      </c>
      <c r="CM54" s="268">
        <f>SUM(CI54:CL54)</f>
        <v>0</v>
      </c>
      <c r="CN54" s="36">
        <v>0</v>
      </c>
      <c r="CO54" s="36">
        <v>0</v>
      </c>
      <c r="CP54" s="36">
        <v>0</v>
      </c>
      <c r="CQ54" s="36">
        <v>0</v>
      </c>
      <c r="CR54" s="268">
        <f>SUM(CN54:CQ54)</f>
        <v>0</v>
      </c>
      <c r="CS54" s="36">
        <v>0</v>
      </c>
      <c r="CT54" s="36">
        <v>0</v>
      </c>
      <c r="CU54" s="36">
        <v>0</v>
      </c>
      <c r="CV54" s="36">
        <v>0</v>
      </c>
      <c r="CW54" s="268">
        <f>SUM(CS54:CV54)</f>
        <v>0</v>
      </c>
      <c r="CX54" s="36">
        <v>0</v>
      </c>
      <c r="CY54" s="36">
        <v>0</v>
      </c>
      <c r="CZ54" s="36">
        <v>0</v>
      </c>
      <c r="DA54" s="36">
        <v>0</v>
      </c>
      <c r="DB54" s="268">
        <f>SUM(CX54:DA54)</f>
        <v>0</v>
      </c>
    </row>
    <row r="55" spans="1:106" s="33" customFormat="1">
      <c r="A55" s="36" t="s">
        <v>143</v>
      </c>
      <c r="B55" s="36">
        <f>BS!B17</f>
        <v>0</v>
      </c>
      <c r="C55" s="36">
        <f>BS!C17</f>
        <v>0</v>
      </c>
      <c r="D55" s="36">
        <f>BS!D17</f>
        <v>0</v>
      </c>
      <c r="E55" s="36">
        <f>BS!E17</f>
        <v>0</v>
      </c>
      <c r="F55" s="36">
        <f>SUM(F52:F54)</f>
        <v>0</v>
      </c>
      <c r="G55" s="36">
        <f>BS!G17</f>
        <v>0</v>
      </c>
      <c r="H55" s="36">
        <f>BS!H17</f>
        <v>0</v>
      </c>
      <c r="I55" s="36">
        <f>BS!I17</f>
        <v>0</v>
      </c>
      <c r="J55" s="36">
        <f>BS!J17</f>
        <v>0</v>
      </c>
      <c r="K55" s="36">
        <f>SUM(K52:K54)</f>
        <v>0</v>
      </c>
      <c r="L55" s="36">
        <f>BS!L17</f>
        <v>0</v>
      </c>
      <c r="M55" s="36">
        <f>BS!M17</f>
        <v>0</v>
      </c>
      <c r="N55" s="36">
        <f>BS!N17</f>
        <v>0</v>
      </c>
      <c r="O55" s="36">
        <f>BS!O17</f>
        <v>0</v>
      </c>
      <c r="P55" s="36">
        <f>SUM(P52:P54)</f>
        <v>0</v>
      </c>
      <c r="Q55" s="36">
        <f>BS!Q17</f>
        <v>0</v>
      </c>
      <c r="R55" s="36">
        <f>BS!R17</f>
        <v>0</v>
      </c>
      <c r="S55" s="36">
        <f>BS!S17</f>
        <v>0</v>
      </c>
      <c r="T55" s="36">
        <f>BS!T17</f>
        <v>0</v>
      </c>
      <c r="U55" s="36">
        <f>SUM(U52:U54)</f>
        <v>0</v>
      </c>
      <c r="V55" s="36">
        <f>BS!V17</f>
        <v>0</v>
      </c>
      <c r="W55" s="36">
        <f>BS!W17</f>
        <v>0</v>
      </c>
      <c r="X55" s="36">
        <f>BS!X17</f>
        <v>0</v>
      </c>
      <c r="Y55" s="36">
        <f>BS!Y17</f>
        <v>0</v>
      </c>
      <c r="Z55" s="269">
        <f>SUM(Z52:Z54)</f>
        <v>0</v>
      </c>
      <c r="AA55" s="36">
        <f>BS!AA17</f>
        <v>0</v>
      </c>
      <c r="AB55" s="36">
        <f>BS!AB17</f>
        <v>0</v>
      </c>
      <c r="AC55" s="36">
        <f>BS!AC17</f>
        <v>0</v>
      </c>
      <c r="AD55" s="36">
        <f>BS!AD17</f>
        <v>0</v>
      </c>
      <c r="AE55" s="269">
        <f>SUM(AE52:AE54)</f>
        <v>0</v>
      </c>
      <c r="AF55" s="36">
        <f>BS!AF17</f>
        <v>0</v>
      </c>
      <c r="AG55" s="36">
        <f>BS!AG17</f>
        <v>0</v>
      </c>
      <c r="AH55" s="36">
        <f>BS!AH17</f>
        <v>0</v>
      </c>
      <c r="AI55" s="36">
        <f>BS!AI17</f>
        <v>0</v>
      </c>
      <c r="AJ55" s="269">
        <f>SUM(AJ52:AJ54)</f>
        <v>0</v>
      </c>
      <c r="AK55" s="36">
        <f>BS!AK17</f>
        <v>0</v>
      </c>
      <c r="AL55" s="36">
        <f>BS!AL17</f>
        <v>0</v>
      </c>
      <c r="AM55" s="36">
        <f>BS!AM17</f>
        <v>0</v>
      </c>
      <c r="AN55" s="36">
        <f>BS!AN17</f>
        <v>0</v>
      </c>
      <c r="AO55" s="269">
        <f>SUM(AO52:AO54)</f>
        <v>0</v>
      </c>
      <c r="AP55" s="36">
        <f>BS!AP17</f>
        <v>0</v>
      </c>
      <c r="AQ55" s="36">
        <f>BS!AQ17</f>
        <v>0</v>
      </c>
      <c r="AR55" s="36">
        <f>BS!AR17</f>
        <v>0</v>
      </c>
      <c r="AS55" s="36">
        <f>BS!AS17</f>
        <v>0</v>
      </c>
      <c r="AT55" s="269">
        <f>SUM(AT52:AT54)</f>
        <v>0</v>
      </c>
      <c r="AU55" s="36">
        <f>BS!AU17</f>
        <v>0</v>
      </c>
      <c r="AV55" s="36">
        <f>BS!AV17</f>
        <v>0</v>
      </c>
      <c r="AW55" s="36">
        <f>BS!AW17</f>
        <v>0</v>
      </c>
      <c r="AX55" s="36">
        <f>BS!AX17</f>
        <v>0</v>
      </c>
      <c r="AY55" s="269">
        <f>SUM(AY52:AY54)</f>
        <v>0</v>
      </c>
      <c r="AZ55" s="36">
        <f>BS!AZ17</f>
        <v>0</v>
      </c>
      <c r="BA55" s="36">
        <f>BS!BA17</f>
        <v>0</v>
      </c>
      <c r="BB55" s="36">
        <f>BS!BB17</f>
        <v>0</v>
      </c>
      <c r="BC55" s="36">
        <f>BS!BC17</f>
        <v>0</v>
      </c>
      <c r="BD55" s="269">
        <f>SUM(BD52:BD54)</f>
        <v>0</v>
      </c>
      <c r="BE55" s="36">
        <f>BS!BE17</f>
        <v>0</v>
      </c>
      <c r="BF55" s="36">
        <f>BS!BF17</f>
        <v>0</v>
      </c>
      <c r="BG55" s="36">
        <f>BS!BG17</f>
        <v>0</v>
      </c>
      <c r="BH55" s="36">
        <f>BS!BH17</f>
        <v>141.07</v>
      </c>
      <c r="BI55" s="269">
        <f t="shared" ref="BI55:CK55" si="60">SUM(BI52:BI54)</f>
        <v>275</v>
      </c>
      <c r="BJ55" s="284">
        <f t="shared" si="60"/>
        <v>141.07</v>
      </c>
      <c r="BK55" s="36">
        <f t="shared" si="60"/>
        <v>141.07</v>
      </c>
      <c r="BL55" s="36">
        <f t="shared" si="60"/>
        <v>141.07</v>
      </c>
      <c r="BM55" s="36">
        <f t="shared" si="60"/>
        <v>141.07</v>
      </c>
      <c r="BN55" s="269">
        <f t="shared" si="60"/>
        <v>141.07</v>
      </c>
      <c r="BO55" s="36">
        <f t="shared" si="60"/>
        <v>141.07</v>
      </c>
      <c r="BP55" s="36">
        <f t="shared" si="60"/>
        <v>141.07</v>
      </c>
      <c r="BQ55" s="36">
        <f t="shared" si="60"/>
        <v>141.07</v>
      </c>
      <c r="BR55" s="36">
        <f t="shared" si="60"/>
        <v>141.07</v>
      </c>
      <c r="BS55" s="269">
        <f t="shared" si="60"/>
        <v>141.07</v>
      </c>
      <c r="BT55" s="36">
        <f t="shared" si="60"/>
        <v>141.07</v>
      </c>
      <c r="BU55" s="36">
        <f t="shared" si="60"/>
        <v>141.07</v>
      </c>
      <c r="BV55" s="36">
        <f t="shared" si="60"/>
        <v>141.07</v>
      </c>
      <c r="BW55" s="36">
        <f t="shared" si="60"/>
        <v>141.07</v>
      </c>
      <c r="BX55" s="269">
        <f t="shared" si="60"/>
        <v>141.07</v>
      </c>
      <c r="BY55" s="36">
        <f t="shared" si="60"/>
        <v>141.07</v>
      </c>
      <c r="BZ55" s="36">
        <f t="shared" si="60"/>
        <v>141.07</v>
      </c>
      <c r="CA55" s="36">
        <f t="shared" si="60"/>
        <v>141.07</v>
      </c>
      <c r="CB55" s="36">
        <f t="shared" si="60"/>
        <v>141.07</v>
      </c>
      <c r="CC55" s="269">
        <f t="shared" si="60"/>
        <v>141.07</v>
      </c>
      <c r="CD55" s="36">
        <f t="shared" si="60"/>
        <v>141.07</v>
      </c>
      <c r="CE55" s="36">
        <f t="shared" si="60"/>
        <v>141.07</v>
      </c>
      <c r="CF55" s="36">
        <f t="shared" si="60"/>
        <v>141.07</v>
      </c>
      <c r="CG55" s="36">
        <f t="shared" si="60"/>
        <v>141.07</v>
      </c>
      <c r="CH55" s="269">
        <f t="shared" si="60"/>
        <v>141.07</v>
      </c>
      <c r="CI55" s="36">
        <f t="shared" si="60"/>
        <v>141.07</v>
      </c>
      <c r="CJ55" s="36">
        <f t="shared" si="60"/>
        <v>141.07</v>
      </c>
      <c r="CK55" s="36">
        <f t="shared" si="60"/>
        <v>141.07</v>
      </c>
      <c r="CL55" s="36">
        <f t="shared" ref="CL55:DB55" si="61">SUM(CL52:CL54)</f>
        <v>141.07</v>
      </c>
      <c r="CM55" s="269">
        <f t="shared" si="61"/>
        <v>141.07</v>
      </c>
      <c r="CN55" s="36">
        <f t="shared" si="61"/>
        <v>141.07</v>
      </c>
      <c r="CO55" s="36">
        <f t="shared" si="61"/>
        <v>141.07</v>
      </c>
      <c r="CP55" s="36">
        <f t="shared" si="61"/>
        <v>141.07</v>
      </c>
      <c r="CQ55" s="36">
        <f t="shared" si="61"/>
        <v>141.07</v>
      </c>
      <c r="CR55" s="269">
        <f t="shared" si="61"/>
        <v>141.07</v>
      </c>
      <c r="CS55" s="36">
        <f t="shared" si="61"/>
        <v>141.07</v>
      </c>
      <c r="CT55" s="36">
        <f t="shared" si="61"/>
        <v>141.07</v>
      </c>
      <c r="CU55" s="36">
        <f t="shared" si="61"/>
        <v>141.07</v>
      </c>
      <c r="CV55" s="36">
        <f t="shared" si="61"/>
        <v>141.07</v>
      </c>
      <c r="CW55" s="269">
        <f t="shared" si="61"/>
        <v>141.07</v>
      </c>
      <c r="CX55" s="36">
        <f t="shared" si="61"/>
        <v>141.07</v>
      </c>
      <c r="CY55" s="36">
        <f t="shared" si="61"/>
        <v>141.07</v>
      </c>
      <c r="CZ55" s="36">
        <f t="shared" si="61"/>
        <v>141.07</v>
      </c>
      <c r="DA55" s="36">
        <f t="shared" si="61"/>
        <v>141.07</v>
      </c>
      <c r="DB55" s="269">
        <f t="shared" si="61"/>
        <v>141.07</v>
      </c>
    </row>
    <row r="56" spans="1:106" s="33" customFormat="1">
      <c r="A56" s="36">
        <v>7</v>
      </c>
      <c r="F56" s="36"/>
      <c r="K56" s="36"/>
      <c r="P56" s="36"/>
      <c r="U56" s="36"/>
      <c r="Z56" s="36"/>
      <c r="AE56" s="36"/>
      <c r="AF56" s="36"/>
      <c r="AG56" s="36"/>
      <c r="AH56" s="36"/>
      <c r="AI56" s="36"/>
      <c r="AJ56" s="36"/>
      <c r="AL56" s="36"/>
      <c r="AM56" s="36"/>
      <c r="AN56" s="36"/>
      <c r="AO56" s="36"/>
      <c r="AT56" s="36"/>
      <c r="AU56" s="100"/>
      <c r="AV56" s="100"/>
      <c r="AY56" s="36"/>
      <c r="AZ56" s="100"/>
      <c r="BD56" s="36"/>
      <c r="BE56" s="100"/>
      <c r="BI56" s="36"/>
      <c r="BN56" s="36"/>
      <c r="BS56" s="36"/>
      <c r="BX56" s="36"/>
      <c r="CC56" s="36"/>
      <c r="CH56" s="36"/>
      <c r="CM56" s="36"/>
      <c r="CR56" s="36"/>
      <c r="CW56" s="36"/>
      <c r="DB56" s="36"/>
    </row>
    <row r="57" spans="1:106" s="11" customFormat="1">
      <c r="AU57" s="101"/>
      <c r="AV57" s="101"/>
      <c r="AZ57" s="101"/>
      <c r="BE57" s="101"/>
    </row>
    <row r="58" spans="1:106" s="14" customFormat="1" outlineLevel="1">
      <c r="A58" s="51" t="s">
        <v>158</v>
      </c>
      <c r="F58" s="11"/>
      <c r="K58" s="11"/>
      <c r="P58" s="11"/>
      <c r="U58" s="11"/>
      <c r="Z58" s="11"/>
      <c r="AE58" s="11"/>
      <c r="AF58" s="11"/>
      <c r="AG58" s="11"/>
      <c r="AH58" s="11"/>
      <c r="AI58" s="11"/>
      <c r="AL58" s="11"/>
      <c r="AM58" s="11"/>
      <c r="AN58" s="11"/>
      <c r="AU58" s="100"/>
      <c r="AV58" s="100"/>
      <c r="AZ58" s="100"/>
      <c r="BE58" s="100"/>
    </row>
    <row r="59" spans="1:106" s="10" customFormat="1" outlineLevel="1">
      <c r="A59" s="51" t="s">
        <v>159</v>
      </c>
      <c r="B59" s="10" t="e">
        <f>#REF!</f>
        <v>#REF!</v>
      </c>
      <c r="C59" s="10" t="e">
        <f>B61</f>
        <v>#REF!</v>
      </c>
      <c r="D59" s="10" t="e">
        <f>C61</f>
        <v>#REF!</v>
      </c>
      <c r="E59" s="10" t="e">
        <f>D61</f>
        <v>#REF!</v>
      </c>
      <c r="F59" s="10" t="e">
        <f>B59</f>
        <v>#REF!</v>
      </c>
      <c r="G59" s="10">
        <f>F61</f>
        <v>422.7</v>
      </c>
      <c r="H59" s="10">
        <f>G61</f>
        <v>428.97699999999998</v>
      </c>
      <c r="I59" s="10">
        <f>H61</f>
        <v>444.44899999999996</v>
      </c>
      <c r="J59" s="10">
        <f>I61</f>
        <v>465.18999999999994</v>
      </c>
      <c r="K59" s="10">
        <f>G59</f>
        <v>422.7</v>
      </c>
      <c r="L59" s="10">
        <f>K61</f>
        <v>565.9</v>
      </c>
      <c r="M59" s="10">
        <f>L61</f>
        <v>575.505</v>
      </c>
      <c r="N59" s="10">
        <f>M61</f>
        <v>598.02</v>
      </c>
      <c r="O59" s="10">
        <f>N61</f>
        <v>624.67499999999995</v>
      </c>
      <c r="P59" s="10">
        <f>L59</f>
        <v>565.9</v>
      </c>
      <c r="Q59" s="10">
        <f>P61</f>
        <v>662.38799999999992</v>
      </c>
      <c r="R59" s="10">
        <f>Q61</f>
        <v>699.41899999999987</v>
      </c>
      <c r="S59" s="10">
        <f>R61</f>
        <v>726.4559999999999</v>
      </c>
      <c r="T59" s="10">
        <f>S61</f>
        <v>751.49899999999991</v>
      </c>
      <c r="U59" s="10">
        <f>Q59</f>
        <v>662.38799999999992</v>
      </c>
      <c r="V59" s="10">
        <f>U61</f>
        <v>796.41499999999996</v>
      </c>
      <c r="W59" s="10">
        <f>V61</f>
        <v>826.93200000000002</v>
      </c>
      <c r="X59" s="10">
        <f>W61</f>
        <v>854.15</v>
      </c>
      <c r="Y59" s="10">
        <f>X61</f>
        <v>881.31600000000003</v>
      </c>
      <c r="Z59" s="10">
        <f>V59</f>
        <v>796.41499999999996</v>
      </c>
      <c r="AA59" s="10">
        <f>Z61</f>
        <v>911.04300000000001</v>
      </c>
      <c r="AB59" s="10">
        <f>AA61</f>
        <v>942.78899999999999</v>
      </c>
      <c r="AC59" s="10">
        <f>AB61</f>
        <v>971.42499999999995</v>
      </c>
      <c r="AD59" s="10">
        <f>AC61</f>
        <v>1006.9069999999999</v>
      </c>
      <c r="AE59" s="10">
        <f>AA59</f>
        <v>911.04300000000001</v>
      </c>
      <c r="AF59" s="10">
        <f>AE61</f>
        <v>1041.7180000000001</v>
      </c>
      <c r="AG59" s="10">
        <f>AF61</f>
        <v>1076.5900000000001</v>
      </c>
      <c r="AH59" s="10">
        <f>AG61</f>
        <v>1128.2500000000002</v>
      </c>
      <c r="AI59" s="10">
        <f>AH61</f>
        <v>1184.0270000000003</v>
      </c>
      <c r="AJ59" s="10">
        <f>AF59</f>
        <v>1041.7180000000001</v>
      </c>
      <c r="AK59" s="10">
        <f>AJ61</f>
        <v>1257.9950000000003</v>
      </c>
      <c r="AL59" s="10">
        <f>AK61</f>
        <v>1321.0120000000004</v>
      </c>
      <c r="AM59" s="10">
        <f>AL61</f>
        <v>1436.3060000000005</v>
      </c>
      <c r="AN59" s="10">
        <f>AM61</f>
        <v>1586.5030000000006</v>
      </c>
      <c r="AO59" s="10">
        <f>AK59</f>
        <v>1257.9950000000003</v>
      </c>
      <c r="AP59" s="10">
        <f>AO61</f>
        <v>1726.1690000000006</v>
      </c>
      <c r="AQ59" s="10">
        <f>AP61</f>
        <v>1863.2990000000004</v>
      </c>
      <c r="AR59" s="10">
        <f>AQ61</f>
        <v>2006.3840000000005</v>
      </c>
      <c r="AS59" s="10">
        <f>AR61</f>
        <v>2125.4360000000006</v>
      </c>
      <c r="BD59" s="352">
        <f>AZ59</f>
        <v>0</v>
      </c>
      <c r="BE59" s="352">
        <f>BD61</f>
        <v>1300</v>
      </c>
      <c r="BF59" s="352">
        <f>BE61</f>
        <v>1379.1770000000001</v>
      </c>
      <c r="BG59" s="352">
        <f>BF61</f>
        <v>1489.549</v>
      </c>
      <c r="BH59" s="352">
        <f>BG61</f>
        <v>1587.125</v>
      </c>
      <c r="BI59" s="352">
        <f>BE59</f>
        <v>1300</v>
      </c>
      <c r="BJ59" s="352">
        <f>BI61</f>
        <v>1609.9110000000001</v>
      </c>
      <c r="BK59" s="352">
        <f>BJ61</f>
        <v>1701.8305339051267</v>
      </c>
      <c r="BL59" s="352">
        <f>BK61</f>
        <v>1778.9762468551578</v>
      </c>
      <c r="BM59" s="352">
        <f>BL61</f>
        <v>1843.9173605808953</v>
      </c>
      <c r="BN59" s="352">
        <f>BJ59</f>
        <v>1609.9110000000001</v>
      </c>
      <c r="BO59" s="352">
        <f>BN61</f>
        <v>1881.4414384629256</v>
      </c>
      <c r="BP59" s="352">
        <f>BO61</f>
        <v>1907.9191642808692</v>
      </c>
      <c r="BQ59" s="352">
        <f>BP61</f>
        <v>1946.3517710303236</v>
      </c>
      <c r="BR59" s="352">
        <f>BQ61</f>
        <v>1975.4758258519182</v>
      </c>
      <c r="BS59" s="352">
        <f>BO59</f>
        <v>1881.4414384629256</v>
      </c>
      <c r="BT59" s="352">
        <f>BS61</f>
        <v>1988.7813460358673</v>
      </c>
      <c r="BU59" s="352">
        <f>BT61</f>
        <v>1968.7896818277213</v>
      </c>
      <c r="BV59" s="352">
        <f>BU61</f>
        <v>1957.1879299715843</v>
      </c>
      <c r="BW59" s="352">
        <f>BV61</f>
        <v>1935.2165015902942</v>
      </c>
      <c r="BX59" s="352">
        <f>BT59</f>
        <v>1988.7813460358673</v>
      </c>
      <c r="BY59" s="352">
        <f>BX61</f>
        <v>1893.4304813776057</v>
      </c>
      <c r="BZ59" s="352">
        <f>BY61</f>
        <v>1812.3846813448667</v>
      </c>
      <c r="CA59" s="352">
        <f>BZ61</f>
        <v>1744.2634554635197</v>
      </c>
      <c r="CB59" s="352">
        <f>CA61</f>
        <v>1661.7549895994598</v>
      </c>
      <c r="CC59" s="352">
        <f>BY59</f>
        <v>1893.4304813776057</v>
      </c>
      <c r="CD59" s="352">
        <f>CC61</f>
        <v>1560.0375299559269</v>
      </c>
      <c r="CE59" s="352">
        <f>CD61</f>
        <v>1411.603863241761</v>
      </c>
      <c r="CF59" s="352">
        <f>CE61</f>
        <v>1275.709586428183</v>
      </c>
      <c r="CG59" s="352">
        <f>CF61</f>
        <v>1125.4704280512954</v>
      </c>
      <c r="CH59" s="352">
        <f>CD59</f>
        <v>1560.0375299559269</v>
      </c>
      <c r="CI59" s="352">
        <f>CH61</f>
        <v>952.63951226121321</v>
      </c>
      <c r="CJ59" s="352">
        <f>CI61</f>
        <v>735.38725714979205</v>
      </c>
      <c r="CK59" s="352">
        <f>CJ61</f>
        <v>535.81603673642189</v>
      </c>
      <c r="CL59" s="352">
        <f>CK61</f>
        <v>324.98058603869754</v>
      </c>
      <c r="CM59" s="352">
        <f>CI59</f>
        <v>952.63951226121321</v>
      </c>
      <c r="CN59" s="352">
        <f>CM61</f>
        <v>93.882119452214738</v>
      </c>
      <c r="CO59" s="352">
        <f>CN61</f>
        <v>-184.42461178798749</v>
      </c>
      <c r="CP59" s="352">
        <f>CO61</f>
        <v>-443.28956867993338</v>
      </c>
      <c r="CQ59" s="352">
        <f>CP61</f>
        <v>-713.64521259848425</v>
      </c>
      <c r="CR59" s="352">
        <f>CN59</f>
        <v>93.882119452214738</v>
      </c>
      <c r="CS59" s="352">
        <f>CR61</f>
        <v>-1005.3162288316929</v>
      </c>
      <c r="CT59" s="352">
        <f>CS61</f>
        <v>-1347.7096388670439</v>
      </c>
      <c r="CU59" s="352">
        <f>CT61</f>
        <v>-1669.456925862788</v>
      </c>
      <c r="CV59" s="352">
        <f>CU61</f>
        <v>-2003.6132300866732</v>
      </c>
      <c r="CW59" s="352">
        <f>CS59</f>
        <v>-1005.3162288316929</v>
      </c>
      <c r="CX59" s="352">
        <f>CW61</f>
        <v>-2360.7679052791605</v>
      </c>
      <c r="CY59" s="352">
        <f>CX61</f>
        <v>-2758.6961977076862</v>
      </c>
      <c r="CZ59" s="352">
        <f>CY61</f>
        <v>-3130.8221779016344</v>
      </c>
      <c r="DA59" s="352">
        <f>CZ61</f>
        <v>-3512.1924911536425</v>
      </c>
      <c r="DB59" s="352">
        <f>CX59</f>
        <v>-2360.7679052791605</v>
      </c>
    </row>
    <row r="60" spans="1:106" s="11" customFormat="1" outlineLevel="1">
      <c r="A60" s="12" t="s">
        <v>160</v>
      </c>
      <c r="B60" s="11">
        <f>IS!B14</f>
        <v>-7.2820000000000018</v>
      </c>
      <c r="C60" s="11">
        <f>IS!C14</f>
        <v>-1.2050000000000018</v>
      </c>
      <c r="D60" s="11">
        <f>IS!D14</f>
        <v>4.7789999999999999</v>
      </c>
      <c r="E60" s="11">
        <f>IS!E14</f>
        <v>4.3729999999999905</v>
      </c>
      <c r="F60" s="11">
        <f>SUM(B60:E60)</f>
        <v>0.66499999999998671</v>
      </c>
      <c r="G60" s="11">
        <f>IS!G14</f>
        <v>-6.2769999999999975</v>
      </c>
      <c r="H60" s="11">
        <f>IS!H14</f>
        <v>-15.471999999999994</v>
      </c>
      <c r="I60" s="11">
        <f>IS!I14</f>
        <v>-20.741000000000003</v>
      </c>
      <c r="J60" s="11">
        <f>IS!J14</f>
        <v>-17.348000000000006</v>
      </c>
      <c r="K60" s="11">
        <f>SUM(G60:J60)</f>
        <v>-59.838000000000001</v>
      </c>
      <c r="L60" s="11">
        <f>IS!L14</f>
        <v>-9.605000000000004</v>
      </c>
      <c r="M60" s="11">
        <f>IS!M14</f>
        <v>-22.514999999999993</v>
      </c>
      <c r="N60" s="11">
        <f>IS!N14</f>
        <v>-26.655000000000001</v>
      </c>
      <c r="O60" s="11">
        <f>IS!O14</f>
        <v>-37.712999999999994</v>
      </c>
      <c r="P60" s="11">
        <f>SUM(L60:O60)</f>
        <v>-96.488</v>
      </c>
      <c r="Q60" s="11">
        <f>IS!Q14</f>
        <v>-37.030999999999999</v>
      </c>
      <c r="R60" s="11">
        <f>IS!R14</f>
        <v>-27.037000000000006</v>
      </c>
      <c r="S60" s="11">
        <f>IS!S14</f>
        <v>-25.043000000000006</v>
      </c>
      <c r="T60" s="11">
        <f>IS!T14</f>
        <v>-44.916000000000018</v>
      </c>
      <c r="U60" s="11">
        <f>SUM(Q60:T60)</f>
        <v>-134.02700000000004</v>
      </c>
      <c r="V60" s="11">
        <f>IS!V14</f>
        <v>-30.516999999999996</v>
      </c>
      <c r="W60" s="11">
        <f>IS!W14</f>
        <v>-27.217999999999996</v>
      </c>
      <c r="X60" s="11">
        <f>IS!X14</f>
        <v>-27.165999999999997</v>
      </c>
      <c r="Y60" s="11">
        <f>IS!Y14</f>
        <v>-29.727000000000018</v>
      </c>
      <c r="Z60" s="11">
        <f>SUM(V60:Y60)</f>
        <v>-114.628</v>
      </c>
      <c r="AA60" s="11">
        <f>IS!AA14</f>
        <v>-31.746000000000002</v>
      </c>
      <c r="AB60" s="11">
        <f>IS!AB14</f>
        <v>-28.635999999999996</v>
      </c>
      <c r="AC60" s="11">
        <f>IS!AC14</f>
        <v>-35.481999999999985</v>
      </c>
      <c r="AD60" s="11">
        <f>IS!AD14</f>
        <v>-34.811000000000078</v>
      </c>
      <c r="AE60" s="11">
        <f>SUM(AA60:AD60)</f>
        <v>-130.67500000000007</v>
      </c>
      <c r="AF60" s="11">
        <f>IS!AF14</f>
        <v>-34.872000000000007</v>
      </c>
      <c r="AG60" s="11">
        <f>IS!AG14</f>
        <v>-51.660000000000004</v>
      </c>
      <c r="AH60" s="11">
        <f>IS!AH14</f>
        <v>-55.776999999999987</v>
      </c>
      <c r="AI60" s="11">
        <f>IS!AI14</f>
        <v>-73.967999999999961</v>
      </c>
      <c r="AJ60" s="11">
        <f>SUM(AF60:AI60)</f>
        <v>-216.27699999999996</v>
      </c>
      <c r="AK60" s="11">
        <f>IS!AK14</f>
        <v>-63.016999999999982</v>
      </c>
      <c r="AL60" s="11">
        <f>IS!AL14</f>
        <v>-115.294</v>
      </c>
      <c r="AM60" s="11">
        <f>IS!AM14</f>
        <v>-150.197</v>
      </c>
      <c r="AN60" s="11">
        <f>IS!AN14</f>
        <v>-139.666</v>
      </c>
      <c r="AO60" s="11">
        <f>SUM(AK60:AN60)</f>
        <v>-468.17399999999998</v>
      </c>
      <c r="AP60" s="11">
        <f>IS!AP14</f>
        <v>-137.13</v>
      </c>
      <c r="AQ60" s="11">
        <f>IS!AQ14</f>
        <v>-143.08500000000001</v>
      </c>
      <c r="AR60" s="11">
        <f>IS!AR14</f>
        <v>-119.05200000000002</v>
      </c>
      <c r="AS60" s="11">
        <f>IS!AS14</f>
        <v>-141.77300000000008</v>
      </c>
      <c r="BD60" s="55">
        <f>SUM(AZ60:BC60)</f>
        <v>0</v>
      </c>
      <c r="BE60" s="55">
        <f>IS!BE14</f>
        <v>-79.177000000000021</v>
      </c>
      <c r="BF60" s="55">
        <f>IS!BF14</f>
        <v>-110.37199999999996</v>
      </c>
      <c r="BG60" s="55">
        <f>IS!BG14</f>
        <v>-97.575999999999965</v>
      </c>
      <c r="BH60" s="55">
        <f>IS!BH14</f>
        <v>-22.786000000000001</v>
      </c>
      <c r="BI60" s="55">
        <f>SUM(BE60:BH60)</f>
        <v>-309.91099999999994</v>
      </c>
      <c r="BJ60" s="55">
        <f>IS!BJ14</f>
        <v>-91.919533905126627</v>
      </c>
      <c r="BK60" s="55">
        <f>IS!BK14</f>
        <v>-77.145712950031168</v>
      </c>
      <c r="BL60" s="55">
        <f>IS!BL14</f>
        <v>-64.941113725737523</v>
      </c>
      <c r="BM60" s="55">
        <f>IS!BM14</f>
        <v>-37.524077882030326</v>
      </c>
      <c r="BN60" s="55">
        <f>SUM(BJ60:BM60)</f>
        <v>-271.53043846292564</v>
      </c>
      <c r="BO60" s="55">
        <f>IS!BO14</f>
        <v>-26.477725817943565</v>
      </c>
      <c r="BP60" s="55">
        <f>IS!BP14</f>
        <v>-38.432606749454408</v>
      </c>
      <c r="BQ60" s="55">
        <f>IS!BQ14</f>
        <v>-29.124054821594541</v>
      </c>
      <c r="BR60" s="55">
        <f>IS!BR14</f>
        <v>-13.305520183949056</v>
      </c>
      <c r="BS60" s="55">
        <f>SUM(BO60:BR60)</f>
        <v>-107.33990757294157</v>
      </c>
      <c r="BT60" s="55">
        <f>IS!BT14</f>
        <v>19.991664208145949</v>
      </c>
      <c r="BU60" s="55">
        <f>IS!BU14</f>
        <v>11.601751856137071</v>
      </c>
      <c r="BV60" s="55">
        <f>IS!BV14</f>
        <v>21.971428381289911</v>
      </c>
      <c r="BW60" s="55">
        <f>IS!BW14</f>
        <v>41.786020212688527</v>
      </c>
      <c r="BX60" s="55">
        <f>SUM(BT60:BW60)</f>
        <v>95.350864658261457</v>
      </c>
      <c r="BY60" s="55">
        <f>IS!BY14</f>
        <v>81.045800032738839</v>
      </c>
      <c r="BZ60" s="55">
        <f>IS!BZ14</f>
        <v>68.121225881346959</v>
      </c>
      <c r="CA60" s="55">
        <f>IS!CA14</f>
        <v>82.508465864059758</v>
      </c>
      <c r="CB60" s="55">
        <f>IS!CB14</f>
        <v>101.71745964353283</v>
      </c>
      <c r="CC60" s="55">
        <f>SUM(BY60:CB60)</f>
        <v>333.39295142167839</v>
      </c>
      <c r="CD60" s="55">
        <f>IS!CD14</f>
        <v>148.43366671416584</v>
      </c>
      <c r="CE60" s="55">
        <f>IS!CE14</f>
        <v>135.89427681357802</v>
      </c>
      <c r="CF60" s="55">
        <f>IS!CF14</f>
        <v>150.23915837688764</v>
      </c>
      <c r="CG60" s="55">
        <f>IS!CG14</f>
        <v>172.83091579008214</v>
      </c>
      <c r="CH60" s="55">
        <f>SUM(CD60:CG60)</f>
        <v>607.39801769471364</v>
      </c>
      <c r="CI60" s="55">
        <f>IS!CI14</f>
        <v>217.25225511142116</v>
      </c>
      <c r="CJ60" s="55">
        <f>IS!CJ14</f>
        <v>199.57122041337016</v>
      </c>
      <c r="CK60" s="55">
        <f>IS!CK14</f>
        <v>210.83545069772435</v>
      </c>
      <c r="CL60" s="55">
        <f>IS!CL14</f>
        <v>231.0984665864828</v>
      </c>
      <c r="CM60" s="55">
        <f>SUM(CI60:CL60)</f>
        <v>858.75739280899847</v>
      </c>
      <c r="CN60" s="55">
        <f>IS!CN14</f>
        <v>278.30673124020223</v>
      </c>
      <c r="CO60" s="55">
        <f>IS!CO14</f>
        <v>258.86495689194589</v>
      </c>
      <c r="CP60" s="55">
        <f>IS!CP14</f>
        <v>270.35564391855087</v>
      </c>
      <c r="CQ60" s="55">
        <f>IS!CQ14</f>
        <v>291.67101623320866</v>
      </c>
      <c r="CR60" s="55">
        <f>SUM(CN60:CQ60)</f>
        <v>1099.1983482839078</v>
      </c>
      <c r="CS60" s="55">
        <f>IS!CS14</f>
        <v>342.39341003535094</v>
      </c>
      <c r="CT60" s="55">
        <f>IS!CT14</f>
        <v>321.74728699574428</v>
      </c>
      <c r="CU60" s="55">
        <f>IS!CU14</f>
        <v>334.15630422388517</v>
      </c>
      <c r="CV60" s="55">
        <f>IS!CV14</f>
        <v>357.15467519248728</v>
      </c>
      <c r="CW60" s="55">
        <f>SUM(CS60:CV60)</f>
        <v>1355.4516764474677</v>
      </c>
      <c r="CX60" s="55">
        <f>IS!CX14</f>
        <v>397.92829242852554</v>
      </c>
      <c r="CY60" s="55">
        <f>IS!CY14</f>
        <v>372.12598019394818</v>
      </c>
      <c r="CZ60" s="55">
        <f>IS!CZ14</f>
        <v>381.37031325200815</v>
      </c>
      <c r="DA60" s="55">
        <f>IS!DA14</f>
        <v>401.99031468654266</v>
      </c>
      <c r="DB60" s="55">
        <f>SUM(CX60:DA60)</f>
        <v>1553.4149005610245</v>
      </c>
    </row>
    <row r="61" spans="1:106" s="10" customFormat="1" outlineLevel="1">
      <c r="A61" s="51" t="s">
        <v>161</v>
      </c>
      <c r="B61" s="10" t="e">
        <f>B59-B60</f>
        <v>#REF!</v>
      </c>
      <c r="C61" s="10" t="e">
        <f>C59-C60</f>
        <v>#REF!</v>
      </c>
      <c r="D61" s="10" t="e">
        <f>D59-D60</f>
        <v>#REF!</v>
      </c>
      <c r="E61" s="10" t="e">
        <f>E59-E60</f>
        <v>#REF!</v>
      </c>
      <c r="F61" s="350">
        <v>422.7</v>
      </c>
      <c r="G61" s="10">
        <f>G59-G60</f>
        <v>428.97699999999998</v>
      </c>
      <c r="H61" s="10">
        <f>H59-H60</f>
        <v>444.44899999999996</v>
      </c>
      <c r="I61" s="10">
        <f>I59-I60</f>
        <v>465.18999999999994</v>
      </c>
      <c r="J61" s="10">
        <f>J59-J60</f>
        <v>482.53799999999995</v>
      </c>
      <c r="K61" s="350">
        <v>565.9</v>
      </c>
      <c r="L61" s="10">
        <f>L59-L60</f>
        <v>575.505</v>
      </c>
      <c r="M61" s="10">
        <f>M59-M60</f>
        <v>598.02</v>
      </c>
      <c r="N61" s="10">
        <f>N59-N60</f>
        <v>624.67499999999995</v>
      </c>
      <c r="O61" s="10">
        <f>O59-O60</f>
        <v>662.38799999999992</v>
      </c>
      <c r="P61" s="10">
        <f>O61</f>
        <v>662.38799999999992</v>
      </c>
      <c r="Q61" s="10">
        <f>Q59-Q60</f>
        <v>699.41899999999987</v>
      </c>
      <c r="R61" s="10">
        <f>R59-R60</f>
        <v>726.4559999999999</v>
      </c>
      <c r="S61" s="10">
        <f>S59-S60</f>
        <v>751.49899999999991</v>
      </c>
      <c r="T61" s="10">
        <f>T59-T60</f>
        <v>796.41499999999996</v>
      </c>
      <c r="U61" s="10">
        <f>T61</f>
        <v>796.41499999999996</v>
      </c>
      <c r="V61" s="10">
        <f>V59-V60</f>
        <v>826.93200000000002</v>
      </c>
      <c r="W61" s="10">
        <f>W59-W60</f>
        <v>854.15</v>
      </c>
      <c r="X61" s="10">
        <f>X59-X60</f>
        <v>881.31600000000003</v>
      </c>
      <c r="Y61" s="10">
        <f>Y59-Y60</f>
        <v>911.04300000000001</v>
      </c>
      <c r="Z61" s="10">
        <f>Y61</f>
        <v>911.04300000000001</v>
      </c>
      <c r="AA61" s="10">
        <f>AA59-AA60</f>
        <v>942.78899999999999</v>
      </c>
      <c r="AB61" s="10">
        <f>AB59-AB60</f>
        <v>971.42499999999995</v>
      </c>
      <c r="AC61" s="10">
        <f>AC59-AC60</f>
        <v>1006.9069999999999</v>
      </c>
      <c r="AD61" s="10">
        <f>AD59-AD60</f>
        <v>1041.7180000000001</v>
      </c>
      <c r="AE61" s="10">
        <f>AD61</f>
        <v>1041.7180000000001</v>
      </c>
      <c r="AF61" s="10">
        <f>AF59-AF60</f>
        <v>1076.5900000000001</v>
      </c>
      <c r="AG61" s="10">
        <f>AG59-AG60</f>
        <v>1128.2500000000002</v>
      </c>
      <c r="AH61" s="10">
        <f>AH59-AH60</f>
        <v>1184.0270000000003</v>
      </c>
      <c r="AI61" s="10">
        <f>AI59-AI60</f>
        <v>1257.9950000000003</v>
      </c>
      <c r="AJ61" s="10">
        <f>AI61</f>
        <v>1257.9950000000003</v>
      </c>
      <c r="AK61" s="10">
        <f>AK59-AK60</f>
        <v>1321.0120000000004</v>
      </c>
      <c r="AL61" s="10">
        <f>AL59-AL60</f>
        <v>1436.3060000000005</v>
      </c>
      <c r="AM61" s="10">
        <f>AM59-AM60</f>
        <v>1586.5030000000006</v>
      </c>
      <c r="AN61" s="10">
        <f>AN59-AN60</f>
        <v>1726.1690000000006</v>
      </c>
      <c r="AO61" s="10">
        <f>AN61</f>
        <v>1726.1690000000006</v>
      </c>
      <c r="AP61" s="10">
        <f>AP59-AP60</f>
        <v>1863.2990000000004</v>
      </c>
      <c r="AQ61" s="10">
        <f>AQ59-AQ60</f>
        <v>2006.3840000000005</v>
      </c>
      <c r="AR61" s="10">
        <f>AR59-AR60</f>
        <v>2125.4360000000006</v>
      </c>
      <c r="AS61" s="10">
        <f>AS59-AS60</f>
        <v>2267.2090000000007</v>
      </c>
      <c r="BD61" s="351">
        <v>1300</v>
      </c>
      <c r="BE61" s="352">
        <f>BE59-BE60</f>
        <v>1379.1770000000001</v>
      </c>
      <c r="BF61" s="352">
        <f>BF59-BF60</f>
        <v>1489.549</v>
      </c>
      <c r="BG61" s="352">
        <f>BG59-BG60</f>
        <v>1587.125</v>
      </c>
      <c r="BH61" s="352">
        <f>BH59-BH60</f>
        <v>1609.9110000000001</v>
      </c>
      <c r="BI61" s="352">
        <f>BH61</f>
        <v>1609.9110000000001</v>
      </c>
      <c r="BJ61" s="352">
        <f>BJ59-BJ60</f>
        <v>1701.8305339051267</v>
      </c>
      <c r="BK61" s="352">
        <f>BK59-BK60</f>
        <v>1778.9762468551578</v>
      </c>
      <c r="BL61" s="352">
        <f>BL59-BL60</f>
        <v>1843.9173605808953</v>
      </c>
      <c r="BM61" s="352">
        <f>BM59-BM60</f>
        <v>1881.4414384629256</v>
      </c>
      <c r="BN61" s="352">
        <f>BM61</f>
        <v>1881.4414384629256</v>
      </c>
      <c r="BO61" s="352">
        <f>BO59-BO60</f>
        <v>1907.9191642808692</v>
      </c>
      <c r="BP61" s="352">
        <f>BP59-BP60</f>
        <v>1946.3517710303236</v>
      </c>
      <c r="BQ61" s="352">
        <f>BQ59-BQ60</f>
        <v>1975.4758258519182</v>
      </c>
      <c r="BR61" s="352">
        <f>BR59-BR60</f>
        <v>1988.7813460358673</v>
      </c>
      <c r="BS61" s="352">
        <f>BR61</f>
        <v>1988.7813460358673</v>
      </c>
      <c r="BT61" s="352">
        <f>BT59-BT60</f>
        <v>1968.7896818277213</v>
      </c>
      <c r="BU61" s="352">
        <f>BU59-BU60</f>
        <v>1957.1879299715843</v>
      </c>
      <c r="BV61" s="352">
        <f>BV59-BV60</f>
        <v>1935.2165015902942</v>
      </c>
      <c r="BW61" s="352">
        <f>BW59-BW60</f>
        <v>1893.4304813776057</v>
      </c>
      <c r="BX61" s="352">
        <f>BW61</f>
        <v>1893.4304813776057</v>
      </c>
      <c r="BY61" s="352">
        <f>BY59-BY60</f>
        <v>1812.3846813448667</v>
      </c>
      <c r="BZ61" s="352">
        <f>BZ59-BZ60</f>
        <v>1744.2634554635197</v>
      </c>
      <c r="CA61" s="352">
        <f>CA59-CA60</f>
        <v>1661.7549895994598</v>
      </c>
      <c r="CB61" s="352">
        <f>CB59-CB60</f>
        <v>1560.0375299559269</v>
      </c>
      <c r="CC61" s="352">
        <f>CB61</f>
        <v>1560.0375299559269</v>
      </c>
      <c r="CD61" s="352">
        <f>CD59-CD60</f>
        <v>1411.603863241761</v>
      </c>
      <c r="CE61" s="352">
        <f>CE59-CE60</f>
        <v>1275.709586428183</v>
      </c>
      <c r="CF61" s="352">
        <f>CF59-CF60</f>
        <v>1125.4704280512954</v>
      </c>
      <c r="CG61" s="352">
        <f>CG59-CG60</f>
        <v>952.63951226121321</v>
      </c>
      <c r="CH61" s="352">
        <f>CG61</f>
        <v>952.63951226121321</v>
      </c>
      <c r="CI61" s="352">
        <f>CI59-CI60</f>
        <v>735.38725714979205</v>
      </c>
      <c r="CJ61" s="352">
        <f>CJ59-CJ60</f>
        <v>535.81603673642189</v>
      </c>
      <c r="CK61" s="352">
        <f>CK59-CK60</f>
        <v>324.98058603869754</v>
      </c>
      <c r="CL61" s="352">
        <f>CL59-CL60</f>
        <v>93.882119452214738</v>
      </c>
      <c r="CM61" s="352">
        <f>CL61</f>
        <v>93.882119452214738</v>
      </c>
      <c r="CN61" s="352">
        <f>CN59-CN60</f>
        <v>-184.42461178798749</v>
      </c>
      <c r="CO61" s="352">
        <f>CO59-CO60</f>
        <v>-443.28956867993338</v>
      </c>
      <c r="CP61" s="352">
        <f>CP59-CP60</f>
        <v>-713.64521259848425</v>
      </c>
      <c r="CQ61" s="352">
        <f>CQ59-CQ60</f>
        <v>-1005.3162288316929</v>
      </c>
      <c r="CR61" s="352">
        <f>CQ61</f>
        <v>-1005.3162288316929</v>
      </c>
      <c r="CS61" s="352">
        <f>CS59-CS60</f>
        <v>-1347.7096388670439</v>
      </c>
      <c r="CT61" s="352">
        <f>CT59-CT60</f>
        <v>-1669.456925862788</v>
      </c>
      <c r="CU61" s="352">
        <f>CU59-CU60</f>
        <v>-2003.6132300866732</v>
      </c>
      <c r="CV61" s="352">
        <f>CV59-CV60</f>
        <v>-2360.7679052791605</v>
      </c>
      <c r="CW61" s="352">
        <f>CV61</f>
        <v>-2360.7679052791605</v>
      </c>
      <c r="CX61" s="352">
        <f>CX59-CX60</f>
        <v>-2758.6961977076862</v>
      </c>
      <c r="CY61" s="352">
        <f>CY59-CY60</f>
        <v>-3130.8221779016344</v>
      </c>
      <c r="CZ61" s="352">
        <f>CZ59-CZ60</f>
        <v>-3512.1924911536425</v>
      </c>
      <c r="DA61" s="352">
        <f>DA59-DA60</f>
        <v>-3914.1828058401852</v>
      </c>
      <c r="DB61" s="352">
        <f>DA61</f>
        <v>-3914.1828058401852</v>
      </c>
    </row>
    <row r="62" spans="1:106" s="11" customFormat="1" outlineLevel="1">
      <c r="A62" s="12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</row>
    <row r="63" spans="1:106" s="11" customFormat="1" outlineLevel="1">
      <c r="A63" s="12" t="s">
        <v>162</v>
      </c>
      <c r="AQ63" s="11">
        <f>-AQ60</f>
        <v>143.08500000000001</v>
      </c>
      <c r="AR63" s="11">
        <f>-AR60</f>
        <v>119.05200000000002</v>
      </c>
      <c r="AS63" s="11">
        <f>-AS60</f>
        <v>141.77300000000008</v>
      </c>
      <c r="BD63" s="55">
        <f>SUM(AZ63:BC63)</f>
        <v>0</v>
      </c>
      <c r="BE63" s="55">
        <f>-BE60</f>
        <v>79.177000000000021</v>
      </c>
      <c r="BF63" s="55">
        <f>-BF60</f>
        <v>110.37199999999996</v>
      </c>
      <c r="BG63" s="55">
        <f>-BG60</f>
        <v>97.575999999999965</v>
      </c>
      <c r="BH63" s="55">
        <f>-BH60</f>
        <v>22.786000000000001</v>
      </c>
      <c r="BI63" s="55">
        <f>SUM(BE63:BH63)</f>
        <v>309.91099999999994</v>
      </c>
      <c r="BJ63" s="55">
        <f>-BJ60</f>
        <v>91.919533905126627</v>
      </c>
      <c r="BK63" s="55">
        <f>-BK60</f>
        <v>77.145712950031168</v>
      </c>
      <c r="BL63" s="55">
        <f>-BL60</f>
        <v>64.941113725737523</v>
      </c>
      <c r="BM63" s="55">
        <f>-BM60</f>
        <v>37.524077882030326</v>
      </c>
      <c r="BN63" s="55">
        <f>SUM(BJ63:BM63)</f>
        <v>271.53043846292564</v>
      </c>
      <c r="BO63" s="55">
        <f>-BO60</f>
        <v>26.477725817943565</v>
      </c>
      <c r="BP63" s="55">
        <f>-BP60</f>
        <v>38.432606749454408</v>
      </c>
      <c r="BQ63" s="55">
        <f>-BQ60</f>
        <v>29.124054821594541</v>
      </c>
      <c r="BR63" s="55">
        <f>-BR60</f>
        <v>13.305520183949056</v>
      </c>
      <c r="BS63" s="55">
        <f>SUM(BO63:BR63)</f>
        <v>107.33990757294157</v>
      </c>
      <c r="BT63" s="55">
        <f>-BT60</f>
        <v>-19.991664208145949</v>
      </c>
      <c r="BU63" s="55">
        <f>-BU60</f>
        <v>-11.601751856137071</v>
      </c>
      <c r="BV63" s="55">
        <f>-BV60</f>
        <v>-21.971428381289911</v>
      </c>
      <c r="BW63" s="55">
        <f>-BW60</f>
        <v>-41.786020212688527</v>
      </c>
      <c r="BX63" s="55">
        <f>SUM(BT63:BW63)</f>
        <v>-95.350864658261457</v>
      </c>
      <c r="BY63" s="55">
        <f>-BY60</f>
        <v>-81.045800032738839</v>
      </c>
      <c r="BZ63" s="55">
        <f>-BZ60</f>
        <v>-68.121225881346959</v>
      </c>
      <c r="CA63" s="55">
        <f>-CA60</f>
        <v>-82.508465864059758</v>
      </c>
      <c r="CB63" s="55">
        <f>-CB60</f>
        <v>-101.71745964353283</v>
      </c>
      <c r="CC63" s="55">
        <f>SUM(BY63:CB63)</f>
        <v>-333.39295142167839</v>
      </c>
      <c r="CD63" s="55">
        <f>-CD60</f>
        <v>-148.43366671416584</v>
      </c>
      <c r="CE63" s="55">
        <f>-CE60</f>
        <v>-135.89427681357802</v>
      </c>
      <c r="CF63" s="55">
        <f>-CF60</f>
        <v>-150.23915837688764</v>
      </c>
      <c r="CG63" s="55">
        <f>-CG60</f>
        <v>-172.83091579008214</v>
      </c>
      <c r="CH63" s="55">
        <f>SUM(CD63:CG63)</f>
        <v>-607.39801769471364</v>
      </c>
      <c r="CI63" s="55">
        <f>-CI60</f>
        <v>-217.25225511142116</v>
      </c>
      <c r="CJ63" s="55">
        <f>-CJ60</f>
        <v>-199.57122041337016</v>
      </c>
      <c r="CK63" s="55">
        <f>-CK60</f>
        <v>-210.83545069772435</v>
      </c>
      <c r="CL63" s="55">
        <f>-CL60</f>
        <v>-231.0984665864828</v>
      </c>
      <c r="CM63" s="55">
        <f>SUM(CI63:CL63)</f>
        <v>-858.75739280899847</v>
      </c>
      <c r="CN63" s="55">
        <f>-CN60</f>
        <v>-278.30673124020223</v>
      </c>
      <c r="CO63" s="55">
        <f>-CO60</f>
        <v>-258.86495689194589</v>
      </c>
      <c r="CP63" s="55">
        <f>-CP60</f>
        <v>-270.35564391855087</v>
      </c>
      <c r="CQ63" s="55">
        <f>-CQ60</f>
        <v>-291.67101623320866</v>
      </c>
      <c r="CR63" s="55">
        <f>SUM(CN63:CQ63)</f>
        <v>-1099.1983482839078</v>
      </c>
      <c r="CS63" s="55">
        <f>-CS60</f>
        <v>-342.39341003535094</v>
      </c>
      <c r="CT63" s="55">
        <f>-CT60</f>
        <v>-321.74728699574428</v>
      </c>
      <c r="CU63" s="55">
        <f>-CU60</f>
        <v>-334.15630422388517</v>
      </c>
      <c r="CV63" s="55">
        <f>-CV60</f>
        <v>-357.15467519248728</v>
      </c>
      <c r="CW63" s="55">
        <f>SUM(CS63:CV63)</f>
        <v>-1355.4516764474677</v>
      </c>
      <c r="CX63" s="55">
        <f>-CX60</f>
        <v>-397.92829242852554</v>
      </c>
      <c r="CY63" s="55">
        <f>-CY60</f>
        <v>-372.12598019394818</v>
      </c>
      <c r="CZ63" s="55">
        <f>-CZ60</f>
        <v>-381.37031325200815</v>
      </c>
      <c r="DA63" s="55">
        <f>-DA60</f>
        <v>-401.99031468654266</v>
      </c>
      <c r="DB63" s="55">
        <f>SUM(CX63:DA63)</f>
        <v>-1553.4149005610245</v>
      </c>
    </row>
    <row r="64" spans="1:106" s="11" customFormat="1" outlineLevel="1">
      <c r="A64" s="12" t="s">
        <v>163</v>
      </c>
      <c r="AQ64" s="11">
        <f>AQ63*0.4</f>
        <v>57.234000000000009</v>
      </c>
      <c r="AR64" s="11">
        <f>AR63*0.4</f>
        <v>47.62080000000001</v>
      </c>
      <c r="AS64" s="11">
        <f>AS63*0.4</f>
        <v>56.709200000000038</v>
      </c>
      <c r="BD64" s="55">
        <f>SUM(AZ64:BC64)</f>
        <v>0</v>
      </c>
      <c r="BE64" s="55">
        <f>BE63*0.4</f>
        <v>31.67080000000001</v>
      </c>
      <c r="BF64" s="55">
        <f>BF63*0.4</f>
        <v>44.148799999999987</v>
      </c>
      <c r="BG64" s="55">
        <f>BG63*0.4</f>
        <v>39.030399999999986</v>
      </c>
      <c r="BH64" s="55">
        <f>BH63*0.4</f>
        <v>9.1144000000000016</v>
      </c>
      <c r="BI64" s="55">
        <f>SUM(BE64:BH64)</f>
        <v>123.96439999999998</v>
      </c>
      <c r="BJ64" s="55">
        <f>BJ63*0.4</f>
        <v>36.767813562050655</v>
      </c>
      <c r="BK64" s="55">
        <f>BK63*0.4</f>
        <v>30.858285180012469</v>
      </c>
      <c r="BL64" s="55">
        <f>BL63*0.4</f>
        <v>25.97644549029501</v>
      </c>
      <c r="BM64" s="55">
        <f>BM63*0.4</f>
        <v>15.009631152812132</v>
      </c>
      <c r="BN64" s="55">
        <f>SUM(BJ64:BM64)</f>
        <v>108.61217538517026</v>
      </c>
      <c r="BO64" s="55">
        <f>BO63*0.4</f>
        <v>10.591090327177426</v>
      </c>
      <c r="BP64" s="55">
        <f>BP63*0.4</f>
        <v>15.373042699781763</v>
      </c>
      <c r="BQ64" s="55">
        <f>BQ63*0.4</f>
        <v>11.649621928637817</v>
      </c>
      <c r="BR64" s="55">
        <f>BR63*0.4</f>
        <v>5.3222080735796231</v>
      </c>
      <c r="BS64" s="55">
        <f>SUM(BO64:BR64)</f>
        <v>42.935963029176627</v>
      </c>
      <c r="BT64" s="55">
        <f>BT63*0.4</f>
        <v>-7.9966656832583798</v>
      </c>
      <c r="BU64" s="55">
        <f>BU63*0.4</f>
        <v>-4.6407007424548281</v>
      </c>
      <c r="BV64" s="55">
        <f>BV63*0.4</f>
        <v>-8.7885713525159641</v>
      </c>
      <c r="BW64" s="55">
        <f>BW63*0.4</f>
        <v>-16.714408085075412</v>
      </c>
      <c r="BX64" s="55">
        <f>SUM(BT64:BW64)</f>
        <v>-38.140345863304582</v>
      </c>
      <c r="BY64" s="55">
        <f>BY63*0.4</f>
        <v>-32.418320013095538</v>
      </c>
      <c r="BZ64" s="55">
        <f>BZ63*0.4</f>
        <v>-27.248490352538784</v>
      </c>
      <c r="CA64" s="55">
        <f>CA63*0.4</f>
        <v>-33.003386345623902</v>
      </c>
      <c r="CB64" s="55">
        <f>CB63*0.4</f>
        <v>-40.686983857413139</v>
      </c>
      <c r="CC64" s="55">
        <f>SUM(BY64:CB64)</f>
        <v>-133.35718056867137</v>
      </c>
      <c r="CD64" s="55">
        <f>CD63*0.4</f>
        <v>-59.373466685666337</v>
      </c>
      <c r="CE64" s="55">
        <f>CE63*0.4</f>
        <v>-54.357710725431211</v>
      </c>
      <c r="CF64" s="55">
        <f>CF63*0.4</f>
        <v>-60.095663350755061</v>
      </c>
      <c r="CG64" s="55">
        <f>CG63*0.4</f>
        <v>-69.132366316032858</v>
      </c>
      <c r="CH64" s="55">
        <f>SUM(CD64:CG64)</f>
        <v>-242.95920707788548</v>
      </c>
      <c r="CI64" s="55">
        <f>CI63*0.4</f>
        <v>-86.900902044568468</v>
      </c>
      <c r="CJ64" s="55">
        <f>CJ63*0.4</f>
        <v>-79.828488165348062</v>
      </c>
      <c r="CK64" s="55">
        <f>CK63*0.4</f>
        <v>-84.33418027908975</v>
      </c>
      <c r="CL64" s="55">
        <f>CL63*0.4</f>
        <v>-92.43938663459312</v>
      </c>
      <c r="CM64" s="55">
        <f>SUM(CI64:CL64)</f>
        <v>-343.5029571235994</v>
      </c>
      <c r="CN64" s="55">
        <f>CN63*0.4</f>
        <v>-111.32269249608089</v>
      </c>
      <c r="CO64" s="55">
        <f>CO63*0.4</f>
        <v>-103.54598275677836</v>
      </c>
      <c r="CP64" s="55">
        <f>CP63*0.4</f>
        <v>-108.14225756742036</v>
      </c>
      <c r="CQ64" s="55">
        <f>CQ63*0.4</f>
        <v>-116.66840649328347</v>
      </c>
      <c r="CR64" s="55">
        <f>SUM(CN64:CQ64)</f>
        <v>-439.6793393135631</v>
      </c>
      <c r="CS64" s="55">
        <f>CS63*0.4</f>
        <v>-136.95736401414038</v>
      </c>
      <c r="CT64" s="55">
        <f>CT63*0.4</f>
        <v>-128.69891479829772</v>
      </c>
      <c r="CU64" s="55">
        <f>CU63*0.4</f>
        <v>-133.66252168955407</v>
      </c>
      <c r="CV64" s="55">
        <f>CV63*0.4</f>
        <v>-142.8618700769949</v>
      </c>
      <c r="CW64" s="55">
        <f>SUM(CS64:CV64)</f>
        <v>-542.18067057898713</v>
      </c>
      <c r="CX64" s="55">
        <f>CX63*0.4</f>
        <v>-159.17131697141022</v>
      </c>
      <c r="CY64" s="55">
        <f>CY63*0.4</f>
        <v>-148.85039207757927</v>
      </c>
      <c r="CZ64" s="55">
        <f>CZ63*0.4</f>
        <v>-152.54812530080326</v>
      </c>
      <c r="DA64" s="55">
        <f>DA63*0.4</f>
        <v>-160.79612587461708</v>
      </c>
      <c r="DB64" s="55">
        <f>SUM(CX64:DA64)</f>
        <v>-621.36596022440972</v>
      </c>
    </row>
    <row r="65" spans="1:16" s="11" customFormat="1"/>
    <row r="66" spans="1:16" s="11" customFormat="1">
      <c r="A66" s="11" t="str">
        <f>IS!A65</f>
        <v>Source: Natera and Wells Fargo Securities, LLC estimates.</v>
      </c>
    </row>
    <row r="67" spans="1:16" s="11" customFormat="1"/>
    <row r="68" spans="1:16" s="11" customFormat="1"/>
    <row r="69" spans="1:16" s="11" customFormat="1"/>
    <row r="70" spans="1:16" s="11" customFormat="1"/>
    <row r="71" spans="1:16" s="11" customFormat="1"/>
    <row r="72" spans="1:16" s="14" customFormat="1">
      <c r="A72" s="11"/>
      <c r="F72" s="11"/>
      <c r="K72" s="11"/>
      <c r="P72" s="11"/>
    </row>
    <row r="73" spans="1:16" s="11" customFormat="1"/>
    <row r="74" spans="1:16" s="11" customFormat="1"/>
    <row r="75" spans="1:16" s="11" customFormat="1"/>
    <row r="76" spans="1:16" s="11" customFormat="1"/>
  </sheetData>
  <printOptions horizontalCentered="1" verticalCentered="1"/>
  <pageMargins left="0.5" right="0.5" top="0.5" bottom="0.5" header="0.5" footer="0.5"/>
  <pageSetup scale="78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70"/>
  <sheetViews>
    <sheetView workbookViewId="0">
      <pane xSplit="17" ySplit="8" topLeftCell="S9" activePane="bottomRight" state="frozen"/>
      <selection pane="topRight" activeCell="R1" sqref="R1"/>
      <selection pane="bottomLeft" activeCell="A9" sqref="A9"/>
      <selection pane="bottomRight" activeCell="AE8" sqref="AE8"/>
    </sheetView>
  </sheetViews>
  <sheetFormatPr defaultColWidth="8" defaultRowHeight="12.75" outlineLevelRow="1" outlineLevelCol="1"/>
  <cols>
    <col min="1" max="2" width="1.69140625" style="27" customWidth="1"/>
    <col min="3" max="3" width="21.921875" style="27" customWidth="1"/>
    <col min="4" max="7" width="9.69140625" style="27" hidden="1" customWidth="1"/>
    <col min="8" max="17" width="8.07421875" style="27" hidden="1" customWidth="1"/>
    <col min="18" max="18" width="8.07421875" style="27" hidden="1" customWidth="1" outlineLevel="1"/>
    <col min="19" max="19" width="8.07421875" style="27" customWidth="1" collapsed="1"/>
    <col min="20" max="26" width="8" style="27"/>
    <col min="27" max="28" width="8" style="27" customWidth="1"/>
    <col min="29" max="29" width="8" style="27"/>
    <col min="30" max="30" width="1.69140625" style="27" customWidth="1"/>
    <col min="31" max="36" width="8" style="27"/>
    <col min="37" max="37" width="9.3046875" style="27" bestFit="1" customWidth="1"/>
    <col min="38" max="16384" width="8" style="27"/>
  </cols>
  <sheetData>
    <row r="1" spans="1:38" ht="12.75" customHeight="1">
      <c r="A1" s="24"/>
      <c r="B1" s="25" t="str">
        <f>Disclaimer!C12</f>
        <v>Natera, Inc. (NTRA)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8">
      <c r="A2" s="24"/>
      <c r="B2" s="25" t="s">
        <v>94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8">
      <c r="A3" s="24"/>
      <c r="B3" s="3" t="s">
        <v>489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8">
      <c r="A4" s="24"/>
    </row>
    <row r="5" spans="1:38">
      <c r="A5" s="24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 t="s">
        <v>1</v>
      </c>
      <c r="P5" s="28"/>
      <c r="Q5" s="28"/>
      <c r="R5" s="28"/>
      <c r="S5" s="28" t="s">
        <v>1</v>
      </c>
      <c r="T5" s="28"/>
      <c r="U5" s="28"/>
      <c r="V5" s="28"/>
      <c r="W5" s="28"/>
      <c r="X5" s="28"/>
      <c r="Y5" s="28"/>
      <c r="Z5" s="28"/>
      <c r="AA5" s="28"/>
      <c r="AB5" s="28"/>
      <c r="AC5" s="28"/>
      <c r="AD5" s="370"/>
      <c r="AE5" s="28" t="s">
        <v>2</v>
      </c>
      <c r="AF5" s="28"/>
    </row>
    <row r="6" spans="1:38" s="29" customFormat="1">
      <c r="A6" s="4"/>
      <c r="C6" s="78" t="s">
        <v>195</v>
      </c>
      <c r="D6" s="30">
        <v>2000</v>
      </c>
      <c r="E6" s="30">
        <v>2001</v>
      </c>
      <c r="F6" s="30">
        <v>2002</v>
      </c>
      <c r="G6" s="30">
        <v>2003</v>
      </c>
      <c r="H6" s="30">
        <v>2004</v>
      </c>
      <c r="I6" s="30">
        <v>2005</v>
      </c>
      <c r="J6" s="30">
        <v>2006</v>
      </c>
      <c r="K6" s="30">
        <v>2007</v>
      </c>
      <c r="L6" s="30">
        <v>2008</v>
      </c>
      <c r="M6" s="30">
        <v>2009</v>
      </c>
      <c r="N6" s="30">
        <v>2010</v>
      </c>
      <c r="O6" s="30">
        <v>2011</v>
      </c>
      <c r="P6" s="30">
        <v>2012</v>
      </c>
      <c r="Q6" s="30">
        <v>2013</v>
      </c>
      <c r="R6" s="30">
        <v>2014</v>
      </c>
      <c r="S6" s="30">
        <v>2015</v>
      </c>
      <c r="T6" s="30">
        <v>2016</v>
      </c>
      <c r="U6" s="30">
        <v>2017</v>
      </c>
      <c r="V6" s="30">
        <v>2018</v>
      </c>
      <c r="W6" s="30">
        <v>2019</v>
      </c>
      <c r="X6" s="30">
        <v>2020</v>
      </c>
      <c r="Y6" s="30">
        <v>2021</v>
      </c>
      <c r="Z6" s="30">
        <v>2022</v>
      </c>
      <c r="AA6" s="30">
        <v>2023</v>
      </c>
      <c r="AB6" s="30">
        <v>2024</v>
      </c>
      <c r="AC6" s="30">
        <v>2025</v>
      </c>
      <c r="AD6" s="30"/>
      <c r="AE6" s="30">
        <v>2026</v>
      </c>
      <c r="AF6" s="30">
        <v>2027</v>
      </c>
    </row>
    <row r="7" spans="1:38" s="22" customFormat="1" ht="8.9499999999999993" customHeight="1">
      <c r="B7" s="27"/>
      <c r="C7" s="27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38" s="22" customFormat="1">
      <c r="C8" s="22" t="s">
        <v>95</v>
      </c>
      <c r="S8" s="22">
        <v>9.23</v>
      </c>
      <c r="T8" s="22">
        <v>13.36</v>
      </c>
      <c r="U8" s="22">
        <v>52.54</v>
      </c>
      <c r="V8" s="22">
        <v>63.1</v>
      </c>
      <c r="W8" s="22">
        <v>92.48</v>
      </c>
      <c r="X8" s="22">
        <v>132.49</v>
      </c>
      <c r="Y8" s="22">
        <v>77.83</v>
      </c>
      <c r="Z8" s="22">
        <v>49.51</v>
      </c>
      <c r="AA8" s="22">
        <v>73.98</v>
      </c>
      <c r="AB8" s="22">
        <v>158.30000000000001</v>
      </c>
      <c r="AC8" s="22">
        <v>229.09</v>
      </c>
      <c r="AE8" s="82">
        <v>210</v>
      </c>
      <c r="AF8" s="22">
        <f>AE8</f>
        <v>210</v>
      </c>
      <c r="AI8" s="306">
        <v>215</v>
      </c>
      <c r="AJ8" s="307">
        <f>AI8/AE8-1</f>
        <v>2.3809523809523725E-2</v>
      </c>
    </row>
    <row r="9" spans="1:38" s="22" customFormat="1" ht="8.9499999999999993" customHeight="1">
      <c r="B9" s="27"/>
      <c r="C9" s="2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38">
      <c r="A10" s="31" t="s">
        <v>96</v>
      </c>
      <c r="AG10" s="95"/>
      <c r="AH10" s="5"/>
      <c r="AK10" s="95"/>
    </row>
    <row r="11" spans="1:38" s="32" customFormat="1">
      <c r="C11" s="32" t="s">
        <v>13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>
        <f>IS!K7</f>
        <v>190.35499999999999</v>
      </c>
      <c r="T11" s="33">
        <f>IS!P7</f>
        <v>217.07400000000001</v>
      </c>
      <c r="U11" s="33">
        <f>IS!U7</f>
        <v>210.93899999999999</v>
      </c>
      <c r="V11" s="33">
        <f>IS!Z7</f>
        <v>257.654</v>
      </c>
      <c r="W11" s="33">
        <f>IS!AE7</f>
        <v>302.32799999999997</v>
      </c>
      <c r="X11" s="56">
        <f>IS!AJ7</f>
        <v>391.005</v>
      </c>
      <c r="Y11" s="56">
        <f>IS!AO7</f>
        <v>625.48599999999999</v>
      </c>
      <c r="Z11" s="56">
        <f>IS!AT7</f>
        <v>820.22199999999998</v>
      </c>
      <c r="AA11" s="56">
        <f>IS!AY7</f>
        <v>1082.5709999999999</v>
      </c>
      <c r="AB11" s="56">
        <f>IS!BD7</f>
        <v>1696.9110000000001</v>
      </c>
      <c r="AC11" s="56">
        <f>IS!BI7</f>
        <v>2306.1130000000003</v>
      </c>
      <c r="AD11" s="56"/>
      <c r="AE11" s="56">
        <f>IS!BN7</f>
        <v>2658.9293325577346</v>
      </c>
      <c r="AF11" s="56">
        <f>IS!BS7</f>
        <v>3129.0922425358358</v>
      </c>
      <c r="AG11" s="38"/>
      <c r="AK11" s="38"/>
    </row>
    <row r="12" spans="1:38" s="34" customFormat="1">
      <c r="B12" s="34" t="s">
        <v>97</v>
      </c>
      <c r="D12" s="35"/>
      <c r="E12" s="35"/>
      <c r="F12" s="35"/>
      <c r="G12" s="35"/>
      <c r="H12" s="35"/>
      <c r="I12" s="35"/>
      <c r="J12" s="35"/>
      <c r="K12" s="35"/>
      <c r="L12" s="72"/>
      <c r="M12" s="83"/>
      <c r="N12" s="83"/>
      <c r="O12" s="83"/>
      <c r="P12" s="83"/>
      <c r="Q12" s="83"/>
      <c r="R12" s="83"/>
      <c r="S12" s="35">
        <f t="shared" ref="S12:X12" si="0">(S8*S27)/S11</f>
        <v>1.2705887420871531</v>
      </c>
      <c r="T12" s="35">
        <f t="shared" si="0"/>
        <v>3.1742878465408104</v>
      </c>
      <c r="U12" s="35">
        <f t="shared" si="0"/>
        <v>13.351509962595822</v>
      </c>
      <c r="V12" s="35">
        <f t="shared" si="0"/>
        <v>14.167095407018715</v>
      </c>
      <c r="W12" s="35">
        <f t="shared" si="0"/>
        <v>21.276383265856953</v>
      </c>
      <c r="X12" s="35">
        <f t="shared" si="0"/>
        <v>27.450153808774825</v>
      </c>
      <c r="Y12" s="35">
        <f>(Y8*Y27)/Y11</f>
        <v>11.268244437125691</v>
      </c>
      <c r="Z12" s="35">
        <f>(Z8*Z27)/Z11</f>
        <v>5.9400748577824052</v>
      </c>
      <c r="AA12" s="35">
        <f>(AA8*AA27)/AA11</f>
        <v>7.8585866977777918</v>
      </c>
      <c r="AB12" s="35">
        <f>(AB8*AB27)/AB11</f>
        <v>11.634587435640409</v>
      </c>
      <c r="AC12" s="35">
        <f>(AC8*AC27)/AC11</f>
        <v>13.581907690559827</v>
      </c>
      <c r="AD12" s="35"/>
      <c r="AE12" s="35">
        <f>(AE8*AE27)/AE11</f>
        <v>11.148459532012158</v>
      </c>
      <c r="AF12" s="35">
        <f>(AF8*AF27)/AF11</f>
        <v>9.75754393856778</v>
      </c>
      <c r="AG12" s="81"/>
      <c r="AH12" s="81"/>
      <c r="AK12" s="5"/>
      <c r="AL12" s="27"/>
    </row>
    <row r="13" spans="1:38" s="34" customFormat="1">
      <c r="B13" s="34" t="s">
        <v>169</v>
      </c>
      <c r="D13" s="35"/>
      <c r="E13" s="35"/>
      <c r="F13" s="35"/>
      <c r="G13" s="35"/>
      <c r="H13" s="35"/>
      <c r="I13" s="35"/>
      <c r="J13" s="35"/>
      <c r="K13" s="35"/>
      <c r="L13" s="72"/>
      <c r="M13" s="83"/>
      <c r="N13" s="83"/>
      <c r="O13" s="83"/>
      <c r="P13" s="83"/>
      <c r="Q13" s="83"/>
      <c r="R13" s="83"/>
      <c r="S13" s="35">
        <f t="shared" ref="S13:X13" si="1">S29/S11</f>
        <v>0.28063313283076369</v>
      </c>
      <c r="T13" s="35">
        <f t="shared" si="1"/>
        <v>2.7297758368114096</v>
      </c>
      <c r="U13" s="35">
        <f t="shared" si="1"/>
        <v>13.371942409891011</v>
      </c>
      <c r="V13" s="35">
        <f t="shared" si="1"/>
        <v>14.049270727409628</v>
      </c>
      <c r="W13" s="35">
        <f t="shared" si="1"/>
        <v>20.227151967399649</v>
      </c>
      <c r="X13" s="35">
        <f t="shared" si="1"/>
        <v>26.210458664211458</v>
      </c>
      <c r="Y13" s="35">
        <f>Y29/Y11</f>
        <v>10.334832658125041</v>
      </c>
      <c r="Z13" s="35">
        <f>Z29/Z11</f>
        <v>5.2862238272077562</v>
      </c>
      <c r="AA13" s="35">
        <f>AA29/AA11</f>
        <v>7.3822853743542014</v>
      </c>
      <c r="AB13" s="35">
        <f>AB29/AB11</f>
        <v>11.111334300973946</v>
      </c>
      <c r="AC13" s="35">
        <f>AC29/AC11</f>
        <v>13.150091469932304</v>
      </c>
      <c r="AD13" s="35"/>
      <c r="AE13" s="35">
        <f>AE29/AE11</f>
        <v>10.76435976867158</v>
      </c>
      <c r="AF13" s="35">
        <f>AF29/AF11</f>
        <v>9.4148814189158241</v>
      </c>
    </row>
    <row r="14" spans="1:38" s="22" customFormat="1" ht="8.9499999999999993" customHeight="1">
      <c r="B14" s="27"/>
      <c r="C14" s="27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38" s="36" customFormat="1">
      <c r="C15" s="36" t="s">
        <v>6</v>
      </c>
      <c r="S15" s="36">
        <f>IS!K23</f>
        <v>-71.691000000000017</v>
      </c>
      <c r="T15" s="36">
        <f>IS!P23</f>
        <v>-95.073999999999998</v>
      </c>
      <c r="U15" s="36">
        <f>IS!U23</f>
        <v>-136.35500000000002</v>
      </c>
      <c r="V15" s="36">
        <f>IS!Z23</f>
        <v>-127.94</v>
      </c>
      <c r="W15" s="36">
        <f>IS!AE23</f>
        <v>-137.74400000000009</v>
      </c>
      <c r="X15" s="36">
        <f>IS!AJ23</f>
        <v>-226.40300000000005</v>
      </c>
      <c r="Y15" s="36">
        <f>IS!AO23</f>
        <v>-478.26199999999994</v>
      </c>
      <c r="Z15" s="36">
        <f>IS!AT23</f>
        <v>-561.87400000000014</v>
      </c>
      <c r="AA15" s="36">
        <f>IS!AY23</f>
        <v>-421.524</v>
      </c>
      <c r="AB15" s="36">
        <f>IS!BD23+IS!BD22</f>
        <v>-190.42599999999987</v>
      </c>
      <c r="AC15" s="36">
        <f>IS!BI23</f>
        <v>-208.07399999999981</v>
      </c>
      <c r="AE15" s="36">
        <f>IS!BN23</f>
        <v>-233.0507227286264</v>
      </c>
      <c r="AF15" s="36">
        <f>IS!BS23</f>
        <v>-84.923911291753967</v>
      </c>
      <c r="AG15" s="85"/>
      <c r="AK15" s="85"/>
      <c r="AL15" s="345"/>
    </row>
    <row r="16" spans="1:38" s="32" customFormat="1">
      <c r="C16" s="32" t="s">
        <v>98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>
        <f>S15/IS!K26</f>
        <v>-2.7358800183178147</v>
      </c>
      <c r="T16" s="37">
        <f>T15/IS!P26</f>
        <v>-1.8433767643865364</v>
      </c>
      <c r="U16" s="37">
        <f>U15/IS!U26</f>
        <v>-2.5437467353182601</v>
      </c>
      <c r="V16" s="37">
        <f>V15/IS!Z26</f>
        <v>-2.2116581385700456</v>
      </c>
      <c r="W16" s="37">
        <f>W15/IS!AE26</f>
        <v>-1.9803608655021216</v>
      </c>
      <c r="X16" s="37">
        <f>X15/IS!AJ26</f>
        <v>-2.7947192356593558</v>
      </c>
      <c r="Y16" s="37">
        <f>Y15/IS!AO26</f>
        <v>-5.2812782967821716</v>
      </c>
      <c r="Z16" s="37">
        <f>Z15/IS!AT26</f>
        <v>-5.7096374278513959</v>
      </c>
      <c r="AA16" s="37">
        <f>AA15/IS!AY26</f>
        <v>-3.6655217092619807</v>
      </c>
      <c r="AB16" s="37">
        <f>AB15/IS!BD26</f>
        <v>-1.5268525794191685</v>
      </c>
      <c r="AC16" s="37">
        <f>AC15/IS!BI26</f>
        <v>-1.5218876397919838</v>
      </c>
      <c r="AD16" s="37"/>
      <c r="AE16" s="37">
        <f>AE15/IS!BN26</f>
        <v>-1.6510038728858576</v>
      </c>
      <c r="AF16" s="37">
        <f>AF15/IS!BS26</f>
        <v>-0.58410429709003486</v>
      </c>
      <c r="AG16" s="86"/>
      <c r="AK16" s="38"/>
    </row>
    <row r="17" spans="1:38" s="34" customFormat="1">
      <c r="B17" s="34" t="s">
        <v>99</v>
      </c>
      <c r="D17" s="35"/>
      <c r="E17" s="35"/>
      <c r="F17" s="35"/>
      <c r="G17" s="35"/>
      <c r="H17" s="35"/>
      <c r="I17" s="35"/>
      <c r="J17" s="72"/>
      <c r="K17" s="72"/>
      <c r="L17" s="72"/>
      <c r="M17" s="72"/>
      <c r="N17" s="72"/>
      <c r="O17" s="72"/>
      <c r="P17" s="72"/>
      <c r="Q17" s="72"/>
      <c r="R17" s="72"/>
      <c r="S17" s="72">
        <f t="shared" ref="S17:U17" si="2">S8/S16</f>
        <v>-3.3736859577910749</v>
      </c>
      <c r="T17" s="72">
        <f t="shared" si="2"/>
        <v>-7.247568841113238</v>
      </c>
      <c r="U17" s="72">
        <f t="shared" si="2"/>
        <v>-20.65457196289098</v>
      </c>
      <c r="V17" s="72">
        <f t="shared" ref="V17:AA17" si="3">V8/V16</f>
        <v>-28.530629982804442</v>
      </c>
      <c r="W17" s="72">
        <f t="shared" si="3"/>
        <v>-46.698559646881151</v>
      </c>
      <c r="X17" s="72">
        <f t="shared" si="3"/>
        <v>-47.407266643993225</v>
      </c>
      <c r="Y17" s="72">
        <f t="shared" si="3"/>
        <v>-14.736962459906916</v>
      </c>
      <c r="Z17" s="72">
        <f t="shared" si="3"/>
        <v>-8.6713036730654878</v>
      </c>
      <c r="AA17" s="72">
        <f t="shared" si="3"/>
        <v>-20.18266589802716</v>
      </c>
      <c r="AB17" s="72">
        <f>AB8/AB16</f>
        <v>-103.67733082667291</v>
      </c>
      <c r="AC17" s="72">
        <f>AC8/AC16</f>
        <v>-150.53016662341295</v>
      </c>
      <c r="AD17" s="72"/>
      <c r="AE17" s="72">
        <f>AE8/AE16</f>
        <v>-127.19534063413937</v>
      </c>
      <c r="AF17" s="72">
        <f>AF8/AF16</f>
        <v>-359.52483322962138</v>
      </c>
    </row>
    <row r="18" spans="1:38" s="22" customFormat="1" ht="8.9499999999999993" customHeight="1">
      <c r="B18" s="27"/>
      <c r="C18" s="2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K18" s="5"/>
    </row>
    <row r="19" spans="1:38" s="36" customFormat="1">
      <c r="C19" s="36" t="s">
        <v>100</v>
      </c>
      <c r="S19" s="36">
        <f>CF!K22</f>
        <v>-37.832000000000015</v>
      </c>
      <c r="T19" s="38">
        <f>CF!P22</f>
        <v>-73.901999999999987</v>
      </c>
      <c r="U19" s="38">
        <f>CF!U22</f>
        <v>-96.791999999999987</v>
      </c>
      <c r="V19" s="38">
        <f>CF!Z22</f>
        <v>-70.580999999999989</v>
      </c>
      <c r="W19" s="38">
        <f>CF!AE22</f>
        <v>-63.443999999999988</v>
      </c>
      <c r="X19" s="38">
        <f>CF!AJ22</f>
        <v>-182.51199999999997</v>
      </c>
      <c r="Y19" s="38">
        <f>CF!AO22</f>
        <v>-335.2360000000001</v>
      </c>
      <c r="Z19" s="38">
        <f>CF!AT22</f>
        <v>-431.50100000000003</v>
      </c>
      <c r="AA19" s="38">
        <f>CF!AY22</f>
        <v>-246.95500000000001</v>
      </c>
      <c r="AB19" s="38">
        <f>CF!BD22</f>
        <v>135.66399999999999</v>
      </c>
      <c r="AC19" s="38">
        <f>CF!BI22</f>
        <v>215.3</v>
      </c>
      <c r="AD19" s="38"/>
      <c r="AE19" s="38">
        <f>CF!BN22</f>
        <v>105.47712737474431</v>
      </c>
      <c r="AF19" s="38">
        <f>CF!BS22</f>
        <v>134.9285046759743</v>
      </c>
      <c r="AK19" s="85"/>
    </row>
    <row r="20" spans="1:38" s="36" customFormat="1">
      <c r="C20" s="36" t="s">
        <v>101</v>
      </c>
      <c r="S20" s="36">
        <f>CF!K27</f>
        <v>-7.8520000000000003</v>
      </c>
      <c r="T20" s="38">
        <f>CF!P27</f>
        <v>-23.135999999999999</v>
      </c>
      <c r="U20" s="38">
        <f>CF!U27</f>
        <v>-9.8670000000000009</v>
      </c>
      <c r="V20" s="38">
        <f>CF!Z27</f>
        <v>-3.88</v>
      </c>
      <c r="W20" s="38">
        <f>CF!AE27</f>
        <v>-4.968</v>
      </c>
      <c r="X20" s="38">
        <f>CF!AJ27</f>
        <v>-19.603999999999999</v>
      </c>
      <c r="Y20" s="38">
        <f>CF!AO27</f>
        <v>-41.03</v>
      </c>
      <c r="Z20" s="38">
        <f>CF!AT27</f>
        <v>-47.697000000000003</v>
      </c>
      <c r="AA20" s="38">
        <f>CF!AY27</f>
        <v>-39.198999999999998</v>
      </c>
      <c r="AB20" s="38">
        <f>CF!BD27</f>
        <v>-66.423000000000002</v>
      </c>
      <c r="AC20" s="38">
        <f>CF!BI27</f>
        <v>-111.68819999999991</v>
      </c>
      <c r="AD20" s="38"/>
      <c r="AE20" s="38">
        <f>CF!BN27</f>
        <v>-80</v>
      </c>
      <c r="AF20" s="38">
        <f>CF!BS27</f>
        <v>-84</v>
      </c>
      <c r="AG20" s="5"/>
      <c r="AK20" s="38"/>
    </row>
    <row r="21" spans="1:38" s="36" customFormat="1">
      <c r="C21" s="36" t="s">
        <v>92</v>
      </c>
      <c r="S21" s="36">
        <f t="shared" ref="S21:V21" si="4">S19+S20</f>
        <v>-45.684000000000012</v>
      </c>
      <c r="T21" s="38">
        <f t="shared" si="4"/>
        <v>-97.037999999999982</v>
      </c>
      <c r="U21" s="38">
        <f t="shared" si="4"/>
        <v>-106.65899999999999</v>
      </c>
      <c r="V21" s="38">
        <f t="shared" si="4"/>
        <v>-74.460999999999984</v>
      </c>
      <c r="W21" s="38">
        <f t="shared" ref="W21:AB21" si="5">W19+W20</f>
        <v>-68.411999999999992</v>
      </c>
      <c r="X21" s="38">
        <f t="shared" si="5"/>
        <v>-202.11599999999999</v>
      </c>
      <c r="Y21" s="38">
        <f t="shared" si="5"/>
        <v>-376.26600000000008</v>
      </c>
      <c r="Z21" s="38">
        <f t="shared" si="5"/>
        <v>-479.19800000000004</v>
      </c>
      <c r="AA21" s="38">
        <f t="shared" si="5"/>
        <v>-286.154</v>
      </c>
      <c r="AB21" s="38">
        <f t="shared" si="5"/>
        <v>69.240999999999985</v>
      </c>
      <c r="AC21" s="38">
        <f>AC19+AC20</f>
        <v>103.6118000000001</v>
      </c>
      <c r="AD21" s="38"/>
      <c r="AE21" s="38">
        <f>AE19+AE20</f>
        <v>25.477127374744313</v>
      </c>
      <c r="AF21" s="38">
        <f>AF19+AF20</f>
        <v>50.928504675974295</v>
      </c>
    </row>
    <row r="22" spans="1:38" s="34" customFormat="1">
      <c r="B22" s="372" t="s">
        <v>102</v>
      </c>
      <c r="C22" s="373"/>
      <c r="D22" s="374"/>
      <c r="E22" s="374"/>
      <c r="F22" s="374"/>
      <c r="G22" s="374"/>
      <c r="H22" s="375"/>
      <c r="I22" s="375"/>
      <c r="J22" s="368"/>
      <c r="K22" s="368"/>
      <c r="L22" s="368"/>
      <c r="M22" s="368"/>
      <c r="N22" s="368"/>
      <c r="O22" s="368"/>
      <c r="P22" s="368"/>
      <c r="Q22" s="368"/>
      <c r="R22" s="368"/>
      <c r="S22" s="368">
        <f t="shared" ref="S22:U22" si="6">S21/S28</f>
        <v>-0.18888385205967084</v>
      </c>
      <c r="T22" s="368">
        <f t="shared" si="6"/>
        <v>-0.1408275816909689</v>
      </c>
      <c r="U22" s="368">
        <f t="shared" si="6"/>
        <v>-3.7871302379101357E-2</v>
      </c>
      <c r="V22" s="368">
        <f t="shared" ref="V22:AA22" si="7">V21/V28</f>
        <v>-2.0399107031904583E-2</v>
      </c>
      <c r="W22" s="368">
        <f t="shared" si="7"/>
        <v>-1.0635455897463831E-2</v>
      </c>
      <c r="X22" s="368">
        <f t="shared" si="7"/>
        <v>-1.8831009456584009E-2</v>
      </c>
      <c r="Y22" s="368">
        <f t="shared" si="7"/>
        <v>-5.3385230679811303E-2</v>
      </c>
      <c r="Z22" s="368">
        <f t="shared" si="7"/>
        <v>-9.8353917985724376E-2</v>
      </c>
      <c r="AA22" s="368">
        <f t="shared" si="7"/>
        <v>-3.3635584832762994E-2</v>
      </c>
      <c r="AB22" s="368">
        <f>AB21/AB28</f>
        <v>3.5071414224831072E-3</v>
      </c>
      <c r="AC22" s="376">
        <f>AC21/AC28</f>
        <v>3.308017970193877E-3</v>
      </c>
      <c r="AD22" s="80"/>
      <c r="AE22" s="380">
        <f>AE21/AE28</f>
        <v>8.5946619919975871E-4</v>
      </c>
      <c r="AF22" s="376">
        <f>AF21/AF28</f>
        <v>1.6680230334102661E-3</v>
      </c>
      <c r="AK22" s="27"/>
      <c r="AL22" s="27"/>
    </row>
    <row r="23" spans="1:38" s="32" customFormat="1">
      <c r="C23" s="32" t="s">
        <v>103</v>
      </c>
      <c r="S23" s="32">
        <f>S21/IS!K26</f>
        <v>-1.7433979545107621</v>
      </c>
      <c r="T23" s="32">
        <f>T21/IS!P26</f>
        <v>-1.8814564913913445</v>
      </c>
      <c r="U23" s="32">
        <f>U21/IS!U26</f>
        <v>-1.989758226997985</v>
      </c>
      <c r="V23" s="32">
        <f>V21/IS!Z26</f>
        <v>-1.2871836537131791</v>
      </c>
      <c r="W23" s="32">
        <f>W21/IS!AE26</f>
        <v>-0.98356696139745503</v>
      </c>
      <c r="X23" s="32">
        <f>X21/IS!AJ26</f>
        <v>-2.4949204429028158</v>
      </c>
      <c r="Y23" s="32">
        <f>Y21/IS!AO26</f>
        <v>-4.1549725038097138</v>
      </c>
      <c r="Z23" s="32">
        <f>Z21/IS!AT26</f>
        <v>-4.8695024794732138</v>
      </c>
      <c r="AA23" s="32">
        <f>AA21/IS!AY26</f>
        <v>-2.488360565927807</v>
      </c>
      <c r="AB23" s="32">
        <f>AB21/IS!BD26</f>
        <v>0.55518048717907587</v>
      </c>
      <c r="AC23" s="32">
        <f>AC21/IS!BI26</f>
        <v>0.75783383679171523</v>
      </c>
      <c r="AE23" s="32">
        <f>AE21/IS!BN26</f>
        <v>0.18048790183194935</v>
      </c>
      <c r="AF23" s="32">
        <f>AF21/IS!BS26</f>
        <v>0.35028483701615593</v>
      </c>
      <c r="AK23" s="38"/>
    </row>
    <row r="24" spans="1:38" s="34" customFormat="1">
      <c r="B24" s="34" t="s">
        <v>104</v>
      </c>
      <c r="D24" s="35"/>
      <c r="E24" s="35"/>
      <c r="F24" s="35"/>
      <c r="G24" s="35"/>
      <c r="H24" s="35"/>
      <c r="I24" s="35"/>
      <c r="J24" s="72"/>
      <c r="K24" s="72"/>
      <c r="L24" s="72"/>
      <c r="M24" s="72"/>
      <c r="N24" s="72"/>
      <c r="O24" s="72"/>
      <c r="P24" s="72"/>
      <c r="Q24" s="72"/>
      <c r="R24" s="72"/>
      <c r="S24" s="72">
        <f t="shared" ref="S24:V24" si="8">S8/S23</f>
        <v>-5.2942588214692226</v>
      </c>
      <c r="T24" s="72">
        <f t="shared" si="8"/>
        <v>-7.1008817164409823</v>
      </c>
      <c r="U24" s="72">
        <f t="shared" si="8"/>
        <v>-26.405218125052741</v>
      </c>
      <c r="V24" s="72">
        <f t="shared" si="8"/>
        <v>-49.0217536697063</v>
      </c>
      <c r="W24" s="72">
        <f>W8/W23</f>
        <v>-94.025118400280675</v>
      </c>
      <c r="X24" s="72">
        <f>X8/X23</f>
        <v>-53.103897712204876</v>
      </c>
      <c r="Y24" s="72">
        <f>Y8/Y23</f>
        <v>-18.731772575784149</v>
      </c>
      <c r="Z24" s="72">
        <f>Z8/Z23</f>
        <v>-10.167363135906243</v>
      </c>
      <c r="AA24" s="99" t="s">
        <v>165</v>
      </c>
      <c r="AB24" s="99" t="s">
        <v>165</v>
      </c>
      <c r="AC24" s="99" t="s">
        <v>165</v>
      </c>
      <c r="AD24" s="99"/>
      <c r="AE24" s="99" t="s">
        <v>165</v>
      </c>
      <c r="AF24" s="99" t="s">
        <v>165</v>
      </c>
      <c r="AK24" s="27"/>
      <c r="AL24" s="27"/>
    </row>
    <row r="25" spans="1:38" s="22" customFormat="1" ht="8.9499999999999993" customHeight="1">
      <c r="B25" s="27"/>
      <c r="C25" s="27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38" s="36" customFormat="1" outlineLevel="1">
      <c r="C26" s="36" t="s">
        <v>105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>
        <f>BS!K9</f>
        <v>230.53300000000002</v>
      </c>
      <c r="T26" s="38">
        <f>BS!P9</f>
        <v>146.11600000000001</v>
      </c>
      <c r="U26" s="38">
        <f>BS!U9</f>
        <v>118.867</v>
      </c>
      <c r="V26" s="38">
        <f>BS!Z9</f>
        <v>153.86799999999999</v>
      </c>
      <c r="W26" s="38">
        <f>BS!AE9</f>
        <v>440.99099999999999</v>
      </c>
      <c r="X26" s="38">
        <f>BS!AJ9</f>
        <v>737.274</v>
      </c>
      <c r="Y26" s="38">
        <f>BS!AO9</f>
        <v>914.28199999999993</v>
      </c>
      <c r="Z26" s="38">
        <f>BS!AT9</f>
        <v>898.30600000000004</v>
      </c>
      <c r="AA26" s="38">
        <f>BS!AY9</f>
        <v>878.97700000000009</v>
      </c>
      <c r="AB26" s="38">
        <f>BS!BD9</f>
        <v>968.27599999999995</v>
      </c>
      <c r="AC26" s="38">
        <f>BS!BI9</f>
        <v>1076.1400000000001</v>
      </c>
      <c r="AD26" s="38"/>
      <c r="AE26" s="38">
        <f>BS!BN9</f>
        <v>1021.2941273747446</v>
      </c>
      <c r="AF26" s="38">
        <f>BS!BS9</f>
        <v>1072.2226320507193</v>
      </c>
      <c r="AK26" s="34"/>
    </row>
    <row r="27" spans="1:38" s="17" customFormat="1" outlineLevel="1">
      <c r="C27" s="17" t="s">
        <v>106</v>
      </c>
      <c r="S27" s="17">
        <f>IS!K26</f>
        <v>26.204000000000001</v>
      </c>
      <c r="T27" s="17">
        <f>IS!P26</f>
        <v>51.576000000000001</v>
      </c>
      <c r="U27" s="17">
        <f>IS!U26</f>
        <v>53.603999999999999</v>
      </c>
      <c r="V27" s="17">
        <f>IS!Z26</f>
        <v>57.847999999999999</v>
      </c>
      <c r="W27" s="17">
        <f>IS!AE26</f>
        <v>69.555000000000007</v>
      </c>
      <c r="X27" s="17">
        <f>IS!AJ26</f>
        <v>81.010999999999996</v>
      </c>
      <c r="Y27" s="17">
        <f>IS!AO26</f>
        <v>90.558000000000007</v>
      </c>
      <c r="Z27" s="17">
        <f>IS!AT26</f>
        <v>98.408000000000001</v>
      </c>
      <c r="AA27" s="17">
        <f>IS!AY26</f>
        <v>114.997</v>
      </c>
      <c r="AB27" s="17">
        <f>IS!BD26</f>
        <v>124.718</v>
      </c>
      <c r="AC27" s="17">
        <f>IS!BI26</f>
        <v>136.721</v>
      </c>
      <c r="AE27" s="17">
        <f>IS!BN26</f>
        <v>141.15698125</v>
      </c>
      <c r="AF27" s="17">
        <f>IS!BS26</f>
        <v>145.39169068750002</v>
      </c>
      <c r="AK27" s="34"/>
      <c r="AL27" s="34"/>
    </row>
    <row r="28" spans="1:38" outlineLevel="1">
      <c r="C28" s="27" t="s">
        <v>107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>
        <f t="shared" ref="S28:U28" si="9">S27*S8</f>
        <v>241.86292000000003</v>
      </c>
      <c r="T28" s="38">
        <f t="shared" si="9"/>
        <v>689.05535999999995</v>
      </c>
      <c r="U28" s="38">
        <f t="shared" si="9"/>
        <v>2816.3541599999999</v>
      </c>
      <c r="V28" s="38">
        <f t="shared" ref="V28:AA28" si="10">V27*V8</f>
        <v>3650.2087999999999</v>
      </c>
      <c r="W28" s="38">
        <f t="shared" si="10"/>
        <v>6432.4464000000007</v>
      </c>
      <c r="X28" s="38">
        <f t="shared" si="10"/>
        <v>10733.14739</v>
      </c>
      <c r="Y28" s="38">
        <f t="shared" si="10"/>
        <v>7048.12914</v>
      </c>
      <c r="Z28" s="38">
        <f t="shared" si="10"/>
        <v>4872.1800800000001</v>
      </c>
      <c r="AA28" s="38">
        <f t="shared" si="10"/>
        <v>8507.4780600000013</v>
      </c>
      <c r="AB28" s="38">
        <f>AB27*AB8</f>
        <v>19742.859400000001</v>
      </c>
      <c r="AC28" s="38">
        <f>AC27*AC8</f>
        <v>31321.41389</v>
      </c>
      <c r="AD28" s="38"/>
      <c r="AE28" s="38">
        <f>AE27*AE8</f>
        <v>29642.9660625</v>
      </c>
      <c r="AF28" s="38">
        <f>AF27*AF8</f>
        <v>30532.255044375004</v>
      </c>
      <c r="AK28" s="22"/>
      <c r="AL28" s="22"/>
    </row>
    <row r="29" spans="1:38" s="36" customFormat="1">
      <c r="C29" s="36" t="s">
        <v>108</v>
      </c>
      <c r="D29" s="32"/>
      <c r="E29" s="32"/>
      <c r="F29" s="32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>
        <f t="shared" ref="S29:U29" si="11">S28-S26+S48</f>
        <v>53.419920000000019</v>
      </c>
      <c r="T29" s="38">
        <f t="shared" si="11"/>
        <v>592.56335999999999</v>
      </c>
      <c r="U29" s="38">
        <f t="shared" si="11"/>
        <v>2820.6641599999998</v>
      </c>
      <c r="V29" s="38">
        <f t="shared" ref="V29:AA29" si="12">V28-V26+V48</f>
        <v>3619.8508000000002</v>
      </c>
      <c r="W29" s="38">
        <f t="shared" si="12"/>
        <v>6115.2344000000012</v>
      </c>
      <c r="X29" s="38">
        <f t="shared" si="12"/>
        <v>10248.420390000001</v>
      </c>
      <c r="Y29" s="38">
        <f t="shared" si="12"/>
        <v>6464.2931399999998</v>
      </c>
      <c r="Z29" s="38">
        <f t="shared" si="12"/>
        <v>4335.8770800000002</v>
      </c>
      <c r="AA29" s="38">
        <f t="shared" si="12"/>
        <v>7991.8480600000012</v>
      </c>
      <c r="AB29" s="38">
        <f>AB28-AB26+AB48</f>
        <v>18854.945400000001</v>
      </c>
      <c r="AC29" s="38">
        <f>AC28-AC26+AC48</f>
        <v>30325.596890000001</v>
      </c>
      <c r="AD29" s="38"/>
      <c r="AE29" s="38">
        <f>AE28-AE26+AE48</f>
        <v>28621.671935125254</v>
      </c>
      <c r="AF29" s="38">
        <f>AF28-AF26+AF48</f>
        <v>29460.032412324286</v>
      </c>
      <c r="AG29" s="38"/>
      <c r="AH29" s="32"/>
      <c r="AJ29" s="5"/>
      <c r="AK29" s="34"/>
    </row>
    <row r="30" spans="1:38" s="33" customFormat="1">
      <c r="A30" s="36"/>
      <c r="B30" s="36"/>
      <c r="C30" s="36" t="s">
        <v>9</v>
      </c>
      <c r="D30" s="36"/>
      <c r="E30" s="36"/>
      <c r="F30" s="36"/>
      <c r="G30" s="38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>
        <f>IS!K31+CF!K12</f>
        <v>-46.977000000000025</v>
      </c>
      <c r="T30" s="56">
        <f>IS!P31+CF!P12</f>
        <v>-79.710999999999999</v>
      </c>
      <c r="U30" s="56">
        <f>IS!U31+CF!U12</f>
        <v>-115.48200000000001</v>
      </c>
      <c r="V30" s="56">
        <f>IS!Z31+CF!Z12</f>
        <v>-92.928999999999974</v>
      </c>
      <c r="W30" s="56">
        <f>IS!AE31+CF!AE12</f>
        <v>-94.321000000000069</v>
      </c>
      <c r="X30" s="56">
        <f>IS!AJ31+CF!AJ12</f>
        <v>-157.49300000000005</v>
      </c>
      <c r="Y30" s="56">
        <f>IS!AO31+CF!AO12</f>
        <v>-341.70099999999996</v>
      </c>
      <c r="Z30" s="56">
        <f>IS!AT31+CF!AT12</f>
        <v>-371.95400000000018</v>
      </c>
      <c r="AA30" s="56">
        <f>IS!AY31+CF!AY12</f>
        <v>-230.34000000000003</v>
      </c>
      <c r="AB30" s="56">
        <f>IS!BD31+CF!BD12</f>
        <v>83.102000000000118</v>
      </c>
      <c r="AC30" s="56">
        <f>IS!BI31+CF!BI12</f>
        <v>24.683000000000163</v>
      </c>
      <c r="AD30" s="56"/>
      <c r="AE30" s="56">
        <f>IS!BN31+CF!BN12</f>
        <v>-82.498330563070311</v>
      </c>
      <c r="AF30" s="56">
        <f>IS!BS31+CF!BS12</f>
        <v>94.583099810349808</v>
      </c>
      <c r="AH30" s="98"/>
      <c r="AK30" s="17"/>
      <c r="AL30" s="17"/>
    </row>
    <row r="31" spans="1:38" s="34" customFormat="1">
      <c r="B31" s="34" t="s">
        <v>109</v>
      </c>
      <c r="D31" s="35"/>
      <c r="E31" s="35"/>
      <c r="F31" s="35"/>
      <c r="G31" s="35"/>
      <c r="H31" s="35"/>
      <c r="I31" s="35"/>
      <c r="J31" s="72"/>
      <c r="K31" s="72"/>
      <c r="L31" s="72"/>
      <c r="M31" s="72"/>
      <c r="N31" s="72"/>
      <c r="O31" s="72"/>
      <c r="P31" s="72"/>
      <c r="Q31" s="72"/>
      <c r="R31" s="72"/>
      <c r="S31" s="72">
        <f t="shared" ref="S31:U31" si="13">S29/S30</f>
        <v>-1.1371505204674626</v>
      </c>
      <c r="T31" s="72">
        <f t="shared" si="13"/>
        <v>-7.4338969527417795</v>
      </c>
      <c r="U31" s="72">
        <f t="shared" si="13"/>
        <v>-24.425141234131722</v>
      </c>
      <c r="V31" s="72">
        <f t="shared" ref="V31:AA31" si="14">V29/V30</f>
        <v>-38.952865090553018</v>
      </c>
      <c r="W31" s="72">
        <f t="shared" si="14"/>
        <v>-64.834282927449848</v>
      </c>
      <c r="X31" s="72">
        <f t="shared" si="14"/>
        <v>-65.072227908541947</v>
      </c>
      <c r="Y31" s="72">
        <f t="shared" si="14"/>
        <v>-18.917981334558576</v>
      </c>
      <c r="Z31" s="72">
        <f t="shared" si="14"/>
        <v>-11.657025008468784</v>
      </c>
      <c r="AA31" s="72">
        <f t="shared" si="14"/>
        <v>-34.695875922549277</v>
      </c>
      <c r="AB31" s="72">
        <f>AB29/AB30</f>
        <v>226.88918918918887</v>
      </c>
      <c r="AC31" s="72">
        <f>AC29/AC30</f>
        <v>1228.6025560102014</v>
      </c>
      <c r="AD31" s="72"/>
      <c r="AE31" s="72">
        <f>AE29/AE30</f>
        <v>-346.93637725485689</v>
      </c>
      <c r="AF31" s="72">
        <f>AF29/AF30</f>
        <v>311.47247733892317</v>
      </c>
      <c r="AH31" s="94"/>
      <c r="AK31" s="38"/>
    </row>
    <row r="32" spans="1:38" s="22" customFormat="1" ht="8.9499999999999993" customHeight="1">
      <c r="B32" s="27"/>
      <c r="C32" s="27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38" s="22" customFormat="1">
      <c r="B33" s="27"/>
      <c r="C33" s="27" t="s">
        <v>11</v>
      </c>
      <c r="D33" s="40"/>
      <c r="E33" s="40"/>
      <c r="F33" s="40"/>
      <c r="G33" s="40"/>
      <c r="H33" s="40"/>
      <c r="I33" s="40"/>
      <c r="J33" s="73"/>
      <c r="K33" s="73"/>
      <c r="L33" s="73"/>
      <c r="M33" s="73"/>
      <c r="N33" s="74"/>
      <c r="O33" s="74"/>
      <c r="P33" s="74"/>
      <c r="Q33" s="74"/>
      <c r="R33" s="74"/>
      <c r="S33" s="74">
        <f>IS!K56</f>
        <v>-0.2852722544719079</v>
      </c>
      <c r="T33" s="41">
        <f>IS!P56</f>
        <v>-0.41604245556814723</v>
      </c>
      <c r="U33" s="41">
        <f>IS!U56</f>
        <v>-0.60151987067351231</v>
      </c>
      <c r="V33" s="41">
        <f>IS!Z56</f>
        <v>-0.41577852468814758</v>
      </c>
      <c r="W33" s="41">
        <f>IS!AE56</f>
        <v>-0.40666097748141117</v>
      </c>
      <c r="X33" s="41">
        <f>IS!AJ56</f>
        <v>-0.53110318282374913</v>
      </c>
      <c r="Y33" s="41">
        <f>IS!AO56</f>
        <v>-0.73050396012061014</v>
      </c>
      <c r="Z33" s="41">
        <f>IS!AT56</f>
        <v>-0.63926351646261648</v>
      </c>
      <c r="AA33" s="41">
        <f>IS!AY56</f>
        <v>-0.3899494813735081</v>
      </c>
      <c r="AB33" s="103">
        <f>IS!BD56</f>
        <v>-0.11274957849881335</v>
      </c>
      <c r="AC33" s="103">
        <f>IS!BI56</f>
        <v>-0.11732039728032978</v>
      </c>
      <c r="AD33" s="103"/>
      <c r="AE33" s="103">
        <f>IS!BN56</f>
        <v>-8.1295392566327285E-2</v>
      </c>
      <c r="AF33" s="103">
        <f>IS!BS56</f>
        <v>-1.5051296757175783E-2</v>
      </c>
      <c r="AK33" s="55"/>
      <c r="AL33" s="97"/>
    </row>
    <row r="34" spans="1:38" s="22" customFormat="1">
      <c r="B34" s="27"/>
      <c r="C34" s="27" t="s">
        <v>110</v>
      </c>
      <c r="D34" s="42"/>
      <c r="E34" s="42"/>
      <c r="F34" s="42"/>
      <c r="G34" s="42"/>
      <c r="H34" s="42"/>
      <c r="I34" s="42"/>
      <c r="J34" s="42"/>
      <c r="K34" s="42"/>
      <c r="L34" s="79"/>
      <c r="M34" s="42"/>
      <c r="N34" s="42"/>
      <c r="O34" s="42"/>
      <c r="P34" s="42"/>
      <c r="Q34" s="42"/>
      <c r="R34" s="42"/>
      <c r="S34" s="42">
        <f>S11/(BS!K21)</f>
        <v>0.71767078871965007</v>
      </c>
      <c r="T34" s="42">
        <f>T11/(BS!P21)</f>
        <v>1.030349344978166</v>
      </c>
      <c r="U34" s="42">
        <f>U11/(BS!U21)</f>
        <v>1.1799066988857565</v>
      </c>
      <c r="V34" s="42">
        <f>V11/(BS!Z21)</f>
        <v>0.96078248580196945</v>
      </c>
      <c r="W34" s="42">
        <f>W11/(BS!AE21)</f>
        <v>0.5188790641476273</v>
      </c>
      <c r="X34" s="42">
        <f>X11/(BS!AJ21)</f>
        <v>0.41946440123027018</v>
      </c>
      <c r="Y34" s="42">
        <f>Y11/(BS!AO21)</f>
        <v>0.50585731997182337</v>
      </c>
      <c r="Z34" s="42">
        <f>Z11/(BS!AT21)</f>
        <v>0.58819454503992186</v>
      </c>
      <c r="AA34" s="42">
        <f>AA11/(BS!AY21)</f>
        <v>0.75089945959593496</v>
      </c>
      <c r="AB34" s="42">
        <f>AB11/(BS!BD21)</f>
        <v>1.0217831261459536</v>
      </c>
      <c r="AC34" s="42">
        <f>AC11/(BS!BI21)</f>
        <v>0.96154388194520901</v>
      </c>
      <c r="AD34" s="42"/>
      <c r="AE34" s="42">
        <f>AE11/(BS!BN21)</f>
        <v>1.1388932818322013</v>
      </c>
      <c r="AF34" s="42">
        <f>AF11/(BS!BS21)</f>
        <v>1.2692229329725748</v>
      </c>
    </row>
    <row r="35" spans="1:38" s="22" customFormat="1">
      <c r="B35" s="34" t="s">
        <v>111</v>
      </c>
      <c r="C35" s="34"/>
      <c r="D35" s="43"/>
      <c r="E35" s="43"/>
      <c r="F35" s="43"/>
      <c r="G35" s="43"/>
      <c r="H35" s="43"/>
      <c r="I35" s="43"/>
      <c r="J35" s="80"/>
      <c r="K35" s="80"/>
      <c r="L35" s="80"/>
      <c r="M35" s="84"/>
      <c r="N35" s="84"/>
      <c r="O35" s="84"/>
      <c r="P35" s="84"/>
      <c r="Q35" s="84"/>
      <c r="R35" s="84"/>
      <c r="S35" s="84">
        <f t="shared" ref="S35:U35" si="15">S33*S34</f>
        <v>-0.20473156386668687</v>
      </c>
      <c r="T35" s="84">
        <f t="shared" si="15"/>
        <v>-0.42866907157774825</v>
      </c>
      <c r="U35" s="84">
        <f t="shared" si="15"/>
        <v>-0.70973732492057107</v>
      </c>
      <c r="V35" s="84">
        <f t="shared" ref="V35:AA35" si="16">V33*V34</f>
        <v>-0.39947272449295396</v>
      </c>
      <c r="W35" s="84">
        <f t="shared" si="16"/>
        <v>-0.21100786742091396</v>
      </c>
      <c r="X35" s="84">
        <f t="shared" si="16"/>
        <v>-0.22277887857465464</v>
      </c>
      <c r="Y35" s="84">
        <f t="shared" si="16"/>
        <v>-0.36953077549541558</v>
      </c>
      <c r="Z35" s="84">
        <f t="shared" si="16"/>
        <v>-0.37601131322634929</v>
      </c>
      <c r="AA35" s="84">
        <f t="shared" si="16"/>
        <v>-0.29281285483308234</v>
      </c>
      <c r="AB35" s="84">
        <f>AB33*AB34</f>
        <v>-0.1152056167901561</v>
      </c>
      <c r="AC35" s="84">
        <f>AC33*AC34</f>
        <v>-0.11280871023228244</v>
      </c>
      <c r="AD35" s="84"/>
      <c r="AE35" s="84">
        <f>AE33*AE34</f>
        <v>-9.2586776437701621E-2</v>
      </c>
      <c r="AF35" s="84">
        <f>AF33*AF34</f>
        <v>-1.9103451015183251E-2</v>
      </c>
    </row>
    <row r="36" spans="1:38" s="22" customFormat="1" ht="8.9499999999999993" customHeight="1">
      <c r="B36" s="27"/>
      <c r="C36" s="2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38" s="22" customFormat="1" hidden="1" outlineLevel="1">
      <c r="B37" s="27"/>
      <c r="C37" s="27" t="s">
        <v>112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>
        <f>IS!K18/IS!K14</f>
        <v>1.1744209365286271</v>
      </c>
      <c r="T37" s="45">
        <f>IS!P18/IS!P14</f>
        <v>0.99103515463062775</v>
      </c>
      <c r="U37" s="45">
        <f>IS!U18/IS!U14</f>
        <v>1.0136763487953919</v>
      </c>
      <c r="V37" s="45">
        <f>IS!Z18/IS!Z14</f>
        <v>1.1151987298042363</v>
      </c>
      <c r="W37" s="45">
        <f>IS!AE18/IS!AE14</f>
        <v>1.0500554811555387</v>
      </c>
      <c r="X37" s="45">
        <f>IS!AJ18/IS!AJ14</f>
        <v>1.0618096237695178</v>
      </c>
      <c r="Y37" s="45">
        <f>IS!AO18/IS!AO14</f>
        <v>1.0062455411876781</v>
      </c>
      <c r="Z37" s="45">
        <f>IS!AT18/IS!AT14</f>
        <v>1.010684977081177</v>
      </c>
      <c r="AA37" s="45">
        <f>IS!AY18/IS!AY14</f>
        <v>0.9737476050151822</v>
      </c>
      <c r="AB37" s="45">
        <f>IS!BD18/IS!BD14</f>
        <v>0.85351381503774282</v>
      </c>
      <c r="AC37" s="45">
        <f>IS!BI18/IS!BI14</f>
        <v>0.86505157932438659</v>
      </c>
      <c r="AD37" s="45"/>
      <c r="AE37" s="45">
        <f>IS!BN18/IS!BN14</f>
        <v>0.85975894286526444</v>
      </c>
      <c r="AF37" s="45">
        <f>IS!BS18/IS!BS14</f>
        <v>0.79489458507100597</v>
      </c>
    </row>
    <row r="38" spans="1:38" s="22" customFormat="1" hidden="1" outlineLevel="1">
      <c r="B38" s="27"/>
      <c r="C38" s="27" t="s">
        <v>113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>
        <f>BS!K21/BS!K45</f>
        <v>1.4355532703704705</v>
      </c>
      <c r="T38" s="45">
        <f>BS!P21/BS!P45</f>
        <v>1.9786618580713029</v>
      </c>
      <c r="U38" s="45">
        <f>BS!U21/BS!U45</f>
        <v>-17.239729990356867</v>
      </c>
      <c r="V38" s="45">
        <f>BS!Z21/BS!Z45</f>
        <v>8.3381319569678531</v>
      </c>
      <c r="W38" s="45">
        <f>BS!AE21/BS!AE45</f>
        <v>2.0905382277699847</v>
      </c>
      <c r="X38" s="45">
        <f>BS!AJ21/BS!AJ45</f>
        <v>1.9170793606396888</v>
      </c>
      <c r="Y38" s="45">
        <f>BS!AO21/BS!AO45</f>
        <v>1.8926671197482341</v>
      </c>
      <c r="Z38" s="45">
        <f>BS!AT21/BS!AT45</f>
        <v>1.9758921081865377</v>
      </c>
      <c r="AA38" s="45">
        <f>BS!AY21/BS!AY45</f>
        <v>1.8837686374582374</v>
      </c>
      <c r="AB38" s="45">
        <f>BS!BD21/BS!BD45</f>
        <v>1.3892481303642235</v>
      </c>
      <c r="AC38" s="45">
        <f>BS!BI21/BS!BI45</f>
        <v>1.4005639994557388</v>
      </c>
      <c r="AD38" s="45"/>
      <c r="AE38" s="45">
        <f>BS!BN21/BS!BN45</f>
        <v>1.4473824355064262</v>
      </c>
      <c r="AF38" s="45">
        <f>BS!BS21/BS!BS45</f>
        <v>1.4764594689436366</v>
      </c>
    </row>
    <row r="39" spans="1:38" s="22" customFormat="1" hidden="1" outlineLevel="1">
      <c r="B39" s="27"/>
      <c r="C39" s="27" t="s">
        <v>114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>
        <f>IS!K23/IS!K18</f>
        <v>1.0201494130202775</v>
      </c>
      <c r="T39" s="42">
        <f>IS!P23/IS!P18</f>
        <v>0.99425870345000678</v>
      </c>
      <c r="U39" s="42">
        <f>IS!U23/IS!U18</f>
        <v>1.0036434564993375</v>
      </c>
      <c r="V39" s="42">
        <f>IS!Z23/IS!Z18</f>
        <v>1.0008370295620068</v>
      </c>
      <c r="W39" s="42">
        <f>IS!AE23/IS!AE18</f>
        <v>1.0038479477611939</v>
      </c>
      <c r="X39" s="42">
        <f>IS!AJ23/IS!AJ18</f>
        <v>0.98588255786104639</v>
      </c>
      <c r="Y39" s="42">
        <f>IS!AO23/IS!AO18</f>
        <v>1.0152070269880151</v>
      </c>
      <c r="Z39" s="42">
        <f>IS!AT23/IS!AT18</f>
        <v>1.0275282039277935</v>
      </c>
      <c r="AA39" s="42">
        <f>IS!AY23/IS!AY18</f>
        <v>0.97006880997859768</v>
      </c>
      <c r="AB39" s="42">
        <f>IS!BD23/IS!BD18</f>
        <v>0.98921631151472333</v>
      </c>
      <c r="AC39" s="42">
        <f>IS!BI23/IS!BI18</f>
        <v>0.77613777514183702</v>
      </c>
      <c r="AD39" s="42"/>
      <c r="AE39" s="42">
        <f>IS!BN23/IS!BN18</f>
        <v>0.99828657630473483</v>
      </c>
      <c r="AF39" s="42">
        <f>IS!BS23/IS!BS18</f>
        <v>0.99531198237464458</v>
      </c>
    </row>
    <row r="40" spans="1:38" s="22" customFormat="1" collapsed="1">
      <c r="B40" s="34" t="s">
        <v>115</v>
      </c>
      <c r="C40" s="34"/>
      <c r="D40" s="43"/>
      <c r="E40" s="43"/>
      <c r="F40" s="43"/>
      <c r="G40" s="43"/>
      <c r="H40" s="43"/>
      <c r="I40" s="43"/>
      <c r="J40" s="80"/>
      <c r="K40" s="80"/>
      <c r="L40" s="80"/>
      <c r="M40" s="84"/>
      <c r="N40" s="84"/>
      <c r="O40" s="84"/>
      <c r="P40" s="84"/>
      <c r="Q40" s="84"/>
      <c r="R40" s="84"/>
      <c r="S40" s="84">
        <f t="shared" ref="S40:U40" si="17">S33*S34*S37*S38*S39</f>
        <v>-0.35212080465062351</v>
      </c>
      <c r="T40" s="84">
        <f t="shared" si="17"/>
        <v>-0.83576117862042332</v>
      </c>
      <c r="U40" s="84">
        <f t="shared" si="17"/>
        <v>12.448209132201921</v>
      </c>
      <c r="V40" s="84">
        <f t="shared" ref="V40:AA40" si="18">V33*V34*V37*V38*V39</f>
        <v>-3.7176759059449487</v>
      </c>
      <c r="W40" s="84">
        <f t="shared" si="18"/>
        <v>-0.46498285899156211</v>
      </c>
      <c r="X40" s="84">
        <f t="shared" si="18"/>
        <v>-0.4470807239486691</v>
      </c>
      <c r="Y40" s="84">
        <f t="shared" si="18"/>
        <v>-0.71446907402460502</v>
      </c>
      <c r="Z40" s="84">
        <f t="shared" si="18"/>
        <v>-0.77156709905306076</v>
      </c>
      <c r="AA40" s="84">
        <f t="shared" si="18"/>
        <v>-0.52103469661791835</v>
      </c>
      <c r="AB40" s="84">
        <f>AB33*AB34*AB37*AB38*AB39</f>
        <v>-0.13513109575473103</v>
      </c>
      <c r="AC40" s="84">
        <f>AC33*AC34*AC37*AC38*AC39</f>
        <v>-0.10607826735044769</v>
      </c>
      <c r="AD40" s="84"/>
      <c r="AE40" s="84">
        <f>AE33*AE34*AE37*AE38*AE39</f>
        <v>-0.11501757183717079</v>
      </c>
      <c r="AF40" s="84">
        <f>AF33*AF34*AF37*AF38*AF39</f>
        <v>-2.2315269160088452E-2</v>
      </c>
    </row>
    <row r="41" spans="1:38" ht="8.25" customHeight="1"/>
    <row r="42" spans="1:38">
      <c r="A42" s="31" t="s">
        <v>116</v>
      </c>
    </row>
    <row r="43" spans="1:38">
      <c r="C43" s="27" t="s">
        <v>117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>
        <f>BS!K66</f>
        <v>8.1468506212077454</v>
      </c>
      <c r="T43" s="17">
        <f>BS!P66</f>
        <v>13.06069589172356</v>
      </c>
      <c r="U43" s="17">
        <f>BS!U66</f>
        <v>14.167739251631991</v>
      </c>
      <c r="V43" s="17">
        <f>BS!Z66</f>
        <v>71.880615573598718</v>
      </c>
      <c r="W43" s="17">
        <f>BS!AE66</f>
        <v>72.425507230557557</v>
      </c>
      <c r="X43" s="17">
        <f>BS!AJ66</f>
        <v>59.957017813071438</v>
      </c>
      <c r="Y43" s="17">
        <f>BS!AO66</f>
        <v>58.12521683139191</v>
      </c>
      <c r="Z43" s="17">
        <f>BS!AT66</f>
        <v>88.529205355379403</v>
      </c>
      <c r="AA43" s="17">
        <f>BS!AY66</f>
        <v>86.256908322872121</v>
      </c>
      <c r="AB43" s="17">
        <f>BS!BD66</f>
        <v>66.023240906564908</v>
      </c>
      <c r="AC43" s="17">
        <f>BS!BI66</f>
        <v>48.241522911062901</v>
      </c>
      <c r="AD43" s="17"/>
      <c r="AE43" s="17">
        <f>BS!BN66</f>
        <v>35.994661735414269</v>
      </c>
      <c r="AF43" s="17">
        <f>BS!BS66</f>
        <v>34.429846726686598</v>
      </c>
    </row>
    <row r="44" spans="1:38">
      <c r="C44" s="27" t="s">
        <v>118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>
        <f>BS!K70</f>
        <v>30.060464575302404</v>
      </c>
      <c r="T44" s="17">
        <f>BS!P70</f>
        <v>22.539909016478084</v>
      </c>
      <c r="U44" s="17">
        <f>BS!U70</f>
        <v>21.228652683457977</v>
      </c>
      <c r="V44" s="17">
        <f>BS!Z70</f>
        <v>26.263877179247839</v>
      </c>
      <c r="W44" s="17">
        <f>BS!AE70</f>
        <v>28.347719695674474</v>
      </c>
      <c r="X44" s="17">
        <f>BS!AJ70</f>
        <v>30.824547564089972</v>
      </c>
      <c r="Y44" s="17">
        <f>BS!AO70</f>
        <v>29.6823711285166</v>
      </c>
      <c r="Z44" s="17">
        <f>BS!AT70</f>
        <v>25.419365717930283</v>
      </c>
      <c r="AA44" s="17">
        <f>BS!AY70</f>
        <v>25.298885401072507</v>
      </c>
      <c r="AB44" s="17">
        <f>BS!BD70</f>
        <v>23.736203215421678</v>
      </c>
      <c r="AC44" s="17">
        <f>BS!BI70</f>
        <v>25.354156646365691</v>
      </c>
      <c r="AD44" s="17"/>
      <c r="AE44" s="17">
        <f>BS!BN70</f>
        <v>23.400553392702683</v>
      </c>
      <c r="AF44" s="17">
        <f>BS!BS70</f>
        <v>22.651494086407276</v>
      </c>
    </row>
    <row r="45" spans="1:38">
      <c r="C45" s="27" t="s">
        <v>119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>
        <f>BS!K74</f>
        <v>18.691917010058042</v>
      </c>
      <c r="T45" s="17">
        <f>BS!P74</f>
        <v>23.383931469160753</v>
      </c>
      <c r="U45" s="17">
        <f>BS!U74</f>
        <v>20.104336800481388</v>
      </c>
      <c r="V45" s="17">
        <f>BS!Z74</f>
        <v>20.738211737075069</v>
      </c>
      <c r="W45" s="17">
        <f>BS!AE74</f>
        <v>19.79631489713341</v>
      </c>
      <c r="X45" s="17">
        <f>BS!AJ74</f>
        <v>13.183792112759061</v>
      </c>
      <c r="Y45" s="17">
        <f>BS!AO74</f>
        <v>14.563926191358529</v>
      </c>
      <c r="Z45" s="17">
        <f>BS!AT74</f>
        <v>21.932511572450551</v>
      </c>
      <c r="AA45" s="17">
        <f>BS!AY74</f>
        <v>15.721774542199375</v>
      </c>
      <c r="AB45" s="17">
        <f>BS!BD74</f>
        <v>12.707902599320523</v>
      </c>
      <c r="AC45" s="17">
        <f>BS!BI74</f>
        <v>17.584415013291377</v>
      </c>
      <c r="AD45" s="17"/>
      <c r="AE45" s="17">
        <f>BS!BN74</f>
        <v>18.344425190314492</v>
      </c>
      <c r="AF45" s="17">
        <f>BS!BS74</f>
        <v>18.876245072006068</v>
      </c>
    </row>
    <row r="46" spans="1:38">
      <c r="B46" s="372" t="s">
        <v>120</v>
      </c>
      <c r="C46" s="373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369"/>
      <c r="P46" s="369"/>
      <c r="Q46" s="369"/>
      <c r="R46" s="377"/>
      <c r="S46" s="369">
        <f t="shared" ref="S46:W46" si="19">S43+S44-S45</f>
        <v>19.51539818645211</v>
      </c>
      <c r="T46" s="369">
        <f t="shared" si="19"/>
        <v>12.216673439040893</v>
      </c>
      <c r="U46" s="369">
        <f t="shared" si="19"/>
        <v>15.292055134608578</v>
      </c>
      <c r="V46" s="369">
        <f t="shared" si="19"/>
        <v>77.406281015771498</v>
      </c>
      <c r="W46" s="369">
        <f t="shared" si="19"/>
        <v>80.976912029098614</v>
      </c>
      <c r="X46" s="369">
        <f t="shared" ref="X46:AC46" si="20">X43+X44-X45</f>
        <v>77.597773264402349</v>
      </c>
      <c r="Y46" s="369">
        <f t="shared" si="20"/>
        <v>73.243661768549984</v>
      </c>
      <c r="Z46" s="369">
        <f t="shared" si="20"/>
        <v>92.016059500859143</v>
      </c>
      <c r="AA46" s="369">
        <f t="shared" si="20"/>
        <v>95.834019181745262</v>
      </c>
      <c r="AB46" s="369">
        <f t="shared" si="20"/>
        <v>77.051541522666071</v>
      </c>
      <c r="AC46" s="378">
        <f t="shared" si="20"/>
        <v>56.011264544137219</v>
      </c>
      <c r="AD46" s="371"/>
      <c r="AE46" s="379">
        <f>AE43+AE44-AE45</f>
        <v>41.050789937802463</v>
      </c>
      <c r="AF46" s="378">
        <f>AF43+AF44-AF45</f>
        <v>38.205095741087803</v>
      </c>
    </row>
    <row r="47" spans="1:38" s="22" customFormat="1" ht="8.9499999999999993" customHeight="1">
      <c r="B47" s="27"/>
      <c r="C47" s="27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38">
      <c r="C48" s="27" t="s">
        <v>121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f>BS!K30+BS!K33</f>
        <v>42.09</v>
      </c>
      <c r="T48" s="36">
        <f>BS!P30+BS!P33</f>
        <v>49.624000000000002</v>
      </c>
      <c r="U48" s="11">
        <f>BS!U30+BS!U33</f>
        <v>123.17699999999999</v>
      </c>
      <c r="V48" s="36">
        <f>BS!Z30+BS!Z33</f>
        <v>123.50999999999999</v>
      </c>
      <c r="W48" s="38">
        <f>BS!AE30+BS!AE33</f>
        <v>123.779</v>
      </c>
      <c r="X48" s="38">
        <f>BS!AJ30+BS!AJ33</f>
        <v>252.547</v>
      </c>
      <c r="Y48" s="38">
        <f>BS!AO30+BS!AO33</f>
        <v>330.44600000000003</v>
      </c>
      <c r="Z48" s="38">
        <f>BS!AT30+BS!AT33</f>
        <v>362.00300000000004</v>
      </c>
      <c r="AA48" s="38">
        <f>BS!AY30+BS!AY33</f>
        <v>363.34699999999998</v>
      </c>
      <c r="AB48" s="38">
        <f>BS!BD30+BS!BD33</f>
        <v>80.361999999999995</v>
      </c>
      <c r="AC48" s="38">
        <f>BS!BI30+BS!BI33</f>
        <v>80.322999999999993</v>
      </c>
      <c r="AD48" s="38"/>
      <c r="AE48" s="38">
        <f>BS!BN30+BS!BN33</f>
        <v>0</v>
      </c>
      <c r="AF48" s="38">
        <f>BS!BS30+BS!BS33</f>
        <v>0</v>
      </c>
    </row>
    <row r="49" spans="1:32">
      <c r="C49" s="27" t="s">
        <v>122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>
        <f>BS!K45</f>
        <v>184.76500000000001</v>
      </c>
      <c r="T49" s="14">
        <f>BS!P45</f>
        <v>106.47599999999997</v>
      </c>
      <c r="U49" s="14">
        <f>BS!U45</f>
        <v>-10.369999999999957</v>
      </c>
      <c r="V49" s="14">
        <f>BS!Z45</f>
        <v>32.161999999999992</v>
      </c>
      <c r="W49" s="56">
        <f>BS!AE45</f>
        <v>278.71099999999996</v>
      </c>
      <c r="X49" s="56">
        <f>BS!AJ45</f>
        <v>486.2360000000001</v>
      </c>
      <c r="Y49" s="56">
        <f>BS!AO45</f>
        <v>653.30399999999986</v>
      </c>
      <c r="Z49" s="56">
        <f>BS!AT45</f>
        <v>705.74400000000003</v>
      </c>
      <c r="AA49" s="56">
        <f>BS!AY45</f>
        <v>765.32699999999977</v>
      </c>
      <c r="AB49" s="56">
        <f>BS!BD45</f>
        <v>1195.4199999999998</v>
      </c>
      <c r="AC49" s="56">
        <f>BS!BI45</f>
        <v>1712.413</v>
      </c>
      <c r="AD49" s="56"/>
      <c r="AE49" s="56">
        <f>BS!BN45</f>
        <v>1613.0226506047052</v>
      </c>
      <c r="AF49" s="56">
        <f>BS!BS45</f>
        <v>1669.7787350462872</v>
      </c>
    </row>
    <row r="50" spans="1:32">
      <c r="B50" s="34" t="s">
        <v>123</v>
      </c>
      <c r="C50" s="34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4"/>
      <c r="O50" s="44"/>
      <c r="P50" s="44"/>
      <c r="Q50" s="44"/>
      <c r="R50" s="44"/>
      <c r="S50" s="44">
        <f t="shared" ref="S50:U50" si="21">S48/(S48+S49)</f>
        <v>0.18553701703731459</v>
      </c>
      <c r="T50" s="80">
        <f t="shared" si="21"/>
        <v>0.31789878283151835</v>
      </c>
      <c r="U50" s="66">
        <f t="shared" si="21"/>
        <v>1.0919269194287584</v>
      </c>
      <c r="V50" s="80">
        <f t="shared" ref="V50:AA50" si="22">V48/(V48+V49)</f>
        <v>0.79339894136389344</v>
      </c>
      <c r="W50" s="80">
        <f t="shared" si="22"/>
        <v>0.30753310641258169</v>
      </c>
      <c r="X50" s="80">
        <f t="shared" si="22"/>
        <v>0.34184192110538542</v>
      </c>
      <c r="Y50" s="80">
        <f t="shared" si="22"/>
        <v>0.33590444726810681</v>
      </c>
      <c r="Z50" s="80">
        <f t="shared" si="22"/>
        <v>0.33903443418712487</v>
      </c>
      <c r="AA50" s="80">
        <f t="shared" si="22"/>
        <v>0.32192377958560225</v>
      </c>
      <c r="AB50" s="80">
        <f>AB48/(AB48+AB49)</f>
        <v>6.299038550473357E-2</v>
      </c>
      <c r="AC50" s="80">
        <f>AC48/(AC48+AC49)</f>
        <v>4.48047007479071E-2</v>
      </c>
      <c r="AD50" s="80"/>
      <c r="AE50" s="80">
        <f>AE48/(AE48+AE49)</f>
        <v>0</v>
      </c>
      <c r="AF50" s="80">
        <f>AF48/(AF48+AF49)</f>
        <v>0</v>
      </c>
    </row>
    <row r="51" spans="1:32">
      <c r="C51" s="27" t="s">
        <v>124</v>
      </c>
      <c r="D51" s="45"/>
      <c r="E51" s="45"/>
      <c r="F51" s="45"/>
      <c r="G51" s="45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 t="s">
        <v>155</v>
      </c>
      <c r="T51" s="63" t="s">
        <v>155</v>
      </c>
      <c r="U51" s="63" t="s">
        <v>155</v>
      </c>
      <c r="V51" s="63" t="s">
        <v>155</v>
      </c>
      <c r="W51" s="63" t="s">
        <v>155</v>
      </c>
      <c r="X51" s="63" t="s">
        <v>155</v>
      </c>
      <c r="Y51" s="63" t="s">
        <v>155</v>
      </c>
      <c r="Z51" s="63" t="s">
        <v>155</v>
      </c>
      <c r="AA51" s="63" t="s">
        <v>155</v>
      </c>
      <c r="AB51" s="63" t="s">
        <v>155</v>
      </c>
      <c r="AC51" s="63" t="s">
        <v>155</v>
      </c>
      <c r="AD51" s="63"/>
      <c r="AE51" s="63" t="s">
        <v>155</v>
      </c>
      <c r="AF51" s="63" t="s">
        <v>155</v>
      </c>
    </row>
    <row r="52" spans="1:32">
      <c r="C52" s="27" t="s">
        <v>66</v>
      </c>
      <c r="D52" s="45"/>
      <c r="E52" s="45"/>
      <c r="F52" s="45"/>
      <c r="G52" s="45"/>
      <c r="H52" s="45"/>
      <c r="I52" s="45"/>
      <c r="J52" s="75"/>
      <c r="K52" s="75"/>
      <c r="L52" s="75"/>
      <c r="M52" s="75"/>
      <c r="N52" s="75"/>
      <c r="O52" s="75"/>
      <c r="P52" s="75"/>
      <c r="Q52" s="75"/>
      <c r="R52" s="75"/>
      <c r="S52" s="75">
        <f t="shared" ref="S52:V52" si="23">S48/S30</f>
        <v>-0.895970368478191</v>
      </c>
      <c r="T52" s="75">
        <f t="shared" si="23"/>
        <v>-0.62254895811117672</v>
      </c>
      <c r="U52" s="75">
        <f t="shared" si="23"/>
        <v>-1.0666337611056267</v>
      </c>
      <c r="V52" s="75">
        <f t="shared" si="23"/>
        <v>-1.3290791894887497</v>
      </c>
      <c r="W52" s="75">
        <f t="shared" ref="W52:AB52" si="24">W48/W30</f>
        <v>-1.3123164512674792</v>
      </c>
      <c r="X52" s="75">
        <f t="shared" si="24"/>
        <v>-1.6035442845078824</v>
      </c>
      <c r="Y52" s="75">
        <f t="shared" si="24"/>
        <v>-0.96706184646811122</v>
      </c>
      <c r="Z52" s="75">
        <f t="shared" si="24"/>
        <v>-0.97324669179522161</v>
      </c>
      <c r="AA52" s="75">
        <f t="shared" si="24"/>
        <v>-1.5774377007901361</v>
      </c>
      <c r="AB52" s="75">
        <f t="shared" si="24"/>
        <v>0.96702847103559342</v>
      </c>
      <c r="AC52" s="75">
        <f>AC48/AC30</f>
        <v>3.2541830409593429</v>
      </c>
      <c r="AD52" s="75"/>
      <c r="AE52" s="75">
        <f>AE48/AE30</f>
        <v>0</v>
      </c>
      <c r="AF52" s="75">
        <f>AF48/AF30</f>
        <v>0</v>
      </c>
    </row>
    <row r="53" spans="1:32">
      <c r="C53" s="27" t="s">
        <v>65</v>
      </c>
      <c r="D53" s="45"/>
      <c r="E53" s="45"/>
      <c r="F53" s="45"/>
      <c r="G53" s="45"/>
      <c r="H53" s="45"/>
      <c r="I53" s="45"/>
      <c r="J53" s="75"/>
      <c r="K53" s="75"/>
      <c r="L53" s="75"/>
      <c r="M53" s="75"/>
      <c r="N53" s="75"/>
      <c r="O53" s="75"/>
      <c r="P53" s="75"/>
      <c r="Q53" s="75"/>
      <c r="R53" s="75"/>
      <c r="S53" s="75">
        <f t="shared" ref="S53:V53" si="25">(S48-S26)/S30</f>
        <v>4.0113885518445178</v>
      </c>
      <c r="T53" s="75">
        <f t="shared" si="25"/>
        <v>1.2105230143894823</v>
      </c>
      <c r="U53" s="75">
        <f t="shared" si="25"/>
        <v>-3.7321833705685627E-2</v>
      </c>
      <c r="V53" s="75">
        <f t="shared" si="25"/>
        <v>0.32667950801149276</v>
      </c>
      <c r="W53" s="75">
        <f t="shared" ref="W53:AB53" si="26">(W48-W26)/W30</f>
        <v>3.3631110781268196</v>
      </c>
      <c r="X53" s="75">
        <f t="shared" si="26"/>
        <v>3.0777685357444446</v>
      </c>
      <c r="Y53" s="75">
        <f t="shared" si="26"/>
        <v>1.7086165975516605</v>
      </c>
      <c r="Z53" s="75">
        <f t="shared" si="26"/>
        <v>1.4418530248364039</v>
      </c>
      <c r="AA53" s="75">
        <f t="shared" si="26"/>
        <v>2.2385603889901886</v>
      </c>
      <c r="AB53" s="75">
        <f t="shared" si="26"/>
        <v>-10.684628528795923</v>
      </c>
      <c r="AC53" s="75">
        <f>(AC48-AC26)/AC30</f>
        <v>-40.344245026941358</v>
      </c>
      <c r="AD53" s="75"/>
      <c r="AE53" s="75">
        <f>(AE48-AE26)/AE30</f>
        <v>12.379573264139703</v>
      </c>
      <c r="AF53" s="75">
        <f>(AF48-AF26)/AF30</f>
        <v>-11.336302512823657</v>
      </c>
    </row>
    <row r="54" spans="1:32" s="22" customFormat="1" ht="8.9499999999999993" customHeight="1">
      <c r="B54" s="27"/>
      <c r="C54" s="27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>
      <c r="C55" s="27" t="s">
        <v>125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>
        <f t="shared" ref="S55:U55" si="27">S49/S27</f>
        <v>7.0510227446191429</v>
      </c>
      <c r="T55" s="11">
        <f t="shared" si="27"/>
        <v>2.0644485807352253</v>
      </c>
      <c r="U55" s="11">
        <f t="shared" si="27"/>
        <v>-0.19345571226027827</v>
      </c>
      <c r="V55" s="11">
        <f t="shared" ref="V55:AA55" si="28">V49/V27</f>
        <v>0.55597427741667804</v>
      </c>
      <c r="W55" s="11">
        <f t="shared" si="28"/>
        <v>4.0070591618143903</v>
      </c>
      <c r="X55" s="11">
        <f t="shared" si="28"/>
        <v>6.0020984804532738</v>
      </c>
      <c r="Y55" s="11">
        <f t="shared" si="28"/>
        <v>7.2142052607168869</v>
      </c>
      <c r="Z55" s="11">
        <f t="shared" si="28"/>
        <v>7.1716120640598326</v>
      </c>
      <c r="AA55" s="11">
        <f t="shared" si="28"/>
        <v>6.6551910049827363</v>
      </c>
      <c r="AB55" s="11">
        <f>AB49/AB27</f>
        <v>9.5849837232797181</v>
      </c>
      <c r="AC55" s="11">
        <f>AC49/AC27</f>
        <v>12.524871819252345</v>
      </c>
      <c r="AD55" s="11"/>
      <c r="AE55" s="11">
        <f>AE49/AE27</f>
        <v>11.427154621193807</v>
      </c>
      <c r="AF55" s="11">
        <f>AF49/AF27</f>
        <v>11.4846916433158</v>
      </c>
    </row>
    <row r="56" spans="1:32" s="34" customFormat="1">
      <c r="B56" s="34" t="s">
        <v>126</v>
      </c>
      <c r="D56" s="35"/>
      <c r="E56" s="35"/>
      <c r="F56" s="35"/>
      <c r="G56" s="35"/>
      <c r="H56" s="35"/>
      <c r="I56" s="35"/>
      <c r="J56" s="72"/>
      <c r="K56" s="72"/>
      <c r="L56" s="72"/>
      <c r="M56" s="72"/>
      <c r="N56" s="72"/>
      <c r="O56" s="72"/>
      <c r="P56" s="72"/>
      <c r="Q56" s="72"/>
      <c r="R56" s="72"/>
      <c r="S56" s="72">
        <f t="shared" ref="S56:U56" si="29">S8/S55</f>
        <v>1.3090299569723702</v>
      </c>
      <c r="T56" s="72">
        <f t="shared" si="29"/>
        <v>6.4714617378564192</v>
      </c>
      <c r="U56" s="72">
        <f t="shared" si="29"/>
        <v>-271.58670781099437</v>
      </c>
      <c r="V56" s="72">
        <f t="shared" ref="V56:AA56" si="30">V8/V55</f>
        <v>113.49445929979483</v>
      </c>
      <c r="W56" s="72">
        <f t="shared" si="30"/>
        <v>23.079269924760784</v>
      </c>
      <c r="X56" s="72">
        <f t="shared" si="30"/>
        <v>22.073946375833952</v>
      </c>
      <c r="Y56" s="72">
        <f t="shared" si="30"/>
        <v>10.788437144116678</v>
      </c>
      <c r="Z56" s="72">
        <f t="shared" si="30"/>
        <v>6.9036082205445597</v>
      </c>
      <c r="AA56" s="72">
        <f t="shared" si="30"/>
        <v>11.116134750244019</v>
      </c>
      <c r="AB56" s="72">
        <f>AB8/AB55</f>
        <v>16.51541667363772</v>
      </c>
      <c r="AC56" s="72">
        <f>AC8/AC55</f>
        <v>18.290805950433686</v>
      </c>
      <c r="AD56" s="72"/>
      <c r="AE56" s="72">
        <f>AE8/AE55</f>
        <v>18.377278243047094</v>
      </c>
      <c r="AF56" s="72">
        <f>AF8/AF55</f>
        <v>18.285210132064972</v>
      </c>
    </row>
    <row r="58" spans="1:32">
      <c r="A58" s="1" t="str">
        <f>IS!A65</f>
        <v>Source: Natera and Wells Fargo Securities, LLC estimates.</v>
      </c>
      <c r="Z58" s="17"/>
    </row>
    <row r="59" spans="1:32">
      <c r="M59" s="39"/>
    </row>
    <row r="68" spans="13:13">
      <c r="M68" s="17"/>
    </row>
    <row r="70" spans="13:13">
      <c r="M70" s="45"/>
    </row>
  </sheetData>
  <printOptions horizontalCentered="1" verticalCentered="1"/>
  <pageMargins left="0.5" right="0.5" top="0.5" bottom="0.5" header="0.5" footer="0.5"/>
  <pageSetup scale="8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FdsFormulaCache xmlns="urn:fdsformulacache" version="2" timestamp="1772163694"><![CDATA[{"EXAS^FE_ESTIMATE(EPS,MEAN,CALA,2018,0,,,'')":-0.995,"EXAS^FE_ESTIMATE(EPS,MEAN,CALA,2019,0,,,'')":-0.2309091,"EXAS^FE_ESTIMATE(EPS,MEAN,ANN_ROLL,2023,NOW,,,'')":-3.3040683,"EXAS^FE_ESTIMATE(EPS,MEAN,ANN_ROLL,2022,NOW,,,'')":-4.31,"EXAS-US^FE_ESTIMATE(EPS,MEAN,ANN_ROLL,+1,NOW,,,'')":-4.304931,"EXAS-US^FE_ESTIMATE(EPS,MEAN,ANN_ROLL,2022,NOW,,,'')":-4.304931,"EXAS-US^FE_ESTIMATE(EPS_NONGAAP,MEAN,ANN_ROLL,2025,NOW,,,'')":0.660007,"EXAS-US^FE_ESTIMATE(EPSRD,MEAN,ANN_ROLL,2022,NOW,,,'')":null,"EXAS-US^FE_ESTIMATE(EPS_NONGAAP,MEAN,ANN_ROLL,2023,NOW,,,'')":-1.2794026,"EXAS-US^FE_ESTIMATE(EPS_NONGAAP,MEAN,ANN_ROLL,2022,NOW,,,'')":-3.2566667,"EXAS-US^FE_ESTIMATE(EPS_NONGAAP,MEAN,ANN_ROLL,2024,NOW,,,'')":-0.8286494,"NTRA-US^FG_EVAL_SALES_NTM(0)":8.32591424385451,"CAI^FG_EVAL_SALES_NTM(0)":13.9229399149597,"FLGT^FG_EVAL_SALES_NTM(0)":0.73787621288927,"PSNL^FG_EVAL_SALES_NTM(0)":4.53350084506617,"MYGN^FG_EVAL_SALES_NTM(0)":0.566832069811452,"CDNA^FG_EVAL_SALES_NTM(0)":1.28332160394242,"NEO^FG_EVAL_SALES_NTM(0)":1.33463158186036,"EXAS^FG_EVAL_SALES_NTM(0)":3.27981826741104,"VCYT^FG_EVAL_SALES_NTM(0)":3.34595670933591,"WGS^FG_EVAL_SALES_NTM(0)":5.44544604622265,"LH^FG_EVAL_SALES_NTM(0)":1.97216134043868,"DGX^FG_EVAL_SALES_NTM(0)":2.26046983999923,"GRAL^FG_EVAL_SALES_NTM(0)":5.21100663782076,"ADPT^FG_EVAL_SALES_NTM(0)":6.8201837568841,"GH^FG_EVAL_SALES_NTM(0)":6.16378152135233,"TEM^FG_EVAL_SALES_NTM(0)":8.29508448339912,"NTRA^FG_EVAL_SALES_NTM(0)":8.32591424385451,"NTRA-US^FMG_FWD_MULTIPLE_D(\"BEP_REV\",\"ANN_DATE\")":null,"NTRA-US^FF_ADJ_GROSS_INC(ANN,0)":null,"NTRA-US^FE_ESTIMATE(AFFO_GROSS,MEAN,ANN_ROLL,+1,NOW,,,'')":null,"NTRA-US^FE_ESTIMATE(AFFO_GROSS,MEAN,ANN_ROLL,2026,NOW,,,'')":null,"NTRA-US^FE_ESTIMATE(EPS,MEAN,ANN_ROLL,2026,NOW,,,'')":-1.0498834,"NTRA-US^FE_ESTIMATE(PAY_ACCT,MEAN,ANN_ROLL,2026,NOW,,,'')":59.38175,"NTRA-US^FE_ESTIMATE(AJUSTED GROSS PROFIT,MEAN,ANN_ROLL,2026,NOW,,,'')":"#NUM","NTRA-US^FE_ESTIMATE(GROSS_INC,MEAN,ANN_ROLL,2026,NOW,,,'')":1477.5901,"CAI^FE_ESTIMATE(GROSS_INC,MEAN,ANN_ROLL,2026,NOW,,,'')":629.88336,"FLGT^FE_ESTIMATE(GROSS_INC,MEAN,ANN_ROLL,2026,NOW,,,'')":139.5965,"PSNL^FE_ESTIMATE(GROSS_INC,MEAN,ANN_ROLL,2026,NOW,,,'')":31.693428,"MYGN^FE_ESTIMATE(GROSS_INC,MEAN,ANN_ROLL,2026,NOW,,,'')":601.70166,"CDNA^FE_ESTIMATE(GROSS_INC,MEAN,ANN_ROLL,2026,NOW,,,'')":293.11493,"NEO^FE_ESTIMATE(GROSS_INC,MEAN,ANN_ROLL,2026,NOW,,,'')":384.4939,"EXAS^FE_ESTIMATE(GROSS_INC,MEAN,ANN_ROLL,2026,NOW,,,'')":2584.878,"VCYT^FE_ESTIMATE(GROSS_INC,MEAN,ANN_ROLL,2026,NOW,,,'')":390.16916,"WGS^FE_ESTIMATE(GROSS_INC,MEAN,ANN_ROLL,2026,NOW,,,'')":297.35,"LH^FE_ESTIMATE(GROSS_INC,MEAN,ANN_ROLL,2026,NOW,,,'')":4180.532,"DGX^FE_ESTIMATE(GROSS_INC,MEAN,ANN_ROLL,2026,NOW,,,'')":3747.378,"GRAL^FE_ESTIMATE(GROSS_INC,MEAN,ANN_ROLL,2026,NOW,,,'')":88.76667,"ADPT^FE_ESTIMATE(GROSS_INC,MEAN,ANN_ROLL,2026,NOW,,,'')":172.6,"GH^FE_ESTIMATE(GROSS_INC,MEAN,ANN_ROLL,2026,NOW,,,'')":677.7918,"TEM^FE_ESTIMATE(GROSS_INC,MEAN,ANN_ROLL,2026,NOW,,,'')":942.0464,"NTRA^FE_ESTIMATE(GROSS_INC,MEAN,ANN_ROLL,2026,NOW,,,'')":1477.5901,"NTRA-US^RTP_EV_EST(+1)":18068.262,"NTRA-US^FE_VALUATION(PE,MEAN,ANN_ROLL,2026,NOW,,,'')":null,"NTRA-US^FF_ENTRPR_VAL_DAILY(0,,,,,\"DIL\")":17920.775,"CAI^FF_ENTRPR_VAL_DAILY(0,,,,,\"DIL\")":10841.14429166,"FLGT^FF_ENTRPR_VAL_DAILY(0,,,,,\"DIL\")":249.93384,"PSNL^FF_ENTRPR_VAL_DAILY(0,,,,,\"DIL\")":427.17861365,"MYGN^FF_ENTRPR_VAL_DAILY(0,,,,,\"DIL\")":472.53,"CDNA^FF_ENTRPR_VAL_DAILY(0,,,,,\"DIL\")":506.16685061,"NEO^FF_ENTRPR_VAL_DAILY(0,,,,,\"DIL\")":1047.89604,"EXAS^FF_ENTRPR_VAL_DAILY(0,,,,,\"DIL\")":10811.47137,"VCYT^FF_ENTRPR_VAL_DAILY(0,,,,,\"DIL\")":1784.560606,"WGS^FF_ENTRPR_VAL_DAILY(0,,,,,\"DIL\")":2203.94368884,"LH^FF_ENTRPR_VAL_DAILY(0,,,,,\"DIL\")":28145.544,"DGX^FF_ENTRPR_VAL_DAILY(0,,,,,\"DIL\")":25229.15,"GRAL^FF_ENTRPR_VAL_DAILY(0,,,,,\"DIL\")":772.02084615,"ADPT^FF_ENTRPR_VAL_DAILY(0,,,,,\"DIL\")":1630.681551,"GH^FF_ENTRPR_VAL_DAILY(0,,,,,\"DIL\")":6110.16082,"TEM^FF_ENTRPR_VAL_DAILY(0,,,,,\"DIL\")":11634.89694,"NTRA^FF_ENTRPR_VAL_DAILY(0,,,,,\"DIL\")":17920.775,"CAI^FF_ENTRPR_VAL_DAILY(NOW,,,,,\"DIL\")":10841.14429166,"FLGT^FF_ENTRPR_VAL_DAILY(NOW,,,,,\"DIL\")":249.93384,"PSNL^FF_ENTRPR_VAL_DAILY(NOW,,,,,\"DIL\")":427.17861365,"MYGN^FF_ENTRPR_VAL_DAILY(NOW,,,,,\"DIL\")":472.53,"CDNA^FF_ENTRPR_VAL_DAILY(NOW,,,,,\"DIL\")":506.16685061,"NEO^FF_ENTRPR_VAL_DAILY(NOW,,,,,\"DIL\")":1047.89604,"EXAS^FF_ENTRPR_VAL_DAILY(NOW,,,,,\"DIL\")":10811.47137,"VCYT^FF_ENTRPR_VAL_DAILY(NOW,,,,,\"DIL\")":1784.560606,"WGS^FF_ENTRPR_VAL_DAILY(NOW,,,,,\"DIL\")":2203.94368884,"LH^FF_ENTRPR_VAL_DAILY(NOW,,,,,\"DIL\")":28145.544,"DGX^FF_ENTRPR_VAL_DAILY(NOW,,,,,\"DIL\")":25229.15,"GRAL^FF_ENTRPR_VAL_DAILY(NOW,,,,,\"DIL\")":772.02084615,"ADPT^FF_ENTRPR_VAL_DAILY(NOW,,,,,\"DIL\")":1630.681551,"GH^FF_ENTRPR_VAL_DAILY(NOW,,,,,\"DIL\")":6110.16082,"TEM^FF_ENTRPR_VAL_DAILY(NOW,,,,,\"DIL\")":11634.89694,"NTRA^FF_ENTRPR_VAL_DAILY(NOW,,,,,\"DIL\")":17920.775,"NTRA-US^FF_SALES(ANN_R,0,,,,,M)":1696.911,"NTRA-US^FF_SALES(ANN_R,0,,,1696.911,,M)":null,"NTRA-US^FF_SALES(ANN_R,0,-1AY,,1696.911,,M)":[null,1696.911],"NTRA-US^FF_SALES(ANN_R,0,-20AY,,1696.911,,M)":[null,1696.911,1082.571,820.222,625.486,391.005,302.328,257.654,209.625,217.074,191.555,159.289,55.171,14.25,null,null,null,null,null,null,null],"NTRA-US^FF_SALES(ANN_R,0,-1AY,CY,1696.911,,M)":1696.911,"NTRA-US^FF_SALES(ANN_R,0,-3AM,CY,1696.911,,M)":1696.911,"NTRA-US^FF_SALES(ANN_R,0,0CY,CY,1696.911,,M)":1696.911,"NTRA-US^FF_SALES(ANN_R,-2AY,0CY,CY,1696.911,,M)":[1082.571,1696.911],"NTRA-US^FF_SALES(ANN_R,-1AY,0CY,CY,1696.911,,M)":1696.911,"NTRA-US^FF_SALES(CY,0,,,,,M)":"#NUM","NTRA-US^\"FF_SALES(ANN_R,-1AY,0CY,CY,\"&L3&\",,M)\"":"#NUM","NTRA-US^\"FF_SALES(CAL_R,-1AY,0CY,CY,\"&L3&\",,M)\"":"#NUM","NTRA-US^\"FF_SALES(CAL_R,-1AY,-3AM,CY,\"&L3&\",,M)\"":"#NUM","NTRA-US^\"FF_SALES(ANN_R,-1AY,-3AM,CY,\"&L3&\",,M)\"":"#NUM","NTRA-US^\"FF_SALES(ANN_R,-1AY,0CQ,CY,\"&L3&\",,M)\"":"#NUM","NTRA-US^FF_SALES(ANN_R,-1AY,0CQ,CY,,,M)":1696.911,"NTRA-US^FF_SALES(ANN_R,-1AY,0CQ,CY,\",,M)":"#NUM","NTRA-US^FF_SALES(ANN_R,1/1/2026,0CQ,CY,,,M)":null,"NTRA-US^FF_SALES(ANN_R,1/1/2026,12/31/2026,CY,,,M)":null,"NTRA-US^FF_SALES(ANN_R,1/1/2025,12/31/2025,CY,,,M)":null,"NTRA-US^FF_SALES(ANN_R,1/1/2024,12/31/2024,CY,,,M)":1696.911,"NTRA-US^FF_SALES(ANN_R,1/1/2023,12/31/2023,CY,,,M)":1082.571,"NTRA-US^FF_SALES(ANN_R,1/1/2022,12/31/2022,CY,,,M)":820.222,"NTRA-US^FF_SALES(ANN_R,1/1/2021,12/31/2021,CY,,,M)":625.486,"NTRA-US^FF_SALES(ANN_R,1/1/2020,12/31/2020,CY,,,M)":391.005,"NTRA-US^FF_SALES(ANN_R,1/1/2019,12/31/2019,CY,,,M)":302.328,"NTRA-US^FF_SALES(ANN_R,1/1/2018,12/31/2018,CY,,,M)":257.654,"NTRA-US^FF_SALES(ANN_R,1/1/2017,12/31/2017,CY,,,M)":209.625,"NTRA-US^FF_SALES(ANN_R,1/1/2016,12/31/2016,CY,,,M)":217.074,"NTRA-US^FF_SALES(ANN_R,1/1/2015,12/31/2015,CY,,,M)":191.555,"CAI-US^FF_SALES(ANN_R,1/1/2024,12/31/2024,CY,,,M)":412.26,"FLGT-US^FF_SALES(ANN_R,1/1/2024,12/31/2024,CY,,,M)":283.47,"PSNL-US^FF_SALES(ANN_R,1/1/2024,12/31/2024,CY,,,M)":84.614,"MYGN-US^FF_SALES(ANN_R,1/1/2024,12/31/2024,CY,,,M)":837.6,"CDNA-US^FF_SALES(ANN_R,1/1/2024,12/31/2024,CY,,,M)":333.785,"NEO-US^FF_SALES(ANN_R,1/1/2024,12/31/2024,CY,,,M)":660.566,"EXAS-US^FF_SALES(ANN_R,1/1/2024,12/31/2024,CY,,,M)":2758.867,"VCYT-US^FF_SALES(ANN_R,1/1/2024,12/31/2024,CY,,,M)":445.764,"WGS-US^FF_SALES(ANN_R,1/1/2024,12/31/2024,CY,,,M)":305.45,"LH-US^FF_SALES(ANN_R,1/1/2024,12/31/2024,CY,,,M)":13008.9,"DGX-US^FF_SALES(ANN_R,1/1/2024,12/31/2024,CY,,,M)":9872.0,"GRAL-US^FF_SALES(ANN_R,1/1/2024,12/31/2024,CY,,,M)":125.595,"ADPT-US^FF_SALES(ANN_R,1/1/2024,12/31/2024,CY,,,M)":178.957,"GH-US^FF_SALES(ANN_R,1/1/2024,12/31/2024,CY,,,M)":739.016,"TEM-US^FF_SALES(ANN_R,1/1/2024,12/31/2024,CY,,,M)":693.398,"NTRA-US^\"FF_ENTRPR_VAL_DAILY(-1AY,0CQ,CY,\"&L3&\",,\"\"DIL\"\")\"":"#NUM","530119-IN^\"FF_ENTRPR_VAL_DAILY(-1AY,0CQ,CY,\"&L3&\",,\"\"DIL\"\")\"":"#NUM","NTRA-US^\"FF_ENTRPR_VAL_DAILY(1/1/2024,0CQ,CY,\"&L3&\",,\"\"DIL\"\")\"":"#NUM","530119-IN^\"FF_ENTRPR_VAL_DAILY(1/1/2024,0CQ,CY,\"&L3&\",,\"\"DIL\"\")\"":"#NUM","NTRA-US^\"FF_ENTRPR_VAL_DAILY(1/1/2024,12/31/2024,CY,\"&L3&\",,\"\"DIL\"\")\"":"#NUM","530119-IN^\"FF_ENTRPR_VAL_DAILY(1/1/2024,12/31/2024,CY,\"&L3&\",,\"\"DIL\"\")\"":"#NUM","NTRA-US^FF_ENTRPR_VAL_DAILY(1/1/2024,12/31/2024,CY,,,\"DIL\")":18961.7014,"530119-IN^FF_ENTRPR_VAL_DAILY(1/1/2024,12/31/2024,CY,,,\"DIL\")":283.7412,"NTRA-US^FF_ENTRPR_VAL_DAILY(1/1/2025,12/31/2025,CY,,,\"DIL\")":17799.5,"NTRA-US^FF_ENTRPR_VAL_DAILY(1/1/2023,12/31/2023,CY,,,\"DIL\")":6766.42808,"NTRA-US^FF_ENTRPR_VAL_DAILY(1/1/2022,12/31/2022,CY,,,\"DIL\")":3500.87636,"NTRA-US^FF_ENTRPR_VAL_DAILY(1/1/2021,12/31/2021,CY,,,\"DIL\")":7939.93562,"NTRA-US^FF_ENTRPR_VAL_DAILY(1/1/2020,12/31/2020,CY,,,\"DIL\")":7605.84672,"NTRA-US^FF_ENTRPR_VAL_DAILY(1/1/2019,12/31/2019,CY,,,\"DIL\")":2058.07695,"NTRA-US^FF_ENTRPR_VAL_DAILY(1/1/2018,12/31/2018,CY,,,\"DIL\")":772.60308,"NTRA-US^FF_ENTRPR_VAL_DAILY(1/1/2017,12/31/2017,CY,,,\"DIL\")":486.15096,"NTRA-US^FF_ENTRPR_VAL_DAILY(1/1/2016,12/31/2016,CY,,,\"DIL\")":505.74696,"NTRA-US^FF_ENTRPR_VAL_DAILY(1/1/2015,12/31/2015,CY,,,\"DIL\")":93.6592000000001,"CAI-US^FF_ENTRPR_VAL_DAILY(1/1/2025,12/31/2025,CY,,,\"DIL\")":10151.87099974,"CAI-US^FF_ENTRPR_VAL_DAILY(1/1/2024,12/31/2024,CY,,,\"DIL\")":null,"CAI-US^FF_ENTRPR_VAL_DAILY(1/1/2023,12/31/2023,CY,,,\"DIL\")":null,"CAI-US^FF_ENTRPR_VAL_DAILY(1/1/2022,12/31/2022,CY,,,\"DIL\")":null,"CAI-US^FF_ENTRPR_VAL_DAILY(1/1/2021,12/31/2021,CY,,,\"DIL\")":null,"CAI-US^FF_ENTRPR_VAL_DAILY(1/1/2020,12/31/2020,CY,,,\"DIL\")":null,"CAI-US^FF_ENTRPR_VAL_DAILY(1/1/2019,12/31/2019,CY,,,\"DIL\")":null,"CAI-US^FF_ENTRPR_VAL_DAILY(1/1/2018,12/31/2018,CY,,,\"DIL\")":null,"CAI-US^FF_ENTRPR_VAL_DAILY(1/1/2017,12/31/2017,CY,,,\"DIL\")":null,"CAI-US^FF_ENTRPR_VAL_DAILY(1/1/2016,12/31/2016,CY,,,\"DIL\")":null,"CAI-US^FF_ENTRPR_VAL_DAILY(1/1/2015,12/31/2015,CY,,,\"DIL\")":null,"FLGT-US^FF_ENTRPR_VAL_DAILY(1/1/2025,12/31/2025,CY,,,\"DIL\")":239.14264,"FLGT-US^FF_ENTRPR_VAL_DAILY(1/1/2024,12/31/2024,CY,,,\"DIL\")":305.49145,"FLGT-US^FF_ENTRPR_VAL_DAILY(1/1/2023,12/31/2023,CY,,,\"DIL\")":448.99344,"FLGT-US^FF_ENTRPR_VAL_DAILY(1/1/2022,12/31/2022,CY,,,\"DIL\")":440.17292,"FLGT-US^FF_ENTRPR_VAL_DAILY(1/1/2021,12/31/2021,CY,,,\"DIL\")":2700.97784,"FLGT-US^FF_ENTRPR_VAL_DAILY(1/1/2020,12/31/2020,CY,,,\"DIL\")":969.8046,"FLGT-US^FF_ENTRPR_VAL_DAILY(1/1/2019,12/31/2019,CY,,,\"DIL\")":215.7531,"FLGT-US^FF_ENTRPR_VAL_DAILY(1/1/2018,12/31/2018,CY,,,\"DIL\")":25.95626,"FLGT-US^FF_ENTRPR_VAL_DAILY(1/1/2017,12/31/2017,CY,,,\"DIL\")":51.21282,"FLGT-US^FF_ENTRPR_VAL_DAILY(1/1/2016,12/31/2016,CY,,,\"DIL\")":137.7567,"FLGT-US^FF_ENTRPR_VAL_DAILY(1/1/2015,12/31/2015,CY,,,\"DIL\")":null,"PSNL-US^FF_ENTRPR_VAL_DAILY(1/1/2025,12/31/2025,CY,,,\"DIL\")":397.44089275,"PSNL-US^FF_ENTRPR_VAL_DAILY(1/1/2024,12/31/2024,CY,,,\"DIL\")":201.81185514,"PSNL-US^FF_ENTRPR_VAL_DAILY(1/1/2023,12/31/2023,CY,,,\"DIL\")":35.9509221,"PSNL-US^FF_ENTRPR_VAL_DAILY(1/1/2022,12/31/2022,CY,,,\"DIL\")":-28.1344861,"PSNL-US^FF_ENTRPR_VAL_DAILY(1/1/2021,12/31/2021,CY,,,\"DIL\")":399.2186371,"PSNL-US^FF_ENTRPR_VAL_DAILY(1/1/2020,12/31/2020,CY,,,\"DIL\")":1239.35011228,"PSNL-US^FF_ENTRPR_VAL_DAILY(1/1/2019,12/31/2019,CY,,,\"DIL\")":214.2600161,"PSNL-US^FF_ENTRPR_VAL_DAILY(1/1/2018,12/31/2018,CY,,,\"DIL\")":null,"PSNL-US^FF_ENTRPR_VAL_DAILY(1/1/2017,12/31/2017,CY,,,\"DIL\")":null,"PSNL-US^FF_ENTRPR_VAL_DAILY(1/1/2016,12/31/2016,CY,,,\"DIL\")":null,"PSNL-US^FF_ENTRPR_VAL_DAILY(1/1/2015,12/31/2015,CY,,,\"DIL\")":null,"MYGN-US^FF_ENTRPR_VAL_DAILY(1/1/2025,12/31/2025,CY,,,\"DIL\")":466.132,"MYGN-US^FF_ENTRPR_VAL_DAILY(1/1/2024,12/31/2024,CY,,,\"DIL\")":1271.426,"MYGN-US^FF_ENTRPR_VAL_DAILY(1/1/2023,12/31/2023,CY,,,\"DIL\")":1594.792,"MYGN-US^FF_ENTRPR_VAL_DAILY(1/1/2022,12/31/2022,CY,,,\"DIL\")":1197.606,"MYGN-US^FF_ENTRPR_VAL_DAILY(1/1/2021,12/31/2021,CY,,,\"DIL\")":1905.3,"MYGN-US^FF_ENTRPR_VAL_DAILY(1/1/2020,12/31/2020,CY,,,\"DIL\")":1546.2825,"MYGN-US^FF_ENTRPR_VAL_DAILY(1/1/2019,12/31/2019,CY,,,\"DIL\")":2181.012,"MYGN-US^FF_ENTRPR_VAL_DAILY(1/1/2018,12/31/2018,CY,,,\"DIL\")":2331.655,"MYGN-US^FF_ENTRPR_VAL_DAILY(1/1/2017,12/31/2017,CY,,,\"DIL\")":2369.1055,"MYGN-US^FF_ENTRPR_VAL_DAILY(1/1/2016,12/31/2016,CY,,,\"DIL\")":1179.861,"MYGN-US^FF_ENTRPR_VAL_DAILY(1/1/2015,12/31/2015,CY,,,\"DIL\")":2965.908,"CDNA-US^FF_ENTRPR_VAL_DAILY(1/1/2025,12/31/2025,CY,,,\"DIL\")":506.16685061,"CDNA-US^FF_ENTRPR_VAL_DAILY(1/1/2024,12/31/2024,CY,,,\"DIL\")":979.9598319,"CDNA-US^FF_ENTRPR_VAL_DAILY(1/1/2023,12/31/2023,CY,,,\"DIL\")":443.97946,"CDNA-US^FF_ENTRPR_VAL_DAILY(1/1/2022,12/31/2022,CY,,,\"DIL\")":354.30774125,"CDNA-US^FF_ENTRPR_VAL_DAILY(1/1/2021,12/31/2021,CY,,,\"DIL\")":2048.79113648,"CDNA-US^FF_ENTRPR_VAL_DAILY(1/1/2020,12/31/2020,CY,,,\"DIL\")":3161.0743814,"CDNA-US^FF_ENTRPR_VAL_DAILY(1/1/2019,12/31/2019,CY,,,\"DIL\")":874.28437869,"CDNA-US^FF_ENTRPR_VAL_DAILY(1/1/2018,12/31/2018,CY,,,\"DIL\")":831.76835384,"CDNA-US^FF_ENTRPR_VAL_DAILY(1/1/2017,12/31/2017,CY,,,\"DIL\")":188.61757202,"CDNA-US^FF_ENTRPR_VAL_DAILY(1/1/2016,12/31/2016,CY,,,\"DIL\")":52.1746597,"CDNA-US^FF_ENTRPR_VAL_DAILY(1/1/2015,12/31/2015,CY,,,\"DIL\")":61.845664,"NEO-US^FF_ENTRPR_VAL_DAILY(1/1/2025,12/31/2025,CY,,,\"DIL\")":1069.54996,"NEO-US^FF_ENTRPR_VAL_DAILY(1/1/2024,12/31/2024,CY,,,\"DIL\")":2305.81384,"NEO-US^FF_ENTRPR_VAL_DAILY(1/1/2023,12/31/2023,CY,,,\"DIL\")":2227.09836,"NEO-US^FF_ENTRPR_VAL_DAILY(1/1/2022,12/31/2022,CY,,,\"DIL\")":1320.70408,"NEO-US^FF_ENTRPR_VAL_DAILY(1/1/2021,12/31/2021,CY,,,\"DIL\")":4190.57544,"NEO-US^FF_ENTRPR_VAL_DAILY(1/1/2020,12/31/2020,CY,,,\"DIL\")":5941.92096,"NEO-US^FF_ENTRPR_VAL_DAILY(1/1/2019,12/31/2019,CY,,,\"DIL\")":2990.59775,"NEO-US^FF_ENTRPR_VAL_DAILY(1/1/2018,12/31/2018,CY,,,\"DIL\")":1257.16248,"NEO-US^FF_ENTRPR_VAL_DAILY(1/1/2017,12/31/2017,CY,,,\"DIL\")":828.93236,"NEO-US^FF_ENTRPR_VAL_DAILY(1/1/2016,12/31/2016,CY,,,\"DIL\")":781.05194,"NEO-US^FF_ENTRPR_VAL_DAILY(1/1/2015,12/31/2015,CY,,,\"DIL\")":552.90062,"EXAS-US^FF_ENTRPR_VAL_DAILY(1/1/2025,12/31/2025,CY,,,\"DIL\")":10727.40552,"EXAS-US^FF_ENTRPR_VAL_DAILY(1/1/2024,12/31/2024,CY,,,\"DIL\")":12087.76143,"EXAS-US^FF_ENTRPR_VAL_DAILY(1/1/2023,12/31/2023,CY,,,\"DIL\")":15116.03412,"EXAS-US^FF_ENTRPR_VAL_DAILY(1/1/2022,12/31/2022,CY,,,\"DIL\")":10556.55201,"EXAS-US^FF_ENTRPR_VAL_DAILY(1/1/2021,12/31/2021,CY,,,\"DIL\")":14706.34684,"EXAS-US^FF_ENTRPR_VAL_DAILY(1/1/2020,12/31/2020,CY,,,\"DIL\")":20533.47313,"EXAS-US^FF_ENTRPR_VAL_DAILY(1/1/2019,12/31/2019,CY,,,\"DIL\")":12770.01936,"EXAS-US^FF_ENTRPR_VAL_DAILY(1/1/2018,12/31/2018,CY,,,\"DIL\")":7283.6717,"EXAS-US^FF_ENTRPR_VAL_DAILY(1/1/2017,12/31/2017,CY,,,\"DIL\")":5657.77336,"EXAS-US^FF_ENTRPR_VAL_DAILY(1/1/2016,12/31/2016,CY,,,\"DIL\")":1060.9026,"EXAS-US^FF_ENTRPR_VAL_DAILY(1/1/2015,12/31/2015,CY,,,\"DIL\")":548.48205,"VCYT-US^FF_ENTRPR_VAL_DAILY(1/1/2025,12/31/2025,CY,,,\"DIL\")":1766.14772048,"VCYT-US^FF_ENTRPR_VAL_DAILY(1/1/2024,12/31/2024,CY,,,\"DIL\")":2856.5593932,"VCYT-US^FF_ENTRPR_VAL_DAILY(1/1/2023,12/31/2023,CY,,,\"DIL\")":1794.62583737,"VCYT-US^FF_ENTRPR_VAL_DAILY(1/1/2022,12/31/2022,CY,,,\"DIL\")":1533.72861092,"VCYT-US^FF_ENTRPR_VAL_DAILY(1/1/2021,12/31/2021,CY,,,\"DIL\")":2642.7375136,"VCYT-US^FF_ENTRPR_VAL_DAILY(1/1/2020,12/31/2020,CY,,,\"DIL\")":2268.47996514,"VCYT-US^FF_ENTRPR_VAL_DAILY(1/1/2019,12/31/2019,CY,,,\"DIL\")":1142.46790184,"VCYT-US^FF_ENTRPR_VAL_DAILY(1/1/2018,12/31/2018,CY,,,\"DIL\")":413.00169468,"VCYT-US^FF_ENTRPR_VAL_DAILY(1/1/2017,12/31/2017,CY,,,\"DIL\")":212.88927901,"VCYT-US^FF_ENTRPR_VAL_DAILY(1/1/2016,12/31/2016,CY,,,\"DIL\")":189.32585328,"VCYT-US^FF_ENTRPR_VAL_DAILY(1/1/2015,12/31/2015,CY,,,\"DIL\")":152.9461896,"WGS-US^FF_ENTRPR_VAL_DAILY(1/1/2025,12/31/2025,CY,,,\"DIL\")":2346.93526468,"WGS-US^FF_ENTRPR_VAL_DAILY(1/1/2024,12/31/2024,CY,,,\"DIL\")":2043.05263118,"WGS-US^FF_ENTRPR_VAL_DAILY(1/1/2023,12/31/2023,CY,,,\"DIL\")":56.47996975,"WGS-US^FF_ENTRPR_VAL_DAILY(1/1/2022,12/31/2022,CY,,,\"DIL\")":28.8478264566083,"WGS-US^FF_ENTRPR_VAL_DAILY(1/1/2021,12/31/2021,CY,,,\"DIL\")":114.302508894754,"WGS-US^FF_ENTRPR_VAL_DAILY(1/1/2020,12/31/2020,CY,,,\"DIL\")":269.618646250878,"WGS-US^FF_ENTRPR_VAL_DAILY(1/1/2019,12/31/2019,CY,,,\"DIL\")":null,"WGS-US^FF_ENTRPR_VAL_DAILY(1/1/2018,12/31/2018,CY,,,\"DIL\")":null,"WGS-US^FF_ENTRPR_VAL_DAILY(1/1/2017,12/31/2017,CY,,,\"DIL\")":null,"WGS-US^FF_ENTRPR_VAL_DAILY(1/1/2016,12/31/2016,CY,,,\"DIL\")":null,"WGS-US^FF_ENTRPR_VAL_DAILY(1/1/2015,12/31/2015,CY,,,\"DIL\")":null,"LH-US^FF_ENTRPR_VAL_DAILY(1/1/2025,12/31/2025,CY,,,\"DIL\")":27887.132,"LH-US^FF_ENTRPR_VAL_DAILY(1/1/2024,12/31/2024,CY,,,\"DIL\")":25123.008,"LH-US^FF_ENTRPR_VAL_DAILY(1/1/2023,12/31/2023,CY,,,\"DIL\")":25343.504,"LH-US^FF_ENTRPR_VAL_DAILY(1/1/2022,12/31/2022,CY,,,\"DIL\")":27514.668,"LH-US^FF_ENTRPR_VAL_DAILY(1/1/2021,12/31/2021,CY,,,\"DIL\")":35525.975,"LH-US^FF_ENTRPR_VAL_DAILY(1/1/2020,12/31/2020,CY,,,\"DIL\")":25404.2,"LH-US^FF_ENTRPR_VAL_DAILY(1/1/2019,12/31/2019,CY,,,\"DIL\")":23470.362,"LH-US^FF_ENTRPR_VAL_DAILY(1/1/2018,12/31/2018,CY,,,\"DIL\")":18616.636,"LH-US^FF_ENTRPR_VAL_DAILY(1/1/2017,12/31/2017,CY,,,\"DIL\")":23039.389,"LH-US^FF_ENTRPR_VAL_DAILY(1/1/2016,12/31/2016,CY,,,\"DIL\")":18821.134,"LH-US^FF_ENTRPR_VAL_DAILY(1/1/2015,12/31/2015,CY,,,\"DIL\")":18100.884,"DGX-US^FF_ENTRPR_VAL_DAILY(1/1/2025,12/31/2025,CY,,,\"DIL\")":25150.05,"DGX-US^FF_ENTRPR_VAL_DAILY(1/1/2024,12/31/2024,CY,,,\"DIL\")":23703.18,"DGX-US^FF_ENTRPR_VAL_DAILY(1/1/2023,12/31/2023,CY,,,\"DIL\")":20503.44,"DGX-US^FF_ENTRPR_VAL_DAILY(1/1/2022,12/31/2022,CY,,,\"DIL\")":22972.92,"DGX-US^FF_ENTRPR_VAL_DAILY(1/1/2021,12/31/2021,CY,,,\"DIL\")":26164.28,"DGX-US^FF_ENTRPR_VAL_DAILY(1/1/2020,12/31/2020,CY,,,\"DIL\")":19989.12,"DGX-US^FF_ENTRPR_VAL_DAILY(1/1/2019,12/31/2019,CY,,,\"DIL\")":18869.44,"DGX-US^FF_ENTRPR_VAL_DAILY(1/1/2018,12/31/2018,CY,,,\"DIL\")":15558.53,"DGX-US^FF_ENTRPR_VAL_DAILY(1/1/2017,12/31/2017,CY,,,\"DIL\")":17620.6,"DGX-US^FF_ENTRPR_VAL_DAILY(1/1/2016,12/31/2016,CY,,,\"DIL\")":16533.8,"DGX-US^FF_ENTRPR_VAL_DAILY(1/1/2015,12/31/2015,CY,,,\"DIL\")":13932.3,"GRAL-US^FF_ENTRPR_VAL_DAILY(1/1/2025,12/31/2025,CY,,,\"DIL\")":702.71780745,"GRAL-US^FF_ENTRPR_VAL_DAILY(1/1/2024,12/31/2024,CY,,,\"DIL\")":-90.33164935,"GRAL-US^FF_ENTRPR_VAL_DAILY(1/1/2023,12/31/2023,CY,,,\"DIL\")":null,"GRAL-US^FF_ENTRPR_VAL_DAILY(1/1/2022,12/31/2022,CY,,,\"DIL\")":null,"GRAL-US^FF_ENTRPR_VAL_DAILY(1/1/2021,12/31/2021,CY,,,\"DIL\")":null,"GRAL-US^FF_ENTRPR_VAL_DAILY(1/1/2020,12/31/2020,CY,,,\"DIL\")":null,"GRAL-US^FF_ENTRPR_VAL_DAILY(1/1/2019,12/31/2019,CY,,,\"DIL\")":null,"GRAL-US^FF_ENTRPR_VAL_DAILY(1/1/2018,12/31/2018,CY,,,\"DIL\")":null,"GRAL-US^FF_ENTRPR_VAL_DAILY(1/1/2017,12/31/2017,CY,,,\"DIL\")":null,"GRAL-US^FF_ENTRPR_VAL_DAILY(1/1/2016,12/31/2016,CY,,,\"DIL\")":null,"GRAL-US^FF_ENTRPR_VAL_DAILY(1/1/2015,12/31/2015,CY,,,\"DIL\")":null,"ADPT-US^FF_ENTRPR_VAL_DAILY(1/1/2025,12/31/2025,CY,,,\"DIL\")":1609.79424708,"ADPT-US^FF_ENTRPR_VAL_DAILY(1/1/2024,12/31/2024,CY,,,\"DIL\")":882.02237976,"ADPT-US^FF_ENTRPR_VAL_DAILY(1/1/2023,12/31/2023,CY,,,\"DIL\")":590.3881406,"ADPT-US^FF_ENTRPR_VAL_DAILY(1/1/2022,12/31/2022,CY,,,\"DIL\")":823.92060588,"ADPT-US^FF_ENTRPR_VAL_DAILY(1/1/2021,12/31/2021,CY,,,\"DIL\")":3697.1479149,"ADPT-US^FF_ENTRPR_VAL_DAILY(1/1/2020,12/31/2020,CY,,,\"DIL\")":7178.42275284,"ADPT-US^FF_ENTRPR_VAL_DAILY(1/1/2019,12/31/2019,CY,,,\"DIL\")":1529.1672248,"ADPT-US^FF_ENTRPR_VAL_DAILY(1/1/2018,12/31/2018,CY,,,\"DIL\")":null,"ADPT-US^FF_ENTRPR_VAL_DAILY(1/1/2017,12/31/2017,CY,,,\"DIL\")":null,"ADPT-US^FF_ENTRPR_VAL_DAILY(1/1/2016,12/31/2016,CY,,,\"DIL\")":null,"ADPT-US^FF_ENTRPR_VAL_DAILY(1/1/2015,12/31/2015,CY,,,\"DIL\")":null,"GH-US^FF_ENTRPR_VAL_DAILY(1/1/2025,12/31/2025,CY,,,\"DIL\")":6091.58017,"GH-US^FF_ENTRPR_VAL_DAILY(1/1/2024,12/31/2024,CY,,,\"DIL\")":4245.93375,"GH-US^FF_ENTRPR_VAL_DAILY(1/1/2023,12/31/2023,CY,,,\"DIL\")":3214.4054,"GH-US^FF_ENTRPR_VAL_DAILY(1/1/2022,12/31/2022,CY,,,\"DIL\")":3137.2946,"GH-US^FF_ENTRPR_VAL_DAILY(1/1/2021,12/31/2021,CY,,,\"DIL\")":10574.40828,"GH-US^FF_ENTRPR_VAL_DAILY(1/1/2020,12/31/2020,CY,,,\"DIL\")":11683.02452,"GH-US^FF_ENTRPR_VAL_DAILY(1/1/2019,12/31/2019,CY,,,\"DIL\")":6653.32358,"GH-US^FF_ENTRPR_VAL_DAILY(1/1/2018,12/31/2018,CY,,,\"DIL\")":773.24177,"GH-US^FF_ENTRPR_VAL_DAILY(1/1/2017,12/31/2017,CY,,,\"DIL\")":null,"GH-US^FF_ENTRPR_VAL_DAILY(1/1/2016,12/31/2016,CY,,,\"DIL\")":null,"GH-US^FF_ENTRPR_VAL_DAILY(1/1/2015,12/31/2015,CY,,,\"DIL\")":null,"TEM-US^FF_ENTRPR_VAL_DAILY(1/1/2025,12/31/2025,CY,,,\"DIL\")":11210.337,"TEM-US^FF_ENTRPR_VAL_DAILY(1/1/2024,12/31/2024,CY,,,\"DIL\")":5493.02789136,"TEM-US^FF_ENTRPR_VAL_DAILY(1/1/2023,12/31/2023,CY,,,\"DIL\")":null,"TEM-US^FF_ENTRPR_VAL_DAILY(1/1/2022,12/31/2022,CY,,,\"DIL\")":null,"TEM-US^FF_ENTRPR_VAL_DAILY(1/1/2021,12/31/2021,CY,,,\"DIL\")":null,"TEM-US^FF_ENTRPR_VAL_DAILY(1/1/2020,12/31/2020,CY,,,\"DIL\")":null,"TEM-US^FF_ENTRPR_VAL_DAILY(1/1/2019,12/31/2019,CY,,,\"DIL\")":null,"TEM-US^FF_ENTRPR_VAL_DAILY(1/1/2018,12/31/2018,CY,,,\"DIL\")":null,"TEM-US^FF_ENTRPR_VAL_DAILY(1/1/2017,12/31/2017,CY,,,\"DIL\")":null,"TEM-US^FF_ENTRPR_VAL_DAILY(1/1/2016,12/31/2016,CY,,,\"DIL\")":null,"TEM-US^FF_ENTRPR_VAL_DAILY(1/1/2015,12/31/2015,CY,,,\"DIL\")":null,"CAI-US^FF_SALES(ANN_R,1/1/2023,12/31/2023,CY,,,M)":306.128,"CAI-US^FF_SALES(ANN_R,1/1/2022,12/31/2022,CY,,,M)":null,"CAI-US^FF_SALES(ANN_R,1/1/2021,12/31/2021,CY,,,M)":null,"CAI-US^FF_SALES(ANN_R,1/1/2020,12/31/2020,CY,,,M)":null,"CAI-US^FF_SALES(ANN_R,1/1/2019,12/31/2019,CY,,,M)":null,"CAI-US^FF_SALES(ANN_R,1/1/2018,12/31/2018,CY,,,M)":null,"CAI-US^FF_SALES(ANN_R,1/1/2017,12/31/2017,CY,,,M)":null,"CAI-US^FF_SALES(ANN_R,1/1/2016,12/31/2016,CY,,,M)":null,"CAI-US^FF_SALES(ANN_R,1/1/2015,12/31/2015,CY,,,M)":null,"FLGT-US^FF_SALES(ANN_R,1/1/2023,12/31/2023,CY,,,M)":289.213,"FLGT-US^FF_SALES(ANN_R,1/1/2022,12/31/2022,CY,,,M)":618.968,"FLGT-US^FF_SALES(ANN_R,1/1/2021,12/31/2021,CY,,,M)":992.584,"FLGT-US^FF_SALES(ANN_R,1/1/2020,12/31/2020,CY,,,M)":421.712,"FLGT-US^FF_SALES(ANN_R,1/1/2019,12/31/2019,CY,,,M)":32.528,"FLGT-US^FF_SALES(ANN_R,1/1/2018,12/31/2018,CY,,,M)":21.351,"FLGT-US^FF_SALES(ANN_R,1/1/2017,12/31/2017,CY,,,M)":18.73,"FLGT-US^FF_SALES(ANN_R,1/1/2016,12/31/2016,CY,,,M)":18.276,"FLGT-US^FF_SALES(ANN_R,1/1/2015,12/31/2015,CY,,,M)":9.576,"PSNL-US^FF_SALES(ANN_R,1/1/2023,12/31/2023,CY,,,M)":73.481,"PSNL-US^FF_SALES(ANN_R,1/1/2022,12/31/2022,CY,,,M)":65.047,"PSNL-US^FF_SALES(ANN_R,1/1/2021,12/31/2021,CY,,,M)":85.494,"PSNL-US^FF_SALES(ANN_R,1/1/2020,12/31/2020,CY,,,M)":78.648,"PSNL-US^FF_SALES(ANN_R,1/1/2019,12/31/2019,CY,,,M)":65.207,"PSNL-US^FF_SALES(ANN_R,1/1/2018,12/31/2018,CY,,,M)":37.774,"PSNL-US^FF_SALES(ANN_R,1/1/2017,12/31/2017,CY,,,M)":9.393,"PSNL-US^FF_SALES(ANN_R,1/1/2016,12/31/2016,CY,,,M)":null,"PSNL-US^FF_SALES(ANN_R,1/1/2015,12/31/2015,CY,,,M)":null,"MYGN-US^FF_SALES(ANN_R,1/1/2023,12/31/2023,CY,,,M)":753.2,"MYGN-US^FF_SALES(ANN_R,1/1/2022,12/31/2022,CY,,,M)":678.4,"MYGN-US^FF_SALES(ANN_R,1/1/2021,12/31/2021,CY,,,M)":690.6,"MYGN-US^FF_SALES(ANN_R,1/1/2020,12/31/2020,CY,,,M)":638.6,"MYGN-US^FF_SALES(ANN_R,1/1/2019,12/31/2019,CY,,,M)":851.1,"MYGN-US^FF_SALES(ANN_R,1/1/2018,12/31/2018,CY,,,M)":743.7,"MYGN-US^FF_SALES(ANN_R,1/1/2017,12/31/2017,CY,,,M)":769.9,"MYGN-US^FF_SALES(ANN_R,1/1/2016,12/31/2016,CY,,,M)":753.8,"MYGN-US^FF_SALES(ANN_R,1/1/2015,12/31/2015,CY,,,M)":723.1,"CDNA-US^FF_SALES(ANN_R,1/1/2023,12/31/2023,CY,,,M)":280.324,"CDNA-US^FF_SALES(ANN_R,1/1/2022,12/31/2022,CY,,,M)":321.793,"CDNA-US^FF_SALES(ANN_R,1/1/2021,12/31/2021,CY,,,M)":296.397,"CDNA-US^FF_SALES(ANN_R,1/1/2020,12/31/2020,CY,,,M)":192.194,"CDNA-US^FF_SALES(ANN_R,1/1/2019,12/31/2019,CY,,,M)":127.068,"CDNA-US^FF_SALES(ANN_R,1/1/2018,12/31/2018,CY,,,M)":76.569,"CDNA-US^FF_SALES(ANN_R,1/1/2017,12/31/2017,CY,,,M)":48.324,"CDNA-US^FF_SALES(ANN_R,1/1/2016,12/31/2016,CY,,,M)":40.631,"CDNA-US^FF_SALES(ANN_R,1/1/2015,12/31/2015,CY,,,M)":28.144,"NEO-US^FF_SALES(ANN_R,1/1/2023,12/31/2023,CY,,,M)":591.643,"NEO-US^FF_SALES(ANN_R,1/1/2022,12/31/2022,CY,,,M)":509.728,"NEO-US^FF_SALES(ANN_R,1/1/2021,12/31/2021,CY,,,M)":484.329,"NEO-US^FF_SALES(ANN_R,1/1/2020,12/31/2020,CY,,,M)":444.448,"NEO-US^FF_SALES(ANN_R,1/1/2019,12/31/2019,CY,,,M)":408.83,"NEO-US^FF_SALES(ANN_R,1/1/2018,12/31/2018,CY,,,M)":276.741,"NEO-US^FF_SALES(ANN_R,1/1/2017,12/31/2017,CY,,,M)":240.251,"NEO-US^FF_SALES(ANN_R,1/1/2016,12/31/2016,CY,,,M)":244.083,"NEO-US^FF_SALES(ANN_R,1/1/2015,12/31/2015,CY,,,M)":99.802,"EXAS-US^FF_SALES(ANN_R,1/1/2023,12/31/2023,CY,,,M)":2499.766,"EXAS-US^FF_SALES(ANN_R,1/1/2022,12/31/2022,CY,,,M)":2084.279,"EXAS-US^FF_SALES(ANN_R,1/1/2021,12/31/2021,CY,,,M)":1767.087,"EXAS-US^FF_SALES(ANN_R,1/1/2020,12/31/2020,CY,,,M)":1491.391,"EXAS-US^FF_SALES(ANN_R,1/1/2019,12/31/2019,CY,,,M)":876.293,"EXAS-US^FF_SALES(ANN_R,1/1/2018,12/31/2018,CY,,,M)":454.462,"EXAS-US^FF_SALES(ANN_R,1/1/2017,12/31/2017,CY,,,M)":265.989,"EXAS-US^FF_SALES(ANN_R,1/1/2016,12/31/2016,CY,,,M)":99.376,"EXAS-US^FF_SALES(ANN_R,1/1/2015,12/31/2015,CY,,,M)":39.437,"VCYT-US^FF_SALES(ANN_R,1/1/2023,12/31/2023,CY,,,M)":361.051,"VCYT-US^FF_SALES(ANN_R,1/1/2022,12/31/2022,CY,,,M)":296.536,"VCYT-US^FF_SALES(ANN_R,1/1/2021,12/31/2021,CY,,,M)":219.514,"VCYT-US^FF_SALES(ANN_R,1/1/2020,12/31/2020,CY,,,M)":117.483,"VCYT-US^FF_SALES(ANN_R,1/1/2019,12/31/2019,CY,,,M)":120.368,"VCYT-US^FF_SALES(ANN_R,1/1/2018,12/31/2018,CY,,,M)":92.008,"VCYT-US^FF_SALES(ANN_R,1/1/2017,12/31/2017,CY,,,M)":71.953,"VCYT-US^FF_SALES(ANN_R,1/1/2016,12/31/2016,CY,,,M)":65.085,"VCYT-US^FF_SALES(ANN_R,1/1/2015,12/31/2015,CY,,,M)":49.503,"WGS-US^FF_SALES(ANN_R,1/1/2023,12/31/2023,CY,,,M)":202.566,"WGS-US^FF_SALES(ANN_R,1/1/2022,12/31/2022,CY,,,M)":234.694,"WGS-US^FF_SALES(ANN_R,1/1/2021,12/31/2021,CY,,,M)":212.195,"WGS-US^FF_SALES(ANN_R,1/1/2020,12/31/2020,CY,,,M)":179.322,"WGS-US^FF_SALES(ANN_R,1/1/2019,12/31/2019,CY,,,M)":null,"WGS-US^FF_SALES(ANN_R,1/1/2018,12/31/2018,CY,,,M)":null,"WGS-US^FF_SALES(ANN_R,1/1/2017,12/31/2017,CY,,,M)":null,"WGS-US^FF_SALES(ANN_R,1/1/2016,12/31/2016,CY,,,M)":null,"WGS-US^FF_SALES(ANN_R,1/1/2015,12/31/2015,CY,,,M)":null,"LH-US^FF_SALES(ANN_R,1/1/2023,12/31/2023,CY,,,M)":12161.6,"LH-US^FF_SALES(ANN_R,1/1/2022,12/31/2022,CY,,,M)":11863.9,"LH-US^FF_SALES(ANN_R,1/1/2021,12/31/2021,CY,,,M)":16120.9,"LH-US^FF_SALES(ANN_R,1/1/2020,12/31/2020,CY,,,M)":13978.5,"LH-US^FF_SALES(ANN_R,1/1/2019,12/31/2019,CY,,,M)":11554.8,"LH-US^FF_SALES(ANN_R,1/1/2018,12/31/2018,CY,,,M)":11333.4,"LH-US^FF_SALES(ANN_R,1/1/2017,12/31/2017,CY,,,M)":10308.0,"LH-US^FF_SALES(ANN_R,1/1/2016,12/31/2016,CY,,,M)":9641.8,"LH-US^FF_SALES(ANN_R,1/1/2015,12/31/2015,CY,,,M)":8680.1,"DGX-US^FF_SALES(ANN_R,1/1/2023,12/31/2023,CY,,,M)":9252.0,"DGX-US^FF_SALES(ANN_R,1/1/2022,12/31/2022,CY,,,M)":9883.0,"DGX-US^FF_SALES(ANN_R,1/1/2021,12/31/2021,CY,,,M)":10788.0,"DGX-US^FF_SALES(ANN_R,1/1/2020,12/31/2020,CY,,,M)":9437.0,"DGX-US^FF_SALES(ANN_R,1/1/2019,12/31/2019,CY,,,M)":7726.0,"DGX-US^FF_SALES(ANN_R,1/1/2018,12/31/2018,CY,,,M)":7531.0,"DGX-US^FF_SALES(ANN_R,1/1/2017,12/31/2017,CY,,,M)":7402.0,"DGX-US^FF_SALES(ANN_R,1/1/2016,12/31/2016,CY,,,M)":7515.0,"DGX-US^FF_SALES(ANN_R,1/1/2015,12/31/2015,CY,,,M)":7493.0,"GRAL-US^FF_SALES(ANN_R,1/1/2023,12/31/2023,CY,,,M)":93.105,"GRAL-US^FF_SALES(ANN_R,1/1/2022,12/31/2022,CY,,,M)":55.55,"GRAL-US^FF_SALES(ANN_R,1/1/2021,12/31/2021,CY,,,M)":14.612,"GRAL-US^FF_SALES(ANN_R,1/1/2020,12/31/2020,CY,,,M)":null,"GRAL-US^FF_SALES(ANN_R,1/1/2019,12/31/2019,CY,,,M)":0.0,"GRAL-US^FF_SALES(ANN_R,1/1/2018,12/31/2018,CY,,,M)":0.0,"GRAL-US^FF_SALES(ANN_R,1/1/2017,12/31/2017,CY,,,M)":null,"GRAL-US^FF_SALES(ANN_R,1/1/2016,12/31/2016,CY,,,M)":null,"GRAL-US^FF_SALES(ANN_R,1/1/2015,12/31/2015,CY,,,M)":null,"ADPT-US^FF_SALES(ANN_R,1/1/2023,12/31/2023,CY,,,M)":170.276,"ADPT-US^FF_SALES(ANN_R,1/1/2022,12/31/2022,CY,,,M)":185.308,"ADPT-US^FF_SALES(ANN_R,1/1/2021,12/31/2021,CY,,,M)":154.344,"ADPT-US^FF_SALES(ANN_R,1/1/2020,12/31/2020,CY,,,M)":98.382,"ADPT-US^FF_SALES(ANN_R,1/1/2019,12/31/2019,CY,,,M)":85.071,"ADPT-US^FF_SALES(ANN_R,1/1/2018,12/31/2018,CY,,,M)":55.663,"ADPT-US^FF_SALES(ANN_R,1/1/2017,12/31/2017,CY,,,M)":38.448,"ADPT-US^FF_SALES(ANN_R,1/1/2016,12/31/2016,CY,,,M)":null,"ADPT-US^FF_SALES(ANN_R,1/1/2015,12/31/2015,CY,,,M)":null,"GH-US^FF_SALES(ANN_R,1/1/2023,12/31/2023,CY,,,M)":563.948,"GH-US^FF_SALES(ANN_R,1/1/2022,12/31/2022,CY,,,M)":449.538,"GH-US^FF_SALES(ANN_R,1/1/2021,12/31/2021,CY,,,M)":373.653,"GH-US^FF_SALES(ANN_R,1/1/2020,12/31/2020,CY,,,M)":286.73,"GH-US^FF_SALES(ANN_R,1/1/2019,12/31/2019,CY,,,M)":214.375,"GH-US^FF_SALES(ANN_R,1/1/2018,12/31/2018,CY,,,M)":90.639,"GH-US^FF_SALES(ANN_R,1/1/2017,12/31/2017,CY,,,M)":49.842,"GH-US^FF_SALES(ANN_R,1/1/2016,12/31/2016,CY,,,M)":25.249,"GH-US^FF_SALES(ANN_R,1/1/2015,12/31/2015,CY,,,M)":null,"TEM-US^FF_SALES(ANN_R,1/1/2023,12/31/2023,CY,,,M)":531.822,"TEM-US^FF_SALES(ANN_R,1/1/2022,12/31/2022,CY,,,M)":320.668,"TEM-US^FF_SALES(ANN_R,1/1/2021,12/31/2021,CY,,,M)":257.853,"TEM-US^FF_SALES(ANN_R,1/1/2020,12/31/2020,CY,,,M)":188.004,"TEM-US^FF_SALES(ANN_R,1/1/2019,12/31/2019,CY,,,M)":null,"TEM-US^FF_SALES(ANN_R,1/1/2018,12/31/2018,CY,,,M)":null,"TEM-US^FF_SALES(ANN_R,1/1/2017,12/31/2017,CY,,,M)":null,"TEM-US^FF_SALES(ANN_R,1/1/2016,12/31/2016,CY,,,M)":null,"TEM-US^FF_SALES(ANN_R,1/1/2015,12/31/2015,CY,,,M)":null,"NTRA-US^FF_GROSS_INC(ANN_R,1/1/2024,12/31/2024,CY,,,M)":1023.158,"530119-IN^FF_GROSS_INC(ANN_R,1/1/2024,12/31/2024,CY,,,M)":-70.3859999999999,"NTRA-US^FF_GROSS_INC(ANN_R,1/1/2024,12/31/2025,CY,,,M)":[1023.158,null],"NTRA-US^FF_GROSS_INC(ANN_R,1/1/2023,12/31/2024,CY,,,M)":[492.74,1023.158],"NTRA-US^FF_GROSS_INC(ANN_R,1/1/2022,12/31/2023,CY,,,M)":[363.966,492.74],"NTRA-US^FF_GROSS_INC(ANN_R,1/1/2021,12/31/2022,CY,,,M)":[307.068,363.966],"NTRA-US^FF_GROSS_INC(ANN_R,1/1/2020,12/31/2021,CY,,,M)":[187.385,307.068],"NTRA-US^FF_GROSS_INC(ANN_R,1/1/2019,12/31/2020,CY,,,M)":[126.858,187.385],"NTRA-US^FF_GROSS_INC(ANN_R,1/1/2018,12/31/2019,CY,,,M)":[91.599,126.858],"NTRA-US^FF_GROSS_INC(ANN_R,1/1/2017,12/31/2018,CY,,,M)":[70.605,91.599],"NTRA-US^FF_GROSS_INC(ANN_R,1/1/2016,12/31/2017,CY,,,M)":[81.5,70.605],"NTRA-US^FF_GROSS_INC(ANN_R,1/1/2015,12/31/2016,CY,,,M)":[79.71,81.5],"NTRA-US^FF_GROSS_INC(ANN_R,1/1/2023,12/31/2023,CY,,,M)":492.74,"NTRA-US^FF_GROSS_INC(ANN_R,1/1/2022,12/31/2022,CY,,,M)":363.966,"NTRA-US^FF_GROSS_INC(ANN_R,1/1/2021,12/31/2021,CY,,,M)":307.068,"NTRA-US^FF_GROSS_INC(ANN_R,1/1/2020,12/31/2020,CY,,,M)":187.385,"NTRA-US^FF_GROSS_INC(ANN_R,1/1/2019,12/31/2019,CY,,,M)":126.858,"NTRA-US^FF_GROSS_INC(ANN_R,1/1/2018,12/31/2018,CY,,,M)":91.599,"NTRA-US^FF_GROSS_INC(ANN_R,1/1/2017,12/31/2017,CY,,,M)":70.605,"NTRA-US^FF_GROSS_INC(ANN_R,1/1/2016,12/31/2016,CY,,,M)":81.5,"NTRA-US^FF_GROSS_INC(ANN_R,1/1/2015,12/31/2015,CY,,,M)":79.71,"CAI-US^FF_GROSS_INC(ANN_R,1/1/2024,12/31/2024,CY,,,M)":178.782,"FLGT-US^FF_GROSS_INC(ANN_R,1/1/2024,12/31/2024,CY,,,M)":99.25,"PSNL-US^FF_GROSS_INC(ANN_R,1/1/2024,12/31/2024,CY,,,M)":26.825,"MYGN-US^FF_GROSS_INC(ANN_R,1/1/2024,12/31/2024,CY,,,M)":585.4,"CDNA-US^FF_GROSS_INC(ANN_R,1/1/2024,12/31/2024,CY,,,M)":221.635,"NEO-US^FF_GROSS_INC(ANN_R,1/1/2024,12/31/2024,CY,,,M)":256.654,"EXAS-US^FF_GROSS_INC(ANN_R,1/1/2024,12/31/2024,CY,,,M)":1918.717,"VCYT-US^FF_GROSS_INC(ANN_R,1/1/2024,12/31/2024,CY,,,M)":289.546,"WGS-US^FF_GROSS_INC(ANN_R,1/1/2024,12/31/2024,CY,,,M)":176.491,"LH-US^FF_GROSS_INC(ANN_R,1/1/2024,12/31/2024,CY,,,M)":3368.0,"DGX-US^FF_GROSS_INC(ANN_R,1/1/2024,12/31/2024,CY,,,M)":3146.0,"GRAL-US^FF_GROSS_INC(ANN_R,1/1/2024,12/31/2024,CY,,,M)":-78.022,"ADPT-US^FF_GROSS_INC(ANN_R,1/1/2024,12/31/2024,CY,,,M)":96.554,"GH-US^FF_GROSS_INC(ANN_R,1/1/2024,12/31/2024,CY,,,M)":449.217,"TEM-US^FF_GROSS_INC(ANN_R,1/1/2024,12/31/2024,CY,,,M)":368.895,"CAI-US^FF_GROSS_INC(ANN_R,1/1/2023,12/31/2023,CY,,,M)":89.31,"CAI-US^FF_GROSS_INC(ANN_R,1/1/2022,12/31/2022,CY,,,M)":null,"CAI-US^FF_GROSS_INC(ANN_R,1/1/2021,12/31/2021,CY,,,M)":null,"CAI-US^FF_GROSS_INC(ANN_R,1/1/2020,12/31/2020,CY,,,M)":null,"CAI-US^FF_GROSS_INC(ANN_R,1/1/2019,12/31/2019,CY,,,M)":null,"CAI-US^FF_GROSS_INC(ANN_R,1/1/2018,12/31/2018,CY,,,M)":null,"CAI-US^FF_GROSS_INC(ANN_R,1/1/2017,12/31/2017,CY,,,M)":null,"CAI-US^FF_GROSS_INC(ANN_R,1/1/2016,12/31/2016,CY,,,M)":null,"CAI-US^FF_GROSS_INC(ANN_R,1/1/2015,12/31/2015,CY,,,M)":null,"FLGT-US^FF_GROSS_INC(ANN_R,1/1/2023,12/31/2023,CY,,,M)":96.611,"FLGT-US^FF_GROSS_INC(ANN_R,1/1/2022,12/31/2022,CY,,,M)":360.404,"FLGT-US^FF_GROSS_INC(ANN_R,1/1/2021,12/31/2021,CY,,,M)":775.343,"FLGT-US^FF_GROSS_INC(ANN_R,1/1/2020,12/31/2020,CY,,,M)":331.905,"FLGT-US^FF_GROSS_INC(ANN_R,1/1/2019,12/31/2019,CY,,,M)":18.421,"FLGT-US^FF_GROSS_INC(ANN_R,1/1/2018,12/31/2018,CY,,,M)":10.654,"FLGT-US^FF_GROSS_INC(ANN_R,1/1/2017,12/31/2017,CY,,,M)":10.179,"FLGT-US^FF_GROSS_INC(ANN_R,1/1/2016,12/31/2016,CY,,,M)":11.554,"FLGT-US^FF_GROSS_INC(ANN_R,1/1/2015,12/31/2015,CY,,,M)":4.507,"PSNL-US^FF_GROSS_INC(ANN_R,1/1/2023,12/31/2023,CY,,,M)":18.208,"PSNL-US^FF_GROSS_INC(ANN_R,1/1/2022,12/31/2022,CY,,,M)":13.35,"PSNL-US^FF_GROSS_INC(ANN_R,1/1/2021,12/31/2021,CY,,,M)":31.657,"PSNL-US^FF_GROSS_INC(ANN_R,1/1/2020,12/31/2020,CY,,,M)":20.114,"PSNL-US^FF_GROSS_INC(ANN_R,1/1/2019,12/31/2019,CY,,,M)":22.08,"PSNL-US^FF_GROSS_INC(ANN_R,1/1/2018,12/31/2018,CY,,,M)":11.805,"PSNL-US^FF_GROSS_INC(ANN_R,1/1/2017,12/31/2017,CY,,,M)":-2.343,"PSNL-US^FF_GROSS_INC(ANN_R,1/1/2016,12/31/2016,CY,,,M)":null,"PSNL-US^FF_GROSS_INC(ANN_R,1/1/2015,12/31/2015,CY,,,M)":null,"MYGN-US^FF_GROSS_INC(ANN_R,1/1/2023,12/31/2023,CY,,,M)":474.2,"MYGN-US^FF_GROSS_INC(ANN_R,1/1/2022,12/31/2022,CY,,,M)":435.3,"MYGN-US^FF_GROSS_INC(ANN_R,1/1/2021,12/31/2021,CY,,,M)":442.3,"MYGN-US^FF_GROSS_INC(ANN_R,1/1/2020,12/31/2020,CY,,,M)":391.5,"MYGN-US^FF_GROSS_INC(ANN_R,1/1/2019,12/31/2019,CY,,,M)":590.8,"MYGN-US^FF_GROSS_INC(ANN_R,1/1/2018,12/31/2018,CY,,,M)":529.2,"MYGN-US^FF_GROSS_INC(ANN_R,1/1/2017,12/31/2017,CY,,,M)":598.7,"MYGN-US^FF_GROSS_INC(ANN_R,1/1/2016,12/31/2016,CY,,,M)":596.5,"MYGN-US^FF_GROSS_INC(ANN_R,1/1/2015,12/31/2015,CY,,,M)":575.7,"CDNA-US^FF_GROSS_INC(ANN_R,1/1/2023,12/31/2023,CY,,,M)":175.868,"CDNA-US^FF_GROSS_INC(ANN_R,1/1/2022,12/31/2022,CY,,,M)":207.329,"CDNA-US^FF_GROSS_INC(ANN_R,1/1/2021,12/31/2021,CY,,,M)":197.408,"CDNA-US^FF_GROSS_INC(ANN_R,1/1/2020,12/31/2020,CY,,,M)":127.577,"CDNA-US^FF_GROSS_INC(ANN_R,1/1/2019,12/31/2019,CY,,,M)":80.313,"CDNA-US^FF_GROSS_INC(ANN_R,1/1/2018,12/31/2018,CY,,,M)":42.582,"CDNA-US^FF_GROSS_INC(ANN_R,1/1/2017,12/31/2017,CY,,,M)":25.953,"CDNA-US^FF_GROSS_INC(ANN_R,1/1/2016,12/31/2016,CY,,,M)":18.809,"CDNA-US^FF_GROSS_INC(ANN_R,1/1/2015,12/31/2015,CY,,,M)":17.871,"NEO-US^FF_GROSS_INC(ANN_R,1/1/2023,12/31/2023,CY,,,M)":209.471,"NEO-US^FF_GROSS_INC(ANN_R,1/1/2022,12/31/2022,CY,,,M)":173.25,"NEO-US^FF_GROSS_INC(ANN_R,1/1/2021,12/31/2021,CY,,,M)":179.568,"NEO-US^FF_GROSS_INC(ANN_R,1/1/2020,12/31/2020,CY,,,M)":165.476,"NEO-US^FF_GROSS_INC(ANN_R,1/1/2019,12/31/2019,CY,,,M)":176.011,"NEO-US^FF_GROSS_INC(ANN_R,1/1/2018,12/31/2018,CY,,,M)":113.737,"NEO-US^FF_GROSS_INC(ANN_R,1/1/2017,12/31/2017,CY,,,M)":88.761,"NEO-US^FF_GROSS_INC(ANN_R,1/1/2016,12/31/2016,CY,,,M)":106.179,"NEO-US^FF_GROSS_INC(ANN_R,1/1/2015,12/31/2015,CY,,,M)":40.852,"EXAS-US^FF_GROSS_INC(ANN_R,1/1/2023,12/31/2023,CY,,,M)":1753.358,"EXAS-US^FF_GROSS_INC(ANN_R,1/1/2022,12/31/2022,CY,,,M)":1412.435,"EXAS-US^FF_GROSS_INC(ANN_R,1/1/2021,12/31/2021,CY,,,M)":1213.329,"EXAS-US^FF_GROSS_INC(ANN_R,1/1/2020,12/31/2020,CY,,,M)":1043.669,"EXAS-US^FF_GROSS_INC(ANN_R,1/1/2019,12/31/2019,CY,,,M)":643.541,"EXAS-US^FF_GROSS_INC(ANN_R,1/1/2018,12/31/2018,CY,,,M)":336.48,"EXAS-US^FF_GROSS_INC(ANN_R,1/1/2017,12/31/2017,CY,,,M)":186.793,"EXAS-US^FF_GROSS_INC(ANN_R,1/1/2016,12/31/2016,CY,,,M)":54.181,"EXAS-US^FF_GROSS_INC(ANN_R,1/1/2015,12/31/2015,CY,,,M)":14.936,"VCYT-US^FF_GROSS_INC(ANN_R,1/1/2023,12/31/2023,CY,,,M)":223.152,"VCYT-US^FF_GROSS_INC(ANN_R,1/1/2022,12/31/2022,CY,,,M)":170.831,"VCYT-US^FF_GROSS_INC(ANN_R,1/1/2021,12/31/2021,CY,,,M)":126.971,"VCYT-US^FF_GROSS_INC(ANN_R,1/1/2020,12/31/2020,CY,,,M)":70.246,"VCYT-US^FF_GROSS_INC(ANN_R,1/1/2019,12/31/2019,CY,,,M)":80.749,"VCYT-US^FF_GROSS_INC(ANN_R,1/1/2018,12/31/2018,CY,,,M)":55.81,"VCYT-US^FF_GROSS_INC(ANN_R,1/1/2017,12/31/2017,CY,,,M)":40.583,"VCYT-US^FF_GROSS_INC(ANN_R,1/1/2016,12/31/2016,CY,,,M)":38.556,"VCYT-US^FF_GROSS_INC(ANN_R,1/1/2015,12/31/2015,CY,,,M)":27.206,"WGS-US^FF_GROSS_INC(ANN_R,1/1/2023,12/31/2023,CY,,,M)":60.622,"WGS-US^FF_GROSS_INC(ANN_R,1/1/2022,12/31/2022,CY,,,M)":-54.731,"WGS-US^FF_GROSS_INC(ANN_R,1/1/2021,12/31/2021,CY,,,M)":-24.315,"WGS-US^FF_GROSS_INC(ANN_R,1/1/2020,12/31/2020,CY,,,M)":1.34699999999999,"WGS-US^FF_GROSS_INC(ANN_R,1/1/2019,12/31/2019,CY,,,M)":null,"WGS-US^FF_GROSS_INC(ANN_R,1/1/2018,12/31/2018,CY,,,M)":null,"WGS-US^FF_GROSS_INC(ANN_R,1/1/2017,12/31/2017,CY,,,M)":null,"WGS-US^FF_GROSS_INC(ANN_R,1/1/2016,12/31/2016,CY,,,M)":null,"WGS-US^FF_GROSS_INC(ANN_R,1/1/2015,12/31/2015,CY,,,M)":null,"LH-US^FF_GROSS_INC(ANN_R,1/1/2023,12/31/2023,CY,,,M)":3145.1,"LH-US^FF_GROSS_INC(ANN_R,1/1/2022,12/31/2022,CY,,,M)":3515.3,"LH-US^FF_GROSS_INC(ANN_R,1/1/2021,12/31/2021,CY,,,M)":5254.7,"LH-US^FF_GROSS_INC(ANN_R,1/1/2020,12/31/2020,CY,,,M)":4677.4,"LH-US^FF_GROSS_INC(ANN_R,1/1/2019,12/31/2019,CY,,,M)":3009.3,"LH-US^FF_GROSS_INC(ANN_R,1/1/2018,12/31/2018,CY,,,M)":2944.7,"LH-US^FF_GROSS_INC(ANN_R,1/1/2017,12/31/2017,CY,,,M)":2875.3,"LH-US^FF_GROSS_INC(ANN_R,1/1/2016,12/31/2016,CY,,,M)":3001.0,"LH-US^FF_GROSS_INC(ANN_R,1/1/2015,12/31/2015,CY,,,M)":2738.8,"DGX-US^FF_GROSS_INC(ANN_R,1/1/2023,12/31/2023,CY,,,M)":2961.0,"DGX-US^FF_GROSS_INC(ANN_R,1/1/2022,12/31/2022,CY,,,M)":3347.0,"DGX-US^FF_GROSS_INC(ANN_R,1/1/2021,12/31/2021,CY,,,M)":4140.0,"DGX-US^FF_GROSS_INC(ANN_R,1/1/2020,12/31/2020,CY,,,M)":3614.0,"DGX-US^FF_GROSS_INC(ANN_R,1/1/2019,12/31/2019,CY,,,M)":2628.0,"DGX-US^FF_GROSS_INC(ANN_R,1/1/2018,12/31/2018,CY,,,M)":2583.0,"DGX-US^FF_GROSS_INC(ANN_R,1/1/2017,12/31/2017,CY,,,M)":2659.0,"DGX-US^FF_GROSS_INC(ANN_R,1/1/2016,12/31/2016,CY,,,M)":2867.0,"DGX-US^FF_GROSS_INC(ANN_R,1/1/2015,12/31/2015,CY,,,M)":2820.0,"GRAL-US^FF_GROSS_INC(ANN_R,1/1/2023,12/31/2023,CY,,,M)":-95.611,"GRAL-US^FF_GROSS_INC(ANN_R,1/1/2022,12/31/2022,CY,,,M)":-116.447,"GRAL-US^FF_GROSS_INC(ANN_R,1/1/2021,12/31/2021,CY,,,M)":-100.003,"GRAL-US^FF_GROSS_INC(ANN_R,1/1/2020,12/31/2020,CY,,,M)":null,"GRAL-US^FF_GROSS_INC(ANN_R,1/1/2019,12/31/2019,CY,,,M)":-10.307,"GRAL-US^FF_GROSS_INC(ANN_R,1/1/2018,12/31/2018,CY,,,M)":-14.08,"GRAL-US^FF_GROSS_INC(ANN_R,1/1/2017,12/31/2017,CY,,,M)":null,"GRAL-US^FF_GROSS_INC(ANN_R,1/1/2016,12/31/2016,CY,,,M)":null,"GRAL-US^FF_GROSS_INC(ANN_R,1/1/2015,12/31/2015,CY,,,M)":null,"ADPT-US^FF_GROSS_INC(ANN_R,1/1/2023,12/31/2023,CY,,,M)":72.492,"ADPT-US^FF_GROSS_INC(ANN_R,1/1/2022,12/31/2022,CY,,,M)":106.479,"ADPT-US^FF_GROSS_INC(ANN_R,1/1/2021,12/31/2021,CY,,,M)":91.09,"ADPT-US^FF_GROSS_INC(ANN_R,1/1/2020,12/31/2020,CY,,,M)":67.38,"ADPT-US^FF_GROSS_INC(ANN_R,1/1/2019,12/31/2019,CY,,,M)":56.031,"ADPT-US^FF_GROSS_INC(ANN_R,1/1/2018,12/31/2018,CY,,,M)":32.175,"ADPT-US^FF_GROSS_INC(ANN_R,1/1/2017,12/31/2017,CY,,,M)":18.975,"ADPT-US^FF_GROSS_INC(ANN_R,1/1/2016,12/31/2016,CY,,,M)":null,"ADPT-US^FF_GROSS_INC(ANN_R,1/1/2015,12/31/2015,CY,,,M)":null,"GH-US^FF_GROSS_INC(ANN_R,1/1/2023,12/31/2023,CY,,,M)":336.896,"GH-US^FF_GROSS_INC(ANN_R,1/1/2022,12/31/2022,CY,,,M)":291.666,"GH-US^FF_GROSS_INC(ANN_R,1/1/2021,12/31/2021,CY,,,M)":249.394,"GH-US^FF_GROSS_INC(ANN_R,1/1/2020,12/31/2020,CY,,,M)":194.195,"GH-US^FF_GROSS_INC(ANN_R,1/1/2019,12/31/2019,CY,,,M)":143.655,"GH-US^FF_GROSS_INC(ANN_R,1/1/2018,12/31/2018,CY,,,M)":47.429,"GH-US^FF_GROSS_INC(ANN_R,1/1/2017,12/31/2017,CY,,,M)":18.224,"GH-US^FF_GROSS_INC(ANN_R,1/1/2016,12/31/2016,CY,,,M)":3.125,"GH-US^FF_GROSS_INC(ANN_R,1/1/2015,12/31/2015,CY,,,M)":null,"TEM-US^FF_GROSS_INC(ANN_R,1/1/2023,12/31/2023,CY,,,M)":277.857,"TEM-US^FF_GROSS_INC(ANN_R,1/1/2022,12/31/2022,CY,,,M)":121.682,"TEM-US^FF_GROSS_INC(ANN_R,1/1/2021,12/31/2021,CY,,,M)":77.389,"TEM-US^FF_GROSS_INC(ANN_R,1/1/2020,12/31/2020,CY,,,M)":22.829,"TEM-US^FF_GROSS_INC(ANN_R,1/1/2019,12/31/2019,CY,,,M)":null,"TEM-US^FF_GROSS_INC(ANN_R,1/1/2018,12/31/2018,CY,,,M)":null,"TEM-US^FF_GROSS_INC(ANN_R,1/1/2017,12/31/2017,CY,,,M)":null,"TEM-US^FF_GROSS_INC(ANN_R,1/1/2016,12/31/2016,CY,,,M)":null,"TEM-US^FF_GROSS_INC(ANN_R,1/1/2015,12/31/2015,CY,,,M)":null,"NTRA^FF_ENTRPR_VAL_DAILY(45868)":17939.64,"TEM^FF_ENTRPR_VAL_DAILY(45868)":10557.29902,"GH^FF_ENTRPR_VAL_DAILY(45868)":6160.94793,"ADPT^FF_ENTRPR_VAL_DAILY(45868)":1593.382794,"GRAL^FF_ENTRPR_VAL_DAILY(45868)":588.4707189,"DGX^FF_ENTRPR_VAL_DAILY(45868)":25341.02,"LH^FF_ENTRPR_VAL_DAILY(45868)":28065.839,"WGS^FF_ENTRPR_VAL_DAILY(45868)":3087.95568386,"VCYT^FF_ENTRPR_VAL_DAILY(45868)":1726.1117028776,"EXAS^FF_ENTRPR_VAL_DAILY(45868)":10617.18585,"NEO^FF_ENTRPR_VAL_DAILY(45868)":911.493565,"CDNA^FF_ENTRPR_VAL_DAILY(45868)":527.71920962,"MYGN^FF_ENTRPR_VAL_DAILY(45868)":448.766,"PSNL^FF_ENTRPR_VAL_DAILY(45868)":362.45533875,"FLGT^FF_ENTRPR_VAL_DAILY(45868)":233.74704,"CAI^FF_ENTRPR_VAL_DAILY(45868)":10666.04664089,"NTRA^FF_ENTRPR_VAL_DAILY(45503)":11559.38575,"TEM^FF_ENTRPR_VAL_DAILY(45503)":7072.84511862,"GH^FF_ENTRPR_VAL_DAILY(45503)":4749.47563,"ADPT^FF_ENTRPR_VAL_DAILY(45503)":612.309837,"GRAL^FF_ENTRPR_VAL_DAILY(45503)":-400.54173156,"DGX^FF_ENTRPR_VAL_DAILY(45503)":20938.68,"LH^FF_ENTRPR_VAL_DAILY(45503)":23685.958,"WGS^FF_ENTRPR_VAL_DAILY(45503)":813.19998415,"VCYT^FF_ENTRPR_VAL_DAILY(45503)":1603.55842193,"EXAS^FF_ENTRPR_VAL_DAILY(45503)":10422.44954,"NEO^FF_ENTRPR_VAL_DAILY(45503)":2401.67735,"CDNA^FF_ENTRPR_VAL_DAILY(45503)":781.7668312,"MYGN^FF_ENTRPR_VAL_DAILY(45503)":2565.586,"PSNL^FF_ENTRPR_VAL_DAILY(45503)":123.16239536,"FLGT^FF_ENTRPR_VAL_DAILY(45503)":418.8151,"CAI^FF_ENTRPR_VAL_DAILY(45503)":null,"NTRA^FF_ENTRPR_VAL_DAILY(45138)":4849.3618,"TEM^FF_ENTRPR_VAL_DAILY(45138)":null,"GH^FF_ENTRPR_VAL_DAILY(45138)":4382.45416,"ADPT^FF_ENTRPR_VAL_DAILY(45138)":1033.10552892,"GRAL^FF_ENTRPR_VAL_DAILY(45138)":null,"DGX^FF_ENTRPR_VAL_DAILY(45138)":20361.94,"LH^FF_ENTRPR_VAL_DAILY(45138)":23339.27,"WGS^FF_ENTRPR_VAL_DAILY(45138)":107.03903278,"VCYT^FF_ENTRPR_VAL_DAILY(45138)":1813.2612719,"EXAS^FF_ENTRPR_VAL_DAILY(45138)":19372.82616,"NEO^FF_ENTRPR_VAL_DAILY(45138)":2372.66148,"CDNA^FF_ENTRPR_VAL_DAILY(45138)":341.1876966,"MYGN^FF_ENTRPR_VAL_DAILY(45138)":1908.195,"PSNL^FF_ENTRPR_VAL_DAILY(45138)":24.08705068,"FLGT^FF_ENTRPR_VAL_DAILY(45138)":724.79979,"CAI^FF_ENTRPR_VAL_DAILY(45138)":null,"NTRA^FF_ENTRPR_VAL_DAILY(44773)":4302.635,"TEM^FF_ENTRPR_VAL_DAILY(44773)":null,"GH^FF_ENTRPR_VAL_DAILY(44773)":5642.91799,"ADPT^FF_ENTRPR_VAL_DAILY(44773)":1031.66647524,"GRAL^FF_ENTRPR_VAL_DAILY(44773)":null,"DGX^FF_ENTRPR_VAL_DAILY(44773)":20214.83,"LH^FF_ENTRPR_VAL_DAILY(44773)":29572.013,"WGS^FF_ENTRPR_VAL_DAILY(44773)":341.072286925098,"VCYT^FF_ENTRPR_VAL_DAILY(44773)":1736.29728444,"EXAS^FF_ENTRPR_VAL_DAILY(44773)":9681.8564,"NEO^FF_ENTRPR_VAL_DAILY(44773)":1401.51316,"CDNA^FF_ENTRPR_VAL_DAILY(44773)":979.64067555,"MYGN^FF_ENTRPR_VAL_DAILY(44773)":2016.552,"PSNL^FF_ENTRPR_VAL_DAILY(44773)":-6.86537777999999,"FLGT^FF_ENTRPR_VAL_DAILY(44773)":1394.94675,"CAI^FF_ENTRPR_VAL_DAILY(44773)":null,"NTRA^FF_ENTRPR_VAL_DAILY(44408)":9891.78204,"TEM^FF_ENTRPR_VAL_DAILY(44408)":null,"GH^FF_ENTRPR_VAL_DAILY(44408)":10729.2926,"ADPT^FF_ENTRPR_VAL_DAILY(44408)":4655.89556122,"GRAL^FF_ENTRPR_VAL_DAILY(44408)":null,"DGX^FF_ENTRPR_VAL_DAILY(44408)":22214.6,"LH^FF_ENTRPR_VAL_DAILY(44408)":33497.33,"WGS^FF_ENTRPR_VAL_DAILY(44408)":12.24832051718,"VCYT^FF_ENTRPR_VAL_DAILY(44408)":2689.2458564,"EXAS^FF_ENTRPR_VAL_DAILY(44408)":19586.07296,"NEO^FF_ENTRPR_VAL_DAILY(44408)":6066.9837,"CDNA^FF_ENTRPR_VAL_DAILY(44408)":4040.137172,"MYGN^FF_ENTRPR_VAL_DAILY(44408)":2478.036,"PSNL^FF_ENTRPR_VAL_DAILY(44408)":610.12606606,"FLGT^FF_ENTRPR_VAL_DAILY(44408)":2491.4395,"CAI^FF_ENTRPR_VAL_DAILY(44408)":null,"NTRA^FF_ENTRPR_VAL_DAILY(44043)":3502.46838,"TEM^FF_ENTRPR_VAL_DAILY(44043)":null,"GH^FF_ENTRPR_VAL_DAILY(44043)":7340.14298,"ADPT^FF_ENTRPR_VAL_DAILY(44043)":4229.30728024,"GRAL^FF_ENTRPR_VAL_DAILY(44043)":null,"DGX^FF_ENTRPR_VAL_DAILY(44043)":21557.52,"LH^FF_ENTRPR_VAL_DAILY(44043)":25424.684,"WGS^FF_ENTRPR_VAL_DAILY(44043)":null,"VCYT^FF_ENTRPR_VAL_DAILY(44043)":1656.64842741,"EXAS^FF_ENTRPR_VAL_DAILY(44043)":14659.12325,"NEO^FF_ENTRPR_VAL_DAILY(44043)":4049.1720100000002,"CDNA^FF_ENTRPR_VAL_DAILY(44043)":1298.53803395,"MYGN^FF_ENTRPR_VAL_DAILY(44043)":973.801,"PSNL^FF_ENTRPR_VAL_DAILY(44043)":458.55464348,"FLGT^FF_ENTRPR_VAL_DAILY(44043)":585.845,"CAI^FF_ENTRPR_VAL_DAILY(44043)":null,"NTRA^FF_ENTRPR_VAL_DAILY(43678)":1835.96492,"TEM^FF_ENTRPR_VAL_DAILY(43678)":null,"GH^FF_ENTRPR_VAL_DAILY(43678)":7919.69392,"ADPT^FF_ENTRPR_VAL_DAILY(43678)":4940.17513096,"GRAL^FF_ENTRPR_VAL_DAILY(43678)":null,"DGX^FF_ENTRPR_VAL_DAILY(43678)":18158.0,"LH^FF_ENTRPR_VAL_DAILY(43678)":23662.4,"WGS^FF_ENTRPR_VAL_DAILY(43678)":null,"VCYT^FF_ENTRPR_VAL_DAILY(43678)":1052.433187,"EXAS^FF_ENTRPR_VAL_DAILY(43678)":14453.82046,"NEO^FF_ENTRPR_VAL_DAILY(43678)":2615.4136,"CDNA^FF_ENTRPR_VAL_DAILY(43678)":1391.451464,"MYGN^FF_ENTRPR_VAL_DAILY(43678)":3517.36,"PSNL^FF_ENTRPR_VAL_DAILY(43678)":-37.90855877,"FLGT^FF_ENTRPR_VAL_DAILY(43678)":119.59976,"CAI^FF_ENTRPR_VAL_DAILY(43678)":null,"NTRA^FF_ENTRPR_VAL_DAILY(43313)":1348.11208,"TEM^FF_ENTRPR_VAL_DAILY(43313)":null,"GH^FF_ENTRPR_VAL_DAILY(43313)":null,"ADPT^FF_ENTRPR_VAL_DAILY(43313)":null,"GRAL^FF_ENTRPR_VAL_DAILY(43313)":null,"DGX^FF_ENTRPR_VAL_DAILY(43313)":18561.66,"LH^FF_ENTRPR_VAL_DAILY(43313)":24266.38,"WGS^FF_ENTRPR_VAL_DAILY(43313)":null,"VCYT^FF_ENTRPR_VAL_DAILY(43313)":375.18300826,"EXAS^FF_ENTRPR_VAL_DAILY(43313)":6651.49348,"NEO^FF_ENTRPR_VAL_DAILY(43313)":1390.54932,"CDNA^FF_ENTRPR_VAL_DAILY(43313)":511.59064302,"MYGN^FF_ENTRPR_VAL_DAILY(43313)":2999.58,"PSNL^FF_ENTRPR_VAL_DAILY(43313)":null,"FLGT^FF_ENTRPR_VAL_DAILY(43313)":58.3845459,"CAI^FF_ENTRPR_VAL_DAILY(43313)":null,"NTRA^FF_ENTRPR_VAL_DAILY(42948)":382.49336,"TEM^FF_ENTRPR_VAL_DAILY(42948)":null,"GH^FF_ENTRPR_VAL_DAILY(42948)":null,"ADPT^FF_ENTRPR_VAL_DAILY(42948)":null,"GRAL^FF_ENTRPR_VAL_DAILY(42948)":null,"DGX^FF_ENTRPR_VAL_DAILY(42948)":18706.6,"LH^FF_ENTRPR_VAL_DAILY(42948)":22483.602,"WGS^FF_ENTRPR_VAL_DAILY(42948)":null,"VCYT^FF_ENTRPR_VAL_DAILY(42948)":256.6036496,"EXAS^FF_ENTRPR_VAL_DAILY(42948)":3808.656,"NEO^FF_ENTRPR_VAL_DAILY(42948)":885.24128,"CDNA^FF_ENTRPR_VAL_DAILY(42948)":54.969472,"MYGN^FF_ENTRPR_VAL_DAILY(42948)":1614.336,"PSNL^FF_ENTRPR_VAL_DAILY(42948)":null,"FLGT^FF_ENTRPR_VAL_DAILY(42948)":81.28942,"CAI^FF_ENTRPR_VAL_DAILY(42948)":null,"NTRA^FF_ENTRPR_VAL_DAILY(42583)":503.6918,"TEM^FF_ENTRPR_VAL_DAILY(42583)":null,"GH^FF_ENTRPR_VAL_DAILY(42583)":null,"ADPT^FF_ENTRPR_VAL_DAILY(42583)":null,"GRAL^FF_ENTRPR_VAL_DAILY(42583)":null,"DGX^FF_ENTRPR_VAL_DAILY(42583)":15911.08,"LH^FF_ENTRPR_VAL_DAILY(42583)":19966.783,"WGS^FF_ENTRPR_VAL_DAILY(42583)":null,"VCYT^FF_ENTRPR_VAL_DAILY(42583)":124.30039164,"EXAS^FF_ENTRPR_VAL_DAILY(42583)":1553.81022,"NEO^FF_ENTRPR_VAL_DAILY(42583)":740.12896,"CDNA^FF_ENTRPR_VAL_DAILY(42583)":78.600976,"MYGN^FF_ENTRPR_VAL_DAILY(42583)":2151.632,"PSNL^FF_ENTRPR_VAL_DAILY(42583)":null,"FLGT^FF_ENTRPR_VAL_DAILY(42583)":null,"CAI^FF_ENTRPR_VAL_DAILY(42583)":null,"NTRA^FF_ENTRPR_VAL_DAILY(42218)":305.34946,"TEM^FF_ENTRPR_VAL_DAILY(42218)":null,"GH^FF_ENTRPR_VAL_DAILY(42218)":null,"ADPT^FF_ENTRPR_VAL_DAILY(42218)":null,"GRAL^FF_ENTRPR_VAL_DAILY(42218)":null,"DGX^FF_ENTRPR_VAL_DAILY(42218)":14318.45,"LH^FF_ENTRPR_VAL_DAILY(42218)":19232.025,"WGS^FF_ENTRPR_VAL_DAILY(42218)":null,"VCYT^FF_ENTRPR_VAL_DAILY(42218)":255.9796344,"EXAS^FF_ENTRPR_VAL_DAILY(42218)":1933.29533,"NEO^FF_ENTRPR_VAL_DAILY(42218)":346.29275,"CDNA^FF_ENTRPR_VAL_DAILY(42218)":56.3405487,"MYGN^FF_ENTRPR_VAL_DAILY(42218)":2397.14,"PSNL^FF_ENTRPR_VAL_DAILY(42218)":null,"FLGT^FF_ENTRPR_VAL_DAILY(42218)":null,"CAI^FF_ENTRPR_VAL_DAILY(42218)":null,"NTRA^FE_ESTIMATE(EBITDA,MEAN,NTMA,,'2025-07-30',,,'')":-162.76936,"NTRA^FE_ESTIMATE(SALES,MEAN,NTMA,,'2025-07-30',,,'')":2276.6934,"NTRA^FE_ESTIMATE(SALES,MEAN,NTMA,,45868,,,'')":2187.9119,"NTRA^FE_ESTIMATE(SALES,MEAN,NTMA,,'2025-07-31',,,'')":2275.7964,"NTRA^FE_ESTIMATE(SALES,MEAN,NTMA,,7/30/2025,,,'')":2187.9119,"NTRA^FE_ESTIMATE(SALES,MEAN,NTMA,,45503,,,'')":1586.1498,"NTRA^FE_ESTIMATE(SALES,MEAN,NTMA,,45138,,,'')":1159.2446,"NTRA^FE_ESTIMATE(SALES,MEAN,NTMA,,44773,,,'')":915.5516,"NTRA^FE_ESTIMATE(SALES,MEAN,NTMA,,44408,,,'')":635.94727,"NTRA^FE_ESTIMATE(SALES,MEAN,NTMA,,44043,,,'')":369.39194,"NTRA^FE_ESTIMATE(SALES,MEAN,NTMA,,43678,,,'')":325.54095,"NTRA^FE_ESTIMATE(SALES,MEAN,NTMA,,43313,,,'')":298.27036,"NTRA^FE_ESTIMATE(SALES,MEAN,NTMA,,42948,,,'')":266.9195,"NTRA^FE_ESTIMATE(SALES,MEAN,NTMA,,42583,,,'')":247.76933,"NTRA^FE_ESTIMATE(SALES,MEAN,NTMA,,42218,,,'')":199.00714,"TEM^FE_ESTIMATE(SALES,MEAN,NTMA,,45868,,,'')":1427.1664,"GH^FE_ESTIMATE(SALES,MEAN,NTMA,,45868,,,'')":995.0619,"ADPT^FE_ESTIMATE(SALES,MEAN,NTMA,,45868,,,'')":243.99873,"GRAL^FE_ESTIMATE(SALES,MEAN,NTMA,,45868,,,'')":161.38947,"DGX^FE_ESTIMATE(SALES,MEAN,NTMA,,45868,,,'')":11077.432,"LH^FE_ESTIMATE(SALES,MEAN,NTMA,,45868,,,'')":14387.925,"WGS^FE_ESTIMATE(SALES,MEAN,NTMA,,45868,,,'')":448.7712,"VCYT^FE_ESTIMATE(SALES,MEAN,NTMA,,45868,,,'')":520.893,"EXAS^FE_ESTIMATE(SALES,MEAN,NTMA,,45868,,,'')":3328.757,"NEO^FE_ESTIMATE(SALES,MEAN,NTMA,,45868,,,'')":770.8319,"CDNA^FE_ESTIMATE(SALES,MEAN,NTMA,,45868,,,'')":399.3051,"MYGN^FE_ESTIMATE(SALES,MEAN,NTMA,,45868,,,'')":840.46,"PSNL^FE_ESTIMATE(SALES,MEAN,NTMA,,45868,,,'')":95.751045,"FLGT^FE_ESTIMATE(SALES,MEAN,NTMA,,45868,,,'')":329.4964,"CAI^FE_ESTIMATE(SALES,MEAN,NTMA,,45868,,,'')":795.82184,"TEM^FE_ESTIMATE(SALES,MEAN,NTMA,,45503,,,'')":824.3758,"GH^FE_ESTIMATE(SALES,MEAN,NTMA,,45503,,,'')":758.4685,"ADPT^FE_ESTIMATE(SALES,MEAN,NTMA,,45503,,,'')":189.63899,"GRAL^FE_ESTIMATE(SALES,MEAN,NTMA,,45503,,,'')":null,"DGX^FE_ESTIMATE(SALES,MEAN,NTMA,,45503,,,'')":9866.179,"LH^FE_ESTIMATE(SALES,MEAN,NTMA,,45503,,,'')":13221.962,"WGS^FE_ESTIMATE(SALES,MEAN,NTMA,,45503,,,'')":261.59778,"VCYT^FE_ESTIMATE(SALES,MEAN,NTMA,,45503,,,'')":431.09445,"EXAS^FE_ESTIMATE(SALES,MEAN,NTMA,,45503,,,'')":3049.818,"NEO^FE_ESTIMATE(SALES,MEAN,NTMA,,45503,,,'')":696.72235,"CDNA^FE_ESTIMATE(SALES,MEAN,NTMA,,45503,,,'')":290.89563,"MYGN^FE_ESTIMATE(SALES,MEAN,NTMA,,45503,,,'')":867.98566,"PSNL^FE_ESTIMATE(SALES,MEAN,NTMA,,45503,,,'')":82.054756,"FLGT^FE_ESTIMATE(SALES,MEAN,NTMA,,45503,,,'')":303.95563,"CAI^FE_ESTIMATE(SALES,MEAN,NTMA,,45503,,,'')":null,"TEM^FE_ESTIMATE(SALES,MEAN,NTMA,,45138,,,'')":null,"GH^FE_ESTIMATE(SALES,MEAN,NTMA,,45138,,,'')":615.58295,"ADPT^FE_ESTIMATE(SALES,MEAN,NTMA,,45138,,,'')":238.0859,"GRAL^FE_ESTIMATE(SALES,MEAN,NTMA,,45138,,,'')":null,"DGX^FE_ESTIMATE(SALES,MEAN,NTMA,,45138,,,'')":9260.04,"LH^FE_ESTIMATE(SALES,MEAN,NTMA,,45138,,,'')":12381.41,"WGS^FE_ESTIMATE(SALES,MEAN,NTMA,,45138,,,'')":231.07379,"VCYT^FE_ESTIMATE(SALES,MEAN,NTMA,,45138,,,'')":362.21506,"EXAS^FE_ESTIMATE(SALES,MEAN,NTMA,,45138,,,'')":2621.343,"NEO^FE_ESTIMATE(SALES,MEAN,NTMA,,45138,,,'')":589.19995,"CDNA^FE_ESTIMATE(SALES,MEAN,NTMA,,45138,,,'')":260.07373,"MYGN^FE_ESTIMATE(SALES,MEAN,NTMA,,45138,,,'')":775.2899,"PSNL^FE_ESTIMATE(SALES,MEAN,NTMA,,45138,,,'')":69.013145,"FLGT^FE_ESTIMATE(SALES,MEAN,NTMA,,45138,,,'')":280.74518,"CAI^FE_ESTIMATE(SALES,MEAN,NTMA,,45138,,,'')":null,"TEM^FE_ESTIMATE(SALES,MEAN,NTMA,,44773,,,'')":null,"GH^FE_ESTIMATE(SALES,MEAN,NTMA,,44773,,,'')":556.1981,"ADPT^FE_ESTIMATE(SALES,MEAN,NTMA,,44773,,,'')":215.39598,"GRAL^FE_ESTIMATE(SALES,MEAN,NTMA,,44773,,,'')":null,"DGX^FE_ESTIMATE(SALES,MEAN,NTMA,,44773,,,'')":9345.156,"LH^FE_ESTIMATE(SALES,MEAN,NTMA,,44773,,,'')":15284.098,"WGS^FE_ESTIMATE(SALES,MEAN,NTMA,,44773,,,'')":372.5771,"VCYT^FE_ESTIMATE(SALES,MEAN,NTMA,,44773,,,'')":302.26407,"EXAS^FE_ESTIMATE(SALES,MEAN,NTMA,,44773,,,'')":2212.362,"NEO^FE_ESTIMATE(SALES,MEAN,NTMA,,44773,,,'')":532.11566,"CDNA^FE_ESTIMATE(SALES,MEAN,NTMA,,44773,,,'')":365.92532,"MYGN^FE_ESTIMATE(SALES,MEAN,NTMA,,44773,,,'')":711.22064,"PSNL^FE_ESTIMATE(SALES,MEAN,NTMA,,44773,,,'')":75.994514,"FLGT^FE_ESTIMATE(SALES,MEAN,NTMA,,44773,,,'')":484.87946,"CAI^FE_ESTIMATE(SALES,MEAN,NTMA,,44773,,,'')":null,"TEM^FE_ESTIMATE(SALES,MEAN,NTMA,,44408,,,'')":null,"GH^FE_ESTIMATE(SALES,MEAN,NTMA,,44408,,,'')":449.60278,"ADPT^FE_ESTIMATE(SALES,MEAN,NTMA,,44408,,,'')":186.00298,"GRAL^FE_ESTIMATE(SALES,MEAN,NTMA,,44408,,,'')":null,"DGX^FE_ESTIMATE(SALES,MEAN,NTMA,,44408,,,'')":9032.29,"LH^FE_ESTIMATE(SALES,MEAN,NTMA,,44408,,,'')":14400.448,"WGS^FE_ESTIMATE(SALES,MEAN,NTMA,,44408,,,'')":null,"VCYT^FE_ESTIMATE(SALES,MEAN,NTMA,,44408,,,'')":236.84827,"EXAS^FE_ESTIMATE(SALES,MEAN,NTMA,,44408,,,'')":1940.6108,"NEO^FE_ESTIMATE(SALES,MEAN,NTMA,,44408,,,'')":548.54565,"CDNA^FE_ESTIMATE(SALES,MEAN,NTMA,,44408,,,'')":319.8599,"MYGN^FE_ESTIMATE(SALES,MEAN,NTMA,,44408,,,'')":659.63556,"PSNL^FE_ESTIMATE(SALES,MEAN,NTMA,,44408,,,'')":91.86605,"FLGT^FE_ESTIMATE(SALES,MEAN,NTMA,,44408,,,'')":547.17834,"CAI^FE_ESTIMATE(SALES,MEAN,NTMA,,44408,,,'')":null,"TEM^FE_ESTIMATE(SALES,MEAN,NTMA,,44043,,,'')":null,"GH^FE_ESTIMATE(SALES,MEAN,NTMA,,44043,,,'')":334.3616,"ADPT^FE_ESTIMATE(SALES,MEAN,NTMA,,44043,,,'')":140.0835,"GRAL^FE_ESTIMATE(SALES,MEAN,NTMA,,44043,,,'')":null,"DGX^FE_ESTIMATE(SALES,MEAN,NTMA,,44043,,,'')":8836.333,"LH^FE_ESTIMATE(SALES,MEAN,NTMA,,44043,,,'')":13017.077,"WGS^FE_ESTIMATE(SALES,MEAN,NTMA,,44043,,,'')":null,"VCYT^FE_ESTIMATE(SALES,MEAN,NTMA,,44043,,,'')":132.07991,"EXAS^FE_ESTIMATE(SALES,MEAN,NTMA,,44043,,,'')":1631.071,"NEO^FE_ESTIMATE(SALES,MEAN,NTMA,,44043,,,'')":505.68872,"CDNA^FE_ESTIMATE(SALES,MEAN,NTMA,,44043,,,'')":181.41402,"MYGN^FE_ESTIMATE(SALES,MEAN,NTMA,,44043,,,'')":691.233,"PSNL^FE_ESTIMATE(SALES,MEAN,NTMA,,44043,,,'')":82.262314,"FLGT^FE_ESTIMATE(SALES,MEAN,NTMA,,44043,,,'')":54.61093,"CAI^FE_ESTIMATE(SALES,MEAN,NTMA,,44043,,,'')":null,"TEM^FE_ESTIMATE(SALES,MEAN,NTMA,,43678,,,'')":null,"GH^FE_ESTIMATE(SALES,MEAN,NTMA,,43678,,,'')":186.93126,"ADPT^FE_ESTIMATE(SALES,MEAN,NTMA,,43678,,,'')":108.32866,"GRAL^FE_ESTIMATE(SALES,MEAN,NTMA,,43678,,,'')":null,"DGX^FE_ESTIMATE(SALES,MEAN,NTMA,,43678,,,'')":7817.7593,"LH^FE_ESTIMATE(SALES,MEAN,NTMA,,43678,,,'')":11728.981,"WGS^FE_ESTIMATE(SALES,MEAN,NTMA,,43678,,,'')":null,"VCYT^FE_ESTIMATE(SALES,MEAN,NTMA,,43678,,,'')":128.36221,"EXAS^FE_ESTIMATE(SALES,MEAN,NTMA,,43678,,,'')":1018.6789,"NEO^FE_ESTIMATE(SALES,MEAN,NTMA,,43678,,,'')":427.59195,"CDNA^FE_ESTIMATE(SALES,MEAN,NTMA,,43678,,,'')":143.98166,"MYGN^FE_ESTIMATE(SALES,MEAN,NTMA,,43678,,,'')":914.08453,"PSNL^FE_ESTIMATE(SALES,MEAN,NTMA,,43678,,,'')":70.47472,"FLGT^FE_ESTIMATE(SALES,MEAN,NTMA,,43678,,,'')":30.345308,"CAI^FE_ESTIMATE(SALES,MEAN,NTMA,,43678,,,'')":null,"TEM^FE_ESTIMATE(SALES,MEAN,NTMA,,43313,,,'')":null,"GH^FE_ESTIMATE(SALES,MEAN,NTMA,,43313,,,'')":null,"ADPT^FE_ESTIMATE(SALES,MEAN,NTMA,,43313,,,'')":null,"GRAL^FE_ESTIMATE(SALES,MEAN,NTMA,,43313,,,'')":null,"DGX^FE_ESTIMATE(SALES,MEAN,NTMA,,43313,,,'')":7868.065,"LH^FE_ESTIMATE(SALES,MEAN,NTMA,,43313,,,'')":11648.083,"WGS^FE_ESTIMATE(SALES,MEAN,NTMA,,43313,,,'')":null,"VCYT^FE_ESTIMATE(SALES,MEAN,NTMA,,43313,,,'')":98.21239,"EXAS^FE_ESTIMATE(SALES,MEAN,NTMA,,43313,,,'')":546.1895,"NEO^FE_ESTIMATE(SALES,MEAN,NTMA,,43313,,,'')":284.58282,"CDNA^FE_ESTIMATE(SALES,MEAN,NTMA,,43313,,,'')":80.81034,"MYGN^FE_ESTIMATE(SALES,MEAN,NTMA,,43313,,,'')":784.2077,"PSNL^FE_ESTIMATE(SALES,MEAN,NTMA,,43313,,,'')":null,"FLGT^FE_ESTIMATE(SALES,MEAN,NTMA,,43313,,,'')":24.843424,"CAI^FE_ESTIMATE(SALES,MEAN,NTMA,,43313,,,'')":null,"TEM^FE_ESTIMATE(SALES,MEAN,NTMA,,42948,,,'')":null,"GH^FE_ESTIMATE(SALES,MEAN,NTMA,,42948,,,'')":null,"ADPT^FE_ESTIMATE(SALES,MEAN,NTMA,,42948,,,'')":null,"GRAL^FE_ESTIMATE(SALES,MEAN,NTMA,,42948,,,'')":null,"DGX^FE_ESTIMATE(SALES,MEAN,NTMA,,42948,,,'')":7811.2734,"LH^FE_ESTIMATE(SALES,MEAN,NTMA,,42948,,,'')":10285.258,"WGS^FE_ESTIMATE(SALES,MEAN,NTMA,,42948,,,'')":null,"VCYT^FE_ESTIMATE(SALES,MEAN,NTMA,,42948,,,'')":90.87732,"EXAS^FE_ESTIMATE(SALES,MEAN,NTMA,,42948,,,'')":320.82306,"NEO^FE_ESTIMATE(SALES,MEAN,NTMA,,42948,,,'')":278.89572,"CDNA^FE_ESTIMATE(SALES,MEAN,NTMA,,42948,,,'')":52.273952,"MYGN^FE_ESTIMATE(SALES,MEAN,NTMA,,42948,,,'')":790.6497,"PSNL^FE_ESTIMATE(SALES,MEAN,NTMA,,42948,,,'')":null,"FLGT^FE_ESTIMATE(SALES,MEAN,NTMA,,42948,,,'')":32.603924,"CAI^FE_ESTIMATE(SALES,MEAN,NTMA,,42948,,,'')":null,"TEM^FE_ESTIMATE(SALES,MEAN,NTMA,,42583,,,'')":null,"GH^FE_ESTIMATE(SALES,MEAN,NTMA,,42583,,,'')":null,"ADPT^FE_ESTIMATE(SALES,MEAN,NTMA,,42583,,,'')":null,"GRAL^FE_ESTIMATE(SALES,MEAN,NTMA,,42583,,,'')":null,"DGX^FE_ESTIMATE(SALES,MEAN,NTMA,,42583,,,'')":7593.561,"LH^FE_ESTIMATE(SALES,MEAN,NTMA,,42583,,,'')":9652.553,"WGS^FE_ESTIMATE(SALES,MEAN,NTMA,,42583,,,'')":null,"VCYT^FE_ESTIMATE(SALES,MEAN,NTMA,,42583,,,'')":71.98285,"EXAS^FE_ESTIMATE(SALES,MEAN,NTMA,,42583,,,'')":127.099655,"NEO^FE_ESTIMATE(SALES,MEAN,NTMA,,42583,,,'')":267.5498,"CDNA^FE_ESTIMATE(SALES,MEAN,NTMA,,42583,,,'')":47.62218,"MYGN^FE_ESTIMATE(SALES,MEAN,NTMA,,42583,,,'')":792.95074,"PSNL^FE_ESTIMATE(SALES,MEAN,NTMA,,42583,,,'')":null,"FLGT^FE_ESTIMATE(SALES,MEAN,NTMA,,42583,,,'')":null,"CAI^FE_ESTIMATE(SALES,MEAN,NTMA,,42583,,,'')":null,"TEM^FE_ESTIMATE(SALES,MEAN,NTMA,,42218,,,'')":null,"GH^FE_ESTIMATE(SALES,MEAN,NTMA,,42218,,,'')":null,"ADPT^FE_ESTIMATE(SALES,MEAN,NTMA,,42218,,,'')":null,"GRAL^FE_ESTIMATE(SALES,MEAN,NTMA,,42218,,,'')":null,"DGX^FE_ESTIMATE(SALES,MEAN,NTMA,,42218,,,'')":7594.071,"LH^FE_ESTIMATE(SALES,MEAN,NTMA,,42218,,,'')":8867.912,"WGS^FE_ESTIMATE(SALES,MEAN,NTMA,,42218,,,'')":null,"VCYT^FE_ESTIMATE(SALES,MEAN,NTMA,,42218,,,'')":59.300335,"EXAS^FE_ESTIMATE(SALES,MEAN,NTMA,,42218,,,'')":103.04109,"NEO^FE_ESTIMATE(SALES,MEAN,NTMA,,42218,,,'')":110.89684,"CDNA^FE_ESTIMATE(SALES,MEAN,NTMA,,42218,,,'')":32.44001,"MYGN^FE_ESTIMATE(SALES,MEAN,NTMA,,42218,,,'')":762.4464,"PSNL^FE_ESTIMATE(SALES,MEAN,NTMA,,42218,,,'')":null,"FLGT^FE_ESTIMATE(SALES,MEAN,NTMA,,42218,,,'')":null,"CAI^FE_ESTIMATE(SALES,MEAN,NTMA,,42218,,,'')":null,"NTRA^FE_ESTIMATE(SALES,MEAN,NTMA,,,,,'')":2187.9119,"NTRA^\"FE_ESTIMATE(SALES,MEAN,NTMA,,\"&TODAY&\",,,'')\"":"#NUM","NTRA^FE_ESTIMATE(SALES,MEAN,NTMA,,TODAY,,,'')":2187.9119,"NTRA^FF_GROSS_INC(ANN_R,0)":1023.158,"NTRA^FE_ESTIMATE(SALES,MEAN,NTMA,,07/30/2025,,,'')":2187.9119,"NTRA^FE_ESTIMATE(GROSS_INC,MEAN,NTMA,,07/30/2025,,,'')":1381.4352,"NTRA^FE_ESTIMATE(GROSS_INC,MEAN,NTMA,,45868,,,'')":1381.4352,"NTRA^FE_ESTIMATE(GROSS_INC,MEAN,NTMA,,45503,,,'')":872.1685,"NTRA^FE_ESTIMATE(GROSS_INC,MEAN,NTMA,,45138,,,'')":519.6703,"NTRA^FE_ESTIMATE(GROSS_INC,MEAN,NTMA,,44773,,,'')":442.05405,"NTRA^FE_ESTIMATE(GROSS_INC,MEAN,NTMA,,44408,,,'')":345.43726,"NTRA^FE_ESTIMATE(GROSS_INC,MEAN,NTMA,,44043,,,'')":170.69182,"NTRA^FE_ESTIMATE(GROSS_INC,MEAN,NTMA,,43678,,,'')":138.68051,"NTRA^FE_ESTIMATE(GROSS_INC,MEAN,NTMA,,43313,,,'')":128.17946,"NTRA^FE_ESTIMATE(GROSS_INC,MEAN,NTMA,,42948,,,'')":124.039734,"NTRA^FE_ESTIMATE(GROSS_INC,MEAN,NTMA,,42583,,,'')":108.0611,"NTRA^FE_ESTIMATE(GROSS_INC,MEAN,NTMA,,42218,,,'')":67.15696,"TEM^FE_ESTIMATE(GROSS_INC,MEAN,NTMA,,45868,,,'')":860.74945,"GH^FE_ESTIMATE(GROSS_INC,MEAN,NTMA,,45868,,,'')":628.0221,"ADPT^FE_ESTIMATE(GROSS_INC,MEAN,NTMA,,45868,,,'')":157.48479,"GRAL^FE_ESTIMATE(GROSS_INC,MEAN,NTMA,,45868,,,'')":80.38457,"DGX^FE_ESTIMATE(GROSS_INC,MEAN,NTMA,,45868,,,'')":3690.6611,"LH^FE_ESTIMATE(GROSS_INC,MEAN,NTMA,,45868,,,'')":4124.569,"WGS^FE_ESTIMATE(GROSS_INC,MEAN,NTMA,,45868,,,'')":311.038,"VCYT^FE_ESTIMATE(GROSS_INC,MEAN,NTMA,,45868,,,'')":373.63297,"EXAS^FE_ESTIMATE(GROSS_INC,MEAN,NTMA,,45868,,,'')":2451.2688,"NEO^FE_ESTIMATE(GROSS_INC,MEAN,NTMA,,45868,,,'')":345.51117,"CDNA^FE_ESTIMATE(GROSS_INC,MEAN,NTMA,,45868,,,'')":276.39893,"MYGN^FE_ESTIMATE(GROSS_INC,MEAN,NTMA,,45868,,,'')":583.85474,"PSNL^FE_ESTIMATE(GROSS_INC,MEAN,NTMA,,45868,,,'')":26.619083,"FLGT^FE_ESTIMATE(GROSS_INC,MEAN,NTMA,,45868,,,'')":132.85468,"CAI^FE_ESTIMATE(GROSS_INC,MEAN,NTMA,,45868,,,'')":500.47412,"TEM^FE_ESTIMATE(GROSS_INC,MEAN,NTMA,,45503,,,'')":471.5873,"GH^FE_ESTIMATE(GROSS_INC,MEAN,NTMA,,45503,,,'')":455.23468,"ADPT^FE_ESTIMATE(GROSS_INC,MEAN,NTMA,,45503,,,'')":109.1389,"GRAL^FE_ESTIMATE(GROSS_INC,MEAN,NTMA,,45503,,,'')":null,"DGX^FE_ESTIMATE(GROSS_INC,MEAN,NTMA,,45503,,,'')":3279.4272,"LH^FE_ESTIMATE(GROSS_INC,MEAN,NTMA,,45503,,,'')":3750.1326,"WGS^FE_ESTIMATE(GROSS_INC,MEAN,NTMA,,45503,,,'')":161.01376,"VCYT^FE_ESTIMATE(GROSS_INC,MEAN,NTMA,,45503,,,'')":294.64984,"EXAS^FE_ESTIMATE(GROSS_INC,MEAN,NTMA,,45503,,,'')":2267.888,"NEO^FE_ESTIMATE(GROSS_INC,MEAN,NTMA,,45503,,,'')":310.274,"CDNA^FE_ESTIMATE(GROSS_INC,MEAN,NTMA,,45503,,,'')":189.67729,"MYGN^FE_ESTIMATE(GROSS_INC,MEAN,NTMA,,45503,,,'')":609.8358,"PSNL^FE_ESTIMATE(GROSS_INC,MEAN,NTMA,,45503,,,'')":24.852606,"FLGT^FE_ESTIMATE(GROSS_INC,MEAN,NTMA,,45503,,,'')":122.35754,"CAI^FE_ESTIMATE(GROSS_INC,MEAN,NTMA,,45503,,,'')":null,"TEM^FE_ESTIMATE(GROSS_INC,MEAN,NTMA,,45138,,,'')":null,"GH^FE_ESTIMATE(GROSS_INC,MEAN,NTMA,,45138,,,'')":384.0531,"ADPT^FE_ESTIMATE(GROSS_INC,MEAN,NTMA,,45138,,,'')":168.55334,"GRAL^FE_ESTIMATE(GROSS_INC,MEAN,NTMA,,45138,,,'')":null,"DGX^FE_ESTIMATE(GROSS_INC,MEAN,NTMA,,45138,,,'')":3175.5576,"LH^FE_ESTIMATE(GROSS_INC,MEAN,NTMA,,45138,,,'')":3903.2344,"WGS^FE_ESTIMATE(GROSS_INC,MEAN,NTMA,,45138,,,'')":96.18552,"VCYT^FE_ESTIMATE(GROSS_INC,MEAN,NTMA,,45138,,,'')":237.09427,"EXAS^FE_ESTIMATE(GROSS_INC,MEAN,NTMA,,45138,,,'')":1945.3486,"NEO^FE_ESTIMATE(GROSS_INC,MEAN,NTMA,,45138,,,'')":249.30524,"CDNA^FE_ESTIMATE(GROSS_INC,MEAN,NTMA,,45138,,,'')":158.97498,"MYGN^FE_ESTIMATE(GROSS_INC,MEAN,NTMA,,45138,,,'')":541.6019,"PSNL^FE_ESTIMATE(GROSS_INC,MEAN,NTMA,,45138,,,'')":15.875756,"FLGT^FE_ESTIMATE(GROSS_INC,MEAN,NTMA,,45138,,,'')":101.7578,"CAI^FE_ESTIMATE(GROSS_INC,MEAN,NTMA,,45138,,,'')":null,"TEM^FE_ESTIMATE(GROSS_INC,MEAN,NTMA,,44773,,,'')":null,"GH^FE_ESTIMATE(GROSS_INC,MEAN,NTMA,,44773,,,'')":370.2663,"ADPT^FE_ESTIMATE(GROSS_INC,MEAN,NTMA,,44773,,,'')":149.14383,"GRAL^FE_ESTIMATE(GROSS_INC,MEAN,NTMA,,44773,,,'')":null,"DGX^FE_ESTIMATE(GROSS_INC,MEAN,NTMA,,44773,,,'')":3232.2695,"LH^FE_ESTIMATE(GROSS_INC,MEAN,NTMA,,44773,,,'')":4428.223,"WGS^FE_ESTIMATE(GROSS_INC,MEAN,NTMA,,44773,,,'')":92.938354,"VCYT^FE_ESTIMATE(GROSS_INC,MEAN,NTMA,,44773,,,'')":193.502,"EXAS^FE_ESTIMATE(GROSS_INC,MEAN,NTMA,,44773,,,'')":1648.9205,"NEO^FE_ESTIMATE(GROSS_INC,MEAN,NTMA,,44773,,,'')":209.88637,"CDNA^FE_ESTIMATE(GROSS_INC,MEAN,NTMA,,44773,,,'')":246.82863,"MYGN^FE_ESTIMATE(GROSS_INC,MEAN,NTMA,,44773,,,'')":509.60037,"PSNL^FE_ESTIMATE(GROSS_INC,MEAN,NTMA,,44773,,,'')":24.138474,"FLGT^FE_ESTIMATE(GROSS_INC,MEAN,NTMA,,44773,,,'')":338.9726,"CAI^FE_ESTIMATE(GROSS_INC,MEAN,NTMA,,44773,,,'')":null,"TEM^FE_ESTIMATE(GROSS_INC,MEAN,NTMA,,44408,,,'')":null,"GH^FE_ESTIMATE(GROSS_INC,MEAN,NTMA,,44408,,,'')":303.74295,"ADPT^FE_ESTIMATE(GROSS_INC,MEAN,NTMA,,44408,,,'')":138.76054,"GRAL^FE_ESTIMATE(GROSS_INC,MEAN,NTMA,,44408,,,'')":null,"DGX^FE_ESTIMATE(GROSS_INC,MEAN,NTMA,,44408,,,'')":3298.3623,"LH^FE_ESTIMATE(GROSS_INC,MEAN,NTMA,,44408,,,'')":4377.4043,"WGS^FE_ESTIMATE(GROSS_INC,MEAN,NTMA,,44408,,,'')":null,"VCYT^FE_ESTIMATE(GROSS_INC,MEAN,NTMA,,44408,,,'')":157.71803,"EXAS^FE_ESTIMATE(GROSS_INC,MEAN,NTMA,,44408,,,'')":1480.9913,"NEO^FE_ESTIMATE(GROSS_INC,MEAN,NTMA,,44408,,,'')":241.10797,"CDNA^FE_ESTIMATE(GROSS_INC,MEAN,NTMA,,44408,,,'')":220.41006,"MYGN^FE_ESTIMATE(GROSS_INC,MEAN,NTMA,,44408,,,'')":475.33496,"PSNL^FE_ESTIMATE(GROSS_INC,MEAN,NTMA,,44408,,,'')":30.042967,"FLGT^FE_ESTIMATE(GROSS_INC,MEAN,NTMA,,44408,,,'')":408.4002,"CAI^FE_ESTIMATE(GROSS_INC,MEAN,NTMA,,44408,,,'')":null,"TEM^FE_ESTIMATE(GROSS_INC,MEAN,NTMA,,44043,,,'')":null,"GH^FE_ESTIMATE(GROSS_INC,MEAN,NTMA,,44043,,,'')":233.39998,"ADPT^FE_ESTIMATE(GROSS_INC,MEAN,NTMA,,44043,,,'')":101.23264,"GRAL^FE_ESTIMATE(GROSS_INC,MEAN,NTMA,,44043,,,'')":null,"DGX^FE_ESTIMATE(GROSS_INC,MEAN,NTMA,,44043,,,'')":3182.8787,"LH^FE_ESTIMATE(GROSS_INC,MEAN,NTMA,,44043,,,'')":3788.983,"WGS^FE_ESTIMATE(GROSS_INC,MEAN,NTMA,,44043,,,'')":null,"VCYT^FE_ESTIMATE(GROSS_INC,MEAN,NTMA,,44043,,,'')":86.58684,"EXAS^FE_ESTIMATE(GROSS_INC,MEAN,NTMA,,44043,,,'')":1208.2507,"NEO^FE_ESTIMATE(GROSS_INC,MEAN,NTMA,,44043,,,'')":228.38474,"CDNA^FE_ESTIMATE(GROSS_INC,MEAN,NTMA,,44043,,,'')":121.950645,"MYGN^FE_ESTIMATE(GROSS_INC,MEAN,NTMA,,44043,,,'')":512.464,"PSNL^FE_ESTIMATE(GROSS_INC,MEAN,NTMA,,44043,,,'')":22.025616,"FLGT^FE_ESTIMATE(GROSS_INC,MEAN,NTMA,,44043,,,'')":33.12688,"CAI^FE_ESTIMATE(GROSS_INC,MEAN,NTMA,,44043,,,'')":null,"TEM^FE_ESTIMATE(GROSS_INC,MEAN,NTMA,,43678,,,'')":null,"GH^FE_ESTIMATE(GROSS_INC,MEAN,NTMA,,43678,,,'')":110.59056,"ADPT^FE_ESTIMATE(GROSS_INC,MEAN,NTMA,,43678,,,'')":75.54649,"GRAL^FE_ESTIMATE(GROSS_INC,MEAN,NTMA,,43678,,,'')":null,"DGX^FE_ESTIMATE(GROSS_INC,MEAN,NTMA,,43678,,,'')":2751.1863,"LH^FE_ESTIMATE(GROSS_INC,MEAN,NTMA,,43678,,,'')":3276.9248,"WGS^FE_ESTIMATE(GROSS_INC,MEAN,NTMA,,43678,,,'')":null,"VCYT^FE_ESTIMATE(GROSS_INC,MEAN,NTMA,,43678,,,'')":87.68547,"EXAS^FE_ESTIMATE(GROSS_INC,MEAN,NTMA,,43678,,,'')":746.9132,"NEO^FE_ESTIMATE(GROSS_INC,MEAN,NTMA,,43678,,,'')":208.38928,"CDNA^FE_ESTIMATE(GROSS_INC,MEAN,NTMA,,43678,,,'')":93.34355,"MYGN^FE_ESTIMATE(GROSS_INC,MEAN,NTMA,,43678,,,'')":711.3013,"PSNL^FE_ESTIMATE(GROSS_INC,MEAN,NTMA,,43678,,,'')":24.64399,"FLGT^FE_ESTIMATE(GROSS_INC,MEAN,NTMA,,43678,,,'')":17.30222,"CAI^FE_ESTIMATE(GROSS_INC,MEAN,NTMA,,43678,,,'')":null,"TEM^FE_ESTIMATE(GROSS_INC,MEAN,NTMA,,43313,,,'')":null,"GH^FE_ESTIMATE(GROSS_INC,MEAN,NTMA,,43313,,,'')":null,"ADPT^FE_ESTIMATE(GROSS_INC,MEAN,NTMA,,43313,,,'')":null,"GRAL^FE_ESTIMATE(GROSS_INC,MEAN,NTMA,,43313,,,'')":null,"DGX^FE_ESTIMATE(GROSS_INC,MEAN,NTMA,,43313,,,'')":2814.0427,"LH^FE_ESTIMATE(GROSS_INC,MEAN,NTMA,,43313,,,'')":3349.446,"WGS^FE_ESTIMATE(GROSS_INC,MEAN,NTMA,,43313,,,'')":null,"VCYT^FE_ESTIMATE(GROSS_INC,MEAN,NTMA,,43313,,,'')":62.097775,"EXAS^FE_ESTIMATE(GROSS_INC,MEAN,NTMA,,43313,,,'')":397.01245,"NEO^FE_ESTIMATE(GROSS_INC,MEAN,NTMA,,43313,,,'')":128.1268,"CDNA^FE_ESTIMATE(GROSS_INC,MEAN,NTMA,,43313,,,'')":50.926422,"MYGN^FE_ESTIMATE(GROSS_INC,MEAN,NTMA,,43313,,,'')":620.6982,"PSNL^FE_ESTIMATE(GROSS_INC,MEAN,NTMA,,43313,,,'')":null,"FLGT^FE_ESTIMATE(GROSS_INC,MEAN,NTMA,,43313,,,'')":8.879485,"CAI^FE_ESTIMATE(GROSS_INC,MEAN,NTMA,,43313,,,'')":null,"TEM^FE_ESTIMATE(GROSS_INC,MEAN,NTMA,,42948,,,'')":null,"GH^FE_ESTIMATE(GROSS_INC,MEAN,NTMA,,42948,,,'')":null,"ADPT^FE_ESTIMATE(GROSS_INC,MEAN,NTMA,,42948,,,'')":null,"GRAL^FE_ESTIMATE(GROSS_INC,MEAN,NTMA,,42948,,,'')":null,"DGX^FE_ESTIMATE(GROSS_INC,MEAN,NTMA,,42948,,,'')":3080.7576,"LH^FE_ESTIMATE(GROSS_INC,MEAN,NTMA,,42948,,,'')":3479.3542,"WGS^FE_ESTIMATE(GROSS_INC,MEAN,NTMA,,42948,,,'')":null,"VCYT^FE_ESTIMATE(GROSS_INC,MEAN,NTMA,,42948,,,'')":54.7404,"EXAS^FE_ESTIMATE(GROSS_INC,MEAN,NTMA,,42948,,,'')":212.4548,"NEO^FE_ESTIMATE(GROSS_INC,MEAN,NTMA,,42948,,,'')":134.65842,"CDNA^FE_ESTIMATE(GROSS_INC,MEAN,NTMA,,42948,,,'')":30.5598,"MYGN^FE_ESTIMATE(GROSS_INC,MEAN,NTMA,,42948,,,'')":610.71875,"PSNL^FE_ESTIMATE(GROSS_INC,MEAN,NTMA,,42948,,,'')":null,"FLGT^FE_ESTIMATE(GROSS_INC,MEAN,NTMA,,42948,,,'')":22.04131,"CAI^FE_ESTIMATE(GROSS_INC,MEAN,NTMA,,42948,,,'')":null,"TEM^FE_ESTIMATE(GROSS_INC,MEAN,NTMA,,42583,,,'')":null,"GH^FE_ESTIMATE(GROSS_INC,MEAN,NTMA,,42583,,,'')":null,"ADPT^FE_ESTIMATE(GROSS_INC,MEAN,NTMA,,42583,,,'')":null,"GRAL^FE_ESTIMATE(GROSS_INC,MEAN,NTMA,,42583,,,'')":null,"DGX^FE_ESTIMATE(GROSS_INC,MEAN,NTMA,,42583,,,'')":3008.4238,"LH^FE_ESTIMATE(GROSS_INC,MEAN,NTMA,,42583,,,'')":3320.9607,"WGS^FE_ESTIMATE(GROSS_INC,MEAN,NTMA,,42583,,,'')":null,"VCYT^FE_ESTIMATE(GROSS_INC,MEAN,NTMA,,42583,,,'')":41.567814,"EXAS^FE_ESTIMATE(GROSS_INC,MEAN,NTMA,,42583,,,'')":67.950424,"NEO^FE_ESTIMATE(GROSS_INC,MEAN,NTMA,,42583,,,'')":124.5463,"CDNA^FE_ESTIMATE(GROSS_INC,MEAN,NTMA,,42583,,,'')":27.694906,"MYGN^FE_ESTIMATE(GROSS_INC,MEAN,NTMA,,42583,,,'')":638.32275,"PSNL^FE_ESTIMATE(GROSS_INC,MEAN,NTMA,,42583,,,'')":null,"FLGT^FE_ESTIMATE(GROSS_INC,MEAN,NTMA,,42583,,,'')":null,"CAI^FE_ESTIMATE(GROSS_INC,MEAN,NTMA,,42583,,,'')":null,"TEM^FE_ESTIMATE(GROSS_INC,MEAN,NTMA,,42218,,,'')":null,"GH^FE_ESTIMATE(GROSS_INC,MEAN,NTMA,,42218,,,'')":null,"ADPT^FE_ESTIMATE(GROSS_INC,MEAN,NTMA,,42218,,,'')":null,"GRAL^FE_ESTIMATE(GROSS_INC,MEAN,NTMA,,42218,,,'')":null,"DGX^FE_ESTIMATE(GROSS_INC,MEAN,NTMA,,42218,,,'')":2967.0586,"LH^FE_ESTIMATE(GROSS_INC,MEAN,NTMA,,42218,,,'')":3117.6128,"WGS^FE_ESTIMATE(GROSS_INC,MEAN,NTMA,,42218,,,'')":null,"VCYT^FE_ESTIMATE(GROSS_INC,MEAN,NTMA,,42218,,,'')":34.517895,"EXAS^FE_ESTIMATE(GROSS_INC,MEAN,NTMA,,42218,,,'')":51.819675,"NEO^FE_ESTIMATE(GROSS_INC,MEAN,NTMA,,42218,,,'')":50.142776,"CDNA^FE_ESTIMATE(GROSS_INC,MEAN,NTMA,,42218,,,'')":21.343994,"MYGN^FE_ESTIMATE(GROSS_INC,MEAN,NTMA,,42218,,,'')":617.1184,"PSNL^FE_ESTIMATE(GROSS_INC,MEAN,NTMA,,42218,,,'')":null,"FLGT^FE_ESTIMATE(GROSS_INC,MEAN,NTMA,,42218,,,'')":null,"CAI^FE_ESTIMATE(GROSS_INC,MEAN,NTMA,,42218,,,'')":null,"NTRA-US^FG_PRICE(0)":160.12,"NTRA-US^FG_PRICE(1/1/2024)":62.64,"NTRA-US^FG_PRICE(1/1/2024,0)":[62.64,61.92,59.21,59.69,62.23,64.85,66.1,63.89,63.01,60.89,62.91,67.5,67.56,66.63,66.68,66.52,65.61,64.62,65.44,66.41,66.0,65.94,68.19,67.73,68.82,70.22,69.92,69.65,69.74,70.97,68.4,69.67,69.7,70.01,70.41,69.76,71.15,70.46,74.19,76.16,76.55,86.49,89.41,90.21,87.62,90.22,91.66,89.06,89.28,90.81,88.96,87.71,89.52,90.12,91.26,92.9,91.87,92.32,91.39,90.0,90.46,91.46,92.96,91.91,92.61,92.36,96.75,95.43,97.48,96.5,96.71,94.47,90.42,90.32,90.33,87.28,85.28,88.61,91.04,91.5,91.28,91.66,94.04,92.88,94.15,93.72,96.98,97.21,97.15,95.66,95.55,105.29,103.33,105.52,107.31,108.5,106.46,106.31,108.26,108.51,107.51,109.51,109.57,109.82,110.12,106.53,108.31,105.94,110.79,109.22,111.19,111.66,112.47,112.6,110.79,110.2,110.42,107.99,107.2,107.11,107.41,111.35,111.39,110.01,108.29,107.81,110.7,111.64,112.74,109.52,109.43,111.58,110.81,111.6,112.66,114.44,110.37,101.15,105.98,105.51,106.52,106.1,102.15,102.67,103.77,97.75,102.39,103.0,99.62,97.91,100.92,100.36,107.7,114.57,115.25,119.02,118.5,122.25,123.98,123.78,118.45,121.91,122.61,122.71,118.11,120.27,118.81,116.25,118.26,113.98,113.24,117.5,112.9,117.66,118.73,123.83,125.12,126.51,129.67,127.21,127.1,127.13,127.78,123.54,123.08,124.99,123.85,125.72,126.95,127.19,131.11,126.3,129.84,128.2,131.93,127.48,125.75,130.06,131.86,129.0,126.77,122.35,122.4,120.5,119.95,118.65,119.17,117.67,120.71,124.74,126.73,120.96,124.16,123.44,124.39,126.97,130.39,134.11,133.97,135.12,160.97,151.11,146.06,153.42,162.1,167.88,169.36,167.26,164.39,168.32,168.45,167.78,169.82,169.17,174.0,169.02,171.65,167.8,166.45,167.12,166.45,166.55,170.8,168.21,155.2,158.09,161.88,161.99,162.39,159.64,160.26,158.55,158.3,160.6,167.6,172.26,170.4,176.61,175.0,169.3,165.76,170.35,168.5,158.36,167.46,171.93,171.82,167.61,165.26,168.08,168.22,176.27,176.92,176.56,174.24,177.0,175.14,172.82,172.19,169.71,171.95,170.73,173.39,169.38,172.61,168.19,162.31,158.37,156.0,160.56,156.61,155.59,143.11,142.35,147.92,141.5,140.66,132.63,140.02,144.5,142.51,148.22,149.25,146.28,150.87,149.63,151.15,153.83,154.58,149.84,148.3,143.94,141.41,140.65,143.2,138.71,133.87,138.26,132.23,151.97,143.28,148.04,148.45,151.74,150.17,148.08,142.23,144.62,148.56,154.48,153.79,152.99,154.89,150.93,151.36,156.66,157.38,155.5,160.1,162.57,151.95,157.29,152.28,151.34,149.4,152.59,153.27,154.53,151.09,152.48,153.32,157.16,161.21,158.05,157.73,160.69,160.15,167.22,165.51,163.76,164.19,165.22,166.76,164.35,165.34,168.25,167.55,170.98,171.86,170.37,171.87,164.16,168.17,167.96,168.94,160.72,161.57,161.76,158.69,158.48,161.75,163.36,160.43,158.18,149.85,148.4,143.38,138.9,140.63,139.92,137.82,141.065,138.9,138.0,135.84,140.96,133.66,134.58,136.57,140.12,138.13,141.08,151.95,157.04,159.81,157.7,158.44,163.02,161.15,160.12,160.64,161.95,165.6,162.47,165.71,163.04,167.88,168.25,169.34,167.53,166.56,168.02,167.39,176.37,169.79,173.81,168.51,172.16,175.01,175.43],"NTRA-US^JULIAN(FG_PRICE(1/1/2024,0).DATES)":[45289,45293,45294,45295,45296,45299,45300,45301,45302,45303,45307,45308,45309,45310,45313,45314,45315,45316,45317,45320,45321,45322,45323,45324,45327,45328,45329,45330,45331,45334,45335,45336,45337,45338,45342,45343,45344,45345,45348,45349,45350,45351,45352,45355,45356,45357,45358,45359,45362,45363,45364,45365,45366,45369,45370,45371,45372,45373,45376,45377,45378,45379,45383,45384,45385,45386,45387,45390,45391,45392,45393,45394,45397,45398,45399,45400,45401,45404,45405,45406,45407,45408,45411,45412,45413,45414,45415,45418,45419,45420,45421,45422,45425,45426,45427,45428,45429,45432,45433,45434,45435,45436,45440,45441,45442,45443,45446,45447,45448,45449,45450,45453,45454,45455,45456,45457,45460,45461,45463,45464,45467,45468,45469,45470,45471,45474,45475,45476,45478,45481,45482,45483,45484,45485,45488,45489,45490,45491,45492,45495,45496,45497,45498,45499,45502,45503,45504,45505,45506,45509,45510,45511,45512,45513,45516,45517,45518,45519,45520,45523,45524,45525,45526,45527,45530,45531,45532,45533,45534,45538,45539,45540,45541,45544,45545,45546,45547,45548,45551,45552,45553,45554,45555,45558,45559,45560,45561,45562,45565,45566,45567,45568,45569,45572,45573,45574,45575,45576,45579,45580,45581,45582,45583,45586,45587,45588,45589,45590,45593,45594,45595,45596,45597,45600,45601,45602,45603,45604,45607,45608,45609,45610,45611,45614,45615,45616,45617,45618,45621,45622,45623,45625,45628,45629,45630,45631,45632,45635,45636,45637,45638,45639,45642,45643,45644,45645,45646,45649,45650,45652,45653,45656,45657,45659,45660,45663,45664,45665,45667,45670,45671,45672,45673,45674,45678,45679,45680,45681,45684,45685,45686,45687,45688,45691,45692,45693,45694,45695,45698,45699,45700,45701,45702,45706,45707,45708,45709,45712,45713,45714,45715,45716,45719,45720,45721,45722,45723,45726,45727,45728,45729,45730,45733,45734,45735,45736,45737,45740,45741,45742,45743,45744,45747,45748,45749,45750,45751,45754,45755,45756,45757,45758,45761,45762,45763,45764,45768,45769,45770,45771,45772,45775,45776,45777,45778,45779,45782,45783,45784,45785,45786,45789,45790,45791,45792,45793,45796,45797,45798,45799,45800,45804,45805,45806,45807,45810,45811,45812,45813,45814,45817,45818,45819,45820,45821,45824,45825,45826,45828,45831,45832,45833,45834,45835,45838,45839,45840,45841,45845,45846,45847,45848,45849,45852,45853,45854,45855,45856,45859,45860,45861,45862,45863,45866,45867,45868,45869,45870,45873,45874,45875,45876,45877,45880,45881,45882,45883,45884,45887,45888,45889,45890,45891,45894,45895,45896,45897,45898,45902,45903,45904,45905,45908,45909,45910,45911,45912,45915,45916,45917],"NTRA-US^FG_COMPANY_NAME()":"Natera, Inc.","NTRA-US^FORMULA_DESCRIPTION(\"FG_PRICE\")":"Price","NTRA-US^FE_ESTIMATE(EPS,MEAN,ANN_ROLL,+1,NOW,0,,'')":[-2.0445383,-2.0445383],"NTRA-US^JULIAN(FE_ESTIMATE(EPS,MEAN,ANN_ROLL,+1,NOW,0,,'').DATES)":[45889,45888],"NTRA-US^FORMULA_DESCRIPTION(\"FE_ESTIMATE\")":"Consensus Estimate","NTRA-US^FE_ESTIMATE(SALES,MEAN,ANN_ROLL,+1,NOW,0,,'')":[2091.0076,2091.0076],"NTRA-US^JULIAN(FE_ESTIMATE(SALES,MEAN,ANN_ROLL,+1,NOW,0,,'').DATES)":[45889,45888],"NTRA-US^FE_ESTIMATE(SALES,MEAN,ANN_ROLL,+1,1/1/2024,0,,'')":[1047.5074,1047.5074,1047.581,1047.581,1047.581,1047.581,1070.0,1070.0,1070.0,1070.0,1070.0,1070.0,1070.0,1070.0,1070.0,1070.0,1070.0,1070.0,1070.0,1070.0,1070.0,1070.0,1070.0,1070.0,1070.0,1070.0,1070.0,1070.0,1070.0,1070.0,1070.0,1070.0,1070.0,1070.0,1070.0,1070.0,1070.0,1070.0,1070.0,1070.0,1070.0,1334.5596,1340.3125,1339.653,1339.653,1339.653,1339.645,1339.645,1339.645,1339.645,1339.5247,1339.5326,1339.5326,1339.5326,1339.5326,1339.5326,1339.5326,1339.5326,1339.5562,1339.5562,1339.5562,1339.5562,1339.5562,1339.5562,1339.5562,1339.5251,1339.5251,1339.5251,1339.5251,1339.5251,1340.0115,1340.5226,1340.5393,1340.5393,1340.5393,1341.0416,1341.0416,1341.0623,1341.0623,1341.0623,1341.0623,1341.0623,1341.0623,1341.0623,1341.0623,1341.0623,1341.0623,1341.0623,1341.0623,1341.0623,1341.0623,1426.3672,1432.7894,1432.7894,1432.7894,1432.7894,1432.7894,1432.7894,1432.7894,1432.7894,1432.7894,1432.7894,1432.7894,1432.7894,1432.7894,1433.7623,1433.7623,1433.7623,1433.7623,1433.7623,1433.7623,1433.7623,1433.7623,1433.7623,1433.7623,1433.7623,1433.7623,1433.7623,1433.7623,1433.7623,1433.329,1433.329,1435.0511,1435.0511,1435.0511,1440.6398,1440.6398,1440.6398,1440.6398,1441.0043,1441.0043,1441.0043,1441.0043,1441.1709,1441.1709,1441.1543,1441.1482,1441.1475,1441.1581,1441.1581,1441.1581,1441.1581,1441.1581,1441.1589,1441.1589,1441.1589,1441.1589,1441.1589,1441.1755,1441.1755,1441.1755,1441.1755,1441.1755,1504.8861,1513.6127,1513.6127,1513.6127,1513.6127,1517.8893,1517.8893,1517.8893,1517.8893,1517.8893,1517.8893,1517.8893,1517.8893,1517.8893,1517.8893,1517.8893,1517.8893,1517.89,1517.89,1517.9623,1517.9893,1517.9893,1517.9893,1517.9893,1517.9893,1517.9893,1517.9893,1517.9893,1517.9893,1517.9893,1517.9893,1517.9893,1517.9893,1517.9893,1517.979,1518.0901,1518.0901,1518.0901,1518.0901,1518.0901,1518.0901,1518.0901,1518.0901,1518.0901,1518.0345,1518.1246,1518.1246,1518.1246,1518.1246,1518.1246,1518.1246,1518.1246,1518.108,1518.108,1518.108,1518.0802,1518.0905,1518.0905,1518.0905,1518.0905,1518.0905,1518.0905,1518.0905,1518.0905,1518.0905,1518.0905,1518.0905,1612.552,1612.552,1618.7352,1624.9918,1624.9918,1624.9918,1624.9661,1624.9886,1630.9985,1630.9985,1630.9985,1630.9985,1630.9985,1630.9985,1630.9985,1630.9985,1630.9985,1630.9985,1630.9985,1630.9985,1631.0104,1631.0361,1631.0361,1631.0361,1631.0361,1631.0361,1631.0361,1631.0361,1631.0361,1631.0361,1631.0361,1631.0361,1631.0361,1631.0361,1631.0361,1631.0361,1631.0361,1631.0219,1634.7739,1639.0509,1639.2245,1642.6688,1642.6688,1646.1613,1646.1613,1646.1613,1646.1613,1646.1674,1652.0438,1652.0438,1652.0438,1652.0438,1651.8855,1651.8855,1651.8793,1651.8793,1651.8793,1651.8793,1651.8793,1651.8793,1651.8793,1651.8793,1651.8793,1651.8793,1651.8793,1651.8793,1651.8793,1651.8793,1651.8793,1651.8793,1651.8793,1914.1147,1914.1147,1914.1147,1914.7681,1914.7681,1914.7681,1914.7681,1916.0592,1916.0592,1916.0592,1919.3219,1919.3219,1919.3219,1919.3219,1919.3219,1919.3219,1919.3219,1919.3219,1919.3271,1920.7534,1920.7534,1920.7534,1920.7534,1920.7534,1920.7534,1920.7534,1920.7534,1920.7534,1920.7534,1920.7534,1920.7534,1920.7534,1920.7534,1920.7534,1920.7539,1920.7539,1920.7539,1920.6487,1920.6487,1920.6487,1920.6487,1920.6487,1920.6487,1920.6487,1920.6487,1920.6487,1920.6487,1920.6487,1920.6467,1980.6135,1980.6135,1980.6135,1988.4552,1993.387,1993.387,1993.387,1993.387,1993.387,1993.387,1993.387,1993.3856,1993.3856,1993.3856,1993.1705,1993.1705,1996.7877,1994.671,1994.671,1994.671,1994.671,1994.671,1994.671,1994.671,1994.671,1994.671,1994.671,1994.671,1994.671,1994.671,1994.671,1994.671,1996.9711,1996.9711,1996.9711,1996.9711,1996.9711,1996.9711,1996.9711,1996.9489,1996.9502,1996.9517,1996.9517,1996.9517,1996.9517,1996.9517,1996.9517,1997.7794,1998.0017,1998.0017,1998.0017,1998.691,1998.691,1998.691,1998.691,1998.691,1998.691,1998.691,1998.691,1998.691,1998.691,1998.691,2085.947,2085.947,2085.947,2090.8591,2090.867,2091.0076,2091.0076,2091.0076],"NTRA-US^JULIAN(FE_ESTIMATE(SALES,MEAN,ANN_ROLL,+1,1/1/2024,0,,'').DATES)":[45289,45293,45294,45295,45296,45299,45300,45301,45302,45303,45307,45308,45309,45310,45313,45314,45315,45316,45317,45320,45321,45322,45323,45324,45327,45328,45329,45330,45331,45334,45335,45336,45337,45338,45342,45343,45344,45345,45348,45349,45350,45351,45352,45355,45356,45357,45358,45359,45362,45363,45364,45365,45366,45369,45370,45371,45372,45373,45376,45377,45378,45379,45383,45384,45385,45386,45387,45390,45391,45392,45393,45394,45397,45398,45399,45400,45401,45404,45405,45406,45407,45408,45411,45412,45413,45414,45415,45418,45419,45420,45421,45422,45425,45426,45427,45428,45429,45432,45433,45434,45435,45436,45440,45441,45442,45443,45446,45447,45448,45449,45450,45453,45454,45455,45456,45457,45460,45461,45463,45464,45467,45468,45469,45470,45471,45474,45475,45476,45478,45481,45482,45483,45484,45485,45488,45489,45490,45491,45492,45495,45496,45497,45498,45499,45502,45503,45504,45505,45506,45509,45510,45511,45512,45513,45516,45517,45518,45519,45520,45523,45524,45525,45526,45527,45530,45531,45532,45533,45534,45538,45539,45540,45541,45544,45545,45546,45547,45548,45551,45552,45553,45554,45555,45558,45559,45560,45561,45562,45565,45566,45567,45568,45569,45572,45573,45574,45575,45576,45579,45580,45581,45582,45583,45586,45587,45588,45589,45590,45593,45594,45595,45596,45597,45600,45601,45602,45603,45604,45607,45608,45609,45610,45611,45614,45615,45616,45617,45618,45621,45622,45623,45625,45628,45629,45630,45631,45632,45635,45636,45637,45638,45639,45642,45643,45644,45645,45646,45649,45650,45652,45653,45656,45657,45659,45660,45663,45664,45665,45667,45670,45671,45672,45673,45674,45678,45679,45680,45681,45684,45685,45686,45687,45688,45691,45692,45693,45694,45695,45698,45699,45700,45701,45702,45706,45707,45708,45709,45712,45713,45714,45715,45716,45719,45720,45721,45722,45723,45726,45727,45728,45729,45730,45733,45734,45735,45736,45737,45740,45741,45742,45743,45744,45747,45748,45749,45750,45751,45754,45755,45756,45757,45758,45761,45762,45763,45764,45768,45769,45770,45771,45772,45775,45776,45777,45778,45779,45782,45783,45784,45785,45786,45789,45790,45791,45792,45793,45796,45797,45798,45799,45800,45804,45805,45806,45807,45810,45811,45812,45813,45814,45817,45818,45819,45820,45821,45824,45825,45826,45828,45831,45832,45833,45834,45835,45838,45839,45840,45841,45845,45846,45847,45848,45849,45852,45853,45854,45855,45856,45859,45860,45861,45862,45863,45866,45867,45868,45869,45870,45873,45874,45875,45876,45877,45880,45881,45882,45883,45884,45887,45888],"NTRA-US^FE_ESTIMATE(SALES,MEAN,ANN_ROLL,+1,1/1/2024,NOW,,'')":[1047.5074,1047.5074,1047.581,1047.581,1047.581,1047.581,1070.0,1070.0,1070.0,1070.0,1070.0,1070.0,1070.0,1070.0,1070.0,1070.0,1070.0,1070.0,1070.0,1070.0,1070.0,1070.0,1070.0,1070.0,1070.0,1070.0,1070.0,1070.0,1070.0,1070.0,1070.0,1070.0,1070.0,1070.0,1070.0,1070.0,1070.0,1070.0,1070.0,1070.0,1070.0,1334.5596,1340.3125,1339.653,1339.653,1339.653,1339.645,1339.645,1339.645,1339.645,1339.5247,1339.5326,1339.5326,1339.5326,1339.5326,1339.5326,1339.5326,1339.5326,1339.5562,1339.5562,1339.5562,1339.5562,1339.5562,1339.5562,1339.5562,1339.5251,1339.5251,1339.5251,1339.5251,1339.5251,1340.0115,1340.5226,1340.5393,1340.5393,1340.5393,1341.0416,1341.0416,1341.0623,1341.0623,1341.0623,1341.0623,1341.0623,1341.0623,1341.0623,1341.0623,1341.0623,1341.0623,1341.0623,1341.0623,1341.0623,1341.0623,1426.3672,1432.7894,1432.7894,1432.7894,1432.7894,1432.7894,1432.7894,1432.7894,1432.7894,1432.7894,1432.7894,1432.7894,1432.7894,1432.7894,1433.7623,1433.7623,1433.7623,1433.7623,1433.7623,1433.7623,1433.7623,1433.7623,1433.7623,1433.7623,1433.7623,1433.7623,1433.7623,1433.7623,1433.7623,1433.329,1433.329,1435.0511,1435.0511,1435.0511,1440.6398,1440.6398,1440.6398,1440.6398,1441.0043,1441.0043,1441.0043,1441.0043,1441.1709,1441.1709,1441.1543,1441.1482,1441.1475,1441.1581,1441.1581,1441.1581,1441.1581,1441.1581,1441.1589,1441.1589,1441.1589,1441.1589,1441.1589,1441.1755,1441.1755,1441.1755,1441.1755,1441.1755,1504.8861,1513.6127,1513.6127,1513.6127,1513.6127,1517.8893,1517.8893,1517.8893,1517.8893,1517.8893,1517.8893,1517.8893,1517.8893,1517.8893,1517.8893,1517.8893,1517.8893,1517.89,1517.89,1517.9623,1517.9893,1517.9893,1517.9893,1517.9893,1517.9893,1517.9893,1517.9893,1517.9893,1517.9893,1517.9893,1517.9893,1517.9893,1517.9893,1517.9893,1517.979,1518.0901,1518.0901,1518.0901,1518.0901,1518.0901,1518.0901,1518.0901,1518.0901,1518.0901,1518.0345,1518.1246,1518.1246,1518.1246,1518.1246,1518.1246,1518.1246,1518.1246,1518.108,1518.108,1518.108,1518.0802,1518.0905,1518.0905,1518.0905,1518.0905,1518.0905,1518.0905,1518.0905,1518.0905,1518.0905,1518.0905,1518.0905,1612.552,1612.552,1618.7352,1624.9918,1624.9918,1624.9918,1624.9661,1624.9886,1630.9985,1630.9985,1630.9985,1630.9985,1630.9985,1630.9985,1630.9985,1630.9985,1630.9985,1630.9985,1630.9985,1630.9985,1631.0104,1631.0361,1631.0361,1631.0361,1631.0361,1631.0361,1631.0361,1631.0361,1631.0361,1631.0361,1631.0361,1631.0361,1631.0361,1631.0361,1631.0361,1631.0361,1631.0361,1631.0219,1634.7739,1639.0509,1639.2245,1642.6688,1642.6688,1646.1613,1646.1613,1646.1613,1646.1613,1646.1674,1652.0438,1652.0438,1652.0438,1652.0438,1651.8855,1651.8855,1651.8793,1651.8793,1651.8793,1651.8793,1651.8793,1651.8793,1651.8793,1651.8793,1651.8793,1651.8793,1651.8793,1651.8793,1651.8793,1651.8793,1651.8793,1651.8793,1651.8793,1914.1147,1914.1147,1914.1147,1914.7681,1914.7681,1914.7681,1914.7681,1916.0592,1916.0592,1916.0592,1919.3219,1919.3219,1919.3219,1919.3219,1919.3219,1919.3219,1919.3219,1919.3219,1919.3271,1920.7534,1920.7534,1920.7534,1920.7534,1920.7534,1920.7534,1920.7534,1920.7534,1920.7534,1920.7534,1920.7534,1920.7534,1920.7534,1920.7534,1920.7534,1920.7539,1920.7539,1920.7539,1920.6487,1920.6487,1920.6487,1920.6487,1920.6487,1920.6487,1920.6487,1920.6487,1920.6487,1920.6487,1920.6487,1920.6467,1980.6135,1980.6135,1980.6135,1988.4552,1993.387,1993.387,1993.387,1993.387,1993.387,1993.387,1993.387,1993.3856,1993.3856,1993.3856,1993.1705,1993.1705,1996.7877,1994.671,1994.671,1994.671,1994.671,1994.671,1994.671,1994.671,1994.671,1994.671,1994.671,1994.671,1994.671,1994.671,1994.671,1994.671,1996.9711,1996.9711,1996.9711,1996.9711,1996.9711,1996.9711,1996.9711,1996.9489,1996.9502,1996.9517,1996.9517,1996.9517,1996.9517,1996.9517,1996.9517,1997.7794,1998.0017,1998.0017,1998.0017,1998.691,1998.691,1998.691,1998.691,1998.691,1998.691,1998.691,1998.691,1998.691,1998.691,1998.691,2085.947,2085.947,2085.947,2090.8591,2090.867,2091.0076,2091.0076,2091.0076,2091.0076],"NTRA-US^JULIAN(FE_ESTIMATE(SALES,MEAN,ANN_ROLL,+1,1/1/2024,NOW,,'').DATES)":[45289,45293,45294,45295,45296,45299,45300,45301,45302,45303,45307,45308,45309,45310,45313,45314,45315,45316,45317,45320,45321,45322,45323,45324,45327,45328,45329,45330,45331,45334,45335,45336,45337,45338,45342,45343,45344,45345,45348,45349,45350,45351,45352,45355,45356,45357,45358,45359,45362,45363,45364,45365,45366,45369,45370,45371,45372,45373,45376,45377,45378,45379,45383,45384,45385,45386,45387,45390,45391,45392,45393,45394,45397,45398,45399,45400,45401,45404,45405,45406,45407,45408,45411,45412,45413,45414,45415,45418,45419,45420,45421,45422,45425,45426,45427,45428,45429,45432,45433,45434,45435,45436,45440,45441,45442,45443,45446,45447,45448,45449,45450,45453,45454,45455,45456,45457,45460,45461,45463,45464,45467,45468,45469,45470,45471,45474,45475,45476,45478,45481,45482,45483,45484,45485,45488,45489,45490,45491,45492,45495,45496,45497,45498,45499,45502,45503,45504,45505,45506,45509,45510,45511,45512,45513,45516,45517,45518,45519,45520,45523,45524,45525,45526,45527,45530,45531,45532,45533,45534,45538,45539,45540,45541,45544,45545,45546,45547,45548,45551,45552,45553,45554,45555,45558,45559,45560,45561,45562,45565,45566,45567,45568,45569,45572,45573,45574,45575,45576,45579,45580,45581,45582,45583,45586,45587,45588,45589,45590,45593,45594,45595,45596,45597,45600,45601,45602,45603,45604,45607,45608,45609,45610,45611,45614,45615,45616,45617,45618,45621,45622,45623,45625,45628,45629,45630,45631,45632,45635,45636,45637,45638,45639,45642,45643,45644,45645,45646,45649,45650,45652,45653,45656,45657,45659,45660,45663,45664,45665,45667,45670,45671,45672,45673,45674,45678,45679,45680,45681,45684,45685,45686,45687,45688,45691,45692,45693,45694,45695,45698,45699,45700,45701,45702,45706,45707,45708,45709,45712,45713,45714,45715,45716,45719,45720,45721,45722,45723,45726,45727,45728,45729,45730,45733,45734,45735,45736,45737,45740,45741,45742,45743,45744,45747,45748,45749,45750,45751,45754,45755,45756,45757,45758,45761,45762,45763,45764,45768,45769,45770,45771,45772,45775,45776,45777,45778,45779,45782,45783,45784,45785,45786,45789,45790,45791,45792,45793,45796,45797,45798,45799,45800,45804,45805,45806,45807,45810,45811,45812,45813,45814,45817,45818,45819,45820,45821,45824,45825,45826,45828,45831,45832,45833,45834,45835,45838,45839,45840,45841,45845,45846,45847,45848,45849,45852,45853,45854,45855,45856,45859,45860,45861,45862,45863,45866,45867,45868,45869,45870,45873,45874,45875,45876,45877,45880,45881,45882,45883,45884,45887,45888,45889],"NTRA-US^FE_ESTIMATE(SALES,MEAN,ANN_ROLL,2024,1/1/2024,NOW,,'')":[1266.3805,1266.3805,1267.4559,1267.4685,1267.4685,1267.4685,1268.4847,1268.4847,1268.4847,1268.0881,1268.6014,1268.6014,1268.6014,1268.5889,1268.5889,1268.5889,1268.5889,1268.5889,1269.9512,1269.9512,1270.5393,1273.3864,1273.3864,1273.3864,1273.3864,1273.3864,1273.3864,1273.3864,1273.3864,1273.3864,1273.3864,1273.3864,1273.3864,1273.3864,1273.3864,1273.3864,1273.3864,1273.3864,1273.3861,1273.3861,1273.3861,1334.5596,1340.3125,1339.653,1339.653,1339.653,1339.645,1339.645,1339.645,1339.645,1339.5247,1339.5326,1339.5326,1339.5326,1339.5326,1339.5326,1339.5326,1339.5326,1339.5562,1339.5562,1339.5562,1339.5562,1339.5562,1339.5562,1339.5562,1339.5251,1339.5251,1339.5251,1339.5251,1339.5251,1340.0115,1340.5226,1340.5393,1340.5393,1340.5393,1341.0416,1341.0416,1341.0623,1341.0623,1341.0623,1341.0623,1341.0623,1341.0623,1341.0623,1341.0623,1341.0623,1341.0623,1341.0623,1341.0623,1341.0623,1341.0623,1426.3672,1432.7894,1432.7894,1432.7894,1432.7894,1432.7894,1432.7894,1432.7894,1432.7894,1432.7894,1432.7894,1432.7894,1432.7894,1432.7894,1433.7623,1433.7623,1433.7623,1433.7623,1433.7623,1433.7623,1433.7623,1433.7623,1433.7623,1433.7623,1433.7623,1433.7623,1433.7623,1433.7623,1433.7623,1433.329,1433.329,1435.0511,1435.0511,1435.0511,1440.6398,1440.6398,1440.6398,1440.6398,1441.0043,1441.0043,1441.0043,1441.0043,1441.1709,1441.1709,1441.1543,1441.1482,1441.1475,1441.1581,1441.1581,1441.1581,1441.1581,1441.1581,1441.1589,1441.1589,1441.1589,1441.1589,1441.1589,1441.1755,1441.1755,1441.1755,1441.1755,1441.1755,1504.8861,1513.6127,1513.6127,1513.6127,1513.6127,1517.8893,1517.8893,1517.8893,1517.8893,1517.8893,1517.8893,1517.8893,1517.8893,1517.8893,1517.8893,1517.8893,1517.8893,1517.89,1517.89,1517.9623,1517.9893,1517.9893,1517.9893,1517.9893,1517.9893,1517.9893,1517.9893,1517.9893,1517.9893,1517.9893,1517.9893,1517.9893,1517.9893,1517.9893,1517.979,1518.0901,1518.0901,1518.0901,1518.0901,1518.0901,1518.0901,1518.0901,1518.0901,1518.0901,1518.0345,1518.1246,1518.1246,1518.1246,1518.1246,1518.1246,1518.1246,1518.1246,1518.108,1518.108,1518.108,1518.0802,1518.0905,1518.0905,1518.0905,1518.0905,1518.0905,1518.0905,1518.0905,1518.0905,1518.0905,1518.0905,1518.0905,1612.552,1612.552,1618.7352,1624.9918,1624.9918,1624.9918,1624.9661,1624.9886,1630.9985,1630.9985,1630.9985,1630.9985,1630.9985,1630.9985,1630.9985,1630.9985,1630.9985,1630.9985,1630.9985,1630.9985,1631.0104,1631.0361,1631.0361,1631.0361,1631.0361,1631.0361,1631.0361,1631.0361,1631.0361,1631.0361,1631.0361,1631.0361,1631.0361,1631.0361,1631.0361,1631.0361,1631.0361,1631.0219,1634.7739,1639.0509,1639.2245,1642.6688,1642.6688,1646.1613,1646.1613,1646.1613,1646.1613,1646.1674,1652.0438,1652.0438,1652.0438,1652.0438,1651.8855,1651.8855,1651.8793,1651.8793,1651.8793,1651.8793,1651.8793,1651.8793,1651.8793,1651.8793,1651.8793,1651.8793,1651.8793,1651.8793,1651.8793,1651.8793,1651.8793,1651.8793,1651.8793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,1696.911],"NTRA-US^JULIAN(FE_ESTIMATE(SALES,MEAN,ANN_ROLL,2024,1/1/2024,NOW,,'').DATES)":[45289,45293,45294,45295,45296,45299,45300,45301,45302,45303,45307,45308,45309,45310,45313,45314,45315,45316,45317,45320,45321,45322,45323,45324,45327,45328,45329,45330,45331,45334,45335,45336,45337,45338,45342,45343,45344,45345,45348,45349,45350,45351,45352,45355,45356,45357,45358,45359,45362,45363,45364,45365,45366,45369,45370,45371,45372,45373,45376,45377,45378,45379,45383,45384,45385,45386,45387,45390,45391,45392,45393,45394,45397,45398,45399,45400,45401,45404,45405,45406,45407,45408,45411,45412,45413,45414,45415,45418,45419,45420,45421,45422,45425,45426,45427,45428,45429,45432,45433,45434,45435,45436,45440,45441,45442,45443,45446,45447,45448,45449,45450,45453,45454,45455,45456,45457,45460,45461,45463,45464,45467,45468,45469,45470,45471,45474,45475,45476,45478,45481,45482,45483,45484,45485,45488,45489,45490,45491,45492,45495,45496,45497,45498,45499,45502,45503,45504,45505,45506,45509,45510,45511,45512,45513,45516,45517,45518,45519,45520,45523,45524,45525,45526,45527,45530,45531,45532,45533,45534,45538,45539,45540,45541,45544,45545,45546,45547,45548,45551,45552,45553,45554,45555,45558,45559,45560,45561,45562,45565,45566,45567,45568,45569,45572,45573,45574,45575,45576,45579,45580,45581,45582,45583,45586,45587,45588,45589,45590,45593,45594,45595,45596,45597,45600,45601,45602,45603,45604,45607,45608,45609,45610,45611,45614,45615,45616,45617,45618,45621,45622,45623,45625,45628,45629,45630,45631,45632,45635,45636,45637,45638,45639,45642,45643,45644,45645,45646,45649,45650,45652,45653,45656,45657,45659,45660,45663,45664,45665,45667,45670,45671,45672,45673,45674,45678,45679,45680,45681,45684,45685,45686,45687,45688,45691,45692,45693,45694,45695,45698,45699,45700,45701,45702,45706,45707,45708,45709,45712,45713,45714,45715,45716,45719,45720,45721,45722,45723,45726,45727,45728,45729,45730,45733,45734,45735,45736,45737,45740,45741,45742,45743,45744,45747,45748,45749,45750,45751,45754,45755,45756,45757,45758,45761,45762,45763,45764,45768,45769,45770,45771,45772,45775,45776,45777,45778,45779,45782,45783,45784,45785,45786,45789,45790,45791,45792,45793,45796,45797,45798,45799,45800,45804,45805,45806,45807,45810,45811,45812,45813,45814,45817,45818,45819,45820,45821,45824,45825,45826,45828,45831,45832,45833,45834,45835,45838,45839,45840,45841,45845,45846,45847,45848,45849,45852,45853,45854,45855,45856,45859,45860,45861,45862,45863,45866,45867,45868,45869,45870,45873,45874,45875,45876,45877,45880,45881,45882,45883,45884,45887,45888,45889],"NTRA-US^FE_ESTIMATE(SALES,MEAN,ANN_ROLL,2025,1/1/2024,NOW,,'')":[1544.7797,1544.7797,1547.1495,1547.1354,1547.1354,1547.1354,1546.3647,1546.3647,1546.3647,1545.7169,1547.9182,1547.9182,1547.9182,1547.9182,1547.9182,1547.9182,1547.9182,1547.9182,1550.4418,1550.4418,1547.3829,1547.6653,1547.6653,1547.6653,1547.6653,1547.6653,1547.6653,1547.6653,1547.6653,1547.6653,1547.6653,1547.6653,1547.6653,1547.6653,1547.6653,1547.6653,1547.6653,1547.6653,1547.6653,1547.6653,1547.6653,1580.3477,1582.4065,1582.8296,1582.8296,1582.8296,1582.818,1582.818,1582.818,1582.818,1582.6449,1582.6566,1582.6566,1582.6566,1582.6566,1582.6566,1582.6566,1582.6566,1582.6508,1582.6508,1582.6508,1582.6508,1582.6508,1582.3566,1582.3566,1579.0034,1579.0034,1579.0034,1579.0034,1579.0034,1579.7177,1582.3788,1582.5066,1582.5066,1582.5066,1581.7128,1581.7128,1581.7798,1581.7798,1581.7798,1581.7798,1582.0563,1582.0563,1582.0563,1582.0563,1582.0563,1582.0563,1582.0563,1582.0563,1582.0563,1582.0563,1670.2681,1677.1401,1677.1401,1677.1401,1677.1401,1677.1401,1677.1401,1677.1401,1677.1401,1677.1401,1677.1401,1677.1401,1677.1401,1677.1401,1678.1268,1678.1268,1678.1268,1678.1268,1678.1268,1678.1268,1678.1268,1678.1268,1678.1268,1678.1268,1678.1268,1678.1268,1678.1268,1678.1268,1678.1268,1678.549,1678.549,1681.3823,1681.3823,1681.3823,1687.1694,1687.1694,1687.1694,1687.1694,1689.3822,1689.3822,1689.3822,1689.3822,1689.51,1689.51,1689.5889,1691.1514,1691.1538,1691.9724,1691.9724,1691.9724,1691.9724,1691.9724,1691.9724,1691.9724,1691.9724,1691.9724,1691.9724,1691.9502,1691.9502,1691.9502,1691.9502,1691.9502,1713.1716,1714.9325,1714.9325,1714.9325,1714.9325,1716.3285,1716.3285,1716.3285,1716.3285,1716.3285,1716.3285,1716.3285,1716.3285,1716.3285,1716.3285,1716.3285,1716.3285,1716.3296,1716.3296,1716.2837,1716.2604,1716.2604,1716.2604,1716.2604,1716.2604,1716.2604,1716.2604,1716.2604,1716.2604,1716.2604,1716.2604,1716.2604,1716.2604,1716.2604,1716.2697,1714.8474,1714.8474,1714.8474,1714.8474,1714.8474,1714.8474,1714.8474,1714.8474,1714.8474,1714.903,1719.0594,1719.0594,1719.6602,1719.6602,1719.6879,1719.6879,1719.6879,1719.6783,1719.6783,1719.6783,1719.7006,1719.6913,1719.6913,1719.6913,1719.6913,1719.6913,1719.6913,1719.6913,1719.6913,1719.6913,1719.6913,1719.6913,1796.1888,1796.1888,1794.6166,1803.9097,1803.9097,1803.9097,1803.8927,1803.9109,1809.2994,1809.2994,1809.2994,1809.2994,1809.2994,1809.2994,1809.2994,1809.2994,1809.2994,1809.2994,1809.2994,1809.2994,1811.2365,1812.0367,1812.0367,1812.0367,1812.0367,1805.5643,1805.5643,1805.5643,1805.5643,1805.5643,1805.5643,1805.5643,1805.5643,1805.5643,1805.5643,1805.5643,1805.5643,1805.5424,1807.6985,1811.9271,1812.0482,1813.3816,1813.3816,1813.5319,1813.5319,1813.5319,1813.5319,1813.5172,1818.7222,1818.7222,1818.7222,1818.7222,1818.823,1818.823,1818.8492,1818.8492,1818.8492,1818.8376,1818.8376,1818.8376,1818.8376,1818.8376,1818.8376,1818.8376,1818.8376,1818.8376,1818.8376,1818.8492,1818.8492,1818.8492,1818.8492,1914.1147,1914.1147,1914.1147,1914.7681,1914.7681,1914.7681,1914.7681,1916.0592,1916.0592,1916.0592,1919.3219,1919.3219,1919.3219,1919.3219,1919.3219,1919.3219,1919.3219,1919.3219,1919.3271,1920.7534,1920.7534,1920.7534,1920.7534,1920.7534,1920.7534,1920.7534,1920.7534,1920.7534,1920.7534,1920.7534,1920.7534,1920.7534,1920.7534,1920.7534,1920.7539,1920.7539,1920.7539,1920.6487,1920.6487,1920.6487,1920.6487,1920.6487,1920.6487,1920.6487,1920.6487,1920.6487,1920.6487,1920.6487,1920.6467,1980.6135,1980.6135,1980.6135,1988.4552,1993.387,1993.387,1993.387,1993.387,1993.387,1993.387,1993.387,1993.3856,1993.3856,1993.3856,1993.1705,1993.1705,1996.7877,1994.671,1994.671,1994.671,1994.671,1994.671,1994.671,1994.671,1994.671,1994.671,1994.671,1994.671,1994.671,1994.671,1994.671,1994.671,1996.9711,1996.9711,1996.9711,1996.9711,1996.9711,1996.9711,1996.9711,1996.9489,1996.9502,1996.9517,1996.9517,1996.9517,1996.9517,1996.9517,1996.9517,1997.7794,1998.0017,1998.0017,1998.0017,1998.691,1998.691,1998.691,1998.691,1998.691,1998.691,1998.691,1998.691,1998.691,1998.691,1998.691,2085.947,2085.947,2085.947,2090.8591,2090.867,2091.0076,2091.0076,2091.0076,2091.0076,2091.0337,2091.0337,2091.0337,2091.0337,2091.0337,2091.0337,2091.0337,2091.0337,2091.0337,2091.0337,2091.0337,2091.0337,2091.0337,2091.0337,2091.0337,2091.0337,2091.0337,2091.0337,2091.0256,2091.0256],"NTRA-US^FE_ESTIMATE(SALES,MEAN,ANN_ROLL,2026,1/1/2024,NOW,,'')":[1822.5167,1822.5167,1822.5167,1822.5167,1822.5167,1822.5167,1818.1333,1818.1333,1818.1333,1818.1333,1818.1333,1818.1333,1818.1333,1818.1333,1818.1333,1818.1333,1818.1333,1818.1333,1837.3063,1837.3063,1837.3063,1843.5349,1843.5349,1843.5349,1843.5349,1843.5349,1843.5349,1843.5349,1843.5349,1843.5349,1843.5349,1843.5349,1843.5349,1843.5349,1843.5349,1843.5349,1843.5349,1843.5349,1843.5349,1843.5349,1843.5349,1833.484,1833.484,1836.7687,1836.7687,1836.7687,1836.7687,1836.7687,1836.7687,1836.7687,1836.7687,1836.7687,1836.7687,1836.7687,1836.7687,1836.7687,1836.7687,1836.7687,1836.7937,1836.7937,1836.7937,1836.7937,1836.7937,1836.7937,1836.7937,1827.3951,1827.3951,1827.3951,1827.3951,1827.3951,1827.3951,1830.0643,1830.2952,1830.2952,1830.2952,1828.1531,1828.1531,1828.1531,1828.1531,1828.1531,1828.1531,1828.1697,1828.1697,1828.1697,1828.1697,1828.1697,1828.1697,1828.1697,1828.1697,1828.1697,1828.1697,1961.1615,1961.1615,1961.1615,1961.1615,1961.1615,1961.1615,1961.1615,1961.1615,1961.1615,1961.1615,1961.1615,1961.1615,1961.1615,1961.1615,1961.1615,1961.1615,1961.1615,1961.1615,1961.1615,1961.1615,1961.1615,1961.1615,1961.1615,1961.1615,1961.1615,1961.1615,1961.1615,1961.1615,1961.1615,1961.1615,1961.1615,1949.3922,1949.3922,1949.3922,1957.6749,1957.6749,1957.6749,1957.6749,1964.3076,1964.3076,1964.3076,1964.3076,1964.3076,1964.3076,1964.3606,1964.2064,1964.2064,1964.2064,1964.2064,1964.2064,1964.2064,1964.2064,1964.2064,1964.2064,1964.2064,1964.2064,1964.2064,1964.2064,1964.2064,1964.2064,1964.2064,1964.2064,2013.492,2016.2113,2016.2113,2016.2113,2016.2113,2016.2113,2016.2113,2016.2113,2016.2113,2016.2113,2016.2122,2016.2122,2016.2122,2016.2122,2016.2122,2016.2122,2016.2122,2016.2122,2016.2122,2016.2122,2016.2122,2016.1921,2016.1921,2016.1921,2016.1921,2016.1921,2016.1921,2016.1921,2016.1921,2016.1921,2016.1921,2016.1921,2016.1921,2016.1921,2016.2112,2016.2112,2016.2112,2016.2112,2016.2112,2016.2112,2016.2112,2016.2112,2016.2112,2016.2112,2016.2112,2026.2434,2026.2434,2025.1597,2025.1597,2025.1597,2025.1597,2025.1597,2020.0974,2020.0974,2020.0974,2020.0974,2020.0999,2020.0999,2020.0999,2020.0999,2020.0999,2020.0999,2020.0999,2020.0999,2020.0999,2020.0999,2020.0999,2100.9692,2100.9692,2096.9104,2122.9722,2122.9722,2122.9722,2122.9949,2122.9668,2130.185,2130.185,2130.185,2130.185,2130.185,2130.185,2130.185,2130.185,2130.185,2130.185,2130.185,2130.185,2132.3325,2135.8088,2135.8088,2135.8088,2135.8088,2126.721,2126.721,2126.721,2126.721,2126.721,2126.721,2126.721,2126.721,2126.7327,2128.1807,2128.1807,2128.1807,2128.2087,2130.4673,2137.8108,2137.8108,2137.8108,2137.8108,2138.1003,2138.1003,2138.1003,2138.1003,2138.106,2143.5469,2143.5469,2143.5469,2143.5469,2143.5469,2143.5469,2143.5469,2143.5469,2143.5469,2143.541,2143.541,2143.541,2143.541,2143.541,2143.541,2143.541,2143.541,2143.541,2143.541,2143.5469,2143.5469,2143.5469,2143.5469,2270.6133,2270.6133,2270.6133,2268.7048,2268.7048,2268.7048,2268.7048,2270.8362,2270.8362,2270.8362,2277.1519,2277.1519,2277.1519,2277.1519,2277.1519,2277.1519,2277.1519,2277.1519,2277.1519,2277.1519,2277.1519,2277.1519,2277.1519,2277.1519,2277.1519,2277.1519,2277.1519,2277.1401,2277.1401,2277.1401,2277.1401,2277.114,2278.2327,2278.2327,2278.2656,2278.2656,2278.2656,2278.213,2278.213,2278.213,2278.213,2278.213,2278.213,2278.213,2278.213,2278.213,2278.213,2278.213,2278.2131,2310.4233,2310.4233,2310.4233,2313.9692,2317.0352,2317.0352,2317.0352,2317.0352,2317.0352,2317.0352,2317.0457,2317.0366,2317.0366,2317.0366,2317.1292,2317.1292,2319.2932,2317.171,2317.171,2317.171,2317.171,2317.171,2317.171,2317.171,2317.171,2317.171,2317.171,2317.171,2317.171,2317.171,2317.171,2317.171,2320.971,2320.971,2320.971,2320.971,2320.971,2320.971,2320.971,2323.629,2323.6382,2323.6497,2323.6497,2323.6497,2323.6497,2323.6497,2323.6497,2324.8171,2324.706,2324.706,2324.706,2326.0164,2326.0164,2326.0164,2326.0164,2326.0164,2326.0164,2326.0164,2326.0164,2326.0164,2326.0164,2326.0164,2408.4749,2408.4749,2408.4749,2412.7932,2412.818,2412.7944,2412.7944,2412.7944,2412.7944,2412.7917,2412.7917,2412.7917,2412.7917,2412.7917,2412.7917,2417.7654,2417.7654,2417.7654,2417.7654,2417.7654,2417.7654,2417.7654,2417.7654,2417.7654,2417.7654,2417.7654,2417.7654,2417.7395,2417.7395],"NTRA-US^FE_ESTIMATE(FCF,MEAN,ANN_ROLL,2026,1/1/2024,NOW,,'')":[180.17,180.17,180.17,225.17,225.17,225.17,225.17,225.17,225.17,225.17,225.17,225.17,225.17,225.17,225.17,225.17,225.17,225.17,230.86234,230.86234,230.86234,230.86234,230.86234,230.86234,230.86234,230.86234,230.86234,230.86234,230.86234,230.86234,230.86234,230.86234,230.86234,230.86234,230.86234,230.86234,230.86234,230.86234,230.86234,230.86234,230.86234,206.696,206.696,206.696,206.696,206.696,206.696,206.696,206.696,206.696,206.696,206.696,206.696,206.696,206.696,206.696,206.696,206.696,206.696,206.696,206.696,206.696,206.696,206.696,206.696,210.022,210.022,210.022,210.022,210.022,210.022,210.022,210.022,210.022,210.022,245.916,239.94167,239.94167,239.94167,239.94167,239.94167,239.94167,239.94167,239.94167,239.94167,239.94167,239.94167,239.94167,239.94167,239.94167,239.94167,261.243,261.243,261.243,261.243,261.243,261.243,261.243,261.243,261.243,261.243,261.243,261.243,261.243,261.243,261.243,261.243,261.243,261.243,261.243,261.243,261.243,261.243,261.243,261.243,261.243,261.243,261.243,261.243,261.243,261.243,261.243,261.243,261.243,261.243,255.8645,255.8645,255.8645,255.8645,255.8645,255.8645,255.8645,255.8645,255.8645,255.8645,255.8645,257.3645,257.3645,257.3645,257.3645,257.3645,257.3645,257.3645,257.3645,257.3645,257.3645,257.3645,257.3645,257.3645,257.3645,257.3645,257.3645,257.3645,240.48,240.48,240.48,240.48,240.48,240.48,240.48,240.48,240.48,240.48,240.48,240.48,240.48,240.48,240.48,240.48,240.48,240.48,240.48,240.5684,240.5684,240.5684,240.5684,240.5684,240.5684,240.5684,240.5684,240.5684,240.5684,240.5684,240.5684,240.5684,240.5684,240.5684,240.5684,240.5684,240.5684,240.5684,240.5684,240.5684,240.5684,240.5684,240.5684,240.5684,240.5684,240.5684,240.5684,223.0123,223.0123,223.0123,223.0123,223.0123,223.0123,223.0123,223.0123,223.0123,234.5123,234.5123,234.5123,234.5123,234.5123,234.5123,234.5123,234.5123,234.5123,234.5123,234.5123,228.2695,228.2695,228.2695,228.2695,228.2695,228.2695,228.2695,228.2695,228.2695,228.2695,228.2695,228.2695,228.2695,228.2695,228.2695,228.2695,228.2695,228.2695,228.2695,228.2695,232.73813,232.73813,232.73813,232.73813,232.73813,232.73813,232.73813,232.73813,232.73813,232.73813,232.73813,232.73813,232.73813,232.73813,232.73813,232.73813,232.73813,229.23813,229.23813,253.20912,253.20912,253.20912,253.20912,253.36612,253.36612,253.36612,253.36612,253.36612,253.36612,253.36612,253.36612,253.36612,253.36612,253.36612,253.36612,253.36612,253.36612,253.36612,253.36612,253.36612,253.36612,253.36612,253.36612,253.36612,253.36612,253.36612,253.36612,253.36612,253.36612,253.36612,253.36612,168.53,168.53,168.53,168.53,168.53,168.53,168.53,182.944,182.944,182.944,182.944,182.944,182.944,182.944,182.944,182.944,182.944,182.944,182.944,182.944,182.944,182.944,182.944,182.944,182.944,182.944,182.944,182.944,182.944,182.944,182.944,182.944,182.944,182.944,183.0654,183.0654,183.0654,183.0654,183.0654,183.0654,183.0654,183.0654,183.0654,183.0654,183.0654,183.0654,183.0654,183.0654,183.0654,148.8482,148.8482,148.8482,148.8482,148.8482,148.8482,148.8482,148.8482,148.8482,148.8482,148.8482,148.8482,148.8482,148.8482,148.8482,148.8482,148.8482,148.8482,148.8482,148.8482,148.8482,148.8482,148.8482,148.8482,148.8482,148.8482,148.8482,148.8482,125.91025,125.91025,125.91025,125.91025,125.91025,125.91025,125.91025,125.91025,125.91025,125.91025,125.91025,125.91025,125.91025,125.91025,125.91025,125.91025,125.91025,125.91025,125.91025,126.04775,126.04775,126.04775,126.04775,126.04775,126.04775,126.04775,126.04775,126.04775,126.04775,126.04775,126.04775,126.04775,126.04775,126.04775,225.60875,225.60875,225.60875,225.60875,225.60875,225.60875,225.60875,225.60875,225.60875],"NTRA-US^FE_ESTIMATE(FCF,MEAN,ANN_ROLL,2024,1/1/2024,NOW,,'')":[-183.5702,-183.5702,-180.3954,-165.5954,-165.5954,-165.5954,-165.6034,-165.6034,-165.6034,-158.9118,-158.9118,-158.9118,-158.9118,-158.9118,-158.9118,-158.9118,-158.9118,-158.9118,-158.0444,-158.0444,-158.0444,-158.0444,-158.0444,-158.0444,-158.0444,-158.0444,-158.0444,-158.0444,-158.0444,-158.0444,-158.0444,-158.0444,-158.0444,-158.0444,-158.0444,-158.0444,-158.0444,-158.0444,-158.0444,-158.0444,-158.0444,-137.1752,-137.1752,-137.1752,-137.1752,-137.1752,-137.1752,-137.1752,-137.1752,-137.1752,-137.1752,-137.1752,-137.1752,-137.1752,-137.1752,-137.1752,-137.1752,-137.1752,-137.1752,-137.1752,-137.1752,-137.2566,-137.2566,-137.2566,-137.2566,-123.547165,-123.547165,-123.547165,-123.547165,-123.547165,-123.08417,-123.08417,-123.08417,-123.08417,-123.08417,-115.693,-118.4642,-118.4642,-118.4642,-118.4642,-118.4642,-118.4642,-118.4642,-118.4642,-118.4642,-118.4642,-118.4642,-118.4642,-118.4642,-118.4642,-118.4642,-120.6706,-120.6706,-120.6706,-120.6706,-120.6706,-120.6706,-120.6706,-120.6706,-120.6706,-120.6706,-120.6706,-120.6706,-120.6706,-120.6706,-97.355,-97.355,-97.355,-97.355,-97.355,-97.355,-97.355,-97.355,-97.355,-97.355,-97.355,-97.355,-97.355,-97.355,-97.355,-97.355,-97.355,-97.355,-97.355,-97.355,-109.19375,-109.19375,-109.19375,-109.19375,-109.19375,-109.19375,-109.19375,-109.19375,-109.19375,-109.19375,-109.19375,-91.035,-91.035,-91.035,-91.035,-91.035,-91.035,-91.035,-91.035,-91.035,-91.035,-91.035,-91.035,-91.035,-91.035,-91.035,-91.035,-91.035,-70.8395,-70.8395,-70.8395,-70.8395,-70.8395,-70.8395,-70.8395,-70.8395,-70.8395,-70.8395,-70.8395,-70.8395,-70.8395,-70.8395,-70.8395,-70.8395,-70.8395,-70.8395,-70.8395,-70.78071,-70.78071,-70.78071,-70.78071,-70.78071,-70.78071,-70.78071,-70.78071,-70.78071,-70.78071,-70.78071,-70.78071,-70.78071,-70.78071,-70.78071,-70.78071,-70.78071,-70.78071,-70.78071,-70.78071,-70.78071,-70.78071,-70.78071,-70.78071,-70.78071,-70.78071,-70.78071,-70.78071,-69.15471,-69.15471,-69.15471,-69.15471,-69.15471,-69.15471,-69.15471,-69.15471,-69.15471,-67.15471,-67.15471,-67.15471,-67.15471,-67.15471,-67.15471,-67.15471,-67.15471,-67.15471,-67.15471,-67.15471,-23.99925,-23.99925,-23.99925,-23.99925,-23.99925,-23.99925,-23.99925,-23.99925,-23.99925,-23.99925,-23.99925,-23.99925,-23.99925,-23.99925,-23.99925,-23.99925,-23.99925,-23.99925,-23.99925,-23.99925,-21.791817,-21.791817,-21.791817,-21.791817,-21.791817,-21.791817,-21.791817,-21.791817,-21.791817,-21.791817,-21.791817,-21.791817,-21.791817,-21.791817,-21.791817,-21.791817,-21.791817,-22.291817,-22.291817,-10.479318,-10.479318,-10.479318,-10.479318,-3.8868177,-3.8868177,-3.8868177,-3.8868177,-3.8868177,-3.8868177,-3.8868177,-3.8868177,-3.8868177,-3.8868177,-3.8868177,-3.8868177,-3.8868177,-3.8868177,-3.8868177,-3.8868177,-3.8868177,-3.8868177,-3.8868177,-3.8868177,-3.8868177,-3.8868177,-3.8868177,-3.8868177,-3.8868177,-3.8868177,-3.8868177,-3.8868177,-20.971,-20.971,-20.971,-20.971,-20.971,-20.971,-20.971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,-2.9368],"NTRA-US^FE_ESTIMATE(FCF,MEAN,ANN_ROLL,2025,1/1/2024,NOW,,'')":[-4.0436,-4.0436,-2.8544,12.7456,12.7456,12.7456,12.7456,12.7456,12.7456,14.9996,14.9996,14.9996,14.9996,14.9996,14.9996,14.9996,14.9996,14.9996,15.1414,15.1414,15.1414,15.1414,15.1414,15.1414,15.1414,15.1414,15.1414,15.1414,15.1414,15.1414,15.1414,15.1414,15.1414,15.1414,15.1414,15.1414,15.1414,15.1414,15.1414,15.1414,15.1414,31.2442,31.2442,31.2442,31.2442,31.2442,31.2442,31.2442,31.2442,31.2442,31.2442,31.2442,31.2442,31.2442,31.2442,31.2442,31.2442,31.2442,31.2442,31.2442,31.2442,31.7544,31.7544,31.7544,31.7544,34.628666,34.628666,34.628666,34.628666,34.628666,34.153168,34.153168,34.153168,34.153168,34.153168,44.3298,41.1544,41.1544,41.1544,41.1544,41.1544,41.1544,41.1544,41.1544,41.1544,41.1544,41.1544,41.1544,41.1544,41.1544,41.1544,40.246,40.246,40.246,40.246,40.246,40.246,40.246,40.246,40.246,40.246,40.246,40.246,40.246,40.246,38.978,38.978,38.978,38.978,38.978,38.978,38.978,38.978,38.978,38.978,38.978,38.978,38.978,38.978,38.978,38.978,38.978,38.978,38.978,38.978,31.9725,31.9725,31.9725,31.9725,31.9725,31.9725,31.9725,31.9725,31.9725,31.9725,31.9725,28.05875,28.05875,28.05875,28.05875,28.05875,28.05875,28.05875,28.05875,28.05875,28.05875,28.05875,28.05875,28.05875,28.05875,28.05875,28.05875,28.05875,27.16975,27.16975,27.16975,27.16975,27.16975,27.16975,27.16975,27.16975,27.16975,27.16975,27.16975,27.16975,27.16975,27.16975,27.16975,27.16975,27.16975,27.16975,27.16975,27.080832,27.080832,27.080832,27.080832,27.080832,27.080832,27.080832,27.080832,27.080832,27.080832,27.080832,27.080832,27.080832,27.080832,27.080832,27.080832,27.080832,27.080832,27.080832,27.080832,27.080832,27.080832,27.080832,27.080832,27.080832,27.080832,27.080832,27.080832,39.24133,39.24133,39.24133,39.24133,39.24133,39.24133,39.24133,39.24133,39.24133,48.74133,48.74133,48.74133,48.74133,48.74133,48.74133,48.74133,48.74133,48.74133,48.74133,48.74133,2.86475,2.86475,2.86475,2.86475,2.86475,2.86475,2.86475,2.86475,2.86475,2.86475,2.86475,2.86475,2.86475,2.86475,2.86475,2.86475,2.86475,2.86475,2.86475,2.86475,6.0316954,6.0316954,6.0316954,6.0316954,6.0316954,6.0316954,6.0316954,6.0316954,6.0316954,6.0316954,6.0316954,6.0316954,6.0316954,6.0316954,6.0316954,6.0316954,6.0316954,2.5316954,2.5316954,21.911446,21.911446,21.911446,21.911446,29.423195,29.423195,29.423195,29.423195,29.423195,29.423195,29.423195,29.423195,29.423195,29.423195,29.423195,29.423195,29.423195,29.423195,29.423195,29.423195,29.423195,29.423195,29.423195,29.423195,29.423195,29.423195,29.423195,29.423195,29.423195,29.423195,29.423195,29.423195,-80.94425,-80.94425,-80.94425,-80.94425,-80.94425,-80.94425,-80.94425,-78.2354,-78.2354,-78.2354,-78.2354,-78.2354,-78.2354,-78.2354,-78.2354,-78.2354,-78.2354,-78.2354,-78.2354,-78.2354,-78.2354,-78.2354,-78.2354,-78.2354,-78.2354,-78.2354,-78.2354,-78.2354,-78.2354,-78.2354,-78.2354,-78.2354,-78.2354,-78.2354,-78.1222,-78.1222,-78.1222,-78.1222,-78.1222,-78.1222,-78.1222,-78.1222,-78.1222,-78.1222,-78.1222,-78.1222,-78.1222,-78.1222,-78.1222,-66.9984,-66.9984,-66.9984,-66.9984,-66.9984,-66.9984,-66.9984,-66.9984,-66.9984,-66.9984,-66.9984,-66.9984,-66.9984,-66.9984,-66.9984,-66.9984,-66.9984,-66.9984,-66.9984,-66.9984,-66.9984,-66.9984,-66.9984,-66.9984,-66.9984,-66.9984,-66.9984,-66.9984,-66.898,-66.898,-66.898,-66.898,-66.898,-66.898,-66.898,-66.898,-66.898,-66.898,-66.898,-66.898,-66.898,-66.898,-66.898,-66.898,-66.898,-66.898,-66.898,-66.78075,-66.78075,-66.78075,-66.78075,-66.78075,-66.78075,-66.78075,-66.78075,-66.78075,-66.78075,-66.78075,-66.78075,-66.78075,-66.78075,-66.78075,-35.06975,-35.06975,-35.06975,-35.06975,-35.06975,-35.06975,-35.06975,-35.06975,-35.06975,-35.06975,-35.06975,-35.06975,-35.06975,-35.06975,-35.06975,-35.06975,-35.06975,-35.06975,-35.06975,-35.06975,-35.06975,-35.06975,-35.06975,-35.06975,-35.06975,-35.06975,-35.06975,-35.02037,-35.02037]}]]></FdsFormulaCache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594D105E0FFE428582EA9D2BEC8F35" ma:contentTypeVersion="12" ma:contentTypeDescription="Create a new document." ma:contentTypeScope="" ma:versionID="09c53b4c629e9cf26020c11e936d8160">
  <xsd:schema xmlns:xsd="http://www.w3.org/2001/XMLSchema" xmlns:xs="http://www.w3.org/2001/XMLSchema" xmlns:p="http://schemas.microsoft.com/office/2006/metadata/properties" xmlns:ns3="f80bba36-a165-48a8-8ce0-36cad4b7ca26" xmlns:ns4="c63f10b6-159e-45e1-aa10-b39f356bfda9" targetNamespace="http://schemas.microsoft.com/office/2006/metadata/properties" ma:root="true" ma:fieldsID="0b6e174012e5822d450b00832f46d0fa" ns3:_="" ns4:_="">
    <xsd:import namespace="f80bba36-a165-48a8-8ce0-36cad4b7ca26"/>
    <xsd:import namespace="c63f10b6-159e-45e1-aa10-b39f356bfda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bba36-a165-48a8-8ce0-36cad4b7ca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f10b6-159e-45e1-aa10-b39f356bfd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143A6D-DC55-4408-A182-95A1416BE88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C0379F9-A8F8-459C-9C7F-4B79F37D1A62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f80bba36-a165-48a8-8ce0-36cad4b7ca26"/>
    <ds:schemaRef ds:uri="http://schemas.microsoft.com/office/infopath/2007/PartnerControls"/>
    <ds:schemaRef ds:uri="http://schemas.openxmlformats.org/package/2006/metadata/core-properties"/>
    <ds:schemaRef ds:uri="c63f10b6-159e-45e1-aa10-b39f356bfda9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931B5A3-C4D0-4E87-98A0-DE1F20C808B9}">
  <ds:schemaRefs>
    <ds:schemaRef ds:uri="urn:fdsformulacache"/>
  </ds:schemaRefs>
</ds:datastoreItem>
</file>

<file path=customXml/itemProps4.xml><?xml version="1.0" encoding="utf-8"?>
<ds:datastoreItem xmlns:ds="http://schemas.openxmlformats.org/officeDocument/2006/customXml" ds:itemID="{2977B161-4780-4D0A-B516-7D31E6551251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24248168-ED40-463C-8FA6-BABFCED38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0bba36-a165-48a8-8ce0-36cad4b7ca26"/>
    <ds:schemaRef ds:uri="c63f10b6-159e-45e1-aa10-b39f356bfd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Disclaimer</vt:lpstr>
      <vt:lpstr>IS</vt:lpstr>
      <vt:lpstr>Rev</vt:lpstr>
      <vt:lpstr>BS</vt:lpstr>
      <vt:lpstr>CF</vt:lpstr>
      <vt:lpstr>Other Accts</vt:lpstr>
      <vt:lpstr>Valuation</vt:lpstr>
      <vt:lpstr>BS!Print_Area</vt:lpstr>
      <vt:lpstr>CF!Print_Area</vt:lpstr>
      <vt:lpstr>IS!Print_Area</vt:lpstr>
      <vt:lpstr>'Other Accts'!Print_Area</vt:lpstr>
      <vt:lpstr>Rev!Print_Area</vt:lpstr>
      <vt:lpstr>Valuation!Print_Area</vt:lpstr>
    </vt:vector>
  </TitlesOfParts>
  <Company>Wells Fargo Securities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bcouillard</dc:creator>
  <cp:lastModifiedBy>Yuuji Anderson</cp:lastModifiedBy>
  <cp:lastPrinted>2026-02-27T03:27:36Z</cp:lastPrinted>
  <dcterms:created xsi:type="dcterms:W3CDTF">2009-08-31T18:14:21Z</dcterms:created>
  <dcterms:modified xsi:type="dcterms:W3CDTF">2026-03-21T22:08:01Z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0x01010040594D105E0FFE428582EA9D2BEC8F35</vt:lpwstr>
  </property>
  <property fmtid="{D5CDD505-2E9C-101B-9397-08002B2CF9AE}" pid="3" name="Id">
    <vt:lpwstr>d1922470-4751-4ec0-ad2e-26a173ab8644</vt:lpwstr>
  </property>
  <property fmtid="{D5CDD505-2E9C-101B-9397-08002B2CF9AE}" pid="4" name="MSIP_Label_174b6716-c2ea-4041-b631-5633733fbe46_Enabled">
    <vt:lpwstr>true</vt:lpwstr>
  </property>
  <property fmtid="{D5CDD505-2E9C-101B-9397-08002B2CF9AE}" pid="5" name="MSIP_Label_174b6716-c2ea-4041-b631-5633733fbe46_SetDate">
    <vt:lpwstr>2025-03-24T17:53:32Z</vt:lpwstr>
  </property>
  <property fmtid="{D5CDD505-2E9C-101B-9397-08002B2CF9AE}" pid="6" name="MSIP_Label_174b6716-c2ea-4041-b631-5633733fbe46_Method">
    <vt:lpwstr>Privileged</vt:lpwstr>
  </property>
  <property fmtid="{D5CDD505-2E9C-101B-9397-08002B2CF9AE}" pid="7" name="MSIP_Label_174b6716-c2ea-4041-b631-5633733fbe46_Name">
    <vt:lpwstr>Public</vt:lpwstr>
  </property>
  <property fmtid="{D5CDD505-2E9C-101B-9397-08002B2CF9AE}" pid="8" name="MSIP_Label_174b6716-c2ea-4041-b631-5633733fbe46_SiteId">
    <vt:lpwstr>e122af3c-4c68-4e49-9c52-4ae1e25e91ae</vt:lpwstr>
  </property>
  <property fmtid="{D5CDD505-2E9C-101B-9397-08002B2CF9AE}" pid="9" name="MSIP_Label_174b6716-c2ea-4041-b631-5633733fbe46_ActionId">
    <vt:lpwstr>2f4201fb-e1d6-4e99-be2e-6690138bfa1a</vt:lpwstr>
  </property>
  <property fmtid="{D5CDD505-2E9C-101B-9397-08002B2CF9AE}" pid="10" name="MSIP_Label_174b6716-c2ea-4041-b631-5633733fbe46_ContentBits">
    <vt:lpwstr>0</vt:lpwstr>
  </property>
</Properties>
</file>