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MAPSCorps\NYC\2016 NYC Deployment\Reports\"/>
    </mc:Choice>
  </mc:AlternateContent>
  <bookViews>
    <workbookView xWindow="0" yWindow="0" windowWidth="19160" windowHeight="6170" firstSheet="2" activeTab="2"/>
  </bookViews>
  <sheets>
    <sheet name="City Overview" sheetId="7" r:id="rId1"/>
    <sheet name="GeoArea Completion" sheetId="6" r:id="rId2"/>
    <sheet name="CBO Completion Week 1-5" sheetId="2" r:id="rId3"/>
    <sheet name="CBO Completion Week 6-7" sheetId="22" r:id="rId4"/>
    <sheet name="FC Weekly Mapping Week 1-5" sheetId="18" r:id="rId5"/>
    <sheet name="FC Weekly Mapping Week 6-7" sheetId="23" r:id="rId6"/>
    <sheet name="CBO Community Assignments" sheetId="1" state="hidden" r:id="rId7"/>
    <sheet name="OverviewData" sheetId="8" state="hidden" r:id="rId8"/>
    <sheet name="TeamCompletion" sheetId="9" state="hidden" r:id="rId9"/>
    <sheet name="GeoAreaCompletion" sheetId="10" state="hidden" r:id="rId10"/>
    <sheet name="FCMapping" sheetId="16" state="hidden" r:id="rId11"/>
    <sheet name="TeamAssignment" sheetId="20" state="hidden" r:id="rId12"/>
  </sheets>
  <definedNames>
    <definedName name="ExternalData_1" localSheetId="6" hidden="1">'CBO Community Assignments'!#REF!</definedName>
    <definedName name="ExternalData_1" localSheetId="10" hidden="1">FCMapping!$A$1:$P$46</definedName>
    <definedName name="ExternalData_1" localSheetId="9" hidden="1">GeoAreaCompletion!$A$1:$O$28</definedName>
    <definedName name="ExternalData_1" localSheetId="7" hidden="1">OverviewData!$A$1:$B$3</definedName>
    <definedName name="ExternalData_1" localSheetId="11" hidden="1">TeamAssignment!$A$1:$F$52</definedName>
    <definedName name="ExternalData_1" localSheetId="8" hidden="1">TeamCompletion!$A$1:$O$52</definedName>
    <definedName name="ExternalData_2" localSheetId="6" hidden="1">'CBO Community Assignments'!$G$1:$I$28</definedName>
    <definedName name="ExternalData_2" localSheetId="10" hidden="1">FCMapping!$R$1:$Z$46</definedName>
    <definedName name="ExternalData_2" localSheetId="7" hidden="1">OverviewData!$D$1:$F$2</definedName>
    <definedName name="ExternalData_2" localSheetId="8" hidden="1">TeamCompletion!$Q$1:$X$52</definedName>
    <definedName name="ExternalData_3" localSheetId="7" hidden="1">OverviewData!$L$1:$N$2</definedName>
    <definedName name="ExternalData_4" localSheetId="7" hidden="1">OverviewData!$A$10:$F$17</definedName>
    <definedName name="_xlnm.Print_Area" localSheetId="2">'CBO Completion Week 1-5'!#REF!</definedName>
    <definedName name="_xlnm.Print_Area" localSheetId="3">'CBO Completion Week 6-7'!$A$1:$Q$155</definedName>
    <definedName name="_xlnm.Print_Area" localSheetId="0">'City Overview'!$A$1:$G$49</definedName>
    <definedName name="_xlnm.Print_Area" localSheetId="5">'FC Weekly Mapping Week 6-7'!$A$1:$O$20</definedName>
    <definedName name="_xlnm.Print_Area" localSheetId="1">'GeoArea Completion'!$A$1:$X$33</definedName>
    <definedName name="_xlnm.Print_Titles" localSheetId="3">'CBO Completion Week 6-7'!$1:$4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eoAreaTotalPlaces_ca59a97f-5e91-4265-9794-01a853c50bb1" name="GeoAreaTotalPlaces" connection="Query - GeoAreaTotalPlaces"/>
        </x15:modelTables>
      </x15:dataModel>
    </ext>
  </extLst>
</workbook>
</file>

<file path=xl/calcChain.xml><?xml version="1.0" encoding="utf-8"?>
<calcChain xmlns="http://schemas.openxmlformats.org/spreadsheetml/2006/main">
  <c r="AL17" i="2" l="1"/>
  <c r="AK14" i="2"/>
  <c r="AK11" i="2"/>
  <c r="AK8" i="2"/>
  <c r="AK5" i="2"/>
  <c r="AJ17" i="2"/>
  <c r="AJ8" i="2"/>
  <c r="AJ11" i="2"/>
  <c r="AJ14" i="2"/>
  <c r="AJ5" i="2"/>
  <c r="B53" i="9" l="1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B4" i="8"/>
  <c r="E8" i="7" l="1"/>
  <c r="U8" i="6" l="1"/>
  <c r="U12" i="6"/>
  <c r="U16" i="6"/>
  <c r="U20" i="6"/>
  <c r="U24" i="6"/>
  <c r="U28" i="6"/>
  <c r="U6" i="6"/>
  <c r="U7" i="6"/>
  <c r="U9" i="6"/>
  <c r="U10" i="6"/>
  <c r="U11" i="6"/>
  <c r="U13" i="6"/>
  <c r="U14" i="6"/>
  <c r="U15" i="6"/>
  <c r="U17" i="6"/>
  <c r="U18" i="6"/>
  <c r="U19" i="6"/>
  <c r="U21" i="6"/>
  <c r="U22" i="6"/>
  <c r="U23" i="6"/>
  <c r="U25" i="6"/>
  <c r="U26" i="6"/>
  <c r="U27" i="6"/>
  <c r="U29" i="6"/>
  <c r="U5" i="6"/>
  <c r="B35" i="8"/>
  <c r="U32" i="6" l="1"/>
  <c r="A8" i="8"/>
  <c r="C19" i="7" s="1"/>
  <c r="B8" i="8"/>
  <c r="C18" i="7" s="1"/>
  <c r="B37" i="8"/>
  <c r="C37" i="8" s="1"/>
  <c r="C35" i="8"/>
  <c r="B36" i="8"/>
  <c r="C36" i="8" s="1"/>
  <c r="B38" i="8"/>
  <c r="C38" i="8" s="1"/>
  <c r="A36" i="8"/>
  <c r="A37" i="8"/>
  <c r="A38" i="8"/>
  <c r="A35" i="8"/>
  <c r="B34" i="8"/>
  <c r="A34" i="8"/>
  <c r="L4" i="8"/>
  <c r="C7" i="7" s="1"/>
  <c r="AH17" i="2" l="1"/>
  <c r="X42" i="18" l="1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W42" i="18"/>
  <c r="W50" i="18"/>
  <c r="D146" i="22"/>
  <c r="E151" i="22"/>
  <c r="F151" i="22"/>
  <c r="G151" i="22"/>
  <c r="E154" i="22"/>
  <c r="F154" i="22"/>
  <c r="G154" i="22"/>
  <c r="D50" i="22"/>
  <c r="J13" i="23" l="1"/>
  <c r="I13" i="23"/>
  <c r="H13" i="23"/>
  <c r="G13" i="23"/>
  <c r="F13" i="23"/>
  <c r="E13" i="23"/>
  <c r="N13" i="23" l="1"/>
  <c r="L13" i="23"/>
  <c r="K13" i="23"/>
  <c r="M13" i="23" l="1"/>
  <c r="X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X29" i="18"/>
  <c r="W29" i="18"/>
  <c r="W51" i="18" s="1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X18" i="18"/>
  <c r="U18" i="18"/>
  <c r="T18" i="18"/>
  <c r="S18" i="18"/>
  <c r="R18" i="18"/>
  <c r="Q18" i="18"/>
  <c r="Q51" i="18" s="1"/>
  <c r="P18" i="18"/>
  <c r="O18" i="18"/>
  <c r="N18" i="18"/>
  <c r="M18" i="18"/>
  <c r="M51" i="18" s="1"/>
  <c r="L18" i="18"/>
  <c r="K18" i="18"/>
  <c r="J18" i="18"/>
  <c r="I18" i="18"/>
  <c r="I51" i="18" s="1"/>
  <c r="H18" i="18"/>
  <c r="G18" i="18"/>
  <c r="F18" i="18"/>
  <c r="E18" i="18"/>
  <c r="E51" i="18" s="1"/>
  <c r="H51" i="18" l="1"/>
  <c r="L51" i="18"/>
  <c r="P51" i="18"/>
  <c r="J51" i="18"/>
  <c r="N51" i="18"/>
  <c r="R51" i="18"/>
  <c r="G51" i="18"/>
  <c r="K51" i="18"/>
  <c r="O51" i="18"/>
  <c r="S51" i="18"/>
  <c r="F51" i="18"/>
  <c r="V18" i="18"/>
  <c r="V29" i="18"/>
  <c r="V50" i="18"/>
  <c r="V42" i="18"/>
  <c r="C29" i="6"/>
  <c r="C21" i="6"/>
  <c r="C26" i="6" l="1"/>
  <c r="C25" i="6"/>
  <c r="C20" i="6"/>
  <c r="G2" i="20"/>
  <c r="G3" i="20"/>
  <c r="G4" i="20"/>
  <c r="G5" i="20"/>
  <c r="G6" i="20"/>
  <c r="B6" i="22" s="1"/>
  <c r="G7" i="20"/>
  <c r="B9" i="22" s="1"/>
  <c r="G8" i="20"/>
  <c r="B12" i="22" s="1"/>
  <c r="G9" i="20"/>
  <c r="B15" i="22" s="1"/>
  <c r="G10" i="20"/>
  <c r="B18" i="22" s="1"/>
  <c r="G11" i="20"/>
  <c r="B21" i="22" s="1"/>
  <c r="G12" i="20"/>
  <c r="B24" i="22" s="1"/>
  <c r="G13" i="20"/>
  <c r="B27" i="22" s="1"/>
  <c r="G14" i="20"/>
  <c r="B30" i="22" s="1"/>
  <c r="G15" i="20"/>
  <c r="B33" i="22" s="1"/>
  <c r="G16" i="20"/>
  <c r="B36" i="22" s="1"/>
  <c r="G17" i="20"/>
  <c r="B39" i="22" s="1"/>
  <c r="G18" i="20"/>
  <c r="B42" i="22" s="1"/>
  <c r="G19" i="20"/>
  <c r="B45" i="22" s="1"/>
  <c r="G20" i="20"/>
  <c r="B48" i="22" s="1"/>
  <c r="G21" i="20"/>
  <c r="B129" i="22" s="1"/>
  <c r="G22" i="20"/>
  <c r="B132" i="22" s="1"/>
  <c r="G23" i="20"/>
  <c r="B135" i="22" s="1"/>
  <c r="G24" i="20"/>
  <c r="B138" i="22" s="1"/>
  <c r="G25" i="20"/>
  <c r="B141" i="22" s="1"/>
  <c r="G26" i="20"/>
  <c r="B144" i="22" s="1"/>
  <c r="G27" i="20"/>
  <c r="B54" i="22" s="1"/>
  <c r="G28" i="20"/>
  <c r="B57" i="22" s="1"/>
  <c r="G29" i="20"/>
  <c r="B60" i="22" s="1"/>
  <c r="G30" i="20"/>
  <c r="B63" i="22" s="1"/>
  <c r="G31" i="20"/>
  <c r="B66" i="22" s="1"/>
  <c r="G32" i="20"/>
  <c r="B69" i="22" s="1"/>
  <c r="G33" i="20"/>
  <c r="B72" i="22" s="1"/>
  <c r="G34" i="20"/>
  <c r="B75" i="22" s="1"/>
  <c r="G35" i="20"/>
  <c r="B78" i="22" s="1"/>
  <c r="G36" i="20"/>
  <c r="B81" i="22" s="1"/>
  <c r="G37" i="20"/>
  <c r="B84" i="22" s="1"/>
  <c r="G38" i="20"/>
  <c r="B87" i="22" s="1"/>
  <c r="G39" i="20"/>
  <c r="B90" i="22" s="1"/>
  <c r="G40" i="20"/>
  <c r="B93" i="22" s="1"/>
  <c r="G41" i="20"/>
  <c r="B96" i="22" s="1"/>
  <c r="G42" i="20"/>
  <c r="B99" i="22" s="1"/>
  <c r="G43" i="20"/>
  <c r="B102" i="22" s="1"/>
  <c r="G44" i="20"/>
  <c r="B105" i="22" s="1"/>
  <c r="G45" i="20"/>
  <c r="B108" i="22" s="1"/>
  <c r="G46" i="20"/>
  <c r="B111" i="22" s="1"/>
  <c r="G47" i="20"/>
  <c r="B114" i="22" s="1"/>
  <c r="G48" i="20"/>
  <c r="B117" i="22" s="1"/>
  <c r="G49" i="20"/>
  <c r="B120" i="22" s="1"/>
  <c r="G50" i="20"/>
  <c r="B123" i="22" s="1"/>
  <c r="G51" i="20"/>
  <c r="G52" i="20"/>
  <c r="C14" i="6"/>
  <c r="C6" i="6"/>
  <c r="C5" i="6"/>
  <c r="B51" i="22" l="1"/>
  <c r="D52" i="22" s="1"/>
  <c r="C32" i="6"/>
  <c r="AG14" i="2"/>
  <c r="AG11" i="2"/>
  <c r="AG8" i="2"/>
  <c r="AG5" i="2"/>
  <c r="AE14" i="2"/>
  <c r="AE11" i="2"/>
  <c r="AE8" i="2"/>
  <c r="AE5" i="2"/>
  <c r="AF14" i="2"/>
  <c r="AF11" i="2"/>
  <c r="AF8" i="2"/>
  <c r="AF5" i="2"/>
  <c r="V17" i="2"/>
  <c r="U17" i="2"/>
  <c r="R17" i="2"/>
  <c r="Q17" i="2"/>
  <c r="N17" i="2"/>
  <c r="M17" i="2"/>
  <c r="J17" i="2"/>
  <c r="I17" i="2"/>
  <c r="F17" i="2"/>
  <c r="AD17" i="2"/>
  <c r="AD14" i="2"/>
  <c r="AD11" i="2"/>
  <c r="AD8" i="2"/>
  <c r="AD5" i="2"/>
  <c r="E17" i="2"/>
  <c r="H17" i="2" s="1"/>
  <c r="H14" i="2"/>
  <c r="L14" i="2" s="1"/>
  <c r="P14" i="2" s="1"/>
  <c r="T14" i="2" s="1"/>
  <c r="H11" i="2"/>
  <c r="L11" i="2" s="1"/>
  <c r="P11" i="2" s="1"/>
  <c r="T11" i="2" s="1"/>
  <c r="H8" i="2"/>
  <c r="L8" i="2" s="1"/>
  <c r="P8" i="2" s="1"/>
  <c r="T8" i="2" s="1"/>
  <c r="H5" i="2"/>
  <c r="L5" i="2" s="1"/>
  <c r="P5" i="2" s="1"/>
  <c r="T5" i="2" s="1"/>
  <c r="AG17" i="2" l="1"/>
  <c r="B126" i="22"/>
  <c r="B147" i="22" s="1"/>
  <c r="D148" i="22" s="1"/>
  <c r="B149" i="22"/>
  <c r="L17" i="2"/>
  <c r="P17" i="2" s="1"/>
  <c r="T17" i="2" s="1"/>
  <c r="AE17" i="2"/>
  <c r="AF17" i="2"/>
  <c r="B152" i="22" l="1"/>
  <c r="L152" i="22" s="1"/>
  <c r="L154" i="22" s="1"/>
  <c r="L149" i="22"/>
  <c r="L151" i="22" s="1"/>
  <c r="L122" i="22"/>
  <c r="L119" i="22"/>
  <c r="L116" i="22"/>
  <c r="L113" i="22"/>
  <c r="L110" i="22"/>
  <c r="L107" i="22"/>
  <c r="L104" i="22"/>
  <c r="L101" i="22"/>
  <c r="L98" i="22"/>
  <c r="L95" i="22"/>
  <c r="L92" i="22"/>
  <c r="L89" i="22"/>
  <c r="L86" i="22"/>
  <c r="L83" i="22"/>
  <c r="L80" i="22"/>
  <c r="L77" i="22"/>
  <c r="L74" i="22"/>
  <c r="L71" i="22"/>
  <c r="L68" i="22"/>
  <c r="L65" i="22"/>
  <c r="L62" i="22"/>
  <c r="L59" i="22"/>
  <c r="L56" i="22"/>
  <c r="L53" i="22"/>
  <c r="L143" i="22"/>
  <c r="L140" i="22"/>
  <c r="L137" i="22"/>
  <c r="L134" i="22"/>
  <c r="L131" i="22"/>
  <c r="L128" i="22"/>
  <c r="L47" i="22"/>
  <c r="L44" i="22"/>
  <c r="L41" i="22"/>
  <c r="L38" i="22"/>
  <c r="L35" i="22"/>
  <c r="L32" i="22"/>
  <c r="L29" i="22"/>
  <c r="L26" i="22"/>
  <c r="L23" i="22"/>
  <c r="L20" i="22"/>
  <c r="L17" i="22"/>
  <c r="L14" i="22"/>
  <c r="L11" i="22"/>
  <c r="L8" i="22"/>
  <c r="L5" i="22"/>
  <c r="L146" i="22" l="1"/>
  <c r="L148" i="22" s="1"/>
  <c r="L125" i="22"/>
  <c r="L127" i="22" s="1"/>
  <c r="L50" i="22"/>
  <c r="L52" i="22" s="1"/>
  <c r="D122" i="22"/>
  <c r="D119" i="22"/>
  <c r="D121" i="22" s="1"/>
  <c r="D116" i="22"/>
  <c r="D118" i="22" s="1"/>
  <c r="D113" i="22"/>
  <c r="D115" i="22" s="1"/>
  <c r="D110" i="22"/>
  <c r="D112" i="22" s="1"/>
  <c r="D107" i="22"/>
  <c r="D109" i="22" s="1"/>
  <c r="D104" i="22"/>
  <c r="D106" i="22" s="1"/>
  <c r="D101" i="22"/>
  <c r="D103" i="22" s="1"/>
  <c r="D98" i="22"/>
  <c r="D100" i="22" s="1"/>
  <c r="D95" i="22"/>
  <c r="D97" i="22" s="1"/>
  <c r="D89" i="22"/>
  <c r="D91" i="22" s="1"/>
  <c r="D83" i="22"/>
  <c r="D85" i="22" s="1"/>
  <c r="D80" i="22"/>
  <c r="D82" i="22" s="1"/>
  <c r="D77" i="22"/>
  <c r="D79" i="22" s="1"/>
  <c r="D74" i="22"/>
  <c r="D76" i="22" s="1"/>
  <c r="D71" i="22"/>
  <c r="D73" i="22" s="1"/>
  <c r="D68" i="22"/>
  <c r="D70" i="22" s="1"/>
  <c r="D65" i="22"/>
  <c r="D67" i="22" s="1"/>
  <c r="G124" i="22"/>
  <c r="F124" i="22"/>
  <c r="K122" i="22"/>
  <c r="J122" i="22"/>
  <c r="I122" i="22"/>
  <c r="G122" i="22"/>
  <c r="F122" i="22"/>
  <c r="E122" i="22"/>
  <c r="F121" i="22"/>
  <c r="E121" i="22"/>
  <c r="K119" i="22"/>
  <c r="J119" i="22"/>
  <c r="I119" i="22"/>
  <c r="G119" i="22"/>
  <c r="F119" i="22"/>
  <c r="E119" i="22"/>
  <c r="E118" i="22"/>
  <c r="K116" i="22"/>
  <c r="J116" i="22"/>
  <c r="I116" i="22"/>
  <c r="G116" i="22"/>
  <c r="F116" i="22"/>
  <c r="E116" i="22"/>
  <c r="H116" i="22" s="1"/>
  <c r="H118" i="22" s="1"/>
  <c r="G115" i="22"/>
  <c r="K113" i="22"/>
  <c r="J113" i="22"/>
  <c r="I113" i="22"/>
  <c r="G113" i="22"/>
  <c r="F113" i="22"/>
  <c r="E113" i="22"/>
  <c r="F112" i="22"/>
  <c r="K110" i="22"/>
  <c r="J110" i="22"/>
  <c r="I110" i="22"/>
  <c r="G110" i="22"/>
  <c r="F110" i="22"/>
  <c r="E110" i="22"/>
  <c r="K107" i="22"/>
  <c r="J107" i="22"/>
  <c r="I107" i="22"/>
  <c r="G107" i="22"/>
  <c r="F107" i="22"/>
  <c r="E107" i="22"/>
  <c r="F106" i="22"/>
  <c r="E106" i="22"/>
  <c r="K104" i="22"/>
  <c r="J104" i="22"/>
  <c r="I104" i="22"/>
  <c r="G104" i="22"/>
  <c r="F104" i="22"/>
  <c r="E104" i="22"/>
  <c r="K101" i="22"/>
  <c r="J101" i="22"/>
  <c r="I101" i="22"/>
  <c r="G101" i="22"/>
  <c r="F101" i="22"/>
  <c r="E101" i="22"/>
  <c r="G100" i="22"/>
  <c r="K98" i="22"/>
  <c r="J98" i="22"/>
  <c r="I98" i="22"/>
  <c r="G98" i="22"/>
  <c r="F98" i="22"/>
  <c r="E98" i="22"/>
  <c r="H98" i="22" s="1"/>
  <c r="H100" i="22" s="1"/>
  <c r="G97" i="22"/>
  <c r="K95" i="22"/>
  <c r="J95" i="22"/>
  <c r="I95" i="22"/>
  <c r="G95" i="22"/>
  <c r="F95" i="22"/>
  <c r="E95" i="22"/>
  <c r="K92" i="22"/>
  <c r="J92" i="22"/>
  <c r="I92" i="22"/>
  <c r="G92" i="22"/>
  <c r="F92" i="22"/>
  <c r="E92" i="22"/>
  <c r="H92" i="22" s="1"/>
  <c r="H94" i="22" s="1"/>
  <c r="F91" i="22"/>
  <c r="E91" i="22"/>
  <c r="K89" i="22"/>
  <c r="J89" i="22"/>
  <c r="I89" i="22"/>
  <c r="G89" i="22"/>
  <c r="F89" i="22"/>
  <c r="E89" i="22"/>
  <c r="H89" i="22" s="1"/>
  <c r="H91" i="22" s="1"/>
  <c r="K86" i="22"/>
  <c r="J86" i="22"/>
  <c r="I86" i="22"/>
  <c r="G86" i="22"/>
  <c r="F86" i="22"/>
  <c r="E86" i="22"/>
  <c r="G85" i="22"/>
  <c r="K83" i="22"/>
  <c r="J83" i="22"/>
  <c r="I83" i="22"/>
  <c r="G83" i="22"/>
  <c r="F83" i="22"/>
  <c r="E83" i="22"/>
  <c r="H83" i="22" s="1"/>
  <c r="H85" i="22" s="1"/>
  <c r="G82" i="22"/>
  <c r="F82" i="22"/>
  <c r="K80" i="22"/>
  <c r="J80" i="22"/>
  <c r="I80" i="22"/>
  <c r="G80" i="22"/>
  <c r="F80" i="22"/>
  <c r="E80" i="22"/>
  <c r="K77" i="22"/>
  <c r="J77" i="22"/>
  <c r="I77" i="22"/>
  <c r="G77" i="22"/>
  <c r="F77" i="22"/>
  <c r="E77" i="22"/>
  <c r="E76" i="22"/>
  <c r="K74" i="22"/>
  <c r="J74" i="22"/>
  <c r="I74" i="22"/>
  <c r="G74" i="22"/>
  <c r="F74" i="22"/>
  <c r="E74" i="22"/>
  <c r="E73" i="22"/>
  <c r="K71" i="22"/>
  <c r="J71" i="22"/>
  <c r="I71" i="22"/>
  <c r="G71" i="22"/>
  <c r="F71" i="22"/>
  <c r="E71" i="22"/>
  <c r="E70" i="22"/>
  <c r="K68" i="22"/>
  <c r="J68" i="22"/>
  <c r="I68" i="22"/>
  <c r="G68" i="22"/>
  <c r="F68" i="22"/>
  <c r="E68" i="22"/>
  <c r="G67" i="22"/>
  <c r="E67" i="22"/>
  <c r="K65" i="22"/>
  <c r="J65" i="22"/>
  <c r="I65" i="22"/>
  <c r="G65" i="22"/>
  <c r="F65" i="22"/>
  <c r="E65" i="22"/>
  <c r="K62" i="22"/>
  <c r="J62" i="22"/>
  <c r="I62" i="22"/>
  <c r="G62" i="22"/>
  <c r="F62" i="22"/>
  <c r="E62" i="22"/>
  <c r="E61" i="22"/>
  <c r="K59" i="22"/>
  <c r="J59" i="22"/>
  <c r="I59" i="22"/>
  <c r="G59" i="22"/>
  <c r="F59" i="22"/>
  <c r="E59" i="22"/>
  <c r="G58" i="22"/>
  <c r="F58" i="22"/>
  <c r="K56" i="22"/>
  <c r="J56" i="22"/>
  <c r="I56" i="22"/>
  <c r="L58" i="22"/>
  <c r="G56" i="22"/>
  <c r="F56" i="22"/>
  <c r="N56" i="22" s="1"/>
  <c r="E56" i="22"/>
  <c r="G55" i="22"/>
  <c r="K53" i="22"/>
  <c r="J53" i="22"/>
  <c r="I53" i="22"/>
  <c r="G53" i="22"/>
  <c r="F53" i="22"/>
  <c r="E53" i="22"/>
  <c r="E125" i="22" l="1"/>
  <c r="J125" i="22"/>
  <c r="F125" i="22"/>
  <c r="K125" i="22"/>
  <c r="K127" i="22" s="1"/>
  <c r="D124" i="22"/>
  <c r="G125" i="22"/>
  <c r="G127" i="22" s="1"/>
  <c r="I125" i="22"/>
  <c r="O101" i="22"/>
  <c r="O103" i="22" s="1"/>
  <c r="O110" i="22"/>
  <c r="O56" i="22"/>
  <c r="O58" i="22" s="1"/>
  <c r="O89" i="22"/>
  <c r="O91" i="22" s="1"/>
  <c r="O98" i="22"/>
  <c r="O100" i="22" s="1"/>
  <c r="N104" i="22"/>
  <c r="N106" i="22" s="1"/>
  <c r="N107" i="22"/>
  <c r="N109" i="22" s="1"/>
  <c r="O119" i="22"/>
  <c r="O121" i="22" s="1"/>
  <c r="O122" i="22"/>
  <c r="N122" i="22"/>
  <c r="O65" i="22"/>
  <c r="O67" i="22" s="1"/>
  <c r="O68" i="22"/>
  <c r="O70" i="22" s="1"/>
  <c r="O53" i="22"/>
  <c r="O55" i="22" s="1"/>
  <c r="N65" i="22"/>
  <c r="N67" i="22" s="1"/>
  <c r="O71" i="22"/>
  <c r="O73" i="22" s="1"/>
  <c r="O80" i="22"/>
  <c r="O82" i="22" s="1"/>
  <c r="N92" i="22"/>
  <c r="O113" i="22"/>
  <c r="O115" i="22" s="1"/>
  <c r="E81" i="22"/>
  <c r="H80" i="22"/>
  <c r="H82" i="22" s="1"/>
  <c r="O62" i="22"/>
  <c r="M65" i="22"/>
  <c r="M67" i="22" s="1"/>
  <c r="H65" i="22"/>
  <c r="H67" i="22" s="1"/>
  <c r="M68" i="22"/>
  <c r="M70" i="22" s="1"/>
  <c r="H68" i="22"/>
  <c r="H70" i="22" s="1"/>
  <c r="N80" i="22"/>
  <c r="N82" i="22" s="1"/>
  <c r="E102" i="22"/>
  <c r="H101" i="22"/>
  <c r="H103" i="22" s="1"/>
  <c r="O107" i="22"/>
  <c r="O109" i="22" s="1"/>
  <c r="E111" i="22"/>
  <c r="H110" i="22"/>
  <c r="H112" i="22" s="1"/>
  <c r="M113" i="22"/>
  <c r="M115" i="22" s="1"/>
  <c r="H113" i="22"/>
  <c r="H115" i="22" s="1"/>
  <c r="E54" i="22"/>
  <c r="H53" i="22"/>
  <c r="H55" i="22" s="1"/>
  <c r="E57" i="22"/>
  <c r="H56" i="22"/>
  <c r="H58" i="22" s="1"/>
  <c r="E78" i="22"/>
  <c r="H77" i="22"/>
  <c r="H79" i="22" s="1"/>
  <c r="O83" i="22"/>
  <c r="O85" i="22" s="1"/>
  <c r="M119" i="22"/>
  <c r="H119" i="22"/>
  <c r="H121" i="22" s="1"/>
  <c r="E123" i="22"/>
  <c r="H122" i="22"/>
  <c r="E72" i="22"/>
  <c r="H71" i="22"/>
  <c r="H73" i="22" s="1"/>
  <c r="E60" i="22"/>
  <c r="H59" i="22"/>
  <c r="H61" i="22" s="1"/>
  <c r="M62" i="22"/>
  <c r="H62" i="22"/>
  <c r="H64" i="22" s="1"/>
  <c r="M74" i="22"/>
  <c r="M75" i="22" s="1"/>
  <c r="H74" i="22"/>
  <c r="H76" i="22" s="1"/>
  <c r="M86" i="22"/>
  <c r="H86" i="22"/>
  <c r="H88" i="22" s="1"/>
  <c r="E96" i="22"/>
  <c r="H95" i="22"/>
  <c r="H97" i="22" s="1"/>
  <c r="M104" i="22"/>
  <c r="M106" i="22" s="1"/>
  <c r="H104" i="22"/>
  <c r="H106" i="22" s="1"/>
  <c r="E108" i="22"/>
  <c r="H107" i="22"/>
  <c r="H109" i="22" s="1"/>
  <c r="L100" i="22"/>
  <c r="L79" i="22"/>
  <c r="N77" i="22"/>
  <c r="N79" i="22" s="1"/>
  <c r="O104" i="22"/>
  <c r="O106" i="22" s="1"/>
  <c r="N116" i="22"/>
  <c r="N118" i="22" s="1"/>
  <c r="J123" i="22"/>
  <c r="O74" i="22"/>
  <c r="O76" i="22" s="1"/>
  <c r="M89" i="22"/>
  <c r="M90" i="22" s="1"/>
  <c r="O116" i="22"/>
  <c r="O118" i="22" s="1"/>
  <c r="F87" i="22"/>
  <c r="I88" i="22" s="1"/>
  <c r="E84" i="22"/>
  <c r="M59" i="22"/>
  <c r="M61" i="22" s="1"/>
  <c r="O86" i="22"/>
  <c r="O92" i="22"/>
  <c r="E117" i="22"/>
  <c r="F84" i="22"/>
  <c r="I85" i="22" s="1"/>
  <c r="J84" i="22"/>
  <c r="J87" i="22"/>
  <c r="J111" i="22"/>
  <c r="I117" i="22"/>
  <c r="I90" i="22"/>
  <c r="F63" i="22"/>
  <c r="J64" i="22" s="1"/>
  <c r="J63" i="22"/>
  <c r="F76" i="22"/>
  <c r="F90" i="22"/>
  <c r="J91" i="22" s="1"/>
  <c r="J117" i="22"/>
  <c r="G121" i="22"/>
  <c r="J93" i="22"/>
  <c r="G112" i="22"/>
  <c r="O59" i="22"/>
  <c r="O61" i="22" s="1"/>
  <c r="O77" i="22"/>
  <c r="O79" i="22" s="1"/>
  <c r="J66" i="22"/>
  <c r="E66" i="22"/>
  <c r="F70" i="22"/>
  <c r="N58" i="22"/>
  <c r="D58" i="22"/>
  <c r="F67" i="22"/>
  <c r="G70" i="22"/>
  <c r="F96" i="22"/>
  <c r="K97" i="22" s="1"/>
  <c r="J96" i="22"/>
  <c r="J99" i="22"/>
  <c r="G106" i="22"/>
  <c r="O112" i="22"/>
  <c r="J114" i="22"/>
  <c r="F123" i="22"/>
  <c r="J124" i="22" s="1"/>
  <c r="F120" i="22"/>
  <c r="I121" i="22" s="1"/>
  <c r="J120" i="22"/>
  <c r="E120" i="22"/>
  <c r="N119" i="22"/>
  <c r="N121" i="22" s="1"/>
  <c r="F114" i="22"/>
  <c r="K115" i="22" s="1"/>
  <c r="N110" i="22"/>
  <c r="N112" i="22" s="1"/>
  <c r="F111" i="22"/>
  <c r="K112" i="22" s="1"/>
  <c r="F108" i="22"/>
  <c r="J109" i="22" s="1"/>
  <c r="J108" i="22"/>
  <c r="F105" i="22"/>
  <c r="I106" i="22" s="1"/>
  <c r="J105" i="22"/>
  <c r="E105" i="22"/>
  <c r="I99" i="22"/>
  <c r="F102" i="22"/>
  <c r="J102" i="22"/>
  <c r="M98" i="22"/>
  <c r="M99" i="22" s="1"/>
  <c r="E99" i="22"/>
  <c r="M116" i="22"/>
  <c r="G103" i="22"/>
  <c r="F103" i="22"/>
  <c r="E103" i="22"/>
  <c r="F99" i="22"/>
  <c r="M101" i="22"/>
  <c r="F118" i="22"/>
  <c r="G118" i="22"/>
  <c r="E100" i="22"/>
  <c r="N101" i="22"/>
  <c r="N98" i="22"/>
  <c r="F100" i="22"/>
  <c r="M107" i="22"/>
  <c r="M110" i="22"/>
  <c r="E112" i="22"/>
  <c r="N113" i="22"/>
  <c r="E114" i="22"/>
  <c r="F115" i="22"/>
  <c r="F117" i="22"/>
  <c r="M122" i="22"/>
  <c r="E124" i="22"/>
  <c r="E115" i="22"/>
  <c r="J57" i="22"/>
  <c r="O95" i="22"/>
  <c r="O97" i="22" s="1"/>
  <c r="F66" i="22"/>
  <c r="K67" i="22" s="1"/>
  <c r="F69" i="22"/>
  <c r="I70" i="22" s="1"/>
  <c r="J69" i="22"/>
  <c r="J78" i="22"/>
  <c r="F78" i="22"/>
  <c r="J79" i="22" s="1"/>
  <c r="J81" i="22"/>
  <c r="F81" i="22"/>
  <c r="K82" i="22" s="1"/>
  <c r="E90" i="22"/>
  <c r="E69" i="22"/>
  <c r="E75" i="22"/>
  <c r="J90" i="22"/>
  <c r="F54" i="22"/>
  <c r="I55" i="22" s="1"/>
  <c r="F57" i="22"/>
  <c r="J58" i="22" s="1"/>
  <c r="M71" i="22"/>
  <c r="M73" i="22" s="1"/>
  <c r="F75" i="22"/>
  <c r="J76" i="22" s="1"/>
  <c r="J75" i="22"/>
  <c r="F93" i="22"/>
  <c r="K94" i="22" s="1"/>
  <c r="M53" i="22"/>
  <c r="D61" i="22"/>
  <c r="G61" i="22"/>
  <c r="F61" i="22"/>
  <c r="N62" i="22"/>
  <c r="G73" i="22"/>
  <c r="F73" i="22"/>
  <c r="N74" i="22"/>
  <c r="I84" i="22"/>
  <c r="N89" i="22"/>
  <c r="L55" i="22"/>
  <c r="F55" i="22"/>
  <c r="J54" i="22"/>
  <c r="N53" i="22"/>
  <c r="F60" i="22"/>
  <c r="J60" i="22"/>
  <c r="F72" i="22"/>
  <c r="J72" i="22"/>
  <c r="E55" i="22"/>
  <c r="D55" i="22"/>
  <c r="M56" i="22"/>
  <c r="N57" i="22" s="1"/>
  <c r="E58" i="22"/>
  <c r="N59" i="22"/>
  <c r="N71" i="22"/>
  <c r="G76" i="22"/>
  <c r="M83" i="22"/>
  <c r="E85" i="22"/>
  <c r="N86" i="22"/>
  <c r="G91" i="22"/>
  <c r="M95" i="22"/>
  <c r="E97" i="22"/>
  <c r="N68" i="22"/>
  <c r="M77" i="22"/>
  <c r="M78" i="22" s="1"/>
  <c r="M80" i="22"/>
  <c r="E82" i="22"/>
  <c r="N83" i="22"/>
  <c r="F85" i="22"/>
  <c r="M92" i="22"/>
  <c r="N95" i="22"/>
  <c r="F97" i="22"/>
  <c r="L61" i="22"/>
  <c r="H124" i="22" l="1"/>
  <c r="H125" i="22"/>
  <c r="H127" i="22" s="1"/>
  <c r="I127" i="22"/>
  <c r="F126" i="22"/>
  <c r="F127" i="22"/>
  <c r="N124" i="22"/>
  <c r="N125" i="22"/>
  <c r="J126" i="22"/>
  <c r="J127" i="22"/>
  <c r="M125" i="22"/>
  <c r="O124" i="22"/>
  <c r="O125" i="22"/>
  <c r="O127" i="22" s="1"/>
  <c r="E127" i="22"/>
  <c r="J88" i="22"/>
  <c r="K88" i="22"/>
  <c r="I78" i="22"/>
  <c r="I81" i="22"/>
  <c r="M76" i="22"/>
  <c r="I54" i="22"/>
  <c r="I111" i="22"/>
  <c r="I108" i="22"/>
  <c r="I76" i="22"/>
  <c r="J82" i="22"/>
  <c r="K64" i="22"/>
  <c r="M91" i="22"/>
  <c r="I123" i="22"/>
  <c r="I64" i="22"/>
  <c r="J85" i="22"/>
  <c r="N93" i="22"/>
  <c r="I79" i="22"/>
  <c r="M105" i="22"/>
  <c r="N117" i="22"/>
  <c r="I75" i="22"/>
  <c r="I69" i="22"/>
  <c r="J94" i="22"/>
  <c r="I57" i="22"/>
  <c r="I96" i="22"/>
  <c r="I102" i="22"/>
  <c r="I66" i="22"/>
  <c r="J97" i="22"/>
  <c r="N66" i="22"/>
  <c r="K85" i="22"/>
  <c r="I91" i="22"/>
  <c r="K55" i="22"/>
  <c r="I105" i="22"/>
  <c r="I72" i="22"/>
  <c r="I60" i="22"/>
  <c r="N120" i="22"/>
  <c r="I67" i="22"/>
  <c r="J55" i="22"/>
  <c r="M121" i="22"/>
  <c r="N105" i="22"/>
  <c r="I114" i="22"/>
  <c r="I120" i="22"/>
  <c r="L124" i="22"/>
  <c r="M123" i="22"/>
  <c r="L121" i="22"/>
  <c r="M120" i="22"/>
  <c r="L118" i="22"/>
  <c r="M117" i="22"/>
  <c r="L115" i="22"/>
  <c r="M114" i="22"/>
  <c r="L112" i="22"/>
  <c r="M111" i="22"/>
  <c r="L109" i="22"/>
  <c r="M108" i="22"/>
  <c r="L103" i="22"/>
  <c r="M102" i="22"/>
  <c r="L97" i="22"/>
  <c r="M96" i="22"/>
  <c r="L85" i="22"/>
  <c r="M84" i="22"/>
  <c r="L82" i="22"/>
  <c r="M81" i="22"/>
  <c r="L73" i="22"/>
  <c r="M72" i="22"/>
  <c r="L70" i="22"/>
  <c r="M69" i="22"/>
  <c r="L67" i="22"/>
  <c r="M66" i="22"/>
  <c r="I97" i="22"/>
  <c r="J67" i="22"/>
  <c r="K58" i="22"/>
  <c r="I112" i="22"/>
  <c r="I94" i="22"/>
  <c r="K79" i="22"/>
  <c r="J70" i="22"/>
  <c r="J112" i="22"/>
  <c r="J106" i="22"/>
  <c r="I109" i="22"/>
  <c r="K124" i="22"/>
  <c r="K91" i="22"/>
  <c r="K106" i="22"/>
  <c r="K121" i="22"/>
  <c r="J115" i="22"/>
  <c r="K109" i="22"/>
  <c r="K76" i="22"/>
  <c r="I82" i="22"/>
  <c r="I115" i="22"/>
  <c r="I124" i="22"/>
  <c r="J121" i="22"/>
  <c r="K100" i="22"/>
  <c r="J100" i="22"/>
  <c r="I100" i="22"/>
  <c r="M124" i="22"/>
  <c r="M112" i="22"/>
  <c r="N111" i="22"/>
  <c r="L106" i="22"/>
  <c r="N102" i="22"/>
  <c r="N103" i="22"/>
  <c r="N123" i="22"/>
  <c r="M103" i="22"/>
  <c r="M118" i="22"/>
  <c r="J118" i="22"/>
  <c r="K118" i="22"/>
  <c r="I118" i="22"/>
  <c r="N114" i="22"/>
  <c r="N115" i="22"/>
  <c r="M109" i="22"/>
  <c r="N108" i="22"/>
  <c r="N99" i="22"/>
  <c r="N100" i="22"/>
  <c r="M100" i="22"/>
  <c r="K103" i="22"/>
  <c r="J103" i="22"/>
  <c r="I103" i="22"/>
  <c r="I58" i="22"/>
  <c r="K70" i="22"/>
  <c r="L76" i="22"/>
  <c r="N72" i="22"/>
  <c r="N73" i="22"/>
  <c r="N60" i="22"/>
  <c r="N61" i="22"/>
  <c r="N63" i="22"/>
  <c r="N84" i="22"/>
  <c r="N85" i="22"/>
  <c r="N96" i="22"/>
  <c r="N97" i="22"/>
  <c r="L91" i="22"/>
  <c r="M82" i="22"/>
  <c r="N81" i="22"/>
  <c r="N69" i="22"/>
  <c r="N70" i="22"/>
  <c r="M97" i="22"/>
  <c r="N87" i="22"/>
  <c r="N90" i="22"/>
  <c r="N91" i="22"/>
  <c r="N75" i="22"/>
  <c r="N76" i="22"/>
  <c r="M55" i="22"/>
  <c r="M54" i="22"/>
  <c r="M60" i="22"/>
  <c r="M85" i="22"/>
  <c r="K73" i="22"/>
  <c r="J73" i="22"/>
  <c r="I73" i="22"/>
  <c r="M79" i="22"/>
  <c r="M57" i="22"/>
  <c r="M58" i="22"/>
  <c r="K61" i="22"/>
  <c r="J61" i="22"/>
  <c r="I61" i="22"/>
  <c r="N55" i="22"/>
  <c r="N54" i="22"/>
  <c r="N78" i="22"/>
  <c r="N126" i="22" l="1"/>
  <c r="N127" i="22"/>
  <c r="I126" i="22"/>
  <c r="M126" i="22"/>
  <c r="M127" i="22"/>
  <c r="E6" i="23"/>
  <c r="F6" i="23"/>
  <c r="G6" i="23"/>
  <c r="H6" i="23"/>
  <c r="I6" i="23"/>
  <c r="J6" i="23"/>
  <c r="E7" i="23"/>
  <c r="F7" i="23"/>
  <c r="G7" i="23"/>
  <c r="H7" i="23"/>
  <c r="I7" i="23"/>
  <c r="J7" i="23"/>
  <c r="E8" i="23"/>
  <c r="F8" i="23"/>
  <c r="G8" i="23"/>
  <c r="H8" i="23"/>
  <c r="I8" i="23"/>
  <c r="J8" i="23"/>
  <c r="E9" i="23"/>
  <c r="F9" i="23"/>
  <c r="G9" i="23"/>
  <c r="H9" i="23"/>
  <c r="I9" i="23"/>
  <c r="J9" i="23"/>
  <c r="E10" i="23"/>
  <c r="F10" i="23"/>
  <c r="G10" i="23"/>
  <c r="H10" i="23"/>
  <c r="I10" i="23"/>
  <c r="J10" i="23"/>
  <c r="E11" i="23"/>
  <c r="F11" i="23"/>
  <c r="G11" i="23"/>
  <c r="H11" i="23"/>
  <c r="I11" i="23"/>
  <c r="J11" i="23"/>
  <c r="E12" i="23"/>
  <c r="F12" i="23"/>
  <c r="G12" i="23"/>
  <c r="H12" i="23"/>
  <c r="I12" i="23"/>
  <c r="J12" i="23"/>
  <c r="E14" i="23"/>
  <c r="F14" i="23"/>
  <c r="G14" i="23"/>
  <c r="H14" i="23"/>
  <c r="I14" i="23"/>
  <c r="J14" i="23"/>
  <c r="E15" i="23"/>
  <c r="F15" i="23"/>
  <c r="G15" i="23"/>
  <c r="H15" i="23"/>
  <c r="I15" i="23"/>
  <c r="J15" i="23"/>
  <c r="E16" i="23"/>
  <c r="F16" i="23"/>
  <c r="G16" i="23"/>
  <c r="H16" i="23"/>
  <c r="I16" i="23"/>
  <c r="J16" i="23"/>
  <c r="E17" i="23"/>
  <c r="F17" i="23"/>
  <c r="G17" i="23"/>
  <c r="H17" i="23"/>
  <c r="I17" i="23"/>
  <c r="J17" i="23"/>
  <c r="I5" i="23"/>
  <c r="H5" i="23"/>
  <c r="J5" i="23"/>
  <c r="G5" i="23"/>
  <c r="F5" i="23"/>
  <c r="L5" i="23" s="1"/>
  <c r="E5" i="23"/>
  <c r="L15" i="23" l="1"/>
  <c r="K12" i="23"/>
  <c r="K17" i="23"/>
  <c r="N16" i="23"/>
  <c r="G18" i="23"/>
  <c r="G19" i="23" s="1"/>
  <c r="L14" i="23"/>
  <c r="K11" i="23"/>
  <c r="K9" i="23"/>
  <c r="N6" i="23"/>
  <c r="K14" i="23"/>
  <c r="L11" i="23"/>
  <c r="J18" i="23"/>
  <c r="J19" i="23" s="1"/>
  <c r="N17" i="23"/>
  <c r="N15" i="23"/>
  <c r="N14" i="23"/>
  <c r="N12" i="23"/>
  <c r="L12" i="23"/>
  <c r="N10" i="23"/>
  <c r="L10" i="23"/>
  <c r="L6" i="23"/>
  <c r="E18" i="23"/>
  <c r="E19" i="23" s="1"/>
  <c r="H18" i="23"/>
  <c r="H19" i="23" s="1"/>
  <c r="F18" i="23"/>
  <c r="F19" i="23" s="1"/>
  <c r="I18" i="23"/>
  <c r="I19" i="23" s="1"/>
  <c r="L16" i="23"/>
  <c r="N11" i="23"/>
  <c r="L9" i="23"/>
  <c r="K8" i="23"/>
  <c r="N7" i="23"/>
  <c r="K6" i="23"/>
  <c r="K10" i="23"/>
  <c r="N8" i="23"/>
  <c r="L8" i="23"/>
  <c r="L7" i="23"/>
  <c r="K7" i="23"/>
  <c r="N5" i="23"/>
  <c r="K5" i="23"/>
  <c r="L17" i="23"/>
  <c r="K16" i="23"/>
  <c r="K15" i="23"/>
  <c r="N9" i="23"/>
  <c r="M15" i="23" l="1"/>
  <c r="M17" i="23"/>
  <c r="M12" i="23"/>
  <c r="M16" i="23"/>
  <c r="M10" i="23"/>
  <c r="M14" i="23"/>
  <c r="M9" i="23"/>
  <c r="M6" i="23"/>
  <c r="M11" i="23"/>
  <c r="M8" i="23"/>
  <c r="M7" i="23"/>
  <c r="K18" i="23"/>
  <c r="K19" i="23" s="1"/>
  <c r="N18" i="23"/>
  <c r="N19" i="23" s="1"/>
  <c r="L18" i="23"/>
  <c r="L19" i="23" s="1"/>
  <c r="M5" i="23"/>
  <c r="M19" i="23" l="1"/>
  <c r="M18" i="23"/>
  <c r="G5" i="22" l="1"/>
  <c r="F5" i="22"/>
  <c r="E5" i="22"/>
  <c r="H5" i="22" l="1"/>
  <c r="K143" i="22"/>
  <c r="K140" i="22"/>
  <c r="K137" i="22"/>
  <c r="K134" i="22"/>
  <c r="K131" i="22"/>
  <c r="K128" i="22"/>
  <c r="K47" i="22"/>
  <c r="K44" i="22"/>
  <c r="K41" i="22"/>
  <c r="K38" i="22"/>
  <c r="K35" i="22"/>
  <c r="K32" i="22"/>
  <c r="K29" i="22"/>
  <c r="K26" i="22"/>
  <c r="K23" i="22"/>
  <c r="K20" i="22"/>
  <c r="K17" i="22"/>
  <c r="K14" i="22"/>
  <c r="K11" i="22"/>
  <c r="K8" i="22"/>
  <c r="G143" i="22"/>
  <c r="O143" i="22" s="1"/>
  <c r="G140" i="22"/>
  <c r="O140" i="22" s="1"/>
  <c r="G137" i="22"/>
  <c r="O137" i="22" s="1"/>
  <c r="G134" i="22"/>
  <c r="G131" i="22"/>
  <c r="O131" i="22" s="1"/>
  <c r="G128" i="22"/>
  <c r="G47" i="22"/>
  <c r="G44" i="22"/>
  <c r="G41" i="22"/>
  <c r="O41" i="22" s="1"/>
  <c r="G38" i="22"/>
  <c r="O38" i="22" s="1"/>
  <c r="G35" i="22"/>
  <c r="O35" i="22" s="1"/>
  <c r="G32" i="22"/>
  <c r="G29" i="22"/>
  <c r="O29" i="22" s="1"/>
  <c r="G26" i="22"/>
  <c r="O26" i="22" s="1"/>
  <c r="G23" i="22"/>
  <c r="O23" i="22" s="1"/>
  <c r="G20" i="22"/>
  <c r="G17" i="22"/>
  <c r="O17" i="22" s="1"/>
  <c r="G14" i="22"/>
  <c r="O14" i="22" s="1"/>
  <c r="G11" i="22"/>
  <c r="O11" i="22" s="1"/>
  <c r="G8" i="22"/>
  <c r="K5" i="22"/>
  <c r="J143" i="22"/>
  <c r="I143" i="22"/>
  <c r="J140" i="22"/>
  <c r="I140" i="22"/>
  <c r="J137" i="22"/>
  <c r="I137" i="22"/>
  <c r="J134" i="22"/>
  <c r="I134" i="22"/>
  <c r="J131" i="22"/>
  <c r="I131" i="22"/>
  <c r="J128" i="22"/>
  <c r="I128" i="22"/>
  <c r="J47" i="22"/>
  <c r="I47" i="22"/>
  <c r="J44" i="22"/>
  <c r="I44" i="22"/>
  <c r="J41" i="22"/>
  <c r="I41" i="22"/>
  <c r="J38" i="22"/>
  <c r="I38" i="22"/>
  <c r="J35" i="22"/>
  <c r="I35" i="22"/>
  <c r="J32" i="22"/>
  <c r="I32" i="22"/>
  <c r="J29" i="22"/>
  <c r="I29" i="22"/>
  <c r="J26" i="22"/>
  <c r="I26" i="22"/>
  <c r="J23" i="22"/>
  <c r="I23" i="22"/>
  <c r="J20" i="22"/>
  <c r="I20" i="22"/>
  <c r="J17" i="22"/>
  <c r="I17" i="22"/>
  <c r="J14" i="22"/>
  <c r="I14" i="22"/>
  <c r="J11" i="22"/>
  <c r="I11" i="22"/>
  <c r="J8" i="22"/>
  <c r="I8" i="22"/>
  <c r="F143" i="22"/>
  <c r="E143" i="22"/>
  <c r="H143" i="22" s="1"/>
  <c r="F140" i="22"/>
  <c r="E140" i="22"/>
  <c r="H140" i="22" s="1"/>
  <c r="F137" i="22"/>
  <c r="E137" i="22"/>
  <c r="H137" i="22" s="1"/>
  <c r="F134" i="22"/>
  <c r="E134" i="22"/>
  <c r="H134" i="22" s="1"/>
  <c r="F131" i="22"/>
  <c r="E131" i="22"/>
  <c r="H131" i="22" s="1"/>
  <c r="F128" i="22"/>
  <c r="E128" i="22"/>
  <c r="F47" i="22"/>
  <c r="E47" i="22"/>
  <c r="F44" i="22"/>
  <c r="E44" i="22"/>
  <c r="H44" i="22" s="1"/>
  <c r="F41" i="22"/>
  <c r="E41" i="22"/>
  <c r="H41" i="22" s="1"/>
  <c r="F38" i="22"/>
  <c r="E38" i="22"/>
  <c r="H38" i="22" s="1"/>
  <c r="F35" i="22"/>
  <c r="E35" i="22"/>
  <c r="H35" i="22" s="1"/>
  <c r="F32" i="22"/>
  <c r="E32" i="22"/>
  <c r="H32" i="22" s="1"/>
  <c r="F29" i="22"/>
  <c r="E29" i="22"/>
  <c r="H29" i="22" s="1"/>
  <c r="F26" i="22"/>
  <c r="E26" i="22"/>
  <c r="H26" i="22" s="1"/>
  <c r="F23" i="22"/>
  <c r="E23" i="22"/>
  <c r="H23" i="22" s="1"/>
  <c r="F20" i="22"/>
  <c r="E20" i="22"/>
  <c r="H20" i="22" s="1"/>
  <c r="F17" i="22"/>
  <c r="E17" i="22"/>
  <c r="H17" i="22" s="1"/>
  <c r="F14" i="22"/>
  <c r="E14" i="22"/>
  <c r="H14" i="22" s="1"/>
  <c r="F11" i="22"/>
  <c r="E11" i="22"/>
  <c r="H11" i="22" s="1"/>
  <c r="F8" i="22"/>
  <c r="E8" i="22"/>
  <c r="H8" i="22" s="1"/>
  <c r="J5" i="22"/>
  <c r="I5" i="22"/>
  <c r="E6" i="22"/>
  <c r="F6" i="22"/>
  <c r="D31" i="22"/>
  <c r="D7" i="22"/>
  <c r="I149" i="22" l="1"/>
  <c r="F146" i="22"/>
  <c r="F148" i="22" s="1"/>
  <c r="O128" i="22"/>
  <c r="G146" i="22"/>
  <c r="G148" i="22" s="1"/>
  <c r="K146" i="22"/>
  <c r="K148" i="22" s="1"/>
  <c r="I146" i="22"/>
  <c r="H128" i="22"/>
  <c r="H146" i="22" s="1"/>
  <c r="H148" i="22" s="1"/>
  <c r="E146" i="22"/>
  <c r="J146" i="22"/>
  <c r="F149" i="22"/>
  <c r="J149" i="22"/>
  <c r="J152" i="22" s="1"/>
  <c r="K149" i="22"/>
  <c r="K152" i="22" s="1"/>
  <c r="G149" i="22"/>
  <c r="G152" i="22" s="1"/>
  <c r="F152" i="22"/>
  <c r="I152" i="22"/>
  <c r="E149" i="22"/>
  <c r="O47" i="22"/>
  <c r="O49" i="22" s="1"/>
  <c r="G50" i="22"/>
  <c r="G52" i="22" s="1"/>
  <c r="H47" i="22"/>
  <c r="H50" i="22" s="1"/>
  <c r="H52" i="22" s="1"/>
  <c r="E50" i="22"/>
  <c r="I50" i="22"/>
  <c r="K50" i="22"/>
  <c r="K52" i="22" s="1"/>
  <c r="F50" i="22"/>
  <c r="J50" i="22"/>
  <c r="I9" i="22"/>
  <c r="I21" i="22"/>
  <c r="I45" i="22"/>
  <c r="I135" i="22"/>
  <c r="M5" i="22"/>
  <c r="M7" i="22" s="1"/>
  <c r="O5" i="22"/>
  <c r="O7" i="22" s="1"/>
  <c r="I33" i="22"/>
  <c r="I12" i="22"/>
  <c r="I24" i="22"/>
  <c r="I36" i="22"/>
  <c r="I138" i="22"/>
  <c r="J6" i="22"/>
  <c r="I18" i="22"/>
  <c r="I30" i="22"/>
  <c r="I42" i="22"/>
  <c r="I132" i="22"/>
  <c r="I144" i="22"/>
  <c r="I27" i="22"/>
  <c r="I39" i="22"/>
  <c r="I15" i="22"/>
  <c r="I141" i="22"/>
  <c r="J9" i="22"/>
  <c r="J15" i="22"/>
  <c r="J21" i="22"/>
  <c r="J27" i="22"/>
  <c r="J33" i="22"/>
  <c r="J39" i="22"/>
  <c r="J45" i="22"/>
  <c r="J129" i="22"/>
  <c r="J135" i="22"/>
  <c r="J141" i="22"/>
  <c r="H145" i="22"/>
  <c r="H133" i="22"/>
  <c r="H43" i="22"/>
  <c r="H31" i="22"/>
  <c r="H19" i="22"/>
  <c r="H7" i="22"/>
  <c r="F18" i="22"/>
  <c r="N17" i="22"/>
  <c r="F36" i="22"/>
  <c r="N35" i="22"/>
  <c r="F132" i="22"/>
  <c r="N131" i="22"/>
  <c r="O25" i="22"/>
  <c r="O139" i="22"/>
  <c r="G16" i="22"/>
  <c r="F16" i="22"/>
  <c r="E16" i="22"/>
  <c r="D16" i="22"/>
  <c r="G40" i="22"/>
  <c r="F40" i="22"/>
  <c r="E40" i="22"/>
  <c r="D40" i="22"/>
  <c r="E9" i="22"/>
  <c r="M8" i="22"/>
  <c r="E15" i="22"/>
  <c r="M14" i="22"/>
  <c r="E21" i="22"/>
  <c r="M20" i="22"/>
  <c r="E27" i="22"/>
  <c r="M26" i="22"/>
  <c r="E33" i="22"/>
  <c r="M32" i="22"/>
  <c r="E39" i="22"/>
  <c r="M38" i="22"/>
  <c r="E45" i="22"/>
  <c r="M44" i="22"/>
  <c r="E129" i="22"/>
  <c r="M128" i="22"/>
  <c r="E135" i="22"/>
  <c r="M134" i="22"/>
  <c r="E141" i="22"/>
  <c r="M140" i="22"/>
  <c r="J12" i="22"/>
  <c r="J18" i="22"/>
  <c r="J24" i="22"/>
  <c r="J30" i="22"/>
  <c r="J36" i="22"/>
  <c r="J42" i="22"/>
  <c r="J48" i="22"/>
  <c r="J132" i="22"/>
  <c r="J138" i="22"/>
  <c r="J144" i="22"/>
  <c r="L142" i="22"/>
  <c r="H142" i="22"/>
  <c r="L130" i="22"/>
  <c r="H130" i="22"/>
  <c r="L40" i="22"/>
  <c r="H40" i="22"/>
  <c r="L28" i="22"/>
  <c r="H28" i="22"/>
  <c r="L16" i="22"/>
  <c r="H16" i="22"/>
  <c r="L7" i="22"/>
  <c r="L133" i="22"/>
  <c r="O16" i="22"/>
  <c r="O28" i="22"/>
  <c r="O40" i="22"/>
  <c r="O130" i="22"/>
  <c r="O142" i="22"/>
  <c r="G37" i="22"/>
  <c r="D37" i="22"/>
  <c r="F37" i="22"/>
  <c r="E37" i="22"/>
  <c r="F12" i="22"/>
  <c r="N11" i="22"/>
  <c r="F30" i="22"/>
  <c r="N29" i="22"/>
  <c r="F42" i="22"/>
  <c r="N41" i="22"/>
  <c r="F144" i="22"/>
  <c r="N143" i="22"/>
  <c r="L43" i="22"/>
  <c r="O13" i="22"/>
  <c r="G28" i="22"/>
  <c r="D28" i="22"/>
  <c r="F28" i="22"/>
  <c r="E28" i="22"/>
  <c r="G130" i="22"/>
  <c r="F130" i="22"/>
  <c r="E130" i="22"/>
  <c r="D130" i="22"/>
  <c r="G142" i="22"/>
  <c r="F142" i="22"/>
  <c r="E142" i="22"/>
  <c r="D142" i="22"/>
  <c r="J7" i="22"/>
  <c r="I7" i="22"/>
  <c r="K7" i="22"/>
  <c r="G7" i="22"/>
  <c r="F7" i="22"/>
  <c r="E7" i="22"/>
  <c r="G19" i="22"/>
  <c r="F19" i="22"/>
  <c r="E19" i="22"/>
  <c r="D19" i="22"/>
  <c r="G43" i="22"/>
  <c r="D43" i="22"/>
  <c r="F43" i="22"/>
  <c r="E43" i="22"/>
  <c r="G133" i="22"/>
  <c r="F133" i="22"/>
  <c r="E133" i="22"/>
  <c r="D133" i="22"/>
  <c r="D145" i="22"/>
  <c r="G145" i="22"/>
  <c r="F145" i="22"/>
  <c r="E145" i="22"/>
  <c r="F9" i="22"/>
  <c r="N8" i="22"/>
  <c r="F15" i="22"/>
  <c r="N14" i="22"/>
  <c r="F21" i="22"/>
  <c r="N20" i="22"/>
  <c r="F27" i="22"/>
  <c r="N26" i="22"/>
  <c r="F33" i="22"/>
  <c r="N32" i="22"/>
  <c r="F39" i="22"/>
  <c r="N38" i="22"/>
  <c r="F45" i="22"/>
  <c r="N44" i="22"/>
  <c r="F129" i="22"/>
  <c r="N128" i="22"/>
  <c r="F135" i="22"/>
  <c r="N134" i="22"/>
  <c r="F141" i="22"/>
  <c r="N140" i="22"/>
  <c r="L139" i="22"/>
  <c r="H139" i="22"/>
  <c r="L49" i="22"/>
  <c r="L37" i="22"/>
  <c r="H37" i="22"/>
  <c r="L25" i="22"/>
  <c r="H25" i="22"/>
  <c r="L13" i="22"/>
  <c r="H13" i="22"/>
  <c r="L19" i="22"/>
  <c r="L145" i="22"/>
  <c r="H10" i="22"/>
  <c r="O19" i="22"/>
  <c r="O31" i="22"/>
  <c r="O43" i="22"/>
  <c r="O133" i="22"/>
  <c r="O145" i="22"/>
  <c r="N5" i="22"/>
  <c r="G13" i="22"/>
  <c r="D13" i="22"/>
  <c r="F13" i="22"/>
  <c r="E13" i="22"/>
  <c r="G25" i="22"/>
  <c r="F25" i="22"/>
  <c r="D25" i="22"/>
  <c r="E25" i="22"/>
  <c r="G49" i="22"/>
  <c r="F49" i="22"/>
  <c r="E49" i="22"/>
  <c r="D49" i="22"/>
  <c r="G139" i="22"/>
  <c r="F139" i="22"/>
  <c r="E139" i="22"/>
  <c r="D139" i="22"/>
  <c r="F24" i="22"/>
  <c r="N23" i="22"/>
  <c r="F48" i="22"/>
  <c r="N47" i="22"/>
  <c r="F138" i="22"/>
  <c r="N137" i="22"/>
  <c r="O37" i="22"/>
  <c r="G10" i="22"/>
  <c r="F10" i="22"/>
  <c r="D10" i="22"/>
  <c r="E10" i="22"/>
  <c r="G22" i="22"/>
  <c r="D22" i="22"/>
  <c r="F22" i="22"/>
  <c r="E22" i="22"/>
  <c r="G34" i="22"/>
  <c r="F34" i="22"/>
  <c r="D34" i="22"/>
  <c r="E34" i="22"/>
  <c r="G46" i="22"/>
  <c r="F46" i="22"/>
  <c r="D46" i="22"/>
  <c r="E46" i="22"/>
  <c r="G136" i="22"/>
  <c r="F136" i="22"/>
  <c r="E136" i="22"/>
  <c r="D136" i="22"/>
  <c r="I6" i="22"/>
  <c r="E12" i="22"/>
  <c r="M11" i="22"/>
  <c r="E18" i="22"/>
  <c r="M17" i="22"/>
  <c r="E24" i="22"/>
  <c r="M23" i="22"/>
  <c r="E30" i="22"/>
  <c r="M29" i="22"/>
  <c r="E36" i="22"/>
  <c r="M35" i="22"/>
  <c r="E42" i="22"/>
  <c r="M41" i="22"/>
  <c r="E48" i="22"/>
  <c r="M47" i="22"/>
  <c r="E132" i="22"/>
  <c r="M131" i="22"/>
  <c r="E138" i="22"/>
  <c r="M137" i="22"/>
  <c r="E144" i="22"/>
  <c r="M143" i="22"/>
  <c r="L136" i="22"/>
  <c r="H136" i="22"/>
  <c r="L46" i="22"/>
  <c r="H46" i="22"/>
  <c r="L34" i="22"/>
  <c r="H34" i="22"/>
  <c r="L22" i="22"/>
  <c r="H22" i="22"/>
  <c r="L10" i="22"/>
  <c r="L31" i="22"/>
  <c r="O8" i="22"/>
  <c r="O10" i="22" s="1"/>
  <c r="O20" i="22"/>
  <c r="O22" i="22" s="1"/>
  <c r="O32" i="22"/>
  <c r="O34" i="22" s="1"/>
  <c r="O44" i="22"/>
  <c r="O46" i="22" s="1"/>
  <c r="O134" i="22"/>
  <c r="O136" i="22" s="1"/>
  <c r="T32" i="6"/>
  <c r="R32" i="6"/>
  <c r="T6" i="6"/>
  <c r="T7" i="6"/>
  <c r="T8" i="6"/>
  <c r="T9" i="6"/>
  <c r="T10" i="6"/>
  <c r="T11" i="6"/>
  <c r="T12" i="6"/>
  <c r="T13" i="6"/>
  <c r="T14" i="6"/>
  <c r="T15" i="6"/>
  <c r="T16" i="6"/>
  <c r="T18" i="6"/>
  <c r="T19" i="6"/>
  <c r="T20" i="6"/>
  <c r="T21" i="6"/>
  <c r="T22" i="6"/>
  <c r="T23" i="6"/>
  <c r="T24" i="6"/>
  <c r="T25" i="6"/>
  <c r="T26" i="6"/>
  <c r="T28" i="6"/>
  <c r="T29" i="6"/>
  <c r="R6" i="6"/>
  <c r="R7" i="6"/>
  <c r="R8" i="6"/>
  <c r="R9" i="6"/>
  <c r="R10" i="6"/>
  <c r="R11" i="6"/>
  <c r="R12" i="6"/>
  <c r="R13" i="6"/>
  <c r="R14" i="6"/>
  <c r="R15" i="6"/>
  <c r="R16" i="6"/>
  <c r="R18" i="6"/>
  <c r="R19" i="6"/>
  <c r="R20" i="6"/>
  <c r="R21" i="6"/>
  <c r="R22" i="6"/>
  <c r="R23" i="6"/>
  <c r="R24" i="6"/>
  <c r="R25" i="6"/>
  <c r="R26" i="6"/>
  <c r="R28" i="6"/>
  <c r="R29" i="6"/>
  <c r="T5" i="6"/>
  <c r="R5" i="6"/>
  <c r="F147" i="22" l="1"/>
  <c r="I129" i="22"/>
  <c r="J150" i="22"/>
  <c r="N149" i="22"/>
  <c r="N152" i="22" s="1"/>
  <c r="I147" i="22"/>
  <c r="I148" i="22"/>
  <c r="M146" i="22"/>
  <c r="N146" i="22"/>
  <c r="E147" i="22"/>
  <c r="E148" i="22"/>
  <c r="J148" i="22"/>
  <c r="J147" i="22"/>
  <c r="O146" i="22"/>
  <c r="O148" i="22" s="1"/>
  <c r="H49" i="22"/>
  <c r="O149" i="22"/>
  <c r="O152" i="22" s="1"/>
  <c r="O154" i="22" s="1"/>
  <c r="J153" i="22"/>
  <c r="H149" i="22"/>
  <c r="H151" i="22" s="1"/>
  <c r="I48" i="22"/>
  <c r="M50" i="22"/>
  <c r="M52" i="22" s="1"/>
  <c r="M149" i="22"/>
  <c r="N150" i="22" s="1"/>
  <c r="E152" i="22"/>
  <c r="F153" i="22" s="1"/>
  <c r="F150" i="22"/>
  <c r="J52" i="22"/>
  <c r="J51" i="22"/>
  <c r="E51" i="22"/>
  <c r="E52" i="22"/>
  <c r="F52" i="22"/>
  <c r="F51" i="22"/>
  <c r="N50" i="22"/>
  <c r="I51" i="22"/>
  <c r="I52" i="22"/>
  <c r="O50" i="22"/>
  <c r="O52" i="22" s="1"/>
  <c r="N138" i="22"/>
  <c r="N139" i="22"/>
  <c r="N24" i="22"/>
  <c r="N25" i="22"/>
  <c r="N30" i="22"/>
  <c r="N31" i="22"/>
  <c r="N132" i="22"/>
  <c r="N133" i="22"/>
  <c r="M145" i="22"/>
  <c r="M144" i="22"/>
  <c r="M133" i="22"/>
  <c r="M132" i="22"/>
  <c r="M43" i="22"/>
  <c r="M42" i="22"/>
  <c r="M31" i="22"/>
  <c r="M30" i="22"/>
  <c r="M19" i="22"/>
  <c r="M18" i="22"/>
  <c r="J139" i="22"/>
  <c r="I139" i="22"/>
  <c r="K139" i="22"/>
  <c r="J25" i="22"/>
  <c r="I25" i="22"/>
  <c r="K25" i="22"/>
  <c r="N142" i="22"/>
  <c r="N141" i="22"/>
  <c r="N130" i="22"/>
  <c r="N129" i="22"/>
  <c r="N40" i="22"/>
  <c r="N39" i="22"/>
  <c r="N28" i="22"/>
  <c r="N27" i="22"/>
  <c r="N16" i="22"/>
  <c r="N15" i="22"/>
  <c r="J145" i="22"/>
  <c r="I145" i="22"/>
  <c r="K145" i="22"/>
  <c r="J31" i="22"/>
  <c r="I31" i="22"/>
  <c r="K31" i="22"/>
  <c r="J133" i="22"/>
  <c r="I133" i="22"/>
  <c r="K133" i="22"/>
  <c r="J19" i="22"/>
  <c r="I19" i="22"/>
  <c r="K19" i="22"/>
  <c r="M46" i="22"/>
  <c r="M45" i="22"/>
  <c r="M10" i="22"/>
  <c r="M9" i="22"/>
  <c r="N18" i="22"/>
  <c r="N19" i="22"/>
  <c r="N48" i="22"/>
  <c r="N49" i="22"/>
  <c r="N6" i="22"/>
  <c r="N7" i="22"/>
  <c r="J142" i="22"/>
  <c r="I142" i="22"/>
  <c r="K142" i="22"/>
  <c r="J130" i="22"/>
  <c r="I130" i="22"/>
  <c r="K130" i="22"/>
  <c r="J40" i="22"/>
  <c r="I40" i="22"/>
  <c r="K40" i="22"/>
  <c r="J28" i="22"/>
  <c r="I28" i="22"/>
  <c r="K28" i="22"/>
  <c r="J16" i="22"/>
  <c r="I16" i="22"/>
  <c r="K16" i="22"/>
  <c r="N42" i="22"/>
  <c r="N43" i="22"/>
  <c r="N13" i="22"/>
  <c r="N12" i="22"/>
  <c r="M142" i="22"/>
  <c r="M141" i="22"/>
  <c r="M130" i="22"/>
  <c r="M129" i="22"/>
  <c r="M40" i="22"/>
  <c r="M39" i="22"/>
  <c r="M28" i="22"/>
  <c r="M27" i="22"/>
  <c r="M16" i="22"/>
  <c r="M15" i="22"/>
  <c r="N36" i="22"/>
  <c r="N37" i="22"/>
  <c r="M6" i="22"/>
  <c r="J136" i="22"/>
  <c r="I136" i="22"/>
  <c r="K136" i="22"/>
  <c r="J46" i="22"/>
  <c r="I46" i="22"/>
  <c r="K46" i="22"/>
  <c r="J34" i="22"/>
  <c r="I34" i="22"/>
  <c r="K34" i="22"/>
  <c r="J22" i="22"/>
  <c r="I22" i="22"/>
  <c r="K22" i="22"/>
  <c r="J10" i="22"/>
  <c r="I10" i="22"/>
  <c r="K10" i="22"/>
  <c r="N144" i="22"/>
  <c r="N145" i="22"/>
  <c r="M136" i="22"/>
  <c r="M135" i="22"/>
  <c r="M34" i="22"/>
  <c r="M33" i="22"/>
  <c r="M22" i="22"/>
  <c r="M21" i="22"/>
  <c r="M139" i="22"/>
  <c r="M138" i="22"/>
  <c r="M49" i="22"/>
  <c r="M48" i="22"/>
  <c r="M37" i="22"/>
  <c r="M36" i="22"/>
  <c r="M25" i="22"/>
  <c r="M24" i="22"/>
  <c r="M12" i="22"/>
  <c r="M13" i="22"/>
  <c r="J49" i="22"/>
  <c r="I49" i="22"/>
  <c r="K49" i="22"/>
  <c r="N136" i="22"/>
  <c r="N135" i="22"/>
  <c r="N46" i="22"/>
  <c r="N45" i="22"/>
  <c r="N34" i="22"/>
  <c r="N33" i="22"/>
  <c r="N22" i="22"/>
  <c r="N21" i="22"/>
  <c r="N10" i="22"/>
  <c r="N9" i="22"/>
  <c r="J43" i="22"/>
  <c r="I43" i="22"/>
  <c r="K43" i="22"/>
  <c r="J13" i="22"/>
  <c r="I13" i="22"/>
  <c r="K13" i="22"/>
  <c r="J37" i="22"/>
  <c r="I37" i="22"/>
  <c r="K37" i="22"/>
  <c r="E5" i="6"/>
  <c r="F5" i="6" s="1"/>
  <c r="V5" i="6" s="1"/>
  <c r="E6" i="6"/>
  <c r="F6" i="6" s="1"/>
  <c r="E7" i="6"/>
  <c r="E8" i="6"/>
  <c r="E9" i="6"/>
  <c r="E10" i="6"/>
  <c r="E11" i="6"/>
  <c r="E12" i="6"/>
  <c r="E13" i="6"/>
  <c r="D7" i="6"/>
  <c r="D8" i="6"/>
  <c r="D9" i="6"/>
  <c r="D10" i="6"/>
  <c r="D11" i="6"/>
  <c r="D12" i="6"/>
  <c r="D13" i="6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" i="1"/>
  <c r="C4" i="1"/>
  <c r="C2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4" i="1"/>
  <c r="D3" i="1"/>
  <c r="D2" i="1"/>
  <c r="D15" i="6"/>
  <c r="D16" i="6"/>
  <c r="D18" i="6"/>
  <c r="D19" i="6"/>
  <c r="D22" i="6"/>
  <c r="D23" i="6"/>
  <c r="D24" i="6"/>
  <c r="D28" i="6"/>
  <c r="E14" i="6"/>
  <c r="F14" i="6" s="1"/>
  <c r="N151" i="22" l="1"/>
  <c r="O151" i="22"/>
  <c r="F12" i="6"/>
  <c r="F8" i="6"/>
  <c r="M51" i="22"/>
  <c r="M147" i="22"/>
  <c r="M148" i="22"/>
  <c r="N147" i="22"/>
  <c r="N148" i="22"/>
  <c r="I150" i="22"/>
  <c r="H152" i="22"/>
  <c r="H154" i="22" s="1"/>
  <c r="I154" i="22"/>
  <c r="J154" i="22"/>
  <c r="K154" i="22"/>
  <c r="M151" i="22"/>
  <c r="M150" i="22"/>
  <c r="M152" i="22"/>
  <c r="N153" i="22" s="1"/>
  <c r="N154" i="22"/>
  <c r="I151" i="22"/>
  <c r="J151" i="22"/>
  <c r="K151" i="22"/>
  <c r="N52" i="22"/>
  <c r="N51" i="22"/>
  <c r="F11" i="6"/>
  <c r="F7" i="6"/>
  <c r="F13" i="6"/>
  <c r="V13" i="6" s="1"/>
  <c r="F9" i="6"/>
  <c r="Q9" i="6" s="1"/>
  <c r="F10" i="6"/>
  <c r="S10" i="6" s="1"/>
  <c r="S6" i="6"/>
  <c r="V6" i="6"/>
  <c r="W6" i="6"/>
  <c r="Q5" i="6"/>
  <c r="E7" i="1"/>
  <c r="E4" i="1"/>
  <c r="E6" i="1"/>
  <c r="E17" i="1"/>
  <c r="E31" i="1"/>
  <c r="E26" i="1"/>
  <c r="E18" i="1"/>
  <c r="E22" i="1"/>
  <c r="E13" i="1"/>
  <c r="E30" i="1"/>
  <c r="E2" i="1"/>
  <c r="E12" i="1"/>
  <c r="E16" i="1"/>
  <c r="E20" i="1"/>
  <c r="E25" i="1"/>
  <c r="E29" i="1"/>
  <c r="E3" i="1"/>
  <c r="E8" i="1"/>
  <c r="E11" i="1"/>
  <c r="E15" i="1"/>
  <c r="E19" i="1"/>
  <c r="E24" i="1"/>
  <c r="E28" i="1"/>
  <c r="E10" i="1"/>
  <c r="E14" i="1"/>
  <c r="E23" i="1"/>
  <c r="E27" i="1"/>
  <c r="Q10" i="6" l="1"/>
  <c r="I153" i="22"/>
  <c r="M154" i="22"/>
  <c r="M153" i="22"/>
  <c r="S9" i="6"/>
  <c r="W10" i="6"/>
  <c r="S5" i="6"/>
  <c r="Q6" i="6"/>
  <c r="Q13" i="6"/>
  <c r="W13" i="6"/>
  <c r="W9" i="6"/>
  <c r="V9" i="6"/>
  <c r="W5" i="6"/>
  <c r="S13" i="6"/>
  <c r="V10" i="6"/>
  <c r="W7" i="6"/>
  <c r="S7" i="6"/>
  <c r="Q7" i="6"/>
  <c r="V7" i="6"/>
  <c r="V8" i="6"/>
  <c r="W8" i="6"/>
  <c r="S8" i="6"/>
  <c r="Q8" i="6"/>
  <c r="W11" i="6"/>
  <c r="S11" i="6"/>
  <c r="Q11" i="6"/>
  <c r="V11" i="6"/>
  <c r="V12" i="6"/>
  <c r="W12" i="6"/>
  <c r="S12" i="6"/>
  <c r="Q12" i="6"/>
  <c r="AE18" i="6"/>
  <c r="D7" i="7" l="1"/>
  <c r="D8" i="7" s="1"/>
  <c r="E15" i="6" l="1"/>
  <c r="F15" i="6" s="1"/>
  <c r="E16" i="6"/>
  <c r="F16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8" i="6"/>
  <c r="F28" i="6" s="1"/>
  <c r="E29" i="6"/>
  <c r="F29" i="6" s="1"/>
  <c r="E32" i="6" l="1"/>
  <c r="C20" i="8"/>
  <c r="C22" i="8"/>
  <c r="C21" i="8"/>
  <c r="B20" i="8"/>
  <c r="B22" i="8"/>
  <c r="B21" i="8"/>
  <c r="E13" i="7" l="1"/>
  <c r="A5" i="8"/>
  <c r="P32" i="6"/>
  <c r="N32" i="6"/>
  <c r="L32" i="6"/>
  <c r="J32" i="6"/>
  <c r="H32" i="6"/>
  <c r="P29" i="6"/>
  <c r="N29" i="6"/>
  <c r="L29" i="6"/>
  <c r="J29" i="6"/>
  <c r="H29" i="6"/>
  <c r="P28" i="6"/>
  <c r="N28" i="6"/>
  <c r="L28" i="6"/>
  <c r="J28" i="6"/>
  <c r="H28" i="6"/>
  <c r="P26" i="6"/>
  <c r="N26" i="6"/>
  <c r="L26" i="6"/>
  <c r="J26" i="6"/>
  <c r="H26" i="6"/>
  <c r="P25" i="6"/>
  <c r="N25" i="6"/>
  <c r="L25" i="6"/>
  <c r="J25" i="6"/>
  <c r="H25" i="6"/>
  <c r="P24" i="6"/>
  <c r="N24" i="6"/>
  <c r="L24" i="6"/>
  <c r="J24" i="6"/>
  <c r="H24" i="6"/>
  <c r="P23" i="6"/>
  <c r="N23" i="6"/>
  <c r="L23" i="6"/>
  <c r="J23" i="6"/>
  <c r="H23" i="6"/>
  <c r="P22" i="6"/>
  <c r="N22" i="6"/>
  <c r="L22" i="6"/>
  <c r="J22" i="6"/>
  <c r="H22" i="6"/>
  <c r="P21" i="6"/>
  <c r="N21" i="6"/>
  <c r="L21" i="6"/>
  <c r="J21" i="6"/>
  <c r="H21" i="6"/>
  <c r="P20" i="6"/>
  <c r="N20" i="6"/>
  <c r="L20" i="6"/>
  <c r="J20" i="6"/>
  <c r="H20" i="6"/>
  <c r="P19" i="6"/>
  <c r="N19" i="6"/>
  <c r="L19" i="6"/>
  <c r="J19" i="6"/>
  <c r="H19" i="6"/>
  <c r="P18" i="6"/>
  <c r="N18" i="6"/>
  <c r="L18" i="6"/>
  <c r="J18" i="6"/>
  <c r="H18" i="6"/>
  <c r="P16" i="6"/>
  <c r="N16" i="6"/>
  <c r="L16" i="6"/>
  <c r="J16" i="6"/>
  <c r="H16" i="6"/>
  <c r="P15" i="6"/>
  <c r="N15" i="6"/>
  <c r="L15" i="6"/>
  <c r="J15" i="6"/>
  <c r="H15" i="6"/>
  <c r="P14" i="6"/>
  <c r="N14" i="6"/>
  <c r="L14" i="6"/>
  <c r="J14" i="6"/>
  <c r="H14" i="6"/>
  <c r="P13" i="6"/>
  <c r="N13" i="6"/>
  <c r="L13" i="6"/>
  <c r="J13" i="6"/>
  <c r="H13" i="6"/>
  <c r="P12" i="6"/>
  <c r="N12" i="6"/>
  <c r="L12" i="6"/>
  <c r="J12" i="6"/>
  <c r="H12" i="6"/>
  <c r="P11" i="6"/>
  <c r="N11" i="6"/>
  <c r="L11" i="6"/>
  <c r="J11" i="6"/>
  <c r="H11" i="6"/>
  <c r="P10" i="6"/>
  <c r="N10" i="6"/>
  <c r="L10" i="6"/>
  <c r="J10" i="6"/>
  <c r="H10" i="6"/>
  <c r="P9" i="6"/>
  <c r="N9" i="6"/>
  <c r="L9" i="6"/>
  <c r="J9" i="6"/>
  <c r="H9" i="6"/>
  <c r="P8" i="6"/>
  <c r="N8" i="6"/>
  <c r="L8" i="6"/>
  <c r="J8" i="6"/>
  <c r="H8" i="6"/>
  <c r="P7" i="6"/>
  <c r="N7" i="6"/>
  <c r="L7" i="6"/>
  <c r="J7" i="6"/>
  <c r="H7" i="6"/>
  <c r="P6" i="6"/>
  <c r="N6" i="6"/>
  <c r="L6" i="6"/>
  <c r="J6" i="6"/>
  <c r="H6" i="6"/>
  <c r="P5" i="6"/>
  <c r="N5" i="6"/>
  <c r="L5" i="6"/>
  <c r="J5" i="6"/>
  <c r="H5" i="6"/>
  <c r="D19" i="7"/>
  <c r="D18" i="7"/>
  <c r="E7" i="7"/>
  <c r="F7" i="7" s="1"/>
  <c r="F8" i="7" l="1"/>
  <c r="W18" i="6"/>
  <c r="S18" i="6"/>
  <c r="Q18" i="6"/>
  <c r="V18" i="6"/>
  <c r="V24" i="6"/>
  <c r="W24" i="6"/>
  <c r="S24" i="6"/>
  <c r="Q24" i="6"/>
  <c r="V29" i="6"/>
  <c r="W29" i="6"/>
  <c r="S29" i="6"/>
  <c r="Q29" i="6"/>
  <c r="S22" i="6"/>
  <c r="V22" i="6"/>
  <c r="W22" i="6"/>
  <c r="Q22" i="6"/>
  <c r="Q14" i="6"/>
  <c r="V14" i="6"/>
  <c r="W14" i="6"/>
  <c r="S14" i="6"/>
  <c r="Q26" i="6"/>
  <c r="W26" i="6"/>
  <c r="V26" i="6"/>
  <c r="S26" i="6"/>
  <c r="A6" i="8"/>
  <c r="B6" i="8"/>
  <c r="P29" i="10"/>
  <c r="Q29" i="10"/>
  <c r="K5" i="6"/>
  <c r="G5" i="6"/>
  <c r="M5" i="6"/>
  <c r="O5" i="6"/>
  <c r="I5" i="6"/>
  <c r="M13" i="6"/>
  <c r="K13" i="6"/>
  <c r="O13" i="6"/>
  <c r="G13" i="6"/>
  <c r="I13" i="6"/>
  <c r="M29" i="6"/>
  <c r="O29" i="6"/>
  <c r="G29" i="6"/>
  <c r="I29" i="6"/>
  <c r="K29" i="6"/>
  <c r="O9" i="6"/>
  <c r="G9" i="6"/>
  <c r="I9" i="6"/>
  <c r="K9" i="6"/>
  <c r="M9" i="6"/>
  <c r="O8" i="6"/>
  <c r="M8" i="6"/>
  <c r="K8" i="6"/>
  <c r="I8" i="6"/>
  <c r="G8" i="6"/>
  <c r="O24" i="6"/>
  <c r="M24" i="6"/>
  <c r="K24" i="6"/>
  <c r="I24" i="6"/>
  <c r="G24" i="6"/>
  <c r="O6" i="6"/>
  <c r="M6" i="6"/>
  <c r="K6" i="6"/>
  <c r="I6" i="6"/>
  <c r="G6" i="6"/>
  <c r="O10" i="6"/>
  <c r="M10" i="6"/>
  <c r="K10" i="6"/>
  <c r="I10" i="6"/>
  <c r="G10" i="6"/>
  <c r="O14" i="6"/>
  <c r="M14" i="6"/>
  <c r="K14" i="6"/>
  <c r="I14" i="6"/>
  <c r="G14" i="6"/>
  <c r="O18" i="6"/>
  <c r="M18" i="6"/>
  <c r="K18" i="6"/>
  <c r="I18" i="6"/>
  <c r="G18" i="6"/>
  <c r="O22" i="6"/>
  <c r="M22" i="6"/>
  <c r="K22" i="6"/>
  <c r="I22" i="6"/>
  <c r="G22" i="6"/>
  <c r="O26" i="6"/>
  <c r="M26" i="6"/>
  <c r="K26" i="6"/>
  <c r="I26" i="6"/>
  <c r="G26" i="6"/>
  <c r="E19" i="7"/>
  <c r="E18" i="7"/>
  <c r="D32" i="6"/>
  <c r="G12" i="8" l="1"/>
  <c r="G16" i="8"/>
  <c r="G15" i="8"/>
  <c r="G11" i="8"/>
  <c r="G14" i="8"/>
  <c r="G13" i="8"/>
  <c r="G17" i="8"/>
  <c r="P50" i="22"/>
  <c r="P146" i="22"/>
  <c r="P125" i="22"/>
  <c r="O13" i="23"/>
  <c r="P149" i="22"/>
  <c r="F32" i="6"/>
  <c r="C13" i="7"/>
  <c r="P119" i="22"/>
  <c r="P104" i="22"/>
  <c r="P110" i="22"/>
  <c r="P116" i="22"/>
  <c r="P107" i="22"/>
  <c r="P101" i="22"/>
  <c r="P113" i="22"/>
  <c r="P122" i="22"/>
  <c r="P98" i="22"/>
  <c r="P65" i="22"/>
  <c r="P89" i="22"/>
  <c r="P86" i="22"/>
  <c r="P62" i="22"/>
  <c r="P68" i="22"/>
  <c r="P74" i="22"/>
  <c r="P53" i="22"/>
  <c r="P56" i="22"/>
  <c r="P59" i="22"/>
  <c r="P95" i="22"/>
  <c r="P80" i="22"/>
  <c r="P77" i="22"/>
  <c r="P92" i="22"/>
  <c r="P71" i="22"/>
  <c r="P83" i="22"/>
  <c r="O5" i="23"/>
  <c r="O6" i="23"/>
  <c r="O10" i="23"/>
  <c r="O15" i="23"/>
  <c r="O16" i="23"/>
  <c r="O7" i="23"/>
  <c r="O11" i="23"/>
  <c r="O8" i="23"/>
  <c r="O12" i="23"/>
  <c r="O17" i="23"/>
  <c r="O9" i="23"/>
  <c r="O14" i="23"/>
  <c r="W23" i="6"/>
  <c r="S23" i="6"/>
  <c r="Q23" i="6"/>
  <c r="V23" i="6"/>
  <c r="V20" i="6"/>
  <c r="W20" i="6"/>
  <c r="S20" i="6"/>
  <c r="Q20" i="6"/>
  <c r="V25" i="6"/>
  <c r="W25" i="6"/>
  <c r="S25" i="6"/>
  <c r="Q25" i="6"/>
  <c r="W19" i="6"/>
  <c r="S19" i="6"/>
  <c r="Q19" i="6"/>
  <c r="V19" i="6"/>
  <c r="V16" i="6"/>
  <c r="W16" i="6"/>
  <c r="S16" i="6"/>
  <c r="Q16" i="6"/>
  <c r="V21" i="6"/>
  <c r="W21" i="6"/>
  <c r="S21" i="6"/>
  <c r="Q21" i="6"/>
  <c r="W15" i="6"/>
  <c r="S15" i="6"/>
  <c r="Q15" i="6"/>
  <c r="V15" i="6"/>
  <c r="V28" i="6"/>
  <c r="W28" i="6"/>
  <c r="S28" i="6"/>
  <c r="Q28" i="6"/>
  <c r="P140" i="22"/>
  <c r="P143" i="22"/>
  <c r="P134" i="22"/>
  <c r="P137" i="22"/>
  <c r="P128" i="22"/>
  <c r="P131" i="22"/>
  <c r="P44" i="22"/>
  <c r="P47" i="22"/>
  <c r="P38" i="22"/>
  <c r="P41" i="22"/>
  <c r="P32" i="22"/>
  <c r="P35" i="22"/>
  <c r="P26" i="22"/>
  <c r="P29" i="22"/>
  <c r="P20" i="22"/>
  <c r="P23" i="22"/>
  <c r="P14" i="22"/>
  <c r="P17" i="22"/>
  <c r="P8" i="22"/>
  <c r="P11" i="22"/>
  <c r="P5" i="22"/>
  <c r="G7" i="7"/>
  <c r="O7" i="6"/>
  <c r="M7" i="6"/>
  <c r="K7" i="6"/>
  <c r="I7" i="6"/>
  <c r="G7" i="6"/>
  <c r="O20" i="6"/>
  <c r="M20" i="6"/>
  <c r="K20" i="6"/>
  <c r="I20" i="6"/>
  <c r="G20" i="6"/>
  <c r="O12" i="6"/>
  <c r="M12" i="6"/>
  <c r="K12" i="6"/>
  <c r="I12" i="6"/>
  <c r="G12" i="6"/>
  <c r="I21" i="6"/>
  <c r="K21" i="6"/>
  <c r="G21" i="6"/>
  <c r="M21" i="6"/>
  <c r="O21" i="6"/>
  <c r="O15" i="6"/>
  <c r="M15" i="6"/>
  <c r="K15" i="6"/>
  <c r="I15" i="6"/>
  <c r="G15" i="6"/>
  <c r="O28" i="6"/>
  <c r="M28" i="6"/>
  <c r="K28" i="6"/>
  <c r="I28" i="6"/>
  <c r="G28" i="6"/>
  <c r="O23" i="6"/>
  <c r="M23" i="6"/>
  <c r="K23" i="6"/>
  <c r="I23" i="6"/>
  <c r="G23" i="6"/>
  <c r="O11" i="6"/>
  <c r="M11" i="6"/>
  <c r="K11" i="6"/>
  <c r="I11" i="6"/>
  <c r="G11" i="6"/>
  <c r="O16" i="6"/>
  <c r="M16" i="6"/>
  <c r="K16" i="6"/>
  <c r="I16" i="6"/>
  <c r="G16" i="6"/>
  <c r="O25" i="6"/>
  <c r="G25" i="6"/>
  <c r="I25" i="6"/>
  <c r="M25" i="6"/>
  <c r="K25" i="6"/>
  <c r="O19" i="6"/>
  <c r="M19" i="6"/>
  <c r="K19" i="6"/>
  <c r="I19" i="6"/>
  <c r="G19" i="6"/>
  <c r="I17" i="8" l="1"/>
  <c r="H17" i="8"/>
  <c r="H15" i="8"/>
  <c r="I15" i="8"/>
  <c r="I13" i="8"/>
  <c r="H13" i="8"/>
  <c r="I16" i="8"/>
  <c r="H16" i="8"/>
  <c r="I11" i="8"/>
  <c r="H11" i="8"/>
  <c r="H14" i="8"/>
  <c r="I14" i="8"/>
  <c r="I12" i="8"/>
  <c r="H12" i="8"/>
  <c r="W32" i="6"/>
  <c r="V32" i="6"/>
  <c r="S32" i="6"/>
  <c r="Q32" i="6"/>
  <c r="O18" i="23"/>
  <c r="O19" i="23" s="1"/>
  <c r="I32" i="6"/>
  <c r="G32" i="6"/>
  <c r="O32" i="6"/>
  <c r="K32" i="6"/>
  <c r="M32" i="6"/>
  <c r="E88" i="22"/>
  <c r="F88" i="22"/>
  <c r="M88" i="22"/>
  <c r="N88" i="22"/>
  <c r="G88" i="22"/>
  <c r="O88" i="22"/>
  <c r="D86" i="22"/>
  <c r="E87" i="22" l="1"/>
  <c r="D88" i="22"/>
  <c r="M87" i="22"/>
  <c r="I87" i="22"/>
  <c r="L88" i="22" l="1"/>
  <c r="F94" i="22"/>
  <c r="E94" i="22"/>
  <c r="N94" i="22"/>
  <c r="M94" i="22"/>
  <c r="G94" i="22"/>
  <c r="O94" i="22"/>
  <c r="D92" i="22"/>
  <c r="D94" i="22" l="1"/>
  <c r="E93" i="22"/>
  <c r="I93" i="22" l="1"/>
  <c r="M93" i="22"/>
  <c r="L94" i="22" l="1"/>
  <c r="O64" i="22"/>
  <c r="M64" i="22"/>
  <c r="F64" i="22"/>
  <c r="G64" i="22"/>
  <c r="E64" i="22"/>
  <c r="N64" i="22"/>
  <c r="D62" i="22"/>
  <c r="D149" i="22" l="1"/>
  <c r="D151" i="22" s="1"/>
  <c r="D125" i="22"/>
  <c r="E63" i="22"/>
  <c r="D64" i="22"/>
  <c r="E150" i="22" l="1"/>
  <c r="D152" i="22"/>
  <c r="D154" i="22" s="1"/>
  <c r="D127" i="22"/>
  <c r="E126" i="22"/>
  <c r="I63" i="22"/>
  <c r="M63" i="22"/>
  <c r="E153" i="22" l="1"/>
  <c r="L64" i="22"/>
</calcChain>
</file>

<file path=xl/connections.xml><?xml version="1.0" encoding="utf-8"?>
<connections xmlns="http://schemas.openxmlformats.org/spreadsheetml/2006/main">
  <connection id="1" keepAlive="1" name="ModelConnection_ExternalData_2" description="Data Model" type="5" refreshedVersion="6" minRefreshableVersion="5" saveData="1">
    <dbPr connection="Data Model Connection" command="GeoAreaTotalPlace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Query - CItyStats" description="Connection to the 'CItyStats' query in the workbook." type="5" refreshedVersion="6" background="1" saveData="1">
    <dbPr connection="Provider=Microsoft.Mashup.OleDb.1;Data Source=$Workbook$;Location=CItyStats;Extended Properties=&quot;&quot;" command="SELECT * FROM [CItyStats]"/>
  </connection>
  <connection id="3" keepAlive="1" name="Query - FCCompletion" description="Connection to the 'FCCompletion' query in the workbook." type="5" refreshedVersion="6" background="1">
    <dbPr connection="Provider=Microsoft.Mashup.OleDb.1;Data Source=$Workbook$;Location=FCCompletion;Extended Properties=&quot;&quot;" command="SELECT * FROM [FCCompletion]"/>
  </connection>
  <connection id="4" keepAlive="1" name="Query - FCFieldCheckCompletion" description="Connection to the 'FCFieldCheckCompletion' query in the workbook." type="5" refreshedVersion="6" background="1" saveData="1">
    <dbPr connection="Provider=Microsoft.Mashup.OleDb.1;Data Source=$Workbook$;Location=FCFieldCheckCompletion;Extended Properties=&quot;&quot;" command="SELECT * FROM [FCFieldCheckCompletion]"/>
  </connection>
  <connection id="5" keepAlive="1" name="Query - GeoAreaCompletion" description="Connection to the 'GeoAreaCompletion' query in the workbook." type="5" refreshedVersion="6" background="1" saveData="1">
    <dbPr connection="Provider=Microsoft.Mashup.OleDb.1;Data Source=$Workbook$;Location=GeoAreaCompletion;Extended Properties=&quot;&quot;" command="SELECT * FROM [GeoAreaCompletion]"/>
  </connection>
  <connection id="6" name="Query - GeoAreaTotalPlaces" description="Connection to the 'GeoAreaTotalPlaces' query in the workbook." type="100" refreshedVersion="6" minRefreshableVersion="5">
    <extLst>
      <ext xmlns:x15="http://schemas.microsoft.com/office/spreadsheetml/2010/11/main" uri="{DE250136-89BD-433C-8126-D09CA5730AF9}">
        <x15:connection id="8c7afde3-28a2-4e71-a5aa-4e4c4c788c96"/>
      </ext>
    </extLst>
  </connection>
  <connection id="7" keepAlive="1" name="Query - Overall Mapping" description="Connection to the 'Overall Mapping' query in the workbook." type="5" refreshedVersion="6" background="1" saveData="1">
    <dbPr connection="Provider=Microsoft.Mashup.OleDb.1;Data Source=$Workbook$;Location=Overall Mapping;Extended Properties=&quot;&quot;" command="SELECT * FROM [Overall Mapping]"/>
  </connection>
  <connection id="8" keepAlive="1" name="Query - ResidentialStatusMapped" description="Connection to the 'ResidentialStatusMapped' query in the workbook." type="5" refreshedVersion="6" background="1" saveData="1">
    <dbPr connection="Provider=Microsoft.Mashup.OleDb.1;Data Source=$Workbook$;Location=ResidentialStatusMapped;Extended Properties=&quot;&quot;" command="SELECT * FROM [ResidentialStatusMapped]"/>
  </connection>
  <connection id="9" keepAlive="1" name="Query - SpecialProgram" description="Connection to the 'SpecialProgram' query in the workbook." type="5" refreshedVersion="6" background="1" saveData="1">
    <dbPr connection="Provider=Microsoft.Mashup.OleDb.1;Data Source=$Workbook$;Location=SpecialProgram;Extended Properties=&quot;&quot;" command="SELECT * FROM [SpecialProgram]"/>
  </connection>
  <connection id="10" keepAlive="1" name="Query - TeamAssignment" description="Connection to the 'TeamAssignment' query in the workbook." type="5" refreshedVersion="6" background="1" saveData="1">
    <dbPr connection="Provider=Microsoft.Mashup.OleDb.1;Data Source=$Workbook$;Location=TeamAssignment;Extended Properties=&quot;&quot;" command="SELECT * FROM [TeamAssignment]"/>
  </connection>
  <connection id="11" keepAlive="1" name="Query - TeamCompletion" description="Connection to the 'TeamCompletion' query in the workbook." type="5" refreshedVersion="6" background="1" saveData="1">
    <dbPr connection="Provider=Microsoft.Mashup.OleDb.1;Data Source=$Workbook$;Location=TeamCompletion;Extended Properties=&quot;&quot;" command="SELECT * FROM [TeamCompletion]"/>
  </connection>
  <connection id="12" keepAlive="1" name="Query - TeamFieldCheckCompletion" description="Connection to the 'TeamFieldCheckCompletion' query in the workbook." type="5" refreshedVersion="6" background="1" saveData="1">
    <dbPr connection="Provider=Microsoft.Mashup.OleDb.1;Data Source=$Workbook$;Location=TeamFieldCheckCompletion;Extended Properties=&quot;&quot;" command="SELECT * FROM [TeamFieldCheckCompletion]"/>
  </connection>
  <connection id="1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<sst xmlns="http://schemas.openxmlformats.org/spreadsheetml/2006/main" count="1004" uniqueCount="263">
  <si>
    <t>Name</t>
  </si>
  <si>
    <t>CBO</t>
  </si>
  <si>
    <t>Completion</t>
  </si>
  <si>
    <t>Week 1</t>
  </si>
  <si>
    <t>Week 2</t>
  </si>
  <si>
    <t>Week 3</t>
  </si>
  <si>
    <t>Week 4</t>
  </si>
  <si>
    <t>Week 5</t>
  </si>
  <si>
    <t>Total</t>
  </si>
  <si>
    <t>7/11 - 7/15</t>
  </si>
  <si>
    <t>7/18 - 7/22</t>
  </si>
  <si>
    <t>7/25 - 7/29</t>
  </si>
  <si>
    <t>8/1 - 8/5</t>
  </si>
  <si>
    <t>8/8 - 8/12</t>
  </si>
  <si>
    <t>#</t>
  </si>
  <si>
    <t>TOTAL</t>
  </si>
  <si>
    <t>Total Places</t>
  </si>
  <si>
    <t>Geo-Area</t>
  </si>
  <si>
    <t>Commercial</t>
  </si>
  <si>
    <t>Residential</t>
  </si>
  <si>
    <t>TotalLandBank</t>
  </si>
  <si>
    <t>MappedLandBank</t>
  </si>
  <si>
    <t>HomelessCOOP</t>
  </si>
  <si>
    <t>Mapped</t>
  </si>
  <si>
    <t>FieldCheck</t>
  </si>
  <si>
    <t>Mapped %</t>
  </si>
  <si>
    <t>OVERALL MAPPING COMPLETION</t>
  </si>
  <si>
    <t>Chicago</t>
  </si>
  <si>
    <t>Field Check</t>
  </si>
  <si>
    <t>Column1</t>
  </si>
  <si>
    <t>TeamName</t>
  </si>
  <si>
    <t>GeoArea</t>
  </si>
  <si>
    <t>RESIDENTIAL / COMMERCIAL COMPLETION</t>
  </si>
  <si>
    <t>UserName</t>
  </si>
  <si>
    <t>FC Username</t>
  </si>
  <si>
    <t>name</t>
  </si>
  <si>
    <t>Niagara Falls</t>
  </si>
  <si>
    <t>New York</t>
  </si>
  <si>
    <t>Rocky Mount</t>
  </si>
  <si>
    <t>Pinetops</t>
  </si>
  <si>
    <t>Tarboro</t>
  </si>
  <si>
    <t>Nashville</t>
  </si>
  <si>
    <t>Daily Average</t>
  </si>
  <si>
    <t>In order to view the status of these metrics in real time, please follow the steps below: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</si>
  <si>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Select the Data tab at the top of the spreadsheet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</si>
  <si>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Select the “Refresh All” icon.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</si>
  <si>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 “Native Data Query” Box will pop up.  Select “Run”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</si>
  <si>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Box will pop up multiple times.  Select “Run” until it does not (About 6 times)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</si>
  <si>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Wait for the query to run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</si>
  <si>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You will be prompted to enter a username and password. Choose Database and enter the following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</si>
  <si>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Username: DataReport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</si>
  <si>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Password: $DReport16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</si>
  <si>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Once the password has been accepted, the query will refresh and that data will be updated.</t>
    </r>
  </si>
  <si>
    <t>mapped</t>
  </si>
  <si>
    <t>mapped2</t>
  </si>
  <si>
    <t>FieldCheck2</t>
  </si>
  <si>
    <t>mapped3</t>
  </si>
  <si>
    <t>FieldCheck3</t>
  </si>
  <si>
    <t>mapped4</t>
  </si>
  <si>
    <t>FieldCheck4</t>
  </si>
  <si>
    <t>mapped5</t>
  </si>
  <si>
    <t>FieldCheck5</t>
  </si>
  <si>
    <t>Mapped2</t>
  </si>
  <si>
    <t>Fieldcheck2</t>
  </si>
  <si>
    <t>Mapped3</t>
  </si>
  <si>
    <t>Mapped4</t>
  </si>
  <si>
    <t>Mapped5</t>
  </si>
  <si>
    <t># of Places</t>
  </si>
  <si>
    <t>% of Places</t>
  </si>
  <si>
    <t>Team</t>
  </si>
  <si>
    <t>FieldCheck6</t>
  </si>
  <si>
    <t>mapped6</t>
  </si>
  <si>
    <t>AssignWeek1</t>
  </si>
  <si>
    <t>AssignWeek2</t>
  </si>
  <si>
    <t>AssignWeek3</t>
  </si>
  <si>
    <t>AssignWeek4</t>
  </si>
  <si>
    <t>AssignWeek5</t>
  </si>
  <si>
    <t>Assigned</t>
  </si>
  <si>
    <t>FC Daily Average</t>
  </si>
  <si>
    <t>City</t>
  </si>
  <si>
    <t>CBO Daily Average</t>
  </si>
  <si>
    <t>TotalOldPlaces</t>
  </si>
  <si>
    <t>TotalNewPlaces</t>
  </si>
  <si>
    <t>% Weekly Assigned</t>
  </si>
  <si>
    <t>FC Total</t>
  </si>
  <si>
    <t>Week 6</t>
  </si>
  <si>
    <t>Week 7</t>
  </si>
  <si>
    <t>8/15 - 8/19</t>
  </si>
  <si>
    <t>8/22 - 8/26</t>
  </si>
  <si>
    <t xml:space="preserve">New </t>
  </si>
  <si>
    <t>CITY BREAKDOWN</t>
  </si>
  <si>
    <t>Existing Places</t>
  </si>
  <si>
    <t>New Places</t>
  </si>
  <si>
    <t>X</t>
  </si>
  <si>
    <r>
      <t xml:space="preserve">Assigned </t>
    </r>
    <r>
      <rPr>
        <sz val="8"/>
        <color theme="1"/>
        <rFont val="Calibri"/>
        <family val="2"/>
        <scheme val="minor"/>
      </rPr>
      <t>(includes re-assigned places)</t>
    </r>
  </si>
  <si>
    <r>
      <t xml:space="preserve">Assigned
</t>
    </r>
    <r>
      <rPr>
        <sz val="8"/>
        <color theme="1"/>
        <rFont val="Calibri"/>
        <family val="2"/>
        <scheme val="minor"/>
      </rPr>
      <t>(includes re-assigned places)</t>
    </r>
  </si>
  <si>
    <t>Target # Of Places Assigned to CBO</t>
  </si>
  <si>
    <t>Assigned
(includes re-assigned places)</t>
  </si>
  <si>
    <t>Assigned (includes re-assigned places)</t>
  </si>
  <si>
    <t>CBO Daily Average (Mapped + Field Checked)</t>
  </si>
  <si>
    <t>Checked</t>
  </si>
  <si>
    <t xml:space="preserve">Field Check </t>
  </si>
  <si>
    <t>Field Check Needed</t>
  </si>
  <si>
    <t>Daily Average (mapped + checked)</t>
  </si>
  <si>
    <t>% Field Check Needed</t>
  </si>
  <si>
    <t>Field Checks Needed</t>
  </si>
  <si>
    <t>Created</t>
  </si>
  <si>
    <t>TEAMS</t>
  </si>
  <si>
    <t>Target # Of Places Assigned to TEAM</t>
  </si>
  <si>
    <t>checked</t>
  </si>
  <si>
    <t>checked2</t>
  </si>
  <si>
    <t>checked3</t>
  </si>
  <si>
    <t>checked4</t>
  </si>
  <si>
    <t>checked5</t>
  </si>
  <si>
    <t>Checked2</t>
  </si>
  <si>
    <t>Checked3</t>
  </si>
  <si>
    <t>Checked4</t>
  </si>
  <si>
    <t>Checked5</t>
  </si>
  <si>
    <t>10002.Chinatown.01</t>
  </si>
  <si>
    <t>10002.Chinatown.02</t>
  </si>
  <si>
    <t>10002.Chinatown.03</t>
  </si>
  <si>
    <t>10002.Chinatown.04</t>
  </si>
  <si>
    <t>10002.Chinatown.05</t>
  </si>
  <si>
    <t>10002.Chinatown.06</t>
  </si>
  <si>
    <t>10002.Chinatown.07</t>
  </si>
  <si>
    <t>10002.Chinatown.08</t>
  </si>
  <si>
    <t>10002.Chinatown.09</t>
  </si>
  <si>
    <t>10002.Chinatown.10</t>
  </si>
  <si>
    <t>10002.Chinatown.11</t>
  </si>
  <si>
    <t>10002.Chinatown.12</t>
  </si>
  <si>
    <t>10002.Chinatown.13</t>
  </si>
  <si>
    <t>10002.Chinatown.14</t>
  </si>
  <si>
    <t>10002.Chinatown.15</t>
  </si>
  <si>
    <t>10452.Bronx.01</t>
  </si>
  <si>
    <t>10452.Bronx.02</t>
  </si>
  <si>
    <t>10452.Bronx.03</t>
  </si>
  <si>
    <t>10452.Bronx.04</t>
  </si>
  <si>
    <t>10452.Bronx.05</t>
  </si>
  <si>
    <t>10452.Bronx.06</t>
  </si>
  <si>
    <t>Block Trotters</t>
  </si>
  <si>
    <t>Brick Squad</t>
  </si>
  <si>
    <t>Bridge Squad</t>
  </si>
  <si>
    <t>Broooklyyynn</t>
  </si>
  <si>
    <t>CleghornD</t>
  </si>
  <si>
    <t>ZhengJ</t>
  </si>
  <si>
    <t>ChaiC</t>
  </si>
  <si>
    <t>GalerP</t>
  </si>
  <si>
    <t>CabreraE</t>
  </si>
  <si>
    <t>ChanelJ</t>
  </si>
  <si>
    <t>CandeloM</t>
  </si>
  <si>
    <t>SantosNo</t>
  </si>
  <si>
    <t>JosephCBT</t>
  </si>
  <si>
    <t>KenyattaK</t>
  </si>
  <si>
    <t>MongeJBridge</t>
  </si>
  <si>
    <t>PattilloA</t>
  </si>
  <si>
    <t>DjeneI</t>
  </si>
  <si>
    <t>TysovskaN</t>
  </si>
  <si>
    <t>JamesJ</t>
  </si>
  <si>
    <t>RincherR</t>
  </si>
  <si>
    <t>SosaA</t>
  </si>
  <si>
    <t>LiuYi</t>
  </si>
  <si>
    <t>RoblesO</t>
  </si>
  <si>
    <t>BrownS</t>
  </si>
  <si>
    <t>PantaloneJ</t>
  </si>
  <si>
    <t>DivilovaIBridge</t>
  </si>
  <si>
    <t>BatistaA</t>
  </si>
  <si>
    <t>LauAmy</t>
  </si>
  <si>
    <t>DivilovaIBrook</t>
  </si>
  <si>
    <t>FinkelsteinR</t>
  </si>
  <si>
    <t>RoselleA</t>
  </si>
  <si>
    <t>MillerJ</t>
  </si>
  <si>
    <t>DuranA</t>
  </si>
  <si>
    <t>RamirezK</t>
  </si>
  <si>
    <t>MongeJBrook</t>
  </si>
  <si>
    <t>HollidayL</t>
  </si>
  <si>
    <t>PeraltaM</t>
  </si>
  <si>
    <t>GarciaM</t>
  </si>
  <si>
    <t>KonanS</t>
  </si>
  <si>
    <t>BlancoC</t>
  </si>
  <si>
    <t>KuiBet</t>
  </si>
  <si>
    <t>LeeSan</t>
  </si>
  <si>
    <t>Gisselle</t>
  </si>
  <si>
    <t>GravesS</t>
  </si>
  <si>
    <t>GarciaJ</t>
  </si>
  <si>
    <t>GuillaumeT</t>
  </si>
  <si>
    <t>CBO Completion Tracking - Field Check Period - New York</t>
  </si>
  <si>
    <t>Percent of Geo Area Mapped - New York</t>
  </si>
  <si>
    <t>FC Mapping - Regular Mapping Period - New York</t>
  </si>
  <si>
    <t>FC Mapping - Field Check Period - New York</t>
  </si>
  <si>
    <t>CBO Completion Tracking - Regular Mapping Period - New York</t>
  </si>
  <si>
    <t>mapped7</t>
  </si>
  <si>
    <t>FieldCheck7</t>
  </si>
  <si>
    <t>mapped62</t>
  </si>
  <si>
    <t>FieldCheck63</t>
  </si>
  <si>
    <t>Mapped6</t>
  </si>
  <si>
    <t>Mapped7</t>
  </si>
  <si>
    <t>Checked6</t>
  </si>
  <si>
    <t>Checked7</t>
  </si>
  <si>
    <t>checked6</t>
  </si>
  <si>
    <t>checked7</t>
  </si>
  <si>
    <t>TOTAL Week 6 &amp; 7</t>
  </si>
  <si>
    <t>10013.Chinatown.01</t>
  </si>
  <si>
    <t>10013.Chinatown.02</t>
  </si>
  <si>
    <t>10013.Chinatown.03</t>
  </si>
  <si>
    <t>10013.Chinatown.04</t>
  </si>
  <si>
    <t>10013.Chinatown.05</t>
  </si>
  <si>
    <t>10013.Chinatown.06</t>
  </si>
  <si>
    <t>10013.Chinatown.07</t>
  </si>
  <si>
    <t>10013.Chinatown.08</t>
  </si>
  <si>
    <t>10013.Chinatown.09</t>
  </si>
  <si>
    <t>10013.Chinatown.10</t>
  </si>
  <si>
    <t>10013.Chinatown.11</t>
  </si>
  <si>
    <t>10013.Chinatown.12</t>
  </si>
  <si>
    <t>10013.Chinatown.13</t>
  </si>
  <si>
    <t>10013.Chinatown.14</t>
  </si>
  <si>
    <t>10013.Chinatown.15</t>
  </si>
  <si>
    <t>10013.Chinatown.16</t>
  </si>
  <si>
    <t>10013.Chinatown.17</t>
  </si>
  <si>
    <t>10013.Chinatown.18</t>
  </si>
  <si>
    <t>10013.Chinatown.19</t>
  </si>
  <si>
    <t>10013.Chinatown.20</t>
  </si>
  <si>
    <t>10013.Chinatown.21</t>
  </si>
  <si>
    <t>10013.Chinatown.22</t>
  </si>
  <si>
    <t>10013.Chinatown.23</t>
  </si>
  <si>
    <t>10013.Chinatown.24</t>
  </si>
  <si>
    <t>GroupH</t>
  </si>
  <si>
    <t>GroupF</t>
  </si>
  <si>
    <t>GroupD</t>
  </si>
  <si>
    <t>GroupG</t>
  </si>
  <si>
    <t>GroupE</t>
  </si>
  <si>
    <t>GroupC</t>
  </si>
  <si>
    <t>WebCallMapping4</t>
  </si>
  <si>
    <t>GroupA</t>
  </si>
  <si>
    <t>WebCallMapping</t>
  </si>
  <si>
    <t>WebCallMapping3</t>
  </si>
  <si>
    <t>GroupB</t>
  </si>
  <si>
    <t>WebCallMapping2</t>
  </si>
  <si>
    <t>Sub-Total 
(Weeks 1 through 5)</t>
  </si>
  <si>
    <t>SUB-TOTAL
Weeks 1 through 5</t>
  </si>
  <si>
    <t>SUB-TOTAL 
Weeks 6 &amp; 7</t>
  </si>
  <si>
    <t>TOTAL
Weeks 1 through 7</t>
  </si>
  <si>
    <t>10013.Chinatown.25</t>
  </si>
  <si>
    <t>10013.Chinatown.26</t>
  </si>
  <si>
    <t>SUB-TOTAL (Weeks 6 and 7)</t>
  </si>
  <si>
    <t>TOTAL (Weeks 1 through 7)</t>
  </si>
  <si>
    <t>Purchased from MSG</t>
  </si>
  <si>
    <t>From MAPSCorps Database</t>
  </si>
  <si>
    <t>AssignWeek6</t>
  </si>
  <si>
    <t>% Target</t>
  </si>
  <si>
    <t>Block Trotters Subtotal</t>
  </si>
  <si>
    <t>Brick Squad Subtotal</t>
  </si>
  <si>
    <t>Broooklyyynn Subtotal</t>
  </si>
  <si>
    <t>FC Sub-Total
(Weeks 1 through 5)</t>
  </si>
  <si>
    <t>SUB-TOTAL (Weeks 1 through 5)</t>
  </si>
  <si>
    <t>GroupI</t>
  </si>
  <si>
    <t>10002.Chinatown</t>
  </si>
  <si>
    <t>10013.Chinatown</t>
  </si>
  <si>
    <t>10452.Bronx</t>
  </si>
  <si>
    <t>Team Daily Average</t>
  </si>
  <si>
    <t>N/A</t>
  </si>
  <si>
    <t># Mapped</t>
  </si>
  <si>
    <t>% Mapped</t>
  </si>
  <si>
    <t>% Field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</si>
</sst>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28"/>
      <color theme="3"/>
      <name val="Calibri Light"/>
      <family val="2"/>
      <scheme val="maj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59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3" fillId="0" borderId="0" xfId="2" applyBorder="1" applyAlignment="1"/>
    <xf numFmtId="3" fontId="0" fillId="0" borderId="0" xfId="0" applyNumberFormat="1"/>
    <xf numFmtId="0" fontId="6" fillId="0" borderId="0" xfId="3" applyFont="1" applyAlignment="1">
      <alignment vertical="center"/>
    </xf>
    <xf numFmtId="3" fontId="0" fillId="0" borderId="1" xfId="0" applyNumberFormat="1" applyBorder="1"/>
    <xf numFmtId="14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indent="4"/>
    </xf>
    <xf numFmtId="0" fontId="9" fillId="0" borderId="0" xfId="0" applyFont="1" applyAlignment="1">
      <alignment horizontal="left" vertical="center" indent="9"/>
    </xf>
    <xf numFmtId="0" fontId="0" fillId="0" borderId="0" xfId="0"/>
    <xf numFmtId="0" fontId="0" fillId="0" borderId="0" xfId="0"/>
    <xf numFmtId="9" fontId="0" fillId="3" borderId="1" xfId="0" applyNumberFormat="1" applyFont="1" applyFill="1" applyBorder="1"/>
    <xf numFmtId="10" fontId="0" fillId="0" borderId="0" xfId="0" applyNumberFormat="1"/>
    <xf numFmtId="1" fontId="0" fillId="0" borderId="0" xfId="0" applyNumberFormat="1"/>
    <xf numFmtId="9" fontId="0" fillId="0" borderId="25" xfId="0" applyNumberFormat="1" applyFill="1" applyBorder="1"/>
    <xf numFmtId="0" fontId="4" fillId="0" borderId="2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3" fontId="0" fillId="0" borderId="22" xfId="0" applyNumberFormat="1" applyBorder="1"/>
    <xf numFmtId="9" fontId="0" fillId="3" borderId="4" xfId="0" applyNumberFormat="1" applyFont="1" applyFill="1" applyBorder="1"/>
    <xf numFmtId="9" fontId="0" fillId="3" borderId="16" xfId="0" applyNumberFormat="1" applyFont="1" applyFill="1" applyBorder="1"/>
    <xf numFmtId="9" fontId="0" fillId="3" borderId="23" xfId="0" applyNumberFormat="1" applyFont="1" applyFill="1" applyBorder="1"/>
    <xf numFmtId="9" fontId="0" fillId="3" borderId="19" xfId="0" applyNumberFormat="1" applyFont="1" applyFill="1" applyBorder="1"/>
    <xf numFmtId="9" fontId="0" fillId="3" borderId="20" xfId="0" applyNumberFormat="1" applyFont="1" applyFill="1" applyBorder="1"/>
    <xf numFmtId="9" fontId="0" fillId="3" borderId="3" xfId="0" applyNumberFormat="1" applyFont="1" applyFill="1" applyBorder="1"/>
    <xf numFmtId="0" fontId="0" fillId="0" borderId="27" xfId="0" applyBorder="1" applyAlignment="1">
      <alignment horizontal="center"/>
    </xf>
    <xf numFmtId="164" fontId="0" fillId="0" borderId="21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3" xfId="1" applyNumberFormat="1" applyFont="1" applyBorder="1"/>
    <xf numFmtId="164" fontId="0" fillId="0" borderId="27" xfId="1" applyNumberFormat="1" applyFont="1" applyBorder="1"/>
    <xf numFmtId="164" fontId="0" fillId="0" borderId="15" xfId="0" applyNumberFormat="1" applyBorder="1"/>
    <xf numFmtId="9" fontId="0" fillId="3" borderId="18" xfId="0" applyNumberFormat="1" applyFont="1" applyFill="1" applyBorder="1"/>
    <xf numFmtId="9" fontId="0" fillId="3" borderId="28" xfId="0" applyNumberFormat="1" applyFont="1" applyFill="1" applyBorder="1"/>
    <xf numFmtId="0" fontId="0" fillId="0" borderId="22" xfId="0" applyNumberFormat="1" applyBorder="1"/>
    <xf numFmtId="0" fontId="0" fillId="0" borderId="16" xfId="0" applyNumberFormat="1" applyBorder="1"/>
    <xf numFmtId="0" fontId="0" fillId="0" borderId="39" xfId="0" applyNumberFormat="1" applyBorder="1"/>
    <xf numFmtId="0" fontId="0" fillId="0" borderId="19" xfId="0" applyBorder="1" applyAlignment="1">
      <alignment horizontal="center" vertical="center"/>
    </xf>
    <xf numFmtId="9" fontId="0" fillId="0" borderId="0" xfId="0" applyNumberFormat="1" applyFont="1" applyFill="1" applyBorder="1"/>
    <xf numFmtId="0" fontId="0" fillId="0" borderId="0" xfId="0" applyFill="1" applyBorder="1"/>
    <xf numFmtId="0" fontId="0" fillId="0" borderId="5" xfId="0" applyFont="1" applyFill="1" applyBorder="1" applyAlignment="1"/>
    <xf numFmtId="0" fontId="0" fillId="0" borderId="17" xfId="0" applyFont="1" applyFill="1" applyBorder="1" applyAlignment="1"/>
    <xf numFmtId="0" fontId="0" fillId="0" borderId="18" xfId="0" applyFont="1" applyFill="1" applyBorder="1" applyAlignment="1"/>
    <xf numFmtId="0" fontId="0" fillId="0" borderId="30" xfId="0" applyFont="1" applyFill="1" applyBorder="1" applyAlignment="1"/>
    <xf numFmtId="0" fontId="0" fillId="3" borderId="5" xfId="0" applyFont="1" applyFill="1" applyBorder="1" applyAlignment="1"/>
    <xf numFmtId="0" fontId="0" fillId="3" borderId="3" xfId="0" applyFill="1" applyBorder="1"/>
    <xf numFmtId="3" fontId="0" fillId="3" borderId="22" xfId="0" applyNumberFormat="1" applyFill="1" applyBorder="1"/>
    <xf numFmtId="3" fontId="0" fillId="3" borderId="1" xfId="0" applyNumberFormat="1" applyFill="1" applyBorder="1"/>
    <xf numFmtId="9" fontId="0" fillId="3" borderId="1" xfId="0" applyNumberFormat="1" applyFill="1" applyBorder="1"/>
    <xf numFmtId="3" fontId="0" fillId="0" borderId="21" xfId="0" applyNumberFormat="1" applyFill="1" applyBorder="1"/>
    <xf numFmtId="3" fontId="0" fillId="0" borderId="14" xfId="0" applyNumberFormat="1" applyFill="1" applyBorder="1"/>
    <xf numFmtId="3" fontId="0" fillId="0" borderId="22" xfId="0" applyNumberFormat="1" applyFill="1" applyBorder="1"/>
    <xf numFmtId="3" fontId="0" fillId="0" borderId="1" xfId="0" applyNumberFormat="1" applyFill="1" applyBorder="1"/>
    <xf numFmtId="9" fontId="0" fillId="0" borderId="1" xfId="0" applyNumberFormat="1" applyFill="1" applyBorder="1"/>
    <xf numFmtId="0" fontId="0" fillId="3" borderId="12" xfId="0" applyFont="1" applyFill="1" applyBorder="1" applyAlignment="1"/>
    <xf numFmtId="0" fontId="0" fillId="3" borderId="13" xfId="0" applyFont="1" applyFill="1" applyBorder="1" applyAlignment="1"/>
    <xf numFmtId="0" fontId="0" fillId="3" borderId="27" xfId="0" applyFill="1" applyBorder="1"/>
    <xf numFmtId="3" fontId="0" fillId="3" borderId="21" xfId="0" applyNumberFormat="1" applyFill="1" applyBorder="1"/>
    <xf numFmtId="3" fontId="0" fillId="3" borderId="14" xfId="0" applyNumberFormat="1" applyFill="1" applyBorder="1"/>
    <xf numFmtId="0" fontId="0" fillId="3" borderId="17" xfId="0" applyFont="1" applyFill="1" applyBorder="1" applyAlignment="1"/>
    <xf numFmtId="0" fontId="0" fillId="3" borderId="18" xfId="0" applyFont="1" applyFill="1" applyBorder="1" applyAlignment="1"/>
    <xf numFmtId="3" fontId="0" fillId="3" borderId="23" xfId="0" applyNumberFormat="1" applyFill="1" applyBorder="1"/>
    <xf numFmtId="3" fontId="0" fillId="3" borderId="19" xfId="0" applyNumberFormat="1" applyFill="1" applyBorder="1"/>
    <xf numFmtId="3" fontId="0" fillId="3" borderId="41" xfId="0" applyNumberFormat="1" applyFill="1" applyBorder="1"/>
    <xf numFmtId="3" fontId="0" fillId="3" borderId="9" xfId="0" applyNumberForma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3" fontId="0" fillId="0" borderId="24" xfId="0" applyNumberFormat="1" applyFill="1" applyBorder="1"/>
    <xf numFmtId="3" fontId="0" fillId="0" borderId="25" xfId="0" applyNumberFormat="1" applyFill="1" applyBorder="1"/>
    <xf numFmtId="1" fontId="0" fillId="0" borderId="26" xfId="0" applyNumberFormat="1" applyFill="1" applyBorder="1"/>
    <xf numFmtId="3" fontId="0" fillId="0" borderId="0" xfId="0" applyNumberFormat="1" applyBorder="1"/>
    <xf numFmtId="9" fontId="0" fillId="0" borderId="0" xfId="0" applyNumberFormat="1" applyBorder="1"/>
    <xf numFmtId="1" fontId="0" fillId="0" borderId="0" xfId="0" applyNumberFormat="1" applyBorder="1"/>
    <xf numFmtId="3" fontId="0" fillId="0" borderId="3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4" fillId="3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wrapText="1"/>
    </xf>
    <xf numFmtId="3" fontId="0" fillId="0" borderId="39" xfId="0" applyNumberFormat="1" applyFill="1" applyBorder="1"/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0" fillId="3" borderId="3" xfId="0" applyNumberFormat="1" applyFill="1" applyBorder="1"/>
    <xf numFmtId="3" fontId="0" fillId="3" borderId="11" xfId="0" applyNumberFormat="1" applyFill="1" applyBorder="1"/>
    <xf numFmtId="3" fontId="0" fillId="0" borderId="27" xfId="0" applyNumberFormat="1" applyFill="1" applyBorder="1"/>
    <xf numFmtId="3" fontId="0" fillId="0" borderId="11" xfId="0" applyNumberFormat="1" applyFill="1" applyBorder="1"/>
    <xf numFmtId="0" fontId="4" fillId="0" borderId="26" xfId="0" applyFont="1" applyFill="1" applyBorder="1" applyAlignment="1">
      <alignment horizontal="center" vertical="center" wrapText="1"/>
    </xf>
    <xf numFmtId="9" fontId="0" fillId="0" borderId="11" xfId="0" applyNumberFormat="1" applyFill="1" applyBorder="1"/>
    <xf numFmtId="164" fontId="0" fillId="0" borderId="39" xfId="1" applyNumberFormat="1" applyFont="1" applyBorder="1"/>
    <xf numFmtId="164" fontId="0" fillId="0" borderId="11" xfId="1" applyNumberFormat="1" applyFont="1" applyBorder="1"/>
    <xf numFmtId="9" fontId="0" fillId="3" borderId="9" xfId="0" applyNumberFormat="1" applyFont="1" applyFill="1" applyBorder="1"/>
    <xf numFmtId="9" fontId="0" fillId="3" borderId="7" xfId="0" applyNumberFormat="1" applyFont="1" applyFill="1" applyBorder="1"/>
    <xf numFmtId="9" fontId="0" fillId="3" borderId="41" xfId="0" applyNumberFormat="1" applyFont="1" applyFill="1" applyBorder="1"/>
    <xf numFmtId="1" fontId="0" fillId="3" borderId="4" xfId="4" applyNumberFormat="1" applyFont="1" applyFill="1" applyBorder="1"/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9" fontId="0" fillId="5" borderId="22" xfId="0" applyNumberFormat="1" applyFont="1" applyFill="1" applyBorder="1"/>
    <xf numFmtId="3" fontId="0" fillId="0" borderId="25" xfId="0" applyNumberFormat="1" applyBorder="1"/>
    <xf numFmtId="0" fontId="10" fillId="6" borderId="61" xfId="0" applyFont="1" applyFill="1" applyBorder="1"/>
    <xf numFmtId="0" fontId="10" fillId="6" borderId="62" xfId="0" applyFont="1" applyFill="1" applyBorder="1"/>
    <xf numFmtId="3" fontId="0" fillId="7" borderId="61" xfId="0" applyNumberFormat="1" applyFont="1" applyFill="1" applyBorder="1"/>
    <xf numFmtId="3" fontId="0" fillId="7" borderId="62" xfId="0" applyNumberFormat="1" applyFont="1" applyFill="1" applyBorder="1"/>
    <xf numFmtId="3" fontId="0" fillId="0" borderId="61" xfId="0" applyNumberFormat="1" applyFont="1" applyBorder="1"/>
    <xf numFmtId="0" fontId="0" fillId="0" borderId="22" xfId="0" applyNumberFormat="1" applyBorder="1" applyAlignment="1">
      <alignment horizontal="left"/>
    </xf>
    <xf numFmtId="0" fontId="0" fillId="3" borderId="19" xfId="0" applyFill="1" applyBorder="1"/>
    <xf numFmtId="0" fontId="0" fillId="3" borderId="23" xfId="0" applyFill="1" applyBorder="1"/>
    <xf numFmtId="0" fontId="0" fillId="3" borderId="21" xfId="0" applyFill="1" applyBorder="1"/>
    <xf numFmtId="0" fontId="0" fillId="3" borderId="9" xfId="0" applyFill="1" applyBorder="1"/>
    <xf numFmtId="0" fontId="0" fillId="3" borderId="1" xfId="0" applyFont="1" applyFill="1" applyBorder="1" applyAlignment="1"/>
    <xf numFmtId="3" fontId="0" fillId="2" borderId="43" xfId="0" applyNumberFormat="1" applyFill="1" applyBorder="1" applyAlignment="1">
      <alignment horizontal="right" vertical="center" wrapText="1"/>
    </xf>
    <xf numFmtId="3" fontId="0" fillId="2" borderId="10" xfId="0" applyNumberFormat="1" applyFill="1" applyBorder="1" applyAlignment="1">
      <alignment horizontal="right" vertical="center" wrapText="1"/>
    </xf>
    <xf numFmtId="3" fontId="0" fillId="2" borderId="45" xfId="0" applyNumberFormat="1" applyFill="1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3" fontId="0" fillId="4" borderId="21" xfId="0" applyNumberFormat="1" applyFont="1" applyFill="1" applyBorder="1"/>
    <xf numFmtId="1" fontId="0" fillId="4" borderId="21" xfId="0" applyNumberFormat="1" applyFont="1" applyFill="1" applyBorder="1"/>
    <xf numFmtId="1" fontId="0" fillId="5" borderId="22" xfId="0" applyNumberFormat="1" applyFont="1" applyFill="1" applyBorder="1"/>
    <xf numFmtId="164" fontId="0" fillId="0" borderId="1" xfId="1" applyNumberFormat="1" applyFont="1" applyBorder="1"/>
    <xf numFmtId="164" fontId="0" fillId="4" borderId="14" xfId="0" applyNumberFormat="1" applyFont="1" applyFill="1" applyBorder="1"/>
    <xf numFmtId="164" fontId="0" fillId="4" borderId="15" xfId="0" applyNumberFormat="1" applyFont="1" applyFill="1" applyBorder="1"/>
    <xf numFmtId="9" fontId="0" fillId="0" borderId="1" xfId="0" applyNumberFormat="1" applyBorder="1"/>
    <xf numFmtId="1" fontId="0" fillId="4" borderId="31" xfId="0" applyNumberFormat="1" applyFont="1" applyFill="1" applyBorder="1"/>
    <xf numFmtId="0" fontId="0" fillId="0" borderId="31" xfId="0" applyFont="1" applyFill="1" applyBorder="1" applyAlignment="1"/>
    <xf numFmtId="0" fontId="0" fillId="3" borderId="63" xfId="0" applyFont="1" applyFill="1" applyBorder="1" applyAlignment="1"/>
    <xf numFmtId="3" fontId="0" fillId="2" borderId="10" xfId="0" applyNumberFormat="1" applyFill="1" applyBorder="1" applyAlignment="1">
      <alignment horizontal="righ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0" xfId="4" applyFont="1"/>
    <xf numFmtId="164" fontId="0" fillId="0" borderId="0" xfId="0" applyNumberFormat="1"/>
    <xf numFmtId="9" fontId="0" fillId="5" borderId="65" xfId="0" applyNumberFormat="1" applyFont="1" applyFill="1" applyBorder="1"/>
    <xf numFmtId="9" fontId="0" fillId="5" borderId="4" xfId="0" applyNumberFormat="1" applyFont="1" applyFill="1" applyBorder="1"/>
    <xf numFmtId="1" fontId="0" fillId="5" borderId="4" xfId="0" applyNumberFormat="1" applyFont="1" applyFill="1" applyBorder="1"/>
    <xf numFmtId="164" fontId="0" fillId="0" borderId="16" xfId="1" applyNumberFormat="1" applyFont="1" applyBorder="1"/>
    <xf numFmtId="3" fontId="0" fillId="4" borderId="66" xfId="0" applyNumberFormat="1" applyFont="1" applyFill="1" applyBorder="1"/>
    <xf numFmtId="9" fontId="0" fillId="3" borderId="67" xfId="0" applyNumberFormat="1" applyFont="1" applyFill="1" applyBorder="1"/>
    <xf numFmtId="3" fontId="0" fillId="0" borderId="9" xfId="0" applyNumberFormat="1" applyFill="1" applyBorder="1"/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3" borderId="1" xfId="0" applyFill="1" applyBorder="1"/>
    <xf numFmtId="0" fontId="0" fillId="0" borderId="1" xfId="0" applyFill="1" applyBorder="1"/>
    <xf numFmtId="0" fontId="0" fillId="3" borderId="4" xfId="0" applyFont="1" applyFill="1" applyBorder="1" applyAlignment="1"/>
    <xf numFmtId="3" fontId="0" fillId="3" borderId="4" xfId="0" applyNumberFormat="1" applyFill="1" applyBorder="1"/>
    <xf numFmtId="3" fontId="0" fillId="0" borderId="4" xfId="0" applyNumberFormat="1" applyFill="1" applyBorder="1"/>
    <xf numFmtId="0" fontId="0" fillId="0" borderId="4" xfId="0" applyFill="1" applyBorder="1"/>
    <xf numFmtId="0" fontId="0" fillId="3" borderId="64" xfId="0" applyFont="1" applyFill="1" applyBorder="1" applyAlignment="1"/>
    <xf numFmtId="3" fontId="0" fillId="3" borderId="16" xfId="0" applyNumberFormat="1" applyFill="1" applyBorder="1"/>
    <xf numFmtId="0" fontId="0" fillId="0" borderId="64" xfId="0" applyFont="1" applyFill="1" applyBorder="1" applyAlignment="1"/>
    <xf numFmtId="3" fontId="0" fillId="0" borderId="16" xfId="0" applyNumberFormat="1" applyFill="1" applyBorder="1"/>
    <xf numFmtId="3" fontId="0" fillId="0" borderId="18" xfId="0" applyNumberFormat="1" applyFill="1" applyBorder="1"/>
    <xf numFmtId="3" fontId="0" fillId="0" borderId="20" xfId="0" applyNumberFormat="1" applyFill="1" applyBorder="1"/>
    <xf numFmtId="3" fontId="0" fillId="3" borderId="7" xfId="0" applyNumberFormat="1" applyFill="1" applyBorder="1"/>
    <xf numFmtId="3" fontId="0" fillId="3" borderId="42" xfId="0" applyNumberFormat="1" applyFill="1" applyBorder="1"/>
    <xf numFmtId="3" fontId="0" fillId="0" borderId="7" xfId="0" applyNumberFormat="1" applyFill="1" applyBorder="1"/>
    <xf numFmtId="3" fontId="0" fillId="0" borderId="69" xfId="0" applyNumberFormat="1" applyFill="1" applyBorder="1"/>
    <xf numFmtId="3" fontId="0" fillId="3" borderId="69" xfId="0" applyNumberFormat="1" applyFill="1" applyBorder="1"/>
    <xf numFmtId="3" fontId="0" fillId="3" borderId="18" xfId="0" applyNumberFormat="1" applyFill="1" applyBorder="1"/>
    <xf numFmtId="3" fontId="0" fillId="3" borderId="20" xfId="0" applyNumberFormat="1" applyFill="1" applyBorder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3" fontId="0" fillId="0" borderId="13" xfId="0" applyNumberFormat="1" applyFill="1" applyBorder="1"/>
    <xf numFmtId="3" fontId="0" fillId="0" borderId="15" xfId="0" applyNumberFormat="1" applyFill="1" applyBorder="1"/>
    <xf numFmtId="3" fontId="0" fillId="3" borderId="15" xfId="0" applyNumberFormat="1" applyFill="1" applyBorder="1"/>
    <xf numFmtId="3" fontId="0" fillId="3" borderId="28" xfId="0" applyNumberFormat="1" applyFill="1" applyBorder="1"/>
    <xf numFmtId="3" fontId="0" fillId="0" borderId="3" xfId="0" applyNumberFormat="1" applyFill="1" applyBorder="1"/>
    <xf numFmtId="3" fontId="0" fillId="3" borderId="6" xfId="0" applyNumberFormat="1" applyFill="1" applyBorder="1"/>
    <xf numFmtId="0" fontId="0" fillId="0" borderId="7" xfId="0" applyFill="1" applyBorder="1"/>
    <xf numFmtId="3" fontId="0" fillId="0" borderId="6" xfId="0" applyNumberFormat="1" applyFill="1" applyBorder="1"/>
    <xf numFmtId="0" fontId="0" fillId="0" borderId="69" xfId="0" applyFill="1" applyBorder="1"/>
    <xf numFmtId="3" fontId="0" fillId="0" borderId="8" xfId="0" applyNumberFormat="1" applyFill="1" applyBorder="1"/>
    <xf numFmtId="0" fontId="0" fillId="3" borderId="11" xfId="0" applyFill="1" applyBorder="1"/>
    <xf numFmtId="3" fontId="0" fillId="3" borderId="8" xfId="0" applyNumberFormat="1" applyFill="1" applyBorder="1"/>
    <xf numFmtId="0" fontId="0" fillId="3" borderId="22" xfId="0" applyFill="1" applyBorder="1"/>
    <xf numFmtId="0" fontId="0" fillId="3" borderId="22" xfId="0" applyFont="1" applyFill="1" applyBorder="1" applyAlignment="1"/>
    <xf numFmtId="0" fontId="0" fillId="0" borderId="14" xfId="0" applyFill="1" applyBorder="1"/>
    <xf numFmtId="3" fontId="0" fillId="0" borderId="23" xfId="0" applyNumberFormat="1" applyFill="1" applyBorder="1"/>
    <xf numFmtId="0" fontId="0" fillId="0" borderId="19" xfId="0" applyFill="1" applyBorder="1"/>
    <xf numFmtId="3" fontId="0" fillId="0" borderId="19" xfId="0" applyNumberFormat="1" applyFill="1" applyBorder="1"/>
    <xf numFmtId="9" fontId="0" fillId="0" borderId="14" xfId="0" applyNumberFormat="1" applyFill="1" applyBorder="1"/>
    <xf numFmtId="1" fontId="0" fillId="0" borderId="15" xfId="0" applyNumberFormat="1" applyFill="1" applyBorder="1"/>
    <xf numFmtId="1" fontId="0" fillId="0" borderId="16" xfId="0" applyNumberFormat="1" applyFill="1" applyBorder="1"/>
    <xf numFmtId="9" fontId="0" fillId="0" borderId="19" xfId="0" applyNumberFormat="1" applyFill="1" applyBorder="1"/>
    <xf numFmtId="1" fontId="0" fillId="0" borderId="20" xfId="0" applyNumberFormat="1" applyFill="1" applyBorder="1"/>
    <xf numFmtId="3" fontId="0" fillId="0" borderId="26" xfId="0" applyNumberFormat="1" applyFill="1" applyBorder="1"/>
    <xf numFmtId="9" fontId="0" fillId="3" borderId="14" xfId="0" applyNumberFormat="1" applyFill="1" applyBorder="1"/>
    <xf numFmtId="1" fontId="0" fillId="3" borderId="15" xfId="0" applyNumberFormat="1" applyFill="1" applyBorder="1"/>
    <xf numFmtId="1" fontId="0" fillId="3" borderId="16" xfId="0" applyNumberFormat="1" applyFill="1" applyBorder="1"/>
    <xf numFmtId="9" fontId="0" fillId="3" borderId="19" xfId="0" applyNumberFormat="1" applyFill="1" applyBorder="1"/>
    <xf numFmtId="1" fontId="0" fillId="3" borderId="20" xfId="0" applyNumberFormat="1" applyFill="1" applyBorder="1"/>
    <xf numFmtId="3" fontId="0" fillId="0" borderId="4" xfId="0" applyNumberFormat="1" applyBorder="1"/>
    <xf numFmtId="0" fontId="0" fillId="0" borderId="63" xfId="0" applyFont="1" applyFill="1" applyBorder="1" applyAlignment="1"/>
    <xf numFmtId="3" fontId="0" fillId="3" borderId="25" xfId="0" applyNumberFormat="1" applyFill="1" applyBorder="1"/>
    <xf numFmtId="3" fontId="0" fillId="3" borderId="24" xfId="0" applyNumberFormat="1" applyFill="1" applyBorder="1"/>
    <xf numFmtId="9" fontId="0" fillId="3" borderId="25" xfId="0" applyNumberFormat="1" applyFill="1" applyBorder="1"/>
    <xf numFmtId="1" fontId="0" fillId="3" borderId="26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NumberFormat="1" applyBorder="1"/>
    <xf numFmtId="0" fontId="4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3" borderId="53" xfId="0" applyFont="1" applyFill="1" applyBorder="1" applyAlignment="1"/>
    <xf numFmtId="0" fontId="0" fillId="3" borderId="7" xfId="0" applyFont="1" applyFill="1" applyBorder="1" applyAlignment="1"/>
    <xf numFmtId="0" fontId="0" fillId="0" borderId="74" xfId="0" applyFont="1" applyFill="1" applyBorder="1" applyAlignment="1"/>
    <xf numFmtId="0" fontId="0" fillId="0" borderId="69" xfId="0" applyFont="1" applyFill="1" applyBorder="1" applyAlignment="1"/>
    <xf numFmtId="3" fontId="0" fillId="0" borderId="40" xfId="0" applyNumberFormat="1" applyFill="1" applyBorder="1"/>
    <xf numFmtId="0" fontId="0" fillId="3" borderId="41" xfId="0" applyFill="1" applyBorder="1"/>
    <xf numFmtId="9" fontId="0" fillId="3" borderId="9" xfId="0" applyNumberFormat="1" applyFill="1" applyBorder="1"/>
    <xf numFmtId="1" fontId="0" fillId="3" borderId="42" xfId="0" applyNumberFormat="1" applyFill="1" applyBorder="1"/>
    <xf numFmtId="0" fontId="0" fillId="0" borderId="11" xfId="0" applyFill="1" applyBorder="1"/>
    <xf numFmtId="1" fontId="0" fillId="0" borderId="40" xfId="0" applyNumberFormat="1" applyFill="1" applyBorder="1"/>
    <xf numFmtId="0" fontId="0" fillId="3" borderId="46" xfId="0" applyFont="1" applyFill="1" applyBorder="1" applyAlignment="1"/>
    <xf numFmtId="0" fontId="0" fillId="3" borderId="56" xfId="0" applyFont="1" applyFill="1" applyBorder="1" applyAlignment="1"/>
    <xf numFmtId="3" fontId="0" fillId="3" borderId="56" xfId="0" applyNumberFormat="1" applyFill="1" applyBorder="1"/>
    <xf numFmtId="3" fontId="0" fillId="3" borderId="73" xfId="0" applyNumberFormat="1" applyFill="1" applyBorder="1"/>
    <xf numFmtId="3" fontId="0" fillId="3" borderId="29" xfId="0" applyNumberFormat="1" applyFill="1" applyBorder="1"/>
    <xf numFmtId="3" fontId="0" fillId="3" borderId="26" xfId="0" applyNumberFormat="1" applyFill="1" applyBorder="1"/>
    <xf numFmtId="9" fontId="0" fillId="3" borderId="29" xfId="4" applyFont="1" applyFill="1" applyBorder="1"/>
    <xf numFmtId="0" fontId="0" fillId="0" borderId="53" xfId="0" applyFont="1" applyFill="1" applyBorder="1" applyAlignment="1"/>
    <xf numFmtId="0" fontId="0" fillId="0" borderId="7" xfId="0" applyFont="1" applyFill="1" applyBorder="1" applyAlignment="1"/>
    <xf numFmtId="3" fontId="0" fillId="0" borderId="42" xfId="0" applyNumberFormat="1" applyFill="1" applyBorder="1"/>
    <xf numFmtId="0" fontId="0" fillId="3" borderId="74" xfId="0" applyFont="1" applyFill="1" applyBorder="1" applyAlignment="1"/>
    <xf numFmtId="0" fontId="0" fillId="3" borderId="69" xfId="0" applyFont="1" applyFill="1" applyBorder="1" applyAlignment="1"/>
    <xf numFmtId="0" fontId="0" fillId="0" borderId="46" xfId="0" applyFont="1" applyFill="1" applyBorder="1" applyAlignment="1"/>
    <xf numFmtId="0" fontId="0" fillId="0" borderId="56" xfId="0" applyFont="1" applyFill="1" applyBorder="1" applyAlignment="1"/>
    <xf numFmtId="3" fontId="0" fillId="0" borderId="56" xfId="0" applyNumberFormat="1" applyFill="1" applyBorder="1"/>
    <xf numFmtId="3" fontId="0" fillId="0" borderId="48" xfId="0" applyNumberFormat="1" applyFill="1" applyBorder="1"/>
    <xf numFmtId="3" fontId="0" fillId="0" borderId="29" xfId="0" applyNumberFormat="1" applyFill="1" applyBorder="1"/>
    <xf numFmtId="3" fontId="0" fillId="0" borderId="41" xfId="0" applyNumberFormat="1" applyFill="1" applyBorder="1"/>
    <xf numFmtId="0" fontId="0" fillId="0" borderId="9" xfId="0" applyFill="1" applyBorder="1"/>
    <xf numFmtId="9" fontId="0" fillId="0" borderId="9" xfId="0" applyNumberFormat="1" applyFill="1" applyBorder="1"/>
    <xf numFmtId="1" fontId="0" fillId="0" borderId="42" xfId="0" applyNumberFormat="1" applyFill="1" applyBorder="1"/>
    <xf numFmtId="3" fontId="0" fillId="3" borderId="39" xfId="0" applyNumberFormat="1" applyFill="1" applyBorder="1"/>
    <xf numFmtId="9" fontId="0" fillId="3" borderId="11" xfId="0" applyNumberFormat="1" applyFill="1" applyBorder="1"/>
    <xf numFmtId="1" fontId="0" fillId="3" borderId="40" xfId="0" applyNumberFormat="1" applyFill="1" applyBorder="1"/>
    <xf numFmtId="9" fontId="0" fillId="0" borderId="25" xfId="4" applyFont="1" applyFill="1" applyBorder="1"/>
    <xf numFmtId="3" fontId="0" fillId="0" borderId="73" xfId="0" applyNumberFormat="1" applyFill="1" applyBorder="1"/>
    <xf numFmtId="3" fontId="0" fillId="3" borderId="40" xfId="0" applyNumberFormat="1" applyFill="1" applyBorder="1"/>
    <xf numFmtId="0" fontId="0" fillId="0" borderId="49" xfId="0" applyFont="1" applyFill="1" applyBorder="1" applyAlignment="1"/>
    <xf numFmtId="0" fontId="0" fillId="0" borderId="70" xfId="0" applyFont="1" applyFill="1" applyBorder="1" applyAlignment="1"/>
    <xf numFmtId="1" fontId="0" fillId="5" borderId="75" xfId="0" applyNumberFormat="1" applyFont="1" applyFill="1" applyBorder="1"/>
    <xf numFmtId="1" fontId="0" fillId="4" borderId="39" xfId="0" applyNumberFormat="1" applyFont="1" applyFill="1" applyBorder="1"/>
    <xf numFmtId="164" fontId="0" fillId="0" borderId="40" xfId="1" applyNumberFormat="1" applyFont="1" applyBorder="1"/>
    <xf numFmtId="164" fontId="0" fillId="4" borderId="11" xfId="0" applyNumberFormat="1" applyFont="1" applyFill="1" applyBorder="1"/>
    <xf numFmtId="164" fontId="0" fillId="4" borderId="40" xfId="0" applyNumberFormat="1" applyFont="1" applyFill="1" applyBorder="1"/>
    <xf numFmtId="1" fontId="0" fillId="4" borderId="76" xfId="0" applyNumberFormat="1" applyFont="1" applyFill="1" applyBorder="1"/>
    <xf numFmtId="0" fontId="4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4" fontId="0" fillId="0" borderId="7" xfId="1" applyNumberFormat="1" applyFont="1" applyFill="1" applyBorder="1"/>
    <xf numFmtId="164" fontId="0" fillId="0" borderId="35" xfId="1" applyNumberFormat="1" applyFont="1" applyFill="1" applyBorder="1"/>
    <xf numFmtId="1" fontId="0" fillId="0" borderId="35" xfId="0" applyNumberFormat="1" applyFont="1" applyFill="1" applyBorder="1"/>
    <xf numFmtId="1" fontId="0" fillId="5" borderId="76" xfId="0" applyNumberFormat="1" applyFont="1" applyFill="1" applyBorder="1"/>
    <xf numFmtId="1" fontId="0" fillId="5" borderId="60" xfId="0" applyNumberFormat="1" applyFont="1" applyFill="1" applyBorder="1"/>
    <xf numFmtId="3" fontId="0" fillId="2" borderId="71" xfId="0" applyNumberFormat="1" applyFill="1" applyBorder="1" applyAlignment="1">
      <alignment horizontal="right" vertical="center" wrapText="1"/>
    </xf>
    <xf numFmtId="3" fontId="0" fillId="2" borderId="72" xfId="0" applyNumberFormat="1" applyFill="1" applyBorder="1" applyAlignment="1">
      <alignment horizontal="right" vertical="center" wrapText="1"/>
    </xf>
    <xf numFmtId="3" fontId="0" fillId="2" borderId="68" xfId="0" applyNumberFormat="1" applyFill="1" applyBorder="1" applyAlignment="1">
      <alignment horizontal="right" vertical="center" wrapText="1"/>
    </xf>
    <xf numFmtId="164" fontId="0" fillId="0" borderId="77" xfId="1" applyNumberFormat="1" applyFont="1" applyFill="1" applyBorder="1"/>
    <xf numFmtId="1" fontId="0" fillId="4" borderId="13" xfId="0" applyNumberFormat="1" applyFont="1" applyFill="1" applyBorder="1"/>
    <xf numFmtId="164" fontId="0" fillId="0" borderId="4" xfId="1" applyNumberFormat="1" applyFont="1" applyBorder="1"/>
    <xf numFmtId="3" fontId="0" fillId="4" borderId="13" xfId="0" applyNumberFormat="1" applyFont="1" applyFill="1" applyBorder="1"/>
    <xf numFmtId="0" fontId="4" fillId="4" borderId="66" xfId="0" applyFont="1" applyFill="1" applyBorder="1" applyAlignment="1">
      <alignment horizontal="center"/>
    </xf>
    <xf numFmtId="0" fontId="4" fillId="3" borderId="65" xfId="0" applyFont="1" applyFill="1" applyBorder="1" applyAlignment="1">
      <alignment horizontal="center" wrapText="1"/>
    </xf>
    <xf numFmtId="0" fontId="4" fillId="3" borderId="67" xfId="0" applyFont="1" applyFill="1" applyBorder="1" applyAlignment="1">
      <alignment horizontal="center" wrapText="1"/>
    </xf>
    <xf numFmtId="0" fontId="4" fillId="0" borderId="66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3" fontId="0" fillId="0" borderId="35" xfId="0" applyNumberFormat="1" applyFill="1" applyBorder="1"/>
    <xf numFmtId="3" fontId="0" fillId="0" borderId="43" xfId="0" applyNumberFormat="1" applyFill="1" applyBorder="1"/>
    <xf numFmtId="3" fontId="0" fillId="0" borderId="36" xfId="0" applyNumberFormat="1" applyFill="1" applyBorder="1"/>
    <xf numFmtId="9" fontId="0" fillId="0" borderId="43" xfId="4" applyFont="1" applyFill="1" applyBorder="1"/>
    <xf numFmtId="1" fontId="0" fillId="0" borderId="36" xfId="0" applyNumberFormat="1" applyFill="1" applyBorder="1"/>
    <xf numFmtId="1" fontId="0" fillId="4" borderId="31" xfId="0" applyNumberFormat="1" applyFont="1" applyFill="1" applyBorder="1" applyAlignment="1">
      <alignment horizontal="right"/>
    </xf>
    <xf numFmtId="0" fontId="4" fillId="0" borderId="29" xfId="0" applyFont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0" fillId="0" borderId="1" xfId="0" applyNumberFormat="1" applyBorder="1"/>
    <xf numFmtId="164" fontId="0" fillId="0" borderId="22" xfId="1" applyNumberFormat="1" applyFont="1" applyBorder="1"/>
    <xf numFmtId="0" fontId="0" fillId="0" borderId="41" xfId="0" applyNumberFormat="1" applyBorder="1"/>
    <xf numFmtId="0" fontId="0" fillId="0" borderId="9" xfId="0" applyNumberFormat="1" applyBorder="1"/>
    <xf numFmtId="0" fontId="0" fillId="0" borderId="42" xfId="0" applyNumberFormat="1" applyBorder="1"/>
    <xf numFmtId="0" fontId="0" fillId="0" borderId="22" xfId="0" applyFill="1" applyBorder="1" applyAlignment="1">
      <alignment horizontal="right"/>
    </xf>
    <xf numFmtId="3" fontId="0" fillId="0" borderId="1" xfId="0" applyNumberFormat="1" applyFill="1" applyBorder="1" applyAlignment="1">
      <alignment horizontal="right" vertical="center" wrapText="1"/>
    </xf>
    <xf numFmtId="3" fontId="0" fillId="0" borderId="40" xfId="0" applyNumberFormat="1" applyFill="1" applyBorder="1" applyAlignment="1">
      <alignment horizontal="right" vertical="center" wrapText="1"/>
    </xf>
    <xf numFmtId="0" fontId="0" fillId="0" borderId="23" xfId="0" applyFill="1" applyBorder="1" applyAlignment="1">
      <alignment horizontal="right"/>
    </xf>
    <xf numFmtId="3" fontId="0" fillId="0" borderId="19" xfId="0" applyNumberFormat="1" applyFill="1" applyBorder="1" applyAlignment="1">
      <alignment horizontal="right" vertical="center" wrapText="1"/>
    </xf>
    <xf numFmtId="3" fontId="0" fillId="0" borderId="47" xfId="0" applyNumberFormat="1" applyFill="1" applyBorder="1" applyAlignment="1">
      <alignment horizontal="right" vertical="center" wrapText="1"/>
    </xf>
    <xf numFmtId="0" fontId="0" fillId="3" borderId="22" xfId="0" applyNumberForma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21" xfId="0" applyFill="1" applyBorder="1" applyAlignment="1">
      <alignment horizontal="right"/>
    </xf>
    <xf numFmtId="3" fontId="0" fillId="3" borderId="14" xfId="0" applyNumberFormat="1" applyFill="1" applyBorder="1" applyAlignment="1">
      <alignment horizontal="right" vertical="center" wrapText="1"/>
    </xf>
    <xf numFmtId="3" fontId="0" fillId="3" borderId="15" xfId="0" applyNumberFormat="1" applyFill="1" applyBorder="1" applyAlignment="1">
      <alignment horizontal="right" vertical="center" wrapText="1"/>
    </xf>
    <xf numFmtId="0" fontId="0" fillId="3" borderId="69" xfId="0" applyNumberFormat="1" applyFill="1" applyBorder="1"/>
    <xf numFmtId="0" fontId="0" fillId="3" borderId="40" xfId="0" applyNumberFormat="1" applyFill="1" applyBorder="1"/>
    <xf numFmtId="0" fontId="0" fillId="3" borderId="39" xfId="0" applyNumberFormat="1" applyFill="1" applyBorder="1"/>
    <xf numFmtId="0" fontId="0" fillId="3" borderId="8" xfId="0" applyNumberFormat="1" applyFill="1" applyBorder="1"/>
    <xf numFmtId="164" fontId="0" fillId="3" borderId="21" xfId="1" applyNumberFormat="1" applyFon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22" xfId="0" applyFill="1" applyBorder="1" applyAlignment="1">
      <alignment horizontal="right"/>
    </xf>
    <xf numFmtId="3" fontId="0" fillId="3" borderId="1" xfId="0" applyNumberFormat="1" applyFill="1" applyBorder="1" applyAlignment="1">
      <alignment horizontal="right" vertical="center" wrapText="1"/>
    </xf>
    <xf numFmtId="3" fontId="0" fillId="3" borderId="40" xfId="0" applyNumberFormat="1" applyFill="1" applyBorder="1" applyAlignment="1">
      <alignment horizontal="right" vertical="center" wrapText="1"/>
    </xf>
    <xf numFmtId="0" fontId="0" fillId="3" borderId="4" xfId="0" applyNumberFormat="1" applyFill="1" applyBorder="1"/>
    <xf numFmtId="0" fontId="0" fillId="3" borderId="16" xfId="0" applyNumberFormat="1" applyFill="1" applyBorder="1"/>
    <xf numFmtId="0" fontId="0" fillId="3" borderId="22" xfId="0" applyNumberFormat="1" applyFill="1" applyBorder="1"/>
    <xf numFmtId="0" fontId="0" fillId="3" borderId="3" xfId="0" applyNumberFormat="1" applyFill="1" applyBorder="1"/>
    <xf numFmtId="164" fontId="0" fillId="3" borderId="22" xfId="1" applyNumberFormat="1" applyFont="1" applyFill="1" applyBorder="1"/>
    <xf numFmtId="0" fontId="0" fillId="3" borderId="1" xfId="0" applyNumberFormat="1" applyFill="1" applyBorder="1"/>
    <xf numFmtId="3" fontId="0" fillId="3" borderId="24" xfId="0" applyNumberFormat="1" applyFill="1" applyBorder="1" applyAlignment="1">
      <alignment horizontal="right" vertical="center" wrapText="1"/>
    </xf>
    <xf numFmtId="3" fontId="0" fillId="3" borderId="73" xfId="0" applyNumberFormat="1" applyFill="1" applyBorder="1" applyAlignment="1">
      <alignment horizontal="right" vertical="center" wrapText="1"/>
    </xf>
    <xf numFmtId="3" fontId="0" fillId="3" borderId="25" xfId="0" applyNumberFormat="1" applyFill="1" applyBorder="1" applyAlignment="1">
      <alignment horizontal="right" vertical="center" wrapText="1"/>
    </xf>
    <xf numFmtId="3" fontId="0" fillId="3" borderId="26" xfId="0" applyNumberFormat="1" applyFill="1" applyBorder="1" applyAlignment="1">
      <alignment horizontal="right" vertical="center" wrapText="1"/>
    </xf>
    <xf numFmtId="0" fontId="0" fillId="3" borderId="24" xfId="0" applyNumberFormat="1" applyFill="1" applyBorder="1"/>
    <xf numFmtId="0" fontId="0" fillId="3" borderId="26" xfId="0" applyNumberFormat="1" applyFill="1" applyBorder="1"/>
    <xf numFmtId="0" fontId="0" fillId="3" borderId="29" xfId="0" applyNumberFormat="1" applyFill="1" applyBorder="1"/>
    <xf numFmtId="164" fontId="0" fillId="3" borderId="24" xfId="0" applyNumberFormat="1" applyFill="1" applyBorder="1"/>
    <xf numFmtId="0" fontId="0" fillId="3" borderId="25" xfId="0" applyNumberFormat="1" applyFill="1" applyBorder="1"/>
    <xf numFmtId="0" fontId="3" fillId="0" borderId="2" xfId="2" applyBorder="1" applyAlignment="1">
      <alignment horizontal="left"/>
    </xf>
    <xf numFmtId="0" fontId="6" fillId="0" borderId="0" xfId="3" applyFont="1" applyAlignment="1">
      <alignment horizontal="center" vertical="center"/>
    </xf>
    <xf numFmtId="0" fontId="0" fillId="3" borderId="46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3" fillId="0" borderId="0" xfId="2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textRotation="90" wrapText="1"/>
    </xf>
    <xf numFmtId="0" fontId="0" fillId="0" borderId="72" xfId="0" applyBorder="1" applyAlignment="1">
      <alignment horizontal="center" vertical="center" textRotation="90" wrapText="1"/>
    </xf>
    <xf numFmtId="0" fontId="0" fillId="0" borderId="68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0" borderId="35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3" fontId="0" fillId="2" borderId="43" xfId="0" applyNumberFormat="1" applyFill="1" applyBorder="1" applyAlignment="1">
      <alignment horizontal="right" vertical="center" wrapText="1"/>
    </xf>
    <xf numFmtId="3" fontId="0" fillId="2" borderId="10" xfId="0" applyNumberFormat="1" applyFill="1" applyBorder="1" applyAlignment="1">
      <alignment horizontal="right" vertical="center" wrapText="1"/>
    </xf>
    <xf numFmtId="3" fontId="0" fillId="2" borderId="45" xfId="0" applyNumberFormat="1" applyFill="1" applyBorder="1" applyAlignment="1">
      <alignment horizontal="righ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59" xfId="0" applyFont="1" applyBorder="1" applyAlignment="1">
      <alignment horizontal="center" vertical="center" wrapText="1"/>
    </xf>
    <xf numFmtId="0" fontId="0" fillId="0" borderId="58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56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" fillId="0" borderId="58" xfId="2" applyBorder="1" applyAlignment="1">
      <alignment horizontal="center"/>
    </xf>
    <xf numFmtId="0" fontId="0" fillId="0" borderId="35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textRotation="90" wrapText="1"/>
    </xf>
    <xf numFmtId="0" fontId="1" fillId="0" borderId="38" xfId="0" applyFont="1" applyBorder="1" applyAlignment="1">
      <alignment horizontal="center" vertical="center" textRotation="90" wrapText="1"/>
    </xf>
    <xf numFmtId="0" fontId="1" fillId="0" borderId="47" xfId="0" applyFont="1" applyBorder="1" applyAlignment="1">
      <alignment horizontal="center" vertical="center" textRotation="90" wrapText="1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3" fontId="0" fillId="2" borderId="71" xfId="0" applyNumberFormat="1" applyFill="1" applyBorder="1" applyAlignment="1">
      <alignment horizontal="right" vertical="center" wrapText="1"/>
    </xf>
    <xf numFmtId="3" fontId="0" fillId="2" borderId="72" xfId="0" applyNumberFormat="1" applyFill="1" applyBorder="1" applyAlignment="1">
      <alignment horizontal="right" vertical="center" wrapText="1"/>
    </xf>
    <xf numFmtId="3" fontId="0" fillId="2" borderId="68" xfId="0" applyNumberFormat="1" applyFill="1" applyBorder="1" applyAlignment="1">
      <alignment horizontal="right" vertical="center" wrapText="1"/>
    </xf>
    <xf numFmtId="0" fontId="0" fillId="0" borderId="44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68" xfId="0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 wrapText="1"/>
    </xf>
    <xf numFmtId="0" fontId="0" fillId="0" borderId="2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59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3" borderId="44" xfId="0" applyFill="1" applyBorder="1" applyAlignment="1">
      <alignment horizontal="left"/>
    </xf>
    <xf numFmtId="0" fontId="0" fillId="3" borderId="45" xfId="0" applyFill="1" applyBorder="1" applyAlignment="1">
      <alignment horizontal="left"/>
    </xf>
    <xf numFmtId="0" fontId="0" fillId="3" borderId="68" xfId="0" applyFill="1" applyBorder="1" applyAlignment="1">
      <alignment horizontal="left"/>
    </xf>
  </cellXfs>
  <cellStyles count="5">
    <cellStyle name="Comma" xfId="1" builtinId="3"/>
    <cellStyle name="Heading 1" xfId="2" builtinId="16"/>
    <cellStyle name="Normal" xfId="0" builtinId="0"/>
    <cellStyle name="Percent" xfId="4" builtinId="5"/>
    <cellStyle name="Title" xfId="3" builtinId="1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9084957983329"/>
          <c:y val="0.57981651376146792"/>
          <c:w val="0.82947124868464772"/>
          <c:h val="7.0985480026005923E-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OverviewData!$B$10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OverviewData!$A$11:$A$17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Niagara Falls</c:v>
                </c:pt>
              </c:strCache>
            </c:strRef>
          </c:cat>
          <c:val>
            <c:numRef>
              <c:f>OverviewData!$B$35:$B$38</c:f>
              <c:numCache>
                <c:formatCode>#,##0</c:formatCode>
                <c:ptCount val="3"/>
                <c:pt idx="0">
                  <c:v>39697</c:v>
                </c:pt>
                <c:pt idx="1">
                  <c:v>31468</c:v>
                </c:pt>
                <c:pt idx="2">
                  <c:v>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F-4B70-9701-1A31FA8A53D5}"/>
            </c:ext>
          </c:extLst>
        </c:ser>
        <c:ser>
          <c:idx val="1"/>
          <c:order val="1"/>
          <c:tx>
            <c:strRef>
              <c:f>OverviewData!$C$10</c:f>
              <c:strCache>
                <c:ptCount val="1"/>
                <c:pt idx="0">
                  <c:v>Mapped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OverviewData!$A$11:$A$17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Niagara Falls</c:v>
                </c:pt>
              </c:strCache>
            </c:strRef>
          </c:cat>
          <c:val>
            <c:numRef>
              <c:f>OverviewData!$C$11:$C$17</c:f>
              <c:numCache>
                <c:formatCode>#,##0</c:formatCode>
                <c:ptCount val="3"/>
                <c:pt idx="0">
                  <c:v>39637</c:v>
                </c:pt>
                <c:pt idx="1">
                  <c:v>18371</c:v>
                </c:pt>
                <c:pt idx="2">
                  <c:v>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F-4B70-9701-1A31FA8A53D5}"/>
            </c:ext>
          </c:extLst>
        </c:ser>
        <c:ser>
          <c:idx val="6"/>
          <c:order val="2"/>
          <c:tx>
            <c:strRef>
              <c:f>OverviewData!$E$10</c:f>
              <c:strCache>
                <c:ptCount val="1"/>
                <c:pt idx="0">
                  <c:v>New Places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OverviewData!$E$11:$E$17</c:f>
              <c:numCache>
                <c:formatCode>#,##0</c:formatCode>
                <c:ptCount val="3"/>
                <c:pt idx="0">
                  <c:v>2359</c:v>
                </c:pt>
                <c:pt idx="1">
                  <c:v>6411</c:v>
                </c:pt>
                <c:pt idx="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A83-BDBA-4CC733582B19}"/>
            </c:ext>
          </c:extLst>
        </c:ser>
        <c:ser>
          <c:idx val="2"/>
          <c:order val="3"/>
          <c:tx>
            <c:strRef>
              <c:f>OverviewData!$D$10</c:f>
              <c:strCache>
                <c:ptCount val="1"/>
                <c:pt idx="0">
                  <c:v>FieldCheck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OverviewData!$A$11:$A$17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Niagara Falls</c:v>
                </c:pt>
              </c:strCache>
            </c:strRef>
          </c:cat>
          <c:val>
            <c:numRef>
              <c:f>OverviewData!$D$11:$D$17</c:f>
              <c:numCache>
                <c:formatCode>#,##0</c:formatCode>
                <c:ptCount val="3"/>
                <c:pt idx="0">
                  <c:v>3490</c:v>
                </c:pt>
                <c:pt idx="1">
                  <c:v>1993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F-4B70-9701-1A31FA8A53D5}"/>
            </c:ext>
          </c:extLst>
        </c:ser>
        <c:ser>
          <c:idx val="3"/>
          <c:order val="4"/>
          <c:tx>
            <c:strRef>
              <c:f>OverviewData!$F$10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OverviewData!$F$11:$F$17</c:f>
              <c:numCache>
                <c:formatCode>General</c:formatCode>
                <c:ptCount val="3"/>
                <c:pt idx="0">
                  <c:v>2417</c:v>
                </c:pt>
                <c:pt idx="1">
                  <c:v>253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3-4A30-BAD6-62BF00AFDB99}"/>
            </c:ext>
          </c:extLst>
        </c:ser>
        <c:ser>
          <c:idx val="4"/>
          <c:order val="5"/>
          <c:tx>
            <c:strRef>
              <c:f>OverviewData!$H$10</c:f>
              <c:strCache>
                <c:ptCount val="1"/>
                <c:pt idx="0">
                  <c:v>CBO Daily Average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OverviewData!$H$11:$H$17</c:f>
              <c:numCache>
                <c:formatCode>#,##0</c:formatCode>
                <c:ptCount val="3"/>
                <c:pt idx="0">
                  <c:v>44.738297872340425</c:v>
                </c:pt>
                <c:pt idx="1">
                  <c:v>49.531914893617021</c:v>
                </c:pt>
                <c:pt idx="2">
                  <c:v>29.680851063829788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7-46D1-B9CC-0BAFFB5E0411}"/>
            </c:ext>
          </c:extLst>
        </c:ser>
        <c:ser>
          <c:idx val="5"/>
          <c:order val="6"/>
          <c:tx>
            <c:strRef>
              <c:f>OverviewData!$I$10</c:f>
              <c:strCache>
                <c:ptCount val="1"/>
                <c:pt idx="0">
                  <c:v>FC Daily Average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OverviewData!$I$11:$I$17</c:f>
              <c:numCache>
                <c:formatCode>#,##0</c:formatCode>
                <c:ptCount val="3"/>
                <c:pt idx="0">
                  <c:v>13.158322903629537</c:v>
                </c:pt>
                <c:pt idx="1">
                  <c:v>4.717325227963526</c:v>
                </c:pt>
                <c:pt idx="2">
                  <c:v>5.9361702127659575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07-46D1-B9CC-0BAFFB5E04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5796424"/>
        <c:axId val="525794456"/>
      </c:barChart>
      <c:catAx>
        <c:axId val="52579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94456"/>
        <c:crosses val="autoZero"/>
        <c:auto val="1"/>
        <c:lblAlgn val="ctr"/>
        <c:lblOffset val="100"/>
        <c:noMultiLvlLbl val="0"/>
      </c:catAx>
      <c:valAx>
        <c:axId val="5257944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257964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OverviewData!$B$19</c:f>
              <c:strCache>
                <c:ptCount val="1"/>
                <c:pt idx="0">
                  <c:v>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OverviewData!$A$20:$A$22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Niagara Falls</c:v>
                </c:pt>
              </c:strCache>
            </c:strRef>
          </c:cat>
          <c:val>
            <c:numRef>
              <c:f>OverviewData!$C$35:$C$38</c:f>
              <c:numCache>
                <c:formatCode>0%</c:formatCode>
                <c:ptCount val="3"/>
                <c:pt idx="0">
                  <c:v>0.99848855077209864</c:v>
                </c:pt>
                <c:pt idx="1">
                  <c:v>0.58379941527901358</c:v>
                </c:pt>
                <c:pt idx="2">
                  <c:v>0.97159887798036471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1-45CC-A1ED-D87A46717F4B}"/>
            </c:ext>
          </c:extLst>
        </c:ser>
        <c:ser>
          <c:idx val="1"/>
          <c:order val="1"/>
          <c:tx>
            <c:strRef>
              <c:f>OverviewData!$C$19</c:f>
              <c:strCache>
                <c:ptCount val="1"/>
                <c:pt idx="0">
                  <c:v>Field Check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OverviewData!$A$20:$A$22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Niagara Falls</c:v>
                </c:pt>
              </c:strCache>
            </c:strRef>
          </c:cat>
          <c:val>
            <c:numRef>
              <c:f>OverviewData!$C$20:$C$22</c:f>
              <c:numCache>
                <c:formatCode>0.00%</c:formatCode>
                <c:ptCount val="3"/>
                <c:pt idx="0">
                  <c:v>8.8049045084138564E-2</c:v>
                </c:pt>
                <c:pt idx="1">
                  <c:v>0.10848620107778564</c:v>
                </c:pt>
                <c:pt idx="2">
                  <c:v>7.5784915193071092E-3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1-45CC-A1ED-D87A46717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8329568"/>
        <c:axId val="478330880"/>
      </c:barChart>
      <c:catAx>
        <c:axId val="4783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30880"/>
        <c:crosses val="autoZero"/>
        <c:auto val="1"/>
        <c:lblAlgn val="ctr"/>
        <c:lblOffset val="100"/>
        <c:noMultiLvlLbl val="0"/>
      </c:catAx>
      <c:valAx>
        <c:axId val="478330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Complete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6998067949839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24</xdr:row>
      <xdr:rowOff>158750</xdr:rowOff>
    </xdr:from>
    <xdr:to>
      <xdr:col>6</xdr:col>
      <xdr:colOff>6350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606425</xdr:colOff>
      <xdr:row>20</xdr:row>
      <xdr:rowOff>12701</xdr:rowOff>
    </xdr:from>
    <xdr:to>
      <xdr:col>6</xdr:col>
      <xdr:colOff>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backgroundRefresh="0" connectionId="1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Name" tableColumnId="1"/>
      <queryTableField id="2" name="TotalOldPlaces" tableColumnId="2"/>
      <queryTableField id="3" name="TotalNewPlaces" tableColumnId="3"/>
    </queryTableFields>
  </queryTableRefresh>
  <extLst>
    <ext xmlns:x15="http://schemas.microsoft.com/office/spreadsheetml/2010/11/main" uri="{883FBD77-0823-4a55-B5E3-86C4891E6966}">
      <x15:queryTable sourceDataName="Query - GeoAreaTotalPlaces"/>
    </ext>
  </extLst>
</queryTable>
</file>

<file path=xl/queryTables/queryTable10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TeamName" tableColumnId="1"/>
      <queryTableField id="2" name="UserName" tableColumnId="2"/>
      <queryTableField id="3" name="checked" tableColumnId="3"/>
      <queryTableField id="4" name="checked2" tableColumnId="4"/>
      <queryTableField id="5" name="checked3" tableColumnId="5"/>
      <queryTableField id="6" name="checked4" tableColumnId="6"/>
      <queryTableField id="7" name="checked5" tableColumnId="7"/>
      <queryTableField id="8" name="checked6" tableColumnId="8"/>
      <queryTableField id="9" name="checked7" tableColumnId="9"/>
    </queryTableFields>
  </queryTableRefresh>
</queryTable>
</file>

<file path=xl/queryTables/queryTable11.xml><?xml version="1.0" encoding="utf-8"?>
<queryTable xmlns="http://schemas.openxmlformats.org/spreadsheetml/2006/main" name="ExternalData_1" connectionId="10" autoFormatId="16" applyNumberFormats="0" applyBorderFormats="0" applyFontFormats="0" applyPatternFormats="0" applyAlignmentFormats="0" applyWidthHeightFormats="0">
  <queryTableRefresh preserveSortFilterLayout="0" nextId="8" unboundColumnsRight="1">
    <queryTableFields count="7">
      <queryTableField id="1" name="TeamName" tableColumnId="1"/>
      <queryTableField id="2" name="AssignWeek1" tableColumnId="2"/>
      <queryTableField id="3" name="AssignWeek2" tableColumnId="3"/>
      <queryTableField id="4" name="AssignWeek3" tableColumnId="4"/>
      <queryTableField id="5" name="AssignWeek4" tableColumnId="5"/>
      <queryTableField id="6" name="AssignWeek5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name="ExternalData_1" connectionId="8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Commercial" tableColumnId="1"/>
      <queryTableField id="2" name="Residential" tableColumnId="2"/>
    </queryTableFields>
  </queryTableRefresh>
</queryTable>
</file>

<file path=xl/queryTables/queryTable3.xml><?xml version="1.0" encoding="utf-8"?>
<queryTable xmlns="http://schemas.openxmlformats.org/spreadsheetml/2006/main" name="ExternalData_2" connectionId="9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TotalLandBank" tableColumnId="1"/>
      <queryTableField id="2" name="MappedLandBank" tableColumnId="2"/>
      <queryTableField id="3" name="HomelessCOOP" tableColumnId="3"/>
    </queryTableFields>
  </queryTableRefresh>
</queryTable>
</file>

<file path=xl/queryTables/queryTable4.xml><?xml version="1.0" encoding="utf-8"?>
<queryTable xmlns="http://schemas.openxmlformats.org/spreadsheetml/2006/main" name="ExternalData_3" connectionId="7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Column1" tableColumnId="1"/>
      <queryTableField id="2" name="Mapped" tableColumnId="2"/>
      <queryTableField id="3" name="FieldCheck" tableColumnId="3"/>
    </queryTableFields>
  </queryTableRefresh>
</queryTable>
</file>

<file path=xl/queryTables/queryTable5.xml><?xml version="1.0" encoding="utf-8"?>
<queryTable xmlns="http://schemas.openxmlformats.org/spreadsheetml/2006/main" name="ExternalData_4" connectionId="2" autoFormatId="16" applyNumberFormats="0" applyBorderFormats="0" applyFontFormats="0" applyPatternFormats="0" applyAlignmentFormats="0" applyWidthHeightFormats="0">
  <queryTableRefresh nextId="18" unboundColumnsRight="3">
    <queryTableFields count="9">
      <queryTableField id="1" name="name" tableColumnId="29"/>
      <queryTableField id="2" name="Total" tableColumnId="30"/>
      <queryTableField id="3" name="Mapped" tableColumnId="31"/>
      <queryTableField id="4" name="FieldCheck" tableColumnId="32"/>
      <queryTableField id="10" name="New Places" tableColumnId="38"/>
      <queryTableField id="14" name="Checked" tableColumnId="1"/>
      <queryTableField id="17" dataBound="0" tableColumnId="2"/>
      <queryTableField id="16" dataBound="0" tableColumnId="3"/>
      <queryTableField id="15" dataBound="0" tableColumnId="4"/>
    </queryTableFields>
  </queryTableRefresh>
</queryTable>
</file>

<file path=xl/queryTables/queryTable6.xml><?xml version="1.0" encoding="utf-8"?>
<queryTable xmlns="http://schemas.openxmlformats.org/spreadsheetml/2006/main" name="ExternalData_1" connectionId="11" autoFormatId="16" applyNumberFormats="0" applyBorderFormats="0" applyFontFormats="0" applyPatternFormats="0" applyAlignmentFormats="0" applyWidthHeightFormats="0">
  <queryTableRefresh nextId="16">
    <queryTableFields count="15">
      <queryTableField id="1" name="TeamName" tableColumnId="16"/>
      <queryTableField id="2" name="Mapped" tableColumnId="17"/>
      <queryTableField id="3" name="FieldCheck" tableColumnId="18"/>
      <queryTableField id="4" name="Mapped2" tableColumnId="19"/>
      <queryTableField id="5" name="Fieldcheck2" tableColumnId="20"/>
      <queryTableField id="6" name="Mapped3" tableColumnId="21"/>
      <queryTableField id="7" name="FieldCheck3" tableColumnId="22"/>
      <queryTableField id="8" name="Mapped4" tableColumnId="23"/>
      <queryTableField id="9" name="FieldCheck4" tableColumnId="24"/>
      <queryTableField id="10" name="Mapped5" tableColumnId="25"/>
      <queryTableField id="11" name="FieldCheck5" tableColumnId="26"/>
      <queryTableField id="12" name="Mapped6" tableColumnId="27"/>
      <queryTableField id="13" name="FieldCheck6" tableColumnId="28"/>
      <queryTableField id="14" name="Mapped7" tableColumnId="29"/>
      <queryTableField id="15" name="FieldCheck7" tableColumnId="30"/>
    </queryTableFields>
  </queryTableRefresh>
</queryTable>
</file>

<file path=xl/queryTables/queryTable7.xml><?xml version="1.0" encoding="utf-8"?>
<queryTable xmlns="http://schemas.openxmlformats.org/spreadsheetml/2006/main" name="ExternalData_2" connectionId="12" autoFormatId="16" applyNumberFormats="0" applyBorderFormats="0" applyFontFormats="0" applyPatternFormats="0" applyAlignmentFormats="0" applyWidthHeightFormats="0">
  <queryTableRefresh nextId="9">
    <queryTableFields count="8">
      <queryTableField id="1" name="TeamName" tableColumnId="9"/>
      <queryTableField id="2" name="Checked" tableColumnId="10"/>
      <queryTableField id="3" name="Checked2" tableColumnId="11"/>
      <queryTableField id="4" name="Checked3" tableColumnId="12"/>
      <queryTableField id="5" name="Checked4" tableColumnId="13"/>
      <queryTableField id="6" name="Checked5" tableColumnId="14"/>
      <queryTableField id="7" name="Checked6" tableColumnId="15"/>
      <queryTableField id="8" name="Checked7" tableColumnId="16"/>
    </queryTableFields>
  </queryTableRefresh>
</queryTable>
</file>

<file path=xl/queryTables/queryTable8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GeoArea" tableColumnId="79"/>
      <queryTableField id="2" name="mapped" tableColumnId="80"/>
      <queryTableField id="3" name="FieldCheck" tableColumnId="81"/>
      <queryTableField id="4" name="mapped2" tableColumnId="82"/>
      <queryTableField id="5" name="FieldCheck2" tableColumnId="83"/>
      <queryTableField id="6" name="mapped3" tableColumnId="84"/>
      <queryTableField id="7" name="FieldCheck3" tableColumnId="85"/>
      <queryTableField id="8" name="mapped4" tableColumnId="86"/>
      <queryTableField id="9" name="FieldCheck4" tableColumnId="87"/>
      <queryTableField id="10" name="mapped5" tableColumnId="88"/>
      <queryTableField id="11" name="FieldCheck5" tableColumnId="89"/>
      <queryTableField id="14" name="mapped6" tableColumnId="1"/>
      <queryTableField id="15" name="FieldCheck6" tableColumnId="2"/>
      <queryTableField id="16" name="mapped7" tableColumnId="3"/>
      <queryTableField id="17" name="FieldCheck7" tableColumnId="4"/>
      <queryTableField id="13" dataBound="0" tableColumnId="90"/>
      <queryTableField id="12" dataBound="0" tableColumnId="91"/>
    </queryTableFields>
  </queryTableRefresh>
</queryTable>
</file>

<file path=xl/queryTables/queryTable9.xml><?xml version="1.0" encoding="utf-8"?>
<queryTable xmlns="http://schemas.openxmlformats.org/spreadsheetml/2006/main" name="ExternalData_1" removeDataOnSave="1" connectionId="3" autoFormatId="16" applyNumberFormats="0" applyBorderFormats="0" applyFontFormats="0" applyPatternFormats="0" applyAlignmentFormats="0" applyWidthHeightFormats="0">
  <queryTableRefresh nextId="32">
    <queryTableFields count="16">
      <queryTableField id="1" name="UserName" tableColumnId="1"/>
      <queryTableField id="12" name="mapped" tableColumnId="2"/>
      <queryTableField id="13" name="FieldCheck" tableColumnId="3"/>
      <queryTableField id="14" name="mapped2" tableColumnId="4"/>
      <queryTableField id="15" name="FieldCheck2" tableColumnId="5"/>
      <queryTableField id="16" name="mapped3" tableColumnId="6"/>
      <queryTableField id="17" name="FieldCheck3" tableColumnId="7"/>
      <queryTableField id="18" name="mapped4" tableColumnId="8"/>
      <queryTableField id="19" name="FieldCheck4" tableColumnId="9"/>
      <queryTableField id="20" name="mapped5" tableColumnId="10"/>
      <queryTableField id="21" name="FieldCheck5" tableColumnId="11"/>
      <queryTableField id="22" name="TeamName" tableColumnId="12"/>
      <queryTableField id="28" name="mapped6" tableColumnId="13"/>
      <queryTableField id="29" name="FieldCheck6" tableColumnId="14"/>
      <queryTableField id="30" name="mapped7" tableColumnId="15"/>
      <queryTableField id="31" name="FieldCheck7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4" name="GeoAreaTotalPlaces" displayName="GeoAreaTotalPlaces" ref="G1:I28" tableType="queryTable" totalsRowShown="0">
  <autoFilter ref="G1:I28"/>
  <tableColumns count="3">
    <tableColumn id="1" uniqueName="1" name="Name" queryTableFieldId="1" dataDxfId="56"/>
    <tableColumn id="2" uniqueName="2" name="TotalOldPlaces" queryTableFieldId="2" dataDxfId="55"/>
    <tableColumn id="3" uniqueName="3" name="TotalNewPlaces" queryTableFieldId="3" dataDxfId="5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FCFieldCheckCompletion" displayName="FCFieldCheckCompletion" ref="R1:Z46" tableType="queryTable" totalsRowShown="0">
  <autoFilter ref="R1:Z46"/>
  <tableColumns count="9">
    <tableColumn id="1" uniqueName="1" name="TeamName" queryTableFieldId="1"/>
    <tableColumn id="2" uniqueName="2" name="UserName" queryTableFieldId="2"/>
    <tableColumn id="3" uniqueName="3" name="checked" queryTableFieldId="3"/>
    <tableColumn id="4" uniqueName="4" name="checked2" queryTableFieldId="4"/>
    <tableColumn id="5" uniqueName="5" name="checked3" queryTableFieldId="5"/>
    <tableColumn id="6" uniqueName="6" name="checked4" queryTableFieldId="6"/>
    <tableColumn id="7" uniqueName="7" name="checked5" queryTableFieldId="7"/>
    <tableColumn id="8" uniqueName="8" name="checked6" queryTableFieldId="8"/>
    <tableColumn id="9" uniqueName="9" name="checked7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3" name="TeamAssignment" displayName="TeamAssignment" ref="A1:G52" tableType="queryTable" totalsRowShown="0">
  <autoFilter ref="A1:G52"/>
  <tableColumns count="7">
    <tableColumn id="1" uniqueName="1" name="TeamName" queryTableFieldId="1"/>
    <tableColumn id="2" uniqueName="2" name="AssignWeek1" queryTableFieldId="2"/>
    <tableColumn id="3" uniqueName="3" name="AssignWeek2" queryTableFieldId="3"/>
    <tableColumn id="4" uniqueName="4" name="AssignWeek3" queryTableFieldId="4"/>
    <tableColumn id="5" uniqueName="5" name="AssignWeek4" queryTableFieldId="5"/>
    <tableColumn id="6" uniqueName="6" name="AssignWeek5" queryTableFieldId="6"/>
    <tableColumn id="7" uniqueName="7" name="AssignWeek6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ResidentialStatusMapped" displayName="ResidentialStatusMapped" ref="A1:B4" tableType="queryTable" totalsRowCount="1">
  <autoFilter ref="A1:B3"/>
  <tableColumns count="2">
    <tableColumn id="1" uniqueName="1" name="Commercial" totalsRowLabel="Total" queryTableFieldId="1" dataDxfId="53"/>
    <tableColumn id="2" uniqueName="2" name="Residential" totalsRowFunction="count" queryTableFieldId="2" dataDxfId="5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SpecialProgram" displayName="SpecialProgram" ref="D1:F2" tableType="queryTable" totalsRowShown="0">
  <autoFilter ref="D1:F2"/>
  <tableColumns count="3">
    <tableColumn id="1" uniqueName="1" name="TotalLandBank" queryTableFieldId="1" dataDxfId="51"/>
    <tableColumn id="2" uniqueName="2" name="MappedLandBank" queryTableFieldId="2" dataDxfId="50"/>
    <tableColumn id="3" uniqueName="3" name="HomelessCOOP" queryTableFieldId="3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Overall_Mapping" displayName="Overall_Mapping" ref="L1:N2" tableType="queryTable" totalsRowShown="0">
  <autoFilter ref="L1:N2"/>
  <tableColumns count="3">
    <tableColumn id="1" uniqueName="1" name="Column1" queryTableFieldId="1" dataDxfId="48"/>
    <tableColumn id="2" uniqueName="2" name="Mapped" queryTableFieldId="2" dataDxfId="47"/>
    <tableColumn id="3" uniqueName="3" name="FieldCheck" queryTableFieldId="3" dataDxfId="4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3" name="CItyStats" displayName="CItyStats" ref="A10:I17" tableType="queryTable" totalsRowShown="0">
  <autoFilter ref="A10:I17">
    <filterColumn colId="0">
      <filters>
        <filter val="Chicago"/>
        <filter val="New York"/>
        <filter val="Niagara Falls"/>
      </filters>
    </filterColumn>
  </autoFilter>
  <sortState ref="A11:I17">
    <sortCondition ref="A11:A17"/>
  </sortState>
  <tableColumns count="9">
    <tableColumn id="29" uniqueName="29" name="name" queryTableFieldId="1" dataDxfId="45"/>
    <tableColumn id="30" uniqueName="30" name="Total" queryTableFieldId="2" dataDxfId="44"/>
    <tableColumn id="31" uniqueName="31" name="Mapped" queryTableFieldId="3" dataDxfId="43"/>
    <tableColumn id="32" uniqueName="32" name="FieldCheck" queryTableFieldId="4" dataDxfId="42"/>
    <tableColumn id="38" uniqueName="38" name="New Places" queryTableFieldId="10" dataDxfId="41"/>
    <tableColumn id="1" uniqueName="1" name="Checked" queryTableFieldId="14" dataDxfId="40"/>
    <tableColumn id="2" uniqueName="2" name="Daily Average" queryTableFieldId="17" dataDxfId="39">
      <calculatedColumnFormula>(CItyStats[[#This Row],[Mapped]]+CItyStats[[#This Row],[Checked]])/A$6</calculatedColumnFormula>
    </tableColumn>
    <tableColumn id="3" uniqueName="3" name="CBO Daily Average" queryTableFieldId="16" dataDxfId="38">
      <calculatedColumnFormula>CItyStats[[#This Row],[Daily Average]]/VLOOKUP(CItyStats[[#This Row],[name]],A$25:C$31,3,FALSE)</calculatedColumnFormula>
    </tableColumn>
    <tableColumn id="4" uniqueName="4" name="FC Daily Average" queryTableFieldId="15" dataDxfId="37">
      <calculatedColumnFormula>CItyStats[[#This Row],[Daily Average]]/VLOOKUP(CItyStats[[#This Row],[name]],A$25:B$31,2,FALSE)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eamCompletion" displayName="TeamCompletion" ref="A1:O53" tableType="queryTable" totalsRowCount="1">
  <autoFilter ref="A1:O52"/>
  <tableColumns count="15">
    <tableColumn id="16" uniqueName="16" name="TeamName" totalsRowLabel="TOTAL Week 6 &amp; 7" queryTableFieldId="1"/>
    <tableColumn id="17" uniqueName="17" name="Mapped" totalsRowFunction="custom" queryTableFieldId="2">
      <totalsRowFormula>SUM(TeamCompletion[Mapped])</totalsRowFormula>
    </tableColumn>
    <tableColumn id="18" uniqueName="18" name="FieldCheck" totalsRowFunction="custom" queryTableFieldId="3">
      <totalsRowFormula>SUM(TeamCompletion[FieldCheck])</totalsRowFormula>
    </tableColumn>
    <tableColumn id="19" uniqueName="19" name="Mapped2" totalsRowFunction="custom" queryTableFieldId="4">
      <totalsRowFormula>SUM(TeamCompletion[Mapped2])</totalsRowFormula>
    </tableColumn>
    <tableColumn id="20" uniqueName="20" name="Fieldcheck2" totalsRowFunction="custom" queryTableFieldId="5">
      <totalsRowFormula>SUM(TeamCompletion[Fieldcheck2])</totalsRowFormula>
    </tableColumn>
    <tableColumn id="21" uniqueName="21" name="Mapped3" totalsRowFunction="custom" queryTableFieldId="6">
      <totalsRowFormula>SUM(TeamCompletion[Mapped3])</totalsRowFormula>
    </tableColumn>
    <tableColumn id="22" uniqueName="22" name="FieldCheck3" totalsRowFunction="custom" queryTableFieldId="7">
      <totalsRowFormula>SUM(TeamCompletion[FieldCheck3])</totalsRowFormula>
    </tableColumn>
    <tableColumn id="23" uniqueName="23" name="Mapped4" totalsRowFunction="custom" queryTableFieldId="8">
      <totalsRowFormula>SUM(TeamCompletion[Mapped4])</totalsRowFormula>
    </tableColumn>
    <tableColumn id="24" uniqueName="24" name="FieldCheck4" totalsRowFunction="custom" queryTableFieldId="9">
      <totalsRowFormula>SUM(TeamCompletion[FieldCheck4])</totalsRowFormula>
    </tableColumn>
    <tableColumn id="25" uniqueName="25" name="Mapped5" totalsRowFunction="custom" queryTableFieldId="10">
      <totalsRowFormula>SUM(TeamCompletion[Mapped5])</totalsRowFormula>
    </tableColumn>
    <tableColumn id="26" uniqueName="26" name="FieldCheck5" totalsRowFunction="custom" queryTableFieldId="11">
      <totalsRowFormula>SUM(TeamCompletion[FieldCheck5])</totalsRowFormula>
    </tableColumn>
    <tableColumn id="27" uniqueName="27" name="Mapped6" totalsRowFunction="custom" queryTableFieldId="12">
      <totalsRowFormula>SUM(TeamCompletion[Mapped6])</totalsRowFormula>
    </tableColumn>
    <tableColumn id="28" uniqueName="28" name="FieldCheck6" totalsRowFunction="custom" queryTableFieldId="13">
      <totalsRowFormula>SUM(TeamCompletion[FieldCheck6])</totalsRowFormula>
    </tableColumn>
    <tableColumn id="29" uniqueName="29" name="Mapped7" totalsRowFunction="custom" queryTableFieldId="14">
      <totalsRowFormula>SUM(TeamCompletion[Mapped7])</totalsRowFormula>
    </tableColumn>
    <tableColumn id="30" uniqueName="30" name="FieldCheck7" totalsRowFunction="custom" queryTableFieldId="15">
      <totalsRowFormula>SUM(TeamCompletion[FieldCheck7])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0" name="TeamFieldCheckCompletion" displayName="TeamFieldCheckCompletion" ref="Q1:X52" tableType="queryTable" totalsRowShown="0">
  <autoFilter ref="Q1:X52"/>
  <tableColumns count="8">
    <tableColumn id="9" uniqueName="9" name="TeamName" queryTableFieldId="1"/>
    <tableColumn id="10" uniqueName="10" name="Checked" queryTableFieldId="2"/>
    <tableColumn id="11" uniqueName="11" name="Checked2" queryTableFieldId="3"/>
    <tableColumn id="12" uniqueName="12" name="Checked3" queryTableFieldId="4"/>
    <tableColumn id="13" uniqueName="13" name="Checked4" queryTableFieldId="5"/>
    <tableColumn id="14" uniqueName="14" name="Checked5" queryTableFieldId="6"/>
    <tableColumn id="15" uniqueName="15" name="Checked6" queryTableFieldId="7"/>
    <tableColumn id="16" uniqueName="16" name="Checked7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GeoAreaCompletion" displayName="GeoAreaCompletion" ref="A1:Q29" tableType="queryTable" totalsRowCount="1">
  <autoFilter ref="A1:Q28"/>
  <tableColumns count="17">
    <tableColumn id="79" uniqueName="79" name="GeoArea" totalsRowLabel="Total" queryTableFieldId="1" dataDxfId="36" totalsRowDxfId="35"/>
    <tableColumn id="80" uniqueName="80" name="mapped" queryTableFieldId="2" dataDxfId="34"/>
    <tableColumn id="81" uniqueName="81" name="FieldCheck" queryTableFieldId="3" dataDxfId="33"/>
    <tableColumn id="82" uniqueName="82" name="mapped2" queryTableFieldId="4" dataDxfId="32"/>
    <tableColumn id="83" uniqueName="83" name="FieldCheck2" queryTableFieldId="5" dataDxfId="31"/>
    <tableColumn id="84" uniqueName="84" name="mapped3" queryTableFieldId="6" dataDxfId="30"/>
    <tableColumn id="85" uniqueName="85" name="FieldCheck3" queryTableFieldId="7" dataDxfId="29"/>
    <tableColumn id="86" uniqueName="86" name="mapped4" queryTableFieldId="8" dataDxfId="28"/>
    <tableColumn id="87" uniqueName="87" name="FieldCheck4" queryTableFieldId="9" dataDxfId="27"/>
    <tableColumn id="88" uniqueName="88" name="mapped5" queryTableFieldId="10" dataDxfId="26"/>
    <tableColumn id="89" uniqueName="89" name="FieldCheck5" queryTableFieldId="11" dataDxfId="25"/>
    <tableColumn id="1" uniqueName="1" name="mapped6" queryTableFieldId="14" dataDxfId="24" totalsRowDxfId="23"/>
    <tableColumn id="2" uniqueName="2" name="FieldCheck6" queryTableFieldId="15" dataDxfId="22" totalsRowDxfId="21"/>
    <tableColumn id="3" uniqueName="3" name="mapped7" queryTableFieldId="16" dataDxfId="20" totalsRowDxfId="19"/>
    <tableColumn id="4" uniqueName="4" name="FieldCheck7" queryTableFieldId="17" dataDxfId="18" totalsRowDxfId="17"/>
    <tableColumn id="90" uniqueName="90" name="mapped62" totalsRowFunction="sum" queryTableFieldId="13" dataDxfId="16">
      <calculatedColumnFormula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calculatedColumnFormula>
    </tableColumn>
    <tableColumn id="91" uniqueName="91" name="FieldCheck63" totalsRowFunction="sum" queryTableFieldId="12">
      <calculatedColumnFormula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FCCompletion" displayName="FCCompletion" ref="A1:P46" tableType="queryTable" totalsRowShown="0">
  <autoFilter ref="A1:P46"/>
  <sortState ref="A2:P46">
    <sortCondition ref="L1:L43"/>
  </sortState>
  <tableColumns count="16">
    <tableColumn id="1" uniqueName="1" name="UserName" queryTableFieldId="1" dataDxfId="15"/>
    <tableColumn id="2" uniqueName="2" name="mapped" queryTableFieldId="12" dataDxfId="14"/>
    <tableColumn id="3" uniqueName="3" name="FieldCheck" queryTableFieldId="13" dataDxfId="13"/>
    <tableColumn id="4" uniqueName="4" name="mapped2" queryTableFieldId="14" dataDxfId="12"/>
    <tableColumn id="5" uniqueName="5" name="FieldCheck2" queryTableFieldId="15" dataDxfId="11"/>
    <tableColumn id="6" uniqueName="6" name="mapped3" queryTableFieldId="16" dataDxfId="10"/>
    <tableColumn id="7" uniqueName="7" name="FieldCheck3" queryTableFieldId="17" dataDxfId="9"/>
    <tableColumn id="8" uniqueName="8" name="mapped4" queryTableFieldId="18" dataDxfId="8"/>
    <tableColumn id="9" uniqueName="9" name="FieldCheck4" queryTableFieldId="19" dataDxfId="7"/>
    <tableColumn id="10" uniqueName="10" name="mapped5" queryTableFieldId="20" dataDxfId="6"/>
    <tableColumn id="11" uniqueName="11" name="FieldCheck5" queryTableFieldId="21" dataDxfId="5"/>
    <tableColumn id="12" uniqueName="12" name="TeamName" queryTableFieldId="22" dataDxfId="4"/>
    <tableColumn id="13" uniqueName="13" name="mapped6" queryTableFieldId="28" dataDxfId="3"/>
    <tableColumn id="14" uniqueName="14" name="FieldCheck6" queryTableFieldId="29" dataDxfId="2"/>
    <tableColumn id="15" uniqueName="15" name="mapped7" queryTableFieldId="30" dataDxfId="1"/>
    <tableColumn id="16" uniqueName="16" name="FieldCheck7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9"/>
  <sheetViews>
    <sheetView topLeftCell="A4" zoomScaleNormal="100" workbookViewId="0">
      <selection activeCell="H11" sqref="H11"/>
    </sheetView>
  </sheetViews>
  <sheetFormatPr defaultRowHeight="14.5" x14ac:dyDescent="0.35"/>
  <cols>
    <col min="2" max="2" width="15" customWidth="1"/>
    <col min="3" max="3" width="12.6328125" customWidth="1"/>
    <col min="4" max="4" width="7.81640625" customWidth="1"/>
    <col min="5" max="5" width="17.26953125" customWidth="1"/>
    <col min="6" max="6" width="7.81640625" customWidth="1"/>
    <col min="7" max="7" width="12.26953125" customWidth="1"/>
    <col min="11" max="11" width="95.453125" customWidth="1"/>
  </cols>
  <sheetData>
    <row r="1" spans="1:11" ht="14.5" customHeight="1" x14ac:dyDescent="0.35">
      <c r="B1" s="332" t="s">
        <v>37</v>
      </c>
      <c r="C1" s="332"/>
      <c r="D1" s="332"/>
      <c r="E1" s="332"/>
      <c r="F1" s="332"/>
      <c r="G1" s="332"/>
      <c r="H1" s="8"/>
      <c r="I1" s="8"/>
    </row>
    <row r="2" spans="1:11" ht="14.5" customHeight="1" x14ac:dyDescent="0.35">
      <c r="A2" s="8"/>
      <c r="B2" s="332"/>
      <c r="C2" s="332"/>
      <c r="D2" s="332"/>
      <c r="E2" s="332"/>
      <c r="F2" s="332"/>
      <c r="G2" s="332"/>
      <c r="H2" s="8"/>
      <c r="I2" s="8"/>
    </row>
    <row r="3" spans="1:11" ht="14.4" customHeight="1" x14ac:dyDescent="0.35">
      <c r="B3" s="332"/>
      <c r="C3" s="332"/>
      <c r="D3" s="332"/>
      <c r="E3" s="332"/>
      <c r="F3" s="332"/>
      <c r="G3" s="332"/>
    </row>
    <row r="4" spans="1:11" ht="20" thickBot="1" x14ac:dyDescent="0.5">
      <c r="B4" s="331" t="s">
        <v>26</v>
      </c>
      <c r="C4" s="331"/>
      <c r="D4" s="331"/>
      <c r="E4" s="331"/>
      <c r="F4" s="331"/>
      <c r="G4" s="331"/>
      <c r="K4" s="12" t="s">
        <v>43</v>
      </c>
    </row>
    <row r="5" spans="1:11" ht="15" thickTop="1" x14ac:dyDescent="0.35">
      <c r="K5" s="13" t="s">
        <v>44</v>
      </c>
    </row>
    <row r="6" spans="1:11" x14ac:dyDescent="0.35">
      <c r="C6" t="s">
        <v>16</v>
      </c>
      <c r="D6" t="s">
        <v>23</v>
      </c>
      <c r="E6" t="s">
        <v>102</v>
      </c>
      <c r="F6" t="s">
        <v>100</v>
      </c>
      <c r="G6" t="s">
        <v>42</v>
      </c>
      <c r="K6" s="13" t="s">
        <v>45</v>
      </c>
    </row>
    <row r="7" spans="1:11" x14ac:dyDescent="0.35">
      <c r="B7" t="s">
        <v>67</v>
      </c>
      <c r="C7" s="7">
        <f>OverviewData!L4</f>
        <v>31468</v>
      </c>
      <c r="D7" s="7">
        <f>Overall_Mapping[Mapped]</f>
        <v>18371</v>
      </c>
      <c r="E7" s="7">
        <f>Overall_Mapping[FieldCheck]</f>
        <v>1993</v>
      </c>
      <c r="F7" s="7">
        <f>+E7-25</f>
        <v>1968</v>
      </c>
      <c r="G7" s="7">
        <f ca="1">ROUND(D7/OverviewData!A6,0)</f>
        <v>195</v>
      </c>
      <c r="K7" s="13" t="s">
        <v>46</v>
      </c>
    </row>
    <row r="8" spans="1:11" x14ac:dyDescent="0.35">
      <c r="B8" s="15" t="s">
        <v>68</v>
      </c>
      <c r="D8" s="2">
        <f>D7/C7</f>
        <v>0.58379941527901358</v>
      </c>
      <c r="E8" s="2">
        <f>Overall_Mapping[FieldCheck]/Overall_Mapping[Mapped]</f>
        <v>0.10848620107778564</v>
      </c>
      <c r="F8" s="144">
        <f>F7/E7</f>
        <v>0.98745609633718012</v>
      </c>
      <c r="K8" s="13" t="s">
        <v>47</v>
      </c>
    </row>
    <row r="9" spans="1:11" s="16" customFormat="1" x14ac:dyDescent="0.35">
      <c r="D9" s="2"/>
      <c r="E9" s="2"/>
      <c r="F9" s="7"/>
      <c r="K9" s="13"/>
    </row>
    <row r="10" spans="1:11" ht="20" thickBot="1" x14ac:dyDescent="0.5">
      <c r="B10" s="331" t="s">
        <v>90</v>
      </c>
      <c r="C10" s="331"/>
      <c r="D10" s="331"/>
      <c r="E10" s="331"/>
      <c r="F10" s="331"/>
      <c r="G10" s="331"/>
      <c r="K10" s="13" t="s">
        <v>48</v>
      </c>
    </row>
    <row r="11" spans="1:11" s="16" customFormat="1" ht="15" thickTop="1" x14ac:dyDescent="0.35">
      <c r="K11" s="13"/>
    </row>
    <row r="12" spans="1:11" s="16" customFormat="1" x14ac:dyDescent="0.35">
      <c r="C12" s="16" t="s">
        <v>91</v>
      </c>
      <c r="E12" s="16" t="s">
        <v>92</v>
      </c>
      <c r="K12" s="13"/>
    </row>
    <row r="13" spans="1:11" s="16" customFormat="1" x14ac:dyDescent="0.35">
      <c r="C13" s="7">
        <f>'GeoArea Completion'!D32+'GeoArea Completion'!C32</f>
        <v>25057</v>
      </c>
      <c r="E13" s="7">
        <f>'GeoArea Completion'!E32</f>
        <v>6411</v>
      </c>
      <c r="K13" s="13"/>
    </row>
    <row r="14" spans="1:11" s="16" customFormat="1" x14ac:dyDescent="0.35">
      <c r="K14" s="13"/>
    </row>
    <row r="15" spans="1:11" ht="20" thickBot="1" x14ac:dyDescent="0.5">
      <c r="B15" s="331" t="s">
        <v>32</v>
      </c>
      <c r="C15" s="331"/>
      <c r="D15" s="331"/>
      <c r="E15" s="331"/>
      <c r="F15" s="331"/>
      <c r="G15" s="331"/>
      <c r="K15" s="13" t="s">
        <v>49</v>
      </c>
    </row>
    <row r="16" spans="1:11" ht="15" thickTop="1" x14ac:dyDescent="0.35">
      <c r="K16" s="14" t="s">
        <v>50</v>
      </c>
    </row>
    <row r="17" spans="2:11" x14ac:dyDescent="0.35">
      <c r="C17" t="s">
        <v>16</v>
      </c>
      <c r="D17" t="s">
        <v>23</v>
      </c>
      <c r="E17" t="s">
        <v>25</v>
      </c>
      <c r="K17" s="14" t="s">
        <v>51</v>
      </c>
    </row>
    <row r="18" spans="2:11" x14ac:dyDescent="0.35">
      <c r="B18" t="s">
        <v>19</v>
      </c>
      <c r="C18" s="7">
        <f>OverviewData!B8</f>
        <v>763</v>
      </c>
      <c r="D18" s="7">
        <f>OverviewData!B2</f>
        <v>763</v>
      </c>
      <c r="E18" s="2">
        <f>D18/C18</f>
        <v>1</v>
      </c>
      <c r="K18" s="13" t="s">
        <v>52</v>
      </c>
    </row>
    <row r="19" spans="2:11" x14ac:dyDescent="0.35">
      <c r="B19" t="s">
        <v>18</v>
      </c>
      <c r="C19" s="7">
        <f>OverviewData!A8</f>
        <v>30705</v>
      </c>
      <c r="D19" s="7">
        <f>OverviewData!A2</f>
        <v>17608</v>
      </c>
      <c r="E19" s="2">
        <f>D19/C19</f>
        <v>0.5734570916788797</v>
      </c>
    </row>
  </sheetData>
  <mergeCells count="4">
    <mergeCell ref="B4:G4"/>
    <mergeCell ref="B10:G10"/>
    <mergeCell ref="B15:G15"/>
    <mergeCell ref="B1:G3"/>
  </mergeCells>
  <pageMargins left="0.7" right="0.7" top="0.75" bottom="0.75" header="0.3" footer="0.3"/>
  <pageSetup scale="9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9"/>
  <sheetViews>
    <sheetView workbookViewId="0">
      <selection sqref="A1:Q29"/>
    </sheetView>
  </sheetViews>
  <sheetFormatPr defaultRowHeight="14.5" x14ac:dyDescent="0.35"/>
  <cols>
    <col min="1" max="1" width="10.36328125" bestFit="1" customWidth="1"/>
    <col min="2" max="2" width="10" bestFit="1" customWidth="1"/>
    <col min="3" max="3" width="12" bestFit="1" customWidth="1"/>
    <col min="4" max="4" width="11" bestFit="1" customWidth="1"/>
    <col min="5" max="5" width="13" bestFit="1" customWidth="1"/>
    <col min="6" max="6" width="11" bestFit="1" customWidth="1"/>
    <col min="7" max="7" width="13" bestFit="1" customWidth="1"/>
    <col min="8" max="8" width="11" bestFit="1" customWidth="1"/>
    <col min="9" max="9" width="13" bestFit="1" customWidth="1"/>
    <col min="10" max="10" width="11" bestFit="1" customWidth="1"/>
    <col min="11" max="11" width="13" bestFit="1" customWidth="1"/>
    <col min="12" max="12" width="11" style="16" bestFit="1" customWidth="1"/>
    <col min="13" max="13" width="13" style="16" bestFit="1" customWidth="1"/>
    <col min="14" max="14" width="11" style="16" bestFit="1" customWidth="1"/>
    <col min="15" max="15" width="13" style="16" bestFit="1" customWidth="1"/>
    <col min="16" max="16" width="12" style="16" bestFit="1" customWidth="1"/>
    <col min="17" max="17" width="14" bestFit="1" customWidth="1"/>
  </cols>
  <sheetData>
    <row r="1" spans="1:17" x14ac:dyDescent="0.35">
      <c r="A1" s="1" t="s">
        <v>31</v>
      </c>
      <c r="B1" s="1" t="s">
        <v>53</v>
      </c>
      <c r="C1" s="1" t="s">
        <v>24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71</v>
      </c>
      <c r="M1" s="1" t="s">
        <v>70</v>
      </c>
      <c r="N1" s="1" t="s">
        <v>190</v>
      </c>
      <c r="O1" s="1" t="s">
        <v>191</v>
      </c>
      <c r="P1" s="1" t="s">
        <v>192</v>
      </c>
      <c r="Q1" t="s">
        <v>193</v>
      </c>
    </row>
    <row r="2" spans="1:17" x14ac:dyDescent="0.35">
      <c r="A2" s="1">
        <v>10002</v>
      </c>
      <c r="B2" s="1">
        <v>861</v>
      </c>
      <c r="C2" s="1">
        <v>138</v>
      </c>
      <c r="D2" s="1">
        <v>1696</v>
      </c>
      <c r="E2" s="1">
        <v>66</v>
      </c>
      <c r="F2" s="1">
        <v>294</v>
      </c>
      <c r="G2" s="1">
        <v>53</v>
      </c>
      <c r="H2" s="1">
        <v>17</v>
      </c>
      <c r="I2" s="1">
        <v>3</v>
      </c>
      <c r="J2" s="1"/>
      <c r="K2" s="1"/>
      <c r="L2" s="1">
        <v>1285</v>
      </c>
      <c r="M2" s="1">
        <v>682</v>
      </c>
      <c r="N2" s="1"/>
      <c r="O2" s="1"/>
      <c r="P2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4153</v>
      </c>
      <c r="Q2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942</v>
      </c>
    </row>
    <row r="3" spans="1:17" x14ac:dyDescent="0.35">
      <c r="A3" s="1">
        <v>10013</v>
      </c>
      <c r="B3" s="1"/>
      <c r="C3" s="1"/>
      <c r="D3" s="1">
        <v>4</v>
      </c>
      <c r="E3" s="1">
        <v>0</v>
      </c>
      <c r="F3" s="1">
        <v>1060</v>
      </c>
      <c r="G3" s="1">
        <v>179</v>
      </c>
      <c r="H3" s="1">
        <v>1415</v>
      </c>
      <c r="I3" s="1">
        <v>247</v>
      </c>
      <c r="J3" s="1"/>
      <c r="K3" s="1"/>
      <c r="L3" s="1">
        <v>219</v>
      </c>
      <c r="M3" s="1">
        <v>160</v>
      </c>
      <c r="N3" s="1"/>
      <c r="O3" s="1"/>
      <c r="P3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2698</v>
      </c>
      <c r="Q3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586</v>
      </c>
    </row>
    <row r="4" spans="1:17" x14ac:dyDescent="0.35">
      <c r="A4" s="1">
        <v>10025</v>
      </c>
      <c r="B4" s="1"/>
      <c r="C4" s="1"/>
      <c r="D4" s="1">
        <v>821</v>
      </c>
      <c r="E4" s="1">
        <v>3</v>
      </c>
      <c r="F4" s="1">
        <v>1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822</v>
      </c>
      <c r="Q4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3</v>
      </c>
    </row>
    <row r="5" spans="1:17" x14ac:dyDescent="0.35">
      <c r="A5" s="1">
        <v>10026</v>
      </c>
      <c r="B5" s="1"/>
      <c r="C5" s="1"/>
      <c r="D5" s="1">
        <v>23</v>
      </c>
      <c r="E5" s="1">
        <v>0</v>
      </c>
      <c r="F5" s="1">
        <v>115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138</v>
      </c>
      <c r="Q5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0</v>
      </c>
    </row>
    <row r="6" spans="1:17" x14ac:dyDescent="0.35">
      <c r="A6" s="1">
        <v>10027</v>
      </c>
      <c r="B6" s="1"/>
      <c r="C6" s="1"/>
      <c r="D6" s="1">
        <v>1</v>
      </c>
      <c r="E6" s="1">
        <v>0</v>
      </c>
      <c r="F6" s="1">
        <v>451</v>
      </c>
      <c r="G6" s="1">
        <v>7</v>
      </c>
      <c r="H6" s="1"/>
      <c r="I6" s="1"/>
      <c r="J6" s="1"/>
      <c r="K6" s="1"/>
      <c r="L6" s="1"/>
      <c r="M6" s="1"/>
      <c r="N6" s="1"/>
      <c r="O6" s="1"/>
      <c r="P6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452</v>
      </c>
      <c r="Q6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7</v>
      </c>
    </row>
    <row r="7" spans="1:17" x14ac:dyDescent="0.35">
      <c r="A7" s="1">
        <v>10029</v>
      </c>
      <c r="B7" s="1">
        <v>764</v>
      </c>
      <c r="C7" s="1">
        <v>23</v>
      </c>
      <c r="D7" s="1">
        <v>117</v>
      </c>
      <c r="E7" s="1">
        <v>1</v>
      </c>
      <c r="F7" s="1"/>
      <c r="G7" s="1"/>
      <c r="H7" s="1">
        <v>1</v>
      </c>
      <c r="I7" s="1">
        <v>0</v>
      </c>
      <c r="J7" s="1"/>
      <c r="K7" s="1"/>
      <c r="L7" s="1"/>
      <c r="M7" s="1"/>
      <c r="N7" s="1"/>
      <c r="O7" s="1"/>
      <c r="P7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882</v>
      </c>
      <c r="Q7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24</v>
      </c>
    </row>
    <row r="8" spans="1:17" x14ac:dyDescent="0.35">
      <c r="A8" s="1">
        <v>10030</v>
      </c>
      <c r="B8" s="1"/>
      <c r="C8" s="1"/>
      <c r="D8" s="1"/>
      <c r="E8" s="1"/>
      <c r="F8" s="1">
        <v>242</v>
      </c>
      <c r="G8" s="1">
        <v>1</v>
      </c>
      <c r="H8" s="1"/>
      <c r="I8" s="1"/>
      <c r="J8" s="1"/>
      <c r="K8" s="1"/>
      <c r="L8" s="1"/>
      <c r="M8" s="1"/>
      <c r="N8" s="1"/>
      <c r="O8" s="1"/>
      <c r="P8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242</v>
      </c>
      <c r="Q8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1</v>
      </c>
    </row>
    <row r="9" spans="1:17" x14ac:dyDescent="0.35">
      <c r="A9" s="1">
        <v>10031</v>
      </c>
      <c r="B9" s="1"/>
      <c r="C9" s="1"/>
      <c r="D9" s="1">
        <v>653</v>
      </c>
      <c r="E9" s="1"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653</v>
      </c>
      <c r="Q9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9</v>
      </c>
    </row>
    <row r="10" spans="1:17" x14ac:dyDescent="0.35">
      <c r="A10" s="1">
        <v>10032</v>
      </c>
      <c r="B10" s="1"/>
      <c r="C10" s="1"/>
      <c r="D10" s="1">
        <v>283</v>
      </c>
      <c r="E10" s="1">
        <v>2</v>
      </c>
      <c r="F10" s="1">
        <v>150</v>
      </c>
      <c r="G10" s="1">
        <v>7</v>
      </c>
      <c r="H10" s="1"/>
      <c r="I10" s="1"/>
      <c r="J10" s="1"/>
      <c r="K10" s="1"/>
      <c r="L10" s="1"/>
      <c r="M10" s="1"/>
      <c r="N10" s="1"/>
      <c r="O10" s="1"/>
      <c r="P10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433</v>
      </c>
      <c r="Q10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9</v>
      </c>
    </row>
    <row r="11" spans="1:17" x14ac:dyDescent="0.35">
      <c r="A11" s="1">
        <v>10033</v>
      </c>
      <c r="B11" s="1"/>
      <c r="C11" s="1"/>
      <c r="D11" s="1"/>
      <c r="E11" s="1"/>
      <c r="F11" s="1">
        <v>593</v>
      </c>
      <c r="G11" s="1">
        <v>20</v>
      </c>
      <c r="H11" s="1">
        <v>44</v>
      </c>
      <c r="I11" s="1">
        <v>1</v>
      </c>
      <c r="J11" s="1"/>
      <c r="K11" s="1"/>
      <c r="L11" s="1"/>
      <c r="M11" s="1"/>
      <c r="N11" s="1"/>
      <c r="O11" s="1"/>
      <c r="P11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637</v>
      </c>
      <c r="Q11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21</v>
      </c>
    </row>
    <row r="12" spans="1:17" x14ac:dyDescent="0.35">
      <c r="A12" s="1">
        <v>10035</v>
      </c>
      <c r="B12" s="1">
        <v>3</v>
      </c>
      <c r="C12" s="1">
        <v>0</v>
      </c>
      <c r="D12" s="1">
        <v>222</v>
      </c>
      <c r="E12" s="1">
        <v>3</v>
      </c>
      <c r="F12" s="1">
        <v>159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384</v>
      </c>
      <c r="Q12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7</v>
      </c>
    </row>
    <row r="13" spans="1:17" x14ac:dyDescent="0.35">
      <c r="A13" s="1">
        <v>10037</v>
      </c>
      <c r="B13" s="1"/>
      <c r="C13" s="1"/>
      <c r="D13" s="1"/>
      <c r="E13" s="1"/>
      <c r="F13" s="1">
        <v>103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103</v>
      </c>
      <c r="Q13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2</v>
      </c>
    </row>
    <row r="14" spans="1:17" x14ac:dyDescent="0.35">
      <c r="A14" s="1">
        <v>10038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0</v>
      </c>
      <c r="Q14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0</v>
      </c>
    </row>
    <row r="15" spans="1:17" x14ac:dyDescent="0.35">
      <c r="A15" s="1">
        <v>10039</v>
      </c>
      <c r="B15" s="1">
        <v>209</v>
      </c>
      <c r="C15" s="1">
        <v>2</v>
      </c>
      <c r="D15" s="1">
        <v>89</v>
      </c>
      <c r="E15" s="1">
        <v>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298</v>
      </c>
      <c r="Q15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6</v>
      </c>
    </row>
    <row r="16" spans="1:17" x14ac:dyDescent="0.35">
      <c r="A16" s="1">
        <v>10451</v>
      </c>
      <c r="B16" s="1">
        <v>155</v>
      </c>
      <c r="C16" s="1">
        <v>3</v>
      </c>
      <c r="D16" s="1">
        <v>444</v>
      </c>
      <c r="E16" s="1">
        <v>13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599</v>
      </c>
      <c r="Q16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16</v>
      </c>
    </row>
    <row r="17" spans="1:17" x14ac:dyDescent="0.35">
      <c r="A17" s="1">
        <v>10452</v>
      </c>
      <c r="B17" s="1"/>
      <c r="C17" s="1"/>
      <c r="D17" s="1"/>
      <c r="E17" s="1"/>
      <c r="F17" s="1">
        <v>574</v>
      </c>
      <c r="G17" s="1">
        <v>51</v>
      </c>
      <c r="H17" s="1">
        <v>229</v>
      </c>
      <c r="I17" s="1">
        <v>22</v>
      </c>
      <c r="J17" s="1"/>
      <c r="K17" s="1"/>
      <c r="L17" s="1"/>
      <c r="M17" s="1"/>
      <c r="N17" s="1"/>
      <c r="O17" s="1"/>
      <c r="P17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803</v>
      </c>
      <c r="Q17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73</v>
      </c>
    </row>
    <row r="18" spans="1:17" x14ac:dyDescent="0.35">
      <c r="A18" s="1">
        <v>10453</v>
      </c>
      <c r="B18" s="1"/>
      <c r="C18" s="1"/>
      <c r="D18" s="1"/>
      <c r="E18" s="1"/>
      <c r="F18" s="1">
        <v>111</v>
      </c>
      <c r="G18" s="1">
        <v>2</v>
      </c>
      <c r="H18" s="1">
        <v>518</v>
      </c>
      <c r="I18" s="1">
        <v>70</v>
      </c>
      <c r="J18" s="1"/>
      <c r="K18" s="1"/>
      <c r="L18" s="1"/>
      <c r="M18" s="1"/>
      <c r="N18" s="1"/>
      <c r="O18" s="1"/>
      <c r="P18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629</v>
      </c>
      <c r="Q18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72</v>
      </c>
    </row>
    <row r="19" spans="1:17" x14ac:dyDescent="0.35">
      <c r="A19" s="1">
        <v>10454</v>
      </c>
      <c r="B19" s="1"/>
      <c r="C19" s="1"/>
      <c r="D19" s="1">
        <v>422</v>
      </c>
      <c r="E19" s="1">
        <v>6</v>
      </c>
      <c r="F19" s="1">
        <v>109</v>
      </c>
      <c r="G19" s="1">
        <v>7</v>
      </c>
      <c r="H19" s="1"/>
      <c r="I19" s="1"/>
      <c r="J19" s="1"/>
      <c r="K19" s="1"/>
      <c r="L19" s="1"/>
      <c r="M19" s="1"/>
      <c r="N19" s="1"/>
      <c r="O19" s="1"/>
      <c r="P19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531</v>
      </c>
      <c r="Q19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13</v>
      </c>
    </row>
    <row r="20" spans="1:17" x14ac:dyDescent="0.35">
      <c r="A20" s="1">
        <v>10455</v>
      </c>
      <c r="B20" s="1">
        <v>5</v>
      </c>
      <c r="C20" s="1">
        <v>1</v>
      </c>
      <c r="D20" s="1">
        <v>356</v>
      </c>
      <c r="E20" s="1">
        <v>6</v>
      </c>
      <c r="F20" s="1">
        <v>427</v>
      </c>
      <c r="G20" s="1">
        <v>12</v>
      </c>
      <c r="H20" s="1"/>
      <c r="I20" s="1"/>
      <c r="J20" s="1"/>
      <c r="K20" s="1"/>
      <c r="L20" s="1"/>
      <c r="M20" s="1"/>
      <c r="N20" s="1"/>
      <c r="O20" s="1"/>
      <c r="P20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788</v>
      </c>
      <c r="Q20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19</v>
      </c>
    </row>
    <row r="21" spans="1:17" x14ac:dyDescent="0.35">
      <c r="A21" s="1">
        <v>10456</v>
      </c>
      <c r="B21" s="1">
        <v>700</v>
      </c>
      <c r="C21" s="1">
        <v>23</v>
      </c>
      <c r="D21" s="1">
        <v>100</v>
      </c>
      <c r="E21" s="1"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800</v>
      </c>
      <c r="Q21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23</v>
      </c>
    </row>
    <row r="22" spans="1:17" x14ac:dyDescent="0.35">
      <c r="A22" s="1">
        <v>10457</v>
      </c>
      <c r="B22" s="1"/>
      <c r="C22" s="1"/>
      <c r="D22" s="1"/>
      <c r="E22" s="1"/>
      <c r="F22" s="1"/>
      <c r="G22" s="1"/>
      <c r="H22" s="1">
        <v>233</v>
      </c>
      <c r="I22" s="1">
        <v>29</v>
      </c>
      <c r="J22" s="1"/>
      <c r="K22" s="1"/>
      <c r="L22" s="1"/>
      <c r="M22" s="1"/>
      <c r="N22" s="1"/>
      <c r="O22" s="1"/>
      <c r="P22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233</v>
      </c>
      <c r="Q22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29</v>
      </c>
    </row>
    <row r="23" spans="1:17" x14ac:dyDescent="0.35">
      <c r="A23" s="1">
        <v>10459</v>
      </c>
      <c r="B23" s="1"/>
      <c r="C23" s="1"/>
      <c r="D23" s="1"/>
      <c r="E23" s="1"/>
      <c r="F23" s="1"/>
      <c r="G23" s="1"/>
      <c r="H23" s="1">
        <v>370</v>
      </c>
      <c r="I23" s="1">
        <v>7</v>
      </c>
      <c r="J23" s="1"/>
      <c r="K23" s="1"/>
      <c r="L23" s="1"/>
      <c r="M23" s="1"/>
      <c r="N23" s="1"/>
      <c r="O23" s="1"/>
      <c r="P23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370</v>
      </c>
      <c r="Q23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7</v>
      </c>
    </row>
    <row r="24" spans="1:17" x14ac:dyDescent="0.35">
      <c r="A24" s="1">
        <v>10460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0</v>
      </c>
      <c r="Q24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0</v>
      </c>
    </row>
    <row r="25" spans="1:17" x14ac:dyDescent="0.35">
      <c r="A25" s="1">
        <v>10474</v>
      </c>
      <c r="B25" s="1"/>
      <c r="C25" s="1"/>
      <c r="D25" s="1"/>
      <c r="E25" s="1"/>
      <c r="F25" s="1"/>
      <c r="G25" s="1"/>
      <c r="H25" s="1">
        <v>483</v>
      </c>
      <c r="I25" s="1">
        <v>36</v>
      </c>
      <c r="J25" s="1"/>
      <c r="K25" s="1"/>
      <c r="L25" s="1"/>
      <c r="M25" s="1"/>
      <c r="N25" s="1"/>
      <c r="O25" s="1"/>
      <c r="P25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483</v>
      </c>
      <c r="Q25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36</v>
      </c>
    </row>
    <row r="26" spans="1:17" x14ac:dyDescent="0.35">
      <c r="A26" s="1">
        <v>11207</v>
      </c>
      <c r="B26" s="1">
        <v>354</v>
      </c>
      <c r="C26" s="1">
        <v>15</v>
      </c>
      <c r="D26" s="1">
        <v>123</v>
      </c>
      <c r="E26" s="1">
        <v>7</v>
      </c>
      <c r="F26" s="1">
        <v>520</v>
      </c>
      <c r="G26" s="1">
        <v>32</v>
      </c>
      <c r="H26" s="1">
        <v>243</v>
      </c>
      <c r="I26" s="1">
        <v>34</v>
      </c>
      <c r="J26" s="1"/>
      <c r="K26" s="1"/>
      <c r="L26" s="1"/>
      <c r="M26" s="1"/>
      <c r="N26" s="1"/>
      <c r="O26" s="1"/>
      <c r="P26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1240</v>
      </c>
      <c r="Q26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88</v>
      </c>
    </row>
    <row r="27" spans="1:17" x14ac:dyDescent="0.35">
      <c r="A27" s="1">
        <v>11212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0</v>
      </c>
      <c r="Q27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0</v>
      </c>
    </row>
    <row r="28" spans="1:17" x14ac:dyDescent="0.35">
      <c r="A28" s="1">
        <v>11233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f>GeoAreaCompletion[[#This Row],[mapped]]+GeoAreaCompletion[[#This Row],[mapped2]]+GeoAreaCompletion[[#This Row],[mapped3]]+GeoAreaCompletion[[#This Row],[mapped4]]+GeoAreaCompletion[[#This Row],[mapped5]]+GeoAreaCompletion[[#This Row],[mapped6]]+GeoAreaCompletion[[#This Row],[mapped7]]</f>
        <v>0</v>
      </c>
      <c r="Q28" s="16">
        <f>GeoAreaCompletion[[#This Row],[FieldCheck]]+GeoAreaCompletion[[#This Row],[FieldCheck2]]+GeoAreaCompletion[[#This Row],[FieldCheck3]]+GeoAreaCompletion[[#This Row],[FieldCheck4]]+GeoAreaCompletion[[#This Row],[FieldCheck5]]+GeoAreaCompletion[[#This Row],[FieldCheck6]]+GeoAreaCompletion[[#This Row],[FieldCheck7]]</f>
        <v>0</v>
      </c>
    </row>
    <row r="29" spans="1:17" x14ac:dyDescent="0.35">
      <c r="A29" s="1" t="s">
        <v>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"/>
      <c r="M29" s="1"/>
      <c r="N29" s="1"/>
      <c r="O29" s="1"/>
      <c r="P29" s="16">
        <f>SUBTOTAL(109,GeoAreaCompletion[mapped62])</f>
        <v>18371</v>
      </c>
      <c r="Q29" s="16">
        <f>SUBTOTAL(109,GeoAreaCompletion[FieldCheck63])</f>
        <v>1993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48"/>
  <sheetViews>
    <sheetView workbookViewId="0">
      <selection sqref="A1:P46"/>
    </sheetView>
  </sheetViews>
  <sheetFormatPr defaultRowHeight="14.5" x14ac:dyDescent="0.35"/>
  <cols>
    <col min="1" max="1" width="16.1796875" customWidth="1"/>
    <col min="2" max="2" width="10" style="11" bestFit="1" customWidth="1"/>
    <col min="3" max="3" width="12" style="11" bestFit="1" customWidth="1"/>
    <col min="4" max="4" width="11" style="11" bestFit="1" customWidth="1"/>
    <col min="5" max="5" width="13" style="11" bestFit="1" customWidth="1"/>
    <col min="6" max="6" width="11" style="11" bestFit="1" customWidth="1"/>
    <col min="7" max="7" width="13" style="11" bestFit="1" customWidth="1"/>
    <col min="8" max="8" width="11" style="11" bestFit="1" customWidth="1"/>
    <col min="9" max="9" width="13" style="11" bestFit="1" customWidth="1"/>
    <col min="10" max="10" width="11" style="11" bestFit="1" customWidth="1"/>
    <col min="11" max="11" width="13" style="11" bestFit="1" customWidth="1"/>
    <col min="12" max="12" width="18.08984375" style="16" customWidth="1"/>
    <col min="13" max="13" width="11" style="16" bestFit="1" customWidth="1"/>
    <col min="14" max="14" width="13" style="16" bestFit="1" customWidth="1"/>
    <col min="15" max="15" width="11" style="16" bestFit="1" customWidth="1"/>
    <col min="16" max="16" width="13" style="16" bestFit="1" customWidth="1"/>
    <col min="17" max="17" width="9.90625" style="16" bestFit="1" customWidth="1"/>
    <col min="18" max="18" width="18.08984375" style="16" bestFit="1" customWidth="1"/>
    <col min="19" max="19" width="16.1796875" style="16" bestFit="1" customWidth="1"/>
    <col min="20" max="20" width="9.90625" style="16" bestFit="1" customWidth="1"/>
    <col min="21" max="21" width="10.90625" style="16" bestFit="1" customWidth="1"/>
    <col min="22" max="24" width="10.90625" bestFit="1" customWidth="1"/>
    <col min="25" max="26" width="10.90625" style="16" bestFit="1" customWidth="1"/>
    <col min="27" max="27" width="14.81640625" bestFit="1" customWidth="1"/>
    <col min="28" max="28" width="12.81640625" bestFit="1" customWidth="1"/>
    <col min="29" max="29" width="14.81640625" bestFit="1" customWidth="1"/>
    <col min="30" max="30" width="12.81640625" bestFit="1" customWidth="1"/>
    <col min="31" max="31" width="14.81640625" bestFit="1" customWidth="1"/>
    <col min="32" max="32" width="12.81640625" bestFit="1" customWidth="1"/>
    <col min="33" max="33" width="14.81640625" bestFit="1" customWidth="1"/>
  </cols>
  <sheetData>
    <row r="1" spans="1:26" x14ac:dyDescent="0.35">
      <c r="A1" s="1" t="s">
        <v>33</v>
      </c>
      <c r="B1" s="1" t="s">
        <v>53</v>
      </c>
      <c r="C1" s="1" t="s">
        <v>24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30</v>
      </c>
      <c r="M1" s="1" t="s">
        <v>71</v>
      </c>
      <c r="N1" s="1" t="s">
        <v>70</v>
      </c>
      <c r="O1" s="1" t="s">
        <v>190</v>
      </c>
      <c r="P1" s="1" t="s">
        <v>191</v>
      </c>
      <c r="Q1"/>
      <c r="R1" s="1" t="s">
        <v>30</v>
      </c>
      <c r="S1" s="1" t="s">
        <v>33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198</v>
      </c>
      <c r="Z1" s="1" t="s">
        <v>199</v>
      </c>
    </row>
    <row r="2" spans="1:26" x14ac:dyDescent="0.35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118</v>
      </c>
      <c r="M2" s="1"/>
      <c r="N2" s="1"/>
      <c r="O2" s="1"/>
      <c r="P2" s="1"/>
      <c r="Q2"/>
      <c r="R2" s="1" t="s">
        <v>201</v>
      </c>
      <c r="S2" s="1" t="s">
        <v>225</v>
      </c>
      <c r="T2" s="1"/>
      <c r="U2" s="1"/>
      <c r="V2" s="1"/>
      <c r="W2" s="1"/>
      <c r="X2" s="1"/>
      <c r="Y2" s="1"/>
      <c r="Z2" s="1"/>
    </row>
    <row r="3" spans="1:26" x14ac:dyDescent="0.35">
      <c r="A3" s="1" t="s">
        <v>234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118</v>
      </c>
      <c r="M3" s="1">
        <v>14</v>
      </c>
      <c r="N3" s="1">
        <v>1</v>
      </c>
      <c r="O3" s="1"/>
      <c r="P3" s="1"/>
      <c r="Q3"/>
      <c r="R3" s="1" t="s">
        <v>132</v>
      </c>
      <c r="S3" s="1" t="s">
        <v>226</v>
      </c>
      <c r="T3" s="1">
        <v>1</v>
      </c>
      <c r="U3" s="1"/>
      <c r="V3" s="1"/>
      <c r="W3" s="1"/>
      <c r="X3" s="1"/>
      <c r="Y3" s="1"/>
      <c r="Z3" s="1"/>
    </row>
    <row r="4" spans="1:26" x14ac:dyDescent="0.35">
      <c r="A4" s="1" t="s">
        <v>232</v>
      </c>
      <c r="B4" s="1">
        <v>81</v>
      </c>
      <c r="C4" s="1">
        <v>2</v>
      </c>
      <c r="D4" s="1">
        <v>93</v>
      </c>
      <c r="E4" s="1">
        <v>1</v>
      </c>
      <c r="F4" s="1">
        <v>139</v>
      </c>
      <c r="G4" s="1">
        <v>9</v>
      </c>
      <c r="H4" s="1">
        <v>21</v>
      </c>
      <c r="I4" s="1">
        <v>1</v>
      </c>
      <c r="J4" s="1"/>
      <c r="K4" s="1"/>
      <c r="L4" s="1" t="s">
        <v>120</v>
      </c>
      <c r="M4" s="1">
        <v>207</v>
      </c>
      <c r="N4" s="1">
        <v>75</v>
      </c>
      <c r="O4" s="1"/>
      <c r="P4" s="1"/>
      <c r="Q4"/>
      <c r="R4" s="1" t="s">
        <v>142</v>
      </c>
      <c r="S4" s="1" t="s">
        <v>146</v>
      </c>
      <c r="T4" s="1"/>
      <c r="U4" s="1"/>
      <c r="V4" s="1"/>
      <c r="W4" s="1"/>
      <c r="X4" s="1"/>
      <c r="Y4" s="1"/>
      <c r="Z4" s="1"/>
    </row>
    <row r="5" spans="1:26" x14ac:dyDescent="0.35">
      <c r="A5" s="1" t="s">
        <v>235</v>
      </c>
      <c r="B5" s="1"/>
      <c r="C5" s="1"/>
      <c r="D5" s="1">
        <v>47</v>
      </c>
      <c r="E5" s="1">
        <v>1</v>
      </c>
      <c r="F5" s="1">
        <v>171</v>
      </c>
      <c r="G5" s="1">
        <v>5</v>
      </c>
      <c r="H5" s="1">
        <v>26</v>
      </c>
      <c r="I5" s="1">
        <v>1</v>
      </c>
      <c r="J5" s="1"/>
      <c r="K5" s="1"/>
      <c r="L5" s="1" t="s">
        <v>120</v>
      </c>
      <c r="M5" s="1">
        <v>100</v>
      </c>
      <c r="N5" s="1">
        <v>38</v>
      </c>
      <c r="O5" s="1"/>
      <c r="P5" s="1"/>
      <c r="Q5"/>
      <c r="R5" s="1" t="s">
        <v>128</v>
      </c>
      <c r="S5" s="1" t="s">
        <v>227</v>
      </c>
      <c r="T5" s="1"/>
      <c r="U5" s="1">
        <v>4</v>
      </c>
      <c r="V5" s="1">
        <v>1</v>
      </c>
      <c r="W5" s="1"/>
      <c r="X5" s="1"/>
      <c r="Y5" s="1"/>
      <c r="Z5" s="1"/>
    </row>
    <row r="6" spans="1:26" x14ac:dyDescent="0.35">
      <c r="A6" s="1" t="s">
        <v>228</v>
      </c>
      <c r="B6" s="1">
        <v>28</v>
      </c>
      <c r="C6" s="1">
        <v>4</v>
      </c>
      <c r="D6" s="1">
        <v>167</v>
      </c>
      <c r="E6" s="1">
        <v>4</v>
      </c>
      <c r="F6" s="1">
        <v>98</v>
      </c>
      <c r="G6" s="1">
        <v>2</v>
      </c>
      <c r="H6" s="1">
        <v>339</v>
      </c>
      <c r="I6" s="1">
        <v>29</v>
      </c>
      <c r="J6" s="1"/>
      <c r="K6" s="1"/>
      <c r="L6" s="1" t="s">
        <v>123</v>
      </c>
      <c r="M6" s="1">
        <v>108</v>
      </c>
      <c r="N6" s="1">
        <v>86</v>
      </c>
      <c r="O6" s="1"/>
      <c r="P6" s="1"/>
      <c r="Q6"/>
      <c r="R6" s="1" t="s">
        <v>123</v>
      </c>
      <c r="S6" s="1" t="s">
        <v>228</v>
      </c>
      <c r="T6" s="1"/>
      <c r="U6" s="1"/>
      <c r="V6" s="1"/>
      <c r="W6" s="1"/>
      <c r="X6" s="1"/>
      <c r="Y6" s="1"/>
      <c r="Z6" s="1"/>
    </row>
    <row r="7" spans="1:26" x14ac:dyDescent="0.35">
      <c r="A7" s="1" t="s">
        <v>231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s">
        <v>124</v>
      </c>
      <c r="M7" s="1">
        <v>36</v>
      </c>
      <c r="N7" s="1">
        <v>7</v>
      </c>
      <c r="O7" s="1"/>
      <c r="P7" s="1"/>
      <c r="Q7"/>
      <c r="R7" s="1" t="s">
        <v>131</v>
      </c>
      <c r="S7" s="1" t="s">
        <v>229</v>
      </c>
      <c r="T7" s="1"/>
      <c r="U7" s="1"/>
      <c r="V7" s="1"/>
      <c r="W7" s="1"/>
      <c r="X7" s="1"/>
      <c r="Y7" s="1"/>
      <c r="Z7" s="1"/>
    </row>
    <row r="8" spans="1:26" x14ac:dyDescent="0.35">
      <c r="A8" s="1" t="s">
        <v>236</v>
      </c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125</v>
      </c>
      <c r="M8" s="1">
        <v>35</v>
      </c>
      <c r="N8" s="1">
        <v>9</v>
      </c>
      <c r="O8" s="1"/>
      <c r="P8" s="1"/>
      <c r="Q8"/>
      <c r="R8" s="1" t="s">
        <v>139</v>
      </c>
      <c r="S8" s="1" t="s">
        <v>150</v>
      </c>
      <c r="T8" s="1"/>
      <c r="U8" s="1">
        <v>7</v>
      </c>
      <c r="V8" s="1">
        <v>7</v>
      </c>
      <c r="W8" s="1"/>
      <c r="X8" s="1"/>
      <c r="Y8" s="1"/>
      <c r="Z8" s="1"/>
    </row>
    <row r="9" spans="1:26" x14ac:dyDescent="0.35">
      <c r="A9" s="1" t="s">
        <v>227</v>
      </c>
      <c r="B9" s="1">
        <v>96</v>
      </c>
      <c r="C9" s="1">
        <v>1</v>
      </c>
      <c r="D9" s="1">
        <v>356</v>
      </c>
      <c r="E9" s="1">
        <v>1</v>
      </c>
      <c r="F9" s="1">
        <v>196</v>
      </c>
      <c r="G9" s="1">
        <v>3</v>
      </c>
      <c r="H9" s="1">
        <v>422</v>
      </c>
      <c r="I9" s="1">
        <v>32</v>
      </c>
      <c r="J9" s="1"/>
      <c r="K9" s="1"/>
      <c r="L9" s="1" t="s">
        <v>128</v>
      </c>
      <c r="M9" s="1">
        <v>39</v>
      </c>
      <c r="N9" s="1">
        <v>14</v>
      </c>
      <c r="O9" s="1"/>
      <c r="P9" s="1"/>
      <c r="Q9"/>
      <c r="R9" s="1" t="s">
        <v>139</v>
      </c>
      <c r="S9" s="1" t="s">
        <v>151</v>
      </c>
      <c r="T9" s="1"/>
      <c r="U9" s="1"/>
      <c r="V9" s="1">
        <v>5</v>
      </c>
      <c r="W9" s="1"/>
      <c r="X9" s="1"/>
      <c r="Y9" s="1"/>
      <c r="Z9" s="1"/>
    </row>
    <row r="10" spans="1:26" x14ac:dyDescent="0.35">
      <c r="A10" s="1" t="s">
        <v>229</v>
      </c>
      <c r="B10" s="1">
        <v>98</v>
      </c>
      <c r="C10" s="1">
        <v>4</v>
      </c>
      <c r="D10" s="1">
        <v>99</v>
      </c>
      <c r="E10" s="1">
        <v>1</v>
      </c>
      <c r="F10" s="1">
        <v>184</v>
      </c>
      <c r="G10" s="1">
        <v>3</v>
      </c>
      <c r="H10" s="1">
        <v>45</v>
      </c>
      <c r="I10" s="1">
        <v>0</v>
      </c>
      <c r="J10" s="1"/>
      <c r="K10" s="1"/>
      <c r="L10" s="1" t="s">
        <v>131</v>
      </c>
      <c r="M10" s="1">
        <v>209</v>
      </c>
      <c r="N10" s="1">
        <v>128</v>
      </c>
      <c r="O10" s="1"/>
      <c r="P10" s="1"/>
      <c r="Q10"/>
      <c r="R10" s="1" t="s">
        <v>141</v>
      </c>
      <c r="S10" s="1" t="s">
        <v>152</v>
      </c>
      <c r="T10" s="1"/>
      <c r="U10" s="1"/>
      <c r="V10" s="1">
        <v>10</v>
      </c>
      <c r="W10" s="1"/>
      <c r="X10" s="1"/>
      <c r="Y10" s="1"/>
      <c r="Z10" s="1"/>
    </row>
    <row r="11" spans="1:26" x14ac:dyDescent="0.35">
      <c r="A11" s="1" t="s">
        <v>226</v>
      </c>
      <c r="B11" s="1">
        <v>298</v>
      </c>
      <c r="C11" s="1">
        <v>29</v>
      </c>
      <c r="D11" s="1">
        <v>173</v>
      </c>
      <c r="E11" s="1">
        <v>4</v>
      </c>
      <c r="F11" s="1">
        <v>116</v>
      </c>
      <c r="G11" s="1">
        <v>16</v>
      </c>
      <c r="H11" s="1"/>
      <c r="I11" s="1"/>
      <c r="J11" s="1"/>
      <c r="K11" s="1"/>
      <c r="L11" s="1" t="s">
        <v>132</v>
      </c>
      <c r="M11" s="1">
        <v>205</v>
      </c>
      <c r="N11" s="1">
        <v>119</v>
      </c>
      <c r="O11" s="1"/>
      <c r="P11" s="1"/>
      <c r="Q11"/>
      <c r="R11" s="1" t="s">
        <v>141</v>
      </c>
      <c r="S11" s="1" t="s">
        <v>153</v>
      </c>
      <c r="T11" s="1"/>
      <c r="U11" s="1"/>
      <c r="V11" s="1">
        <v>15</v>
      </c>
      <c r="W11" s="1"/>
      <c r="X11" s="1"/>
      <c r="Y11" s="1"/>
      <c r="Z11" s="1"/>
    </row>
    <row r="12" spans="1:26" x14ac:dyDescent="0.35">
      <c r="A12" s="1" t="s">
        <v>225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201</v>
      </c>
      <c r="M12" s="1">
        <v>204</v>
      </c>
      <c r="N12" s="1">
        <v>121</v>
      </c>
      <c r="O12" s="1"/>
      <c r="P12" s="1"/>
      <c r="Q12"/>
      <c r="R12" s="1" t="s">
        <v>141</v>
      </c>
      <c r="S12" s="1" t="s">
        <v>154</v>
      </c>
      <c r="T12" s="1"/>
      <c r="U12" s="1"/>
      <c r="V12" s="1"/>
      <c r="W12" s="1"/>
      <c r="X12" s="1"/>
      <c r="Y12" s="1"/>
      <c r="Z12" s="1"/>
    </row>
    <row r="13" spans="1:26" x14ac:dyDescent="0.35">
      <c r="A13" s="1" t="s">
        <v>230</v>
      </c>
      <c r="B13" s="1">
        <v>98</v>
      </c>
      <c r="C13" s="1">
        <v>3</v>
      </c>
      <c r="D13" s="1">
        <v>72</v>
      </c>
      <c r="E13" s="1">
        <v>1</v>
      </c>
      <c r="F13" s="1">
        <v>237</v>
      </c>
      <c r="G13" s="1">
        <v>0</v>
      </c>
      <c r="H13" s="1">
        <v>133</v>
      </c>
      <c r="I13" s="1">
        <v>0</v>
      </c>
      <c r="J13" s="1"/>
      <c r="K13" s="1"/>
      <c r="L13" s="1" t="s">
        <v>202</v>
      </c>
      <c r="M13" s="1">
        <v>183</v>
      </c>
      <c r="N13" s="1">
        <v>110</v>
      </c>
      <c r="O13" s="1"/>
      <c r="P13" s="1"/>
      <c r="Q13"/>
      <c r="R13" s="1" t="s">
        <v>139</v>
      </c>
      <c r="S13" s="1" t="s">
        <v>155</v>
      </c>
      <c r="T13" s="1"/>
      <c r="U13" s="1"/>
      <c r="V13" s="1"/>
      <c r="W13" s="1"/>
      <c r="X13" s="1"/>
      <c r="Y13" s="1"/>
      <c r="Z13" s="1"/>
    </row>
    <row r="14" spans="1:26" x14ac:dyDescent="0.35">
      <c r="A14" s="1" t="s">
        <v>254</v>
      </c>
      <c r="B14" s="1">
        <v>114</v>
      </c>
      <c r="C14" s="1">
        <v>40</v>
      </c>
      <c r="D14" s="1">
        <v>54</v>
      </c>
      <c r="E14" s="1">
        <v>0</v>
      </c>
      <c r="F14" s="1">
        <v>47</v>
      </c>
      <c r="G14" s="1">
        <v>1</v>
      </c>
      <c r="H14" s="1">
        <v>172</v>
      </c>
      <c r="I14" s="1">
        <v>23</v>
      </c>
      <c r="J14" s="1"/>
      <c r="K14" s="1"/>
      <c r="L14" s="1" t="s">
        <v>203</v>
      </c>
      <c r="M14" s="1">
        <v>164</v>
      </c>
      <c r="N14" s="1">
        <v>134</v>
      </c>
      <c r="O14" s="1"/>
      <c r="P14" s="1"/>
      <c r="Q14"/>
      <c r="R14" s="1" t="s">
        <v>139</v>
      </c>
      <c r="S14" s="1" t="s">
        <v>156</v>
      </c>
      <c r="T14" s="1"/>
      <c r="U14" s="1">
        <v>2</v>
      </c>
      <c r="V14" s="1">
        <v>17</v>
      </c>
      <c r="W14" s="1">
        <v>30</v>
      </c>
      <c r="X14" s="1"/>
      <c r="Y14" s="1"/>
      <c r="Z14" s="1"/>
    </row>
    <row r="15" spans="1:26" x14ac:dyDescent="0.35">
      <c r="A15" s="1" t="s">
        <v>150</v>
      </c>
      <c r="B15" s="1"/>
      <c r="C15" s="1"/>
      <c r="D15" s="1">
        <v>231</v>
      </c>
      <c r="E15" s="1">
        <v>2</v>
      </c>
      <c r="F15" s="1">
        <v>286</v>
      </c>
      <c r="G15" s="1">
        <v>9</v>
      </c>
      <c r="H15" s="1"/>
      <c r="I15" s="1"/>
      <c r="J15" s="1"/>
      <c r="K15" s="1"/>
      <c r="L15" s="1" t="s">
        <v>139</v>
      </c>
      <c r="M15" s="1"/>
      <c r="N15" s="1"/>
      <c r="O15" s="1"/>
      <c r="P15" s="1"/>
      <c r="Q15"/>
      <c r="R15" s="1" t="s">
        <v>140</v>
      </c>
      <c r="S15" s="1" t="s">
        <v>157</v>
      </c>
      <c r="T15" s="1"/>
      <c r="U15" s="1"/>
      <c r="V15" s="1"/>
      <c r="W15" s="1"/>
      <c r="X15" s="1"/>
      <c r="Y15" s="1"/>
      <c r="Z15" s="1"/>
    </row>
    <row r="16" spans="1:26" x14ac:dyDescent="0.35">
      <c r="A16" s="1" t="s">
        <v>151</v>
      </c>
      <c r="B16" s="1">
        <v>62</v>
      </c>
      <c r="C16" s="1">
        <v>7</v>
      </c>
      <c r="D16" s="1">
        <v>168</v>
      </c>
      <c r="E16" s="1">
        <v>6</v>
      </c>
      <c r="F16" s="1">
        <v>136</v>
      </c>
      <c r="G16" s="1">
        <v>3</v>
      </c>
      <c r="H16" s="1">
        <v>76</v>
      </c>
      <c r="I16" s="1">
        <v>0</v>
      </c>
      <c r="J16" s="1"/>
      <c r="K16" s="1"/>
      <c r="L16" s="1" t="s">
        <v>139</v>
      </c>
      <c r="M16" s="1"/>
      <c r="N16" s="1"/>
      <c r="O16" s="1"/>
      <c r="P16" s="1"/>
      <c r="Q16"/>
      <c r="R16" s="1" t="s">
        <v>142</v>
      </c>
      <c r="S16" s="1" t="s">
        <v>158</v>
      </c>
      <c r="T16" s="1"/>
      <c r="U16" s="1"/>
      <c r="V16" s="1"/>
      <c r="W16" s="1"/>
      <c r="X16" s="1"/>
      <c r="Y16" s="1"/>
      <c r="Z16" s="1"/>
    </row>
    <row r="17" spans="1:26" x14ac:dyDescent="0.35">
      <c r="A17" s="1" t="s">
        <v>155</v>
      </c>
      <c r="B17" s="1">
        <v>183</v>
      </c>
      <c r="C17" s="1">
        <v>7</v>
      </c>
      <c r="D17" s="1">
        <v>328</v>
      </c>
      <c r="E17" s="1">
        <v>4</v>
      </c>
      <c r="F17" s="1">
        <v>283</v>
      </c>
      <c r="G17" s="1">
        <v>15</v>
      </c>
      <c r="H17" s="1"/>
      <c r="I17" s="1"/>
      <c r="J17" s="1"/>
      <c r="K17" s="1"/>
      <c r="L17" s="1" t="s">
        <v>139</v>
      </c>
      <c r="M17" s="1"/>
      <c r="N17" s="1"/>
      <c r="O17" s="1"/>
      <c r="P17" s="1"/>
      <c r="Q17"/>
      <c r="R17" s="1" t="s">
        <v>142</v>
      </c>
      <c r="S17" s="1" t="s">
        <v>159</v>
      </c>
      <c r="T17" s="1"/>
      <c r="U17" s="1"/>
      <c r="V17" s="1"/>
      <c r="W17" s="1"/>
      <c r="X17" s="1"/>
      <c r="Y17" s="1"/>
      <c r="Z17" s="1"/>
    </row>
    <row r="18" spans="1:26" x14ac:dyDescent="0.35">
      <c r="A18" s="1" t="s">
        <v>156</v>
      </c>
      <c r="B18" s="1">
        <v>193</v>
      </c>
      <c r="C18" s="1">
        <v>9</v>
      </c>
      <c r="D18" s="1">
        <v>32</v>
      </c>
      <c r="E18" s="1">
        <v>2</v>
      </c>
      <c r="F18" s="1"/>
      <c r="G18" s="1"/>
      <c r="H18" s="1"/>
      <c r="I18" s="1"/>
      <c r="J18" s="1"/>
      <c r="K18" s="1"/>
      <c r="L18" s="1" t="s">
        <v>139</v>
      </c>
      <c r="M18" s="1"/>
      <c r="N18" s="1"/>
      <c r="O18" s="1"/>
      <c r="P18" s="1"/>
      <c r="Q18"/>
      <c r="R18" s="1" t="s">
        <v>141</v>
      </c>
      <c r="S18" s="1" t="s">
        <v>160</v>
      </c>
      <c r="T18" s="1"/>
      <c r="U18" s="1"/>
      <c r="V18" s="1"/>
      <c r="W18" s="1"/>
      <c r="X18" s="1"/>
      <c r="Y18" s="1"/>
      <c r="Z18" s="1"/>
    </row>
    <row r="19" spans="1:26" x14ac:dyDescent="0.35">
      <c r="A19" s="1" t="s">
        <v>161</v>
      </c>
      <c r="B19" s="1">
        <v>65</v>
      </c>
      <c r="C19" s="1">
        <v>0</v>
      </c>
      <c r="D19" s="1"/>
      <c r="E19" s="1"/>
      <c r="F19" s="1">
        <v>21</v>
      </c>
      <c r="G19" s="1">
        <v>0</v>
      </c>
      <c r="H19" s="1"/>
      <c r="I19" s="1"/>
      <c r="J19" s="1"/>
      <c r="K19" s="1"/>
      <c r="L19" s="1" t="s">
        <v>139</v>
      </c>
      <c r="M19" s="1"/>
      <c r="N19" s="1"/>
      <c r="O19" s="1"/>
      <c r="P19" s="1"/>
      <c r="Q19"/>
      <c r="R19" s="1" t="s">
        <v>139</v>
      </c>
      <c r="S19" s="1" t="s">
        <v>161</v>
      </c>
      <c r="T19" s="1"/>
      <c r="U19" s="1"/>
      <c r="V19" s="1"/>
      <c r="W19" s="1"/>
      <c r="X19" s="1"/>
      <c r="Y19" s="1"/>
      <c r="Z19" s="1"/>
    </row>
    <row r="20" spans="1:26" x14ac:dyDescent="0.35">
      <c r="A20" s="1" t="s">
        <v>168</v>
      </c>
      <c r="B20" s="1">
        <v>59</v>
      </c>
      <c r="C20" s="1">
        <v>2</v>
      </c>
      <c r="D20" s="1">
        <v>327</v>
      </c>
      <c r="E20" s="1">
        <v>1</v>
      </c>
      <c r="F20" s="1">
        <v>125</v>
      </c>
      <c r="G20" s="1">
        <v>3</v>
      </c>
      <c r="H20" s="1"/>
      <c r="I20" s="1"/>
      <c r="J20" s="1"/>
      <c r="K20" s="1"/>
      <c r="L20" s="1" t="s">
        <v>139</v>
      </c>
      <c r="M20" s="1"/>
      <c r="N20" s="1"/>
      <c r="O20" s="1"/>
      <c r="P20" s="1"/>
      <c r="Q20"/>
      <c r="R20" s="1" t="s">
        <v>202</v>
      </c>
      <c r="S20" s="1" t="s">
        <v>230</v>
      </c>
      <c r="T20" s="1"/>
      <c r="U20" s="1"/>
      <c r="V20" s="1"/>
      <c r="W20" s="1"/>
      <c r="X20" s="1"/>
      <c r="Y20" s="1"/>
      <c r="Z20" s="1"/>
    </row>
    <row r="21" spans="1:26" x14ac:dyDescent="0.35">
      <c r="A21" s="1" t="s">
        <v>170</v>
      </c>
      <c r="B21" s="1"/>
      <c r="C21" s="1"/>
      <c r="D21" s="1">
        <v>68</v>
      </c>
      <c r="E21" s="1">
        <v>1</v>
      </c>
      <c r="F21" s="1"/>
      <c r="G21" s="1"/>
      <c r="H21" s="1"/>
      <c r="I21" s="1"/>
      <c r="J21" s="1"/>
      <c r="K21" s="1"/>
      <c r="L21" s="1" t="s">
        <v>139</v>
      </c>
      <c r="M21" s="1"/>
      <c r="N21" s="1"/>
      <c r="O21" s="1"/>
      <c r="P21" s="1"/>
      <c r="Q21"/>
      <c r="R21" s="1" t="s">
        <v>142</v>
      </c>
      <c r="S21" s="1" t="s">
        <v>163</v>
      </c>
      <c r="T21" s="1"/>
      <c r="U21" s="1"/>
      <c r="V21" s="1"/>
      <c r="W21" s="1"/>
      <c r="X21" s="1"/>
      <c r="Y21" s="1"/>
      <c r="Z21" s="1"/>
    </row>
    <row r="22" spans="1:26" x14ac:dyDescent="0.35">
      <c r="A22" s="1" t="s">
        <v>174</v>
      </c>
      <c r="B22" s="1">
        <v>68</v>
      </c>
      <c r="C22" s="1">
        <v>0</v>
      </c>
      <c r="D22" s="1">
        <v>118</v>
      </c>
      <c r="E22" s="1">
        <v>0</v>
      </c>
      <c r="F22" s="1">
        <v>139</v>
      </c>
      <c r="G22" s="1">
        <v>0</v>
      </c>
      <c r="H22" s="1">
        <v>29</v>
      </c>
      <c r="I22" s="1">
        <v>0</v>
      </c>
      <c r="J22" s="1"/>
      <c r="K22" s="1"/>
      <c r="L22" s="1" t="s">
        <v>139</v>
      </c>
      <c r="M22" s="1"/>
      <c r="N22" s="1"/>
      <c r="O22" s="1"/>
      <c r="P22" s="1"/>
      <c r="Q22"/>
      <c r="R22" s="1" t="s">
        <v>203</v>
      </c>
      <c r="S22" s="1" t="s">
        <v>254</v>
      </c>
      <c r="T22" s="1"/>
      <c r="U22" s="1"/>
      <c r="V22" s="1"/>
      <c r="W22" s="1"/>
      <c r="X22" s="1"/>
      <c r="Y22" s="1"/>
      <c r="Z22" s="1"/>
    </row>
    <row r="23" spans="1:26" x14ac:dyDescent="0.35">
      <c r="A23" s="1" t="s">
        <v>177</v>
      </c>
      <c r="B23" s="1">
        <v>102</v>
      </c>
      <c r="C23" s="1">
        <v>0</v>
      </c>
      <c r="D23" s="1">
        <v>270</v>
      </c>
      <c r="E23" s="1">
        <v>1</v>
      </c>
      <c r="F23" s="1">
        <v>31</v>
      </c>
      <c r="G23" s="1">
        <v>0</v>
      </c>
      <c r="H23" s="1">
        <v>59</v>
      </c>
      <c r="I23" s="1">
        <v>7</v>
      </c>
      <c r="J23" s="1"/>
      <c r="K23" s="1"/>
      <c r="L23" s="1" t="s">
        <v>139</v>
      </c>
      <c r="M23" s="1"/>
      <c r="N23" s="1"/>
      <c r="O23" s="1"/>
      <c r="P23" s="1"/>
      <c r="Q23"/>
      <c r="R23" s="1" t="s">
        <v>124</v>
      </c>
      <c r="S23" s="1" t="s">
        <v>231</v>
      </c>
      <c r="T23" s="1"/>
      <c r="U23" s="1"/>
      <c r="V23" s="1"/>
      <c r="W23" s="1"/>
      <c r="X23" s="1"/>
      <c r="Y23" s="1"/>
      <c r="Z23" s="1"/>
    </row>
    <row r="24" spans="1:26" x14ac:dyDescent="0.35">
      <c r="A24" s="1" t="s">
        <v>183</v>
      </c>
      <c r="B24" s="1">
        <v>62</v>
      </c>
      <c r="C24" s="1">
        <v>1</v>
      </c>
      <c r="D24" s="1">
        <v>127</v>
      </c>
      <c r="E24" s="1">
        <v>1</v>
      </c>
      <c r="F24" s="1">
        <v>85</v>
      </c>
      <c r="G24" s="1">
        <v>5</v>
      </c>
      <c r="H24" s="1">
        <v>19</v>
      </c>
      <c r="I24" s="1">
        <v>0</v>
      </c>
      <c r="J24" s="1"/>
      <c r="K24" s="1"/>
      <c r="L24" s="1" t="s">
        <v>139</v>
      </c>
      <c r="M24" s="1"/>
      <c r="N24" s="1"/>
      <c r="O24" s="1"/>
      <c r="P24" s="1"/>
      <c r="Q24"/>
      <c r="R24" s="1" t="s">
        <v>120</v>
      </c>
      <c r="S24" s="1" t="s">
        <v>232</v>
      </c>
      <c r="T24" s="1"/>
      <c r="U24" s="1">
        <v>13</v>
      </c>
      <c r="V24" s="1"/>
      <c r="W24" s="1"/>
      <c r="X24" s="1"/>
      <c r="Y24" s="1"/>
      <c r="Z24" s="1"/>
    </row>
    <row r="25" spans="1:26" x14ac:dyDescent="0.35">
      <c r="A25" s="1" t="s">
        <v>184</v>
      </c>
      <c r="B25" s="1"/>
      <c r="C25" s="1"/>
      <c r="D25" s="1">
        <v>489</v>
      </c>
      <c r="E25" s="1">
        <v>7</v>
      </c>
      <c r="F25" s="1">
        <v>253</v>
      </c>
      <c r="G25" s="1">
        <v>1</v>
      </c>
      <c r="H25" s="1">
        <v>1</v>
      </c>
      <c r="I25" s="1">
        <v>0</v>
      </c>
      <c r="J25" s="1"/>
      <c r="K25" s="1"/>
      <c r="L25" s="1" t="s">
        <v>139</v>
      </c>
      <c r="M25" s="1"/>
      <c r="N25" s="1"/>
      <c r="O25" s="1"/>
      <c r="P25" s="1"/>
      <c r="Q25"/>
      <c r="R25" s="1" t="s">
        <v>141</v>
      </c>
      <c r="S25" s="1" t="s">
        <v>166</v>
      </c>
      <c r="T25" s="1"/>
      <c r="U25" s="1"/>
      <c r="V25" s="1"/>
      <c r="W25" s="1"/>
      <c r="X25" s="1"/>
      <c r="Y25" s="1"/>
      <c r="Z25" s="1"/>
    </row>
    <row r="26" spans="1:26" x14ac:dyDescent="0.35">
      <c r="A26" s="1" t="s">
        <v>157</v>
      </c>
      <c r="B26" s="1">
        <v>103</v>
      </c>
      <c r="C26" s="1">
        <v>0</v>
      </c>
      <c r="D26" s="1">
        <v>34</v>
      </c>
      <c r="E26" s="1">
        <v>1</v>
      </c>
      <c r="F26" s="1">
        <v>68</v>
      </c>
      <c r="G26" s="1">
        <v>0</v>
      </c>
      <c r="H26" s="1">
        <v>134</v>
      </c>
      <c r="I26" s="1">
        <v>8</v>
      </c>
      <c r="J26" s="1"/>
      <c r="K26" s="1"/>
      <c r="L26" s="1" t="s">
        <v>140</v>
      </c>
      <c r="M26" s="1"/>
      <c r="N26" s="1"/>
      <c r="O26" s="1"/>
      <c r="P26" s="1"/>
      <c r="Q26"/>
      <c r="R26" s="1" t="s">
        <v>142</v>
      </c>
      <c r="S26" s="1" t="s">
        <v>167</v>
      </c>
      <c r="T26" s="1"/>
      <c r="U26" s="1"/>
      <c r="V26" s="1"/>
      <c r="W26" s="1"/>
      <c r="X26" s="1"/>
      <c r="Y26" s="1"/>
      <c r="Z26" s="1"/>
    </row>
    <row r="27" spans="1:26" x14ac:dyDescent="0.35">
      <c r="A27" s="1" t="s">
        <v>171</v>
      </c>
      <c r="B27" s="1">
        <v>49</v>
      </c>
      <c r="C27" s="1">
        <v>2</v>
      </c>
      <c r="D27" s="1">
        <v>169</v>
      </c>
      <c r="E27" s="1">
        <v>9</v>
      </c>
      <c r="F27" s="1">
        <v>213</v>
      </c>
      <c r="G27" s="1">
        <v>8</v>
      </c>
      <c r="H27" s="1">
        <v>217</v>
      </c>
      <c r="I27" s="1">
        <v>41</v>
      </c>
      <c r="J27" s="1"/>
      <c r="K27" s="1"/>
      <c r="L27" s="1" t="s">
        <v>140</v>
      </c>
      <c r="M27" s="1"/>
      <c r="N27" s="1"/>
      <c r="O27" s="1"/>
      <c r="P27" s="1"/>
      <c r="Q27"/>
      <c r="R27" s="1" t="s">
        <v>139</v>
      </c>
      <c r="S27" s="1" t="s">
        <v>168</v>
      </c>
      <c r="T27" s="1">
        <v>1</v>
      </c>
      <c r="U27" s="1"/>
      <c r="V27" s="1">
        <v>6</v>
      </c>
      <c r="W27" s="1"/>
      <c r="X27" s="1"/>
      <c r="Y27" s="1"/>
      <c r="Z27" s="1"/>
    </row>
    <row r="28" spans="1:26" x14ac:dyDescent="0.35">
      <c r="A28" s="1" t="s">
        <v>172</v>
      </c>
      <c r="B28" s="1">
        <v>267</v>
      </c>
      <c r="C28" s="1">
        <v>6</v>
      </c>
      <c r="D28" s="1">
        <v>204</v>
      </c>
      <c r="E28" s="1">
        <v>1</v>
      </c>
      <c r="F28" s="1">
        <v>146</v>
      </c>
      <c r="G28" s="1">
        <v>33</v>
      </c>
      <c r="H28" s="1">
        <v>64</v>
      </c>
      <c r="I28" s="1">
        <v>11</v>
      </c>
      <c r="J28" s="1"/>
      <c r="K28" s="1"/>
      <c r="L28" s="1" t="s">
        <v>140</v>
      </c>
      <c r="M28" s="1"/>
      <c r="N28" s="1"/>
      <c r="O28" s="1"/>
      <c r="P28" s="1"/>
      <c r="Q28"/>
      <c r="R28" s="1" t="s">
        <v>141</v>
      </c>
      <c r="S28" s="1" t="s">
        <v>169</v>
      </c>
      <c r="T28" s="1"/>
      <c r="U28" s="1"/>
      <c r="V28" s="1"/>
      <c r="W28" s="1"/>
      <c r="X28" s="1"/>
      <c r="Y28" s="1"/>
      <c r="Z28" s="1"/>
    </row>
    <row r="29" spans="1:26" x14ac:dyDescent="0.35">
      <c r="A29" s="1" t="s">
        <v>176</v>
      </c>
      <c r="B29" s="1">
        <v>143</v>
      </c>
      <c r="C29" s="1">
        <v>3</v>
      </c>
      <c r="D29" s="1">
        <v>75</v>
      </c>
      <c r="E29" s="1">
        <v>0</v>
      </c>
      <c r="F29" s="1">
        <v>173</v>
      </c>
      <c r="G29" s="1">
        <v>11</v>
      </c>
      <c r="H29" s="1">
        <v>63</v>
      </c>
      <c r="I29" s="1">
        <v>3</v>
      </c>
      <c r="J29" s="1"/>
      <c r="K29" s="1"/>
      <c r="L29" s="1" t="s">
        <v>140</v>
      </c>
      <c r="M29" s="1"/>
      <c r="N29" s="1"/>
      <c r="O29" s="1"/>
      <c r="P29" s="1"/>
      <c r="Q29"/>
      <c r="R29" s="1" t="s">
        <v>139</v>
      </c>
      <c r="S29" s="1" t="s">
        <v>170</v>
      </c>
      <c r="T29" s="1"/>
      <c r="U29" s="1"/>
      <c r="V29" s="1"/>
      <c r="W29" s="1"/>
      <c r="X29" s="1"/>
      <c r="Y29" s="1"/>
      <c r="Z29" s="1"/>
    </row>
    <row r="30" spans="1:26" x14ac:dyDescent="0.35">
      <c r="A30" s="1" t="s">
        <v>181</v>
      </c>
      <c r="B30" s="1">
        <v>79</v>
      </c>
      <c r="C30" s="1">
        <v>1</v>
      </c>
      <c r="D30" s="1">
        <v>57</v>
      </c>
      <c r="E30" s="1">
        <v>2</v>
      </c>
      <c r="F30" s="1">
        <v>52</v>
      </c>
      <c r="G30" s="1">
        <v>3</v>
      </c>
      <c r="H30" s="1">
        <v>230</v>
      </c>
      <c r="I30" s="1">
        <v>32</v>
      </c>
      <c r="J30" s="1"/>
      <c r="K30" s="1"/>
      <c r="L30" s="1" t="s">
        <v>140</v>
      </c>
      <c r="M30" s="1"/>
      <c r="N30" s="1"/>
      <c r="O30" s="1"/>
      <c r="P30" s="1"/>
      <c r="Q30"/>
      <c r="R30" s="1" t="s">
        <v>118</v>
      </c>
      <c r="S30" s="1" t="s">
        <v>233</v>
      </c>
      <c r="T30" s="1"/>
      <c r="U30" s="1"/>
      <c r="V30" s="1"/>
      <c r="W30" s="1"/>
      <c r="X30" s="1"/>
      <c r="Y30" s="1"/>
      <c r="Z30" s="1"/>
    </row>
    <row r="31" spans="1:26" x14ac:dyDescent="0.35">
      <c r="A31" s="1" t="s">
        <v>152</v>
      </c>
      <c r="B31" s="1">
        <v>29</v>
      </c>
      <c r="C31" s="1">
        <v>1</v>
      </c>
      <c r="D31" s="1">
        <v>48</v>
      </c>
      <c r="E31" s="1">
        <v>2</v>
      </c>
      <c r="F31" s="1">
        <v>195</v>
      </c>
      <c r="G31" s="1">
        <v>52</v>
      </c>
      <c r="H31" s="1"/>
      <c r="I31" s="1"/>
      <c r="J31" s="1"/>
      <c r="K31" s="1"/>
      <c r="L31" s="1" t="s">
        <v>141</v>
      </c>
      <c r="M31" s="1"/>
      <c r="N31" s="1"/>
      <c r="O31" s="1"/>
      <c r="P31" s="1"/>
      <c r="Q31"/>
      <c r="R31" s="1" t="s">
        <v>140</v>
      </c>
      <c r="S31" s="1" t="s">
        <v>171</v>
      </c>
      <c r="T31" s="1"/>
      <c r="U31" s="1">
        <v>3</v>
      </c>
      <c r="V31" s="1"/>
      <c r="W31" s="1"/>
      <c r="X31" s="1"/>
      <c r="Y31" s="1"/>
      <c r="Z31" s="1"/>
    </row>
    <row r="32" spans="1:26" x14ac:dyDescent="0.35">
      <c r="A32" s="1" t="s">
        <v>153</v>
      </c>
      <c r="B32" s="1">
        <v>28</v>
      </c>
      <c r="C32" s="1">
        <v>1</v>
      </c>
      <c r="D32" s="1">
        <v>113</v>
      </c>
      <c r="E32" s="1">
        <v>0</v>
      </c>
      <c r="F32" s="1">
        <v>74</v>
      </c>
      <c r="G32" s="1">
        <v>13</v>
      </c>
      <c r="H32" s="1">
        <v>136</v>
      </c>
      <c r="I32" s="1">
        <v>35</v>
      </c>
      <c r="J32" s="1"/>
      <c r="K32" s="1"/>
      <c r="L32" s="1" t="s">
        <v>141</v>
      </c>
      <c r="M32" s="1"/>
      <c r="N32" s="1"/>
      <c r="O32" s="1"/>
      <c r="P32" s="1"/>
      <c r="Q32"/>
      <c r="R32" s="1" t="s">
        <v>140</v>
      </c>
      <c r="S32" s="1" t="s">
        <v>172</v>
      </c>
      <c r="T32" s="1"/>
      <c r="U32" s="1"/>
      <c r="V32" s="1"/>
      <c r="W32" s="1"/>
      <c r="X32" s="1"/>
      <c r="Y32" s="1"/>
      <c r="Z32" s="1"/>
    </row>
    <row r="33" spans="1:26" x14ac:dyDescent="0.35">
      <c r="A33" s="1" t="s">
        <v>154</v>
      </c>
      <c r="B33" s="1">
        <v>58</v>
      </c>
      <c r="C33" s="1">
        <v>1</v>
      </c>
      <c r="D33" s="1">
        <v>73</v>
      </c>
      <c r="E33" s="1">
        <v>14</v>
      </c>
      <c r="F33" s="1">
        <v>73</v>
      </c>
      <c r="G33" s="1">
        <v>28</v>
      </c>
      <c r="H33" s="1">
        <v>48</v>
      </c>
      <c r="I33" s="1">
        <v>28</v>
      </c>
      <c r="J33" s="1"/>
      <c r="K33" s="1"/>
      <c r="L33" s="1" t="s">
        <v>141</v>
      </c>
      <c r="M33" s="1"/>
      <c r="N33" s="1"/>
      <c r="O33" s="1"/>
      <c r="P33" s="1"/>
      <c r="Q33"/>
      <c r="R33" s="1" t="s">
        <v>142</v>
      </c>
      <c r="S33" s="1" t="s">
        <v>173</v>
      </c>
      <c r="T33" s="1"/>
      <c r="U33" s="1"/>
      <c r="V33" s="1"/>
      <c r="W33" s="1"/>
      <c r="X33" s="1"/>
      <c r="Y33" s="1"/>
      <c r="Z33" s="1"/>
    </row>
    <row r="34" spans="1:26" x14ac:dyDescent="0.35">
      <c r="A34" s="1" t="s">
        <v>160</v>
      </c>
      <c r="B34" s="1">
        <v>49</v>
      </c>
      <c r="C34" s="1">
        <v>2</v>
      </c>
      <c r="D34" s="1">
        <v>152</v>
      </c>
      <c r="E34" s="1">
        <v>9</v>
      </c>
      <c r="F34" s="1">
        <v>66</v>
      </c>
      <c r="G34" s="1">
        <v>22</v>
      </c>
      <c r="H34" s="1">
        <v>184</v>
      </c>
      <c r="I34" s="1">
        <v>35</v>
      </c>
      <c r="J34" s="1"/>
      <c r="K34" s="1"/>
      <c r="L34" s="1" t="s">
        <v>141</v>
      </c>
      <c r="M34" s="1"/>
      <c r="N34" s="1"/>
      <c r="O34" s="1"/>
      <c r="P34" s="1"/>
      <c r="Q34"/>
      <c r="R34" s="1" t="s">
        <v>139</v>
      </c>
      <c r="S34" s="1" t="s">
        <v>174</v>
      </c>
      <c r="T34" s="1"/>
      <c r="U34" s="1"/>
      <c r="V34" s="1">
        <v>3</v>
      </c>
      <c r="W34" s="1"/>
      <c r="X34" s="1"/>
      <c r="Y34" s="1"/>
      <c r="Z34" s="1"/>
    </row>
    <row r="35" spans="1:26" x14ac:dyDescent="0.35">
      <c r="A35" s="1" t="s">
        <v>166</v>
      </c>
      <c r="B35" s="1"/>
      <c r="C35" s="1"/>
      <c r="D35" s="1">
        <v>165</v>
      </c>
      <c r="E35" s="1">
        <v>2</v>
      </c>
      <c r="F35" s="1">
        <v>91</v>
      </c>
      <c r="G35" s="1">
        <v>23</v>
      </c>
      <c r="H35" s="1">
        <v>127</v>
      </c>
      <c r="I35" s="1">
        <v>36</v>
      </c>
      <c r="J35" s="1"/>
      <c r="K35" s="1"/>
      <c r="L35" s="1" t="s">
        <v>141</v>
      </c>
      <c r="M35" s="1"/>
      <c r="N35" s="1"/>
      <c r="O35" s="1"/>
      <c r="P35" s="1"/>
      <c r="Q35"/>
      <c r="R35" s="1" t="s">
        <v>141</v>
      </c>
      <c r="S35" s="1" t="s">
        <v>175</v>
      </c>
      <c r="T35" s="1"/>
      <c r="U35" s="1"/>
      <c r="V35" s="1">
        <v>5</v>
      </c>
      <c r="W35" s="1"/>
      <c r="X35" s="1"/>
      <c r="Y35" s="1"/>
      <c r="Z35" s="1"/>
    </row>
    <row r="36" spans="1:26" x14ac:dyDescent="0.35">
      <c r="A36" s="1" t="s">
        <v>169</v>
      </c>
      <c r="B36" s="1">
        <v>40</v>
      </c>
      <c r="C36" s="1">
        <v>15</v>
      </c>
      <c r="D36" s="1">
        <v>261</v>
      </c>
      <c r="E36" s="1">
        <v>13</v>
      </c>
      <c r="F36" s="1">
        <v>226</v>
      </c>
      <c r="G36" s="1">
        <v>5</v>
      </c>
      <c r="H36" s="1">
        <v>346</v>
      </c>
      <c r="I36" s="1">
        <v>7</v>
      </c>
      <c r="J36" s="1"/>
      <c r="K36" s="1"/>
      <c r="L36" s="1" t="s">
        <v>141</v>
      </c>
      <c r="M36" s="1"/>
      <c r="N36" s="1"/>
      <c r="O36" s="1"/>
      <c r="P36" s="1"/>
      <c r="Q36"/>
      <c r="R36" s="1" t="s">
        <v>118</v>
      </c>
      <c r="S36" s="1" t="s">
        <v>234</v>
      </c>
      <c r="T36" s="1"/>
      <c r="U36" s="1"/>
      <c r="V36" s="1"/>
      <c r="W36" s="1"/>
      <c r="X36" s="1"/>
      <c r="Y36" s="1"/>
      <c r="Z36" s="1"/>
    </row>
    <row r="37" spans="1:26" x14ac:dyDescent="0.35">
      <c r="A37" s="1" t="s">
        <v>175</v>
      </c>
      <c r="B37" s="1"/>
      <c r="C37" s="1"/>
      <c r="D37" s="1">
        <v>41</v>
      </c>
      <c r="E37" s="1">
        <v>0</v>
      </c>
      <c r="F37" s="1">
        <v>113</v>
      </c>
      <c r="G37" s="1">
        <v>27</v>
      </c>
      <c r="H37" s="1">
        <v>45</v>
      </c>
      <c r="I37" s="1">
        <v>11</v>
      </c>
      <c r="J37" s="1"/>
      <c r="K37" s="1"/>
      <c r="L37" s="1" t="s">
        <v>141</v>
      </c>
      <c r="M37" s="1"/>
      <c r="N37" s="1"/>
      <c r="O37" s="1"/>
      <c r="P37" s="1"/>
      <c r="Q37"/>
      <c r="R37" s="1" t="s">
        <v>140</v>
      </c>
      <c r="S37" s="1" t="s">
        <v>176</v>
      </c>
      <c r="T37" s="1"/>
      <c r="U37" s="1"/>
      <c r="V37" s="1">
        <v>10</v>
      </c>
      <c r="W37" s="1">
        <v>36</v>
      </c>
      <c r="X37" s="1"/>
      <c r="Y37" s="1"/>
      <c r="Z37" s="1"/>
    </row>
    <row r="38" spans="1:26" x14ac:dyDescent="0.35">
      <c r="A38" s="1" t="s">
        <v>179</v>
      </c>
      <c r="B38" s="1">
        <v>103</v>
      </c>
      <c r="C38" s="1">
        <v>3</v>
      </c>
      <c r="D38" s="1">
        <v>54</v>
      </c>
      <c r="E38" s="1">
        <v>1</v>
      </c>
      <c r="F38" s="1">
        <v>48</v>
      </c>
      <c r="G38" s="1">
        <v>2</v>
      </c>
      <c r="H38" s="1">
        <v>12</v>
      </c>
      <c r="I38" s="1">
        <v>0</v>
      </c>
      <c r="J38" s="1"/>
      <c r="K38" s="1"/>
      <c r="L38" s="1" t="s">
        <v>141</v>
      </c>
      <c r="M38" s="1"/>
      <c r="N38" s="1"/>
      <c r="O38" s="1"/>
      <c r="P38" s="1"/>
      <c r="Q38"/>
      <c r="R38" s="1" t="s">
        <v>139</v>
      </c>
      <c r="S38" s="1" t="s">
        <v>177</v>
      </c>
      <c r="T38" s="1"/>
      <c r="U38" s="1">
        <v>3</v>
      </c>
      <c r="V38" s="1"/>
      <c r="W38" s="1"/>
      <c r="X38" s="1"/>
      <c r="Y38" s="1"/>
      <c r="Z38" s="1"/>
    </row>
    <row r="39" spans="1:26" x14ac:dyDescent="0.35">
      <c r="A39" s="1" t="s">
        <v>180</v>
      </c>
      <c r="B39" s="1">
        <v>93</v>
      </c>
      <c r="C39" s="1">
        <v>13</v>
      </c>
      <c r="D39" s="1">
        <v>106</v>
      </c>
      <c r="E39" s="1">
        <v>3</v>
      </c>
      <c r="F39" s="1">
        <v>133</v>
      </c>
      <c r="G39" s="1">
        <v>3</v>
      </c>
      <c r="H39" s="1">
        <v>124</v>
      </c>
      <c r="I39" s="1">
        <v>2</v>
      </c>
      <c r="J39" s="1"/>
      <c r="K39" s="1"/>
      <c r="L39" s="1" t="s">
        <v>141</v>
      </c>
      <c r="M39" s="1"/>
      <c r="N39" s="1"/>
      <c r="O39" s="1"/>
      <c r="P39" s="1"/>
      <c r="Q39"/>
      <c r="R39" s="1" t="s">
        <v>120</v>
      </c>
      <c r="S39" s="1" t="s">
        <v>235</v>
      </c>
      <c r="T39" s="1"/>
      <c r="U39" s="1"/>
      <c r="V39" s="1">
        <v>8</v>
      </c>
      <c r="W39" s="1"/>
      <c r="X39" s="1"/>
      <c r="Y39" s="1"/>
      <c r="Z39" s="1"/>
    </row>
    <row r="40" spans="1:26" x14ac:dyDescent="0.35">
      <c r="A40" s="1" t="s">
        <v>182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 t="s">
        <v>141</v>
      </c>
      <c r="M40" s="1"/>
      <c r="N40" s="1"/>
      <c r="O40" s="1"/>
      <c r="P40" s="1"/>
      <c r="Q40"/>
      <c r="R40" s="1" t="s">
        <v>141</v>
      </c>
      <c r="S40" s="1" t="s">
        <v>179</v>
      </c>
      <c r="T40" s="1"/>
      <c r="U40" s="1"/>
      <c r="V40" s="1"/>
      <c r="W40" s="1"/>
      <c r="X40" s="1"/>
      <c r="Y40" s="1"/>
      <c r="Z40" s="1"/>
    </row>
    <row r="41" spans="1:26" x14ac:dyDescent="0.35">
      <c r="A41" s="1" t="s">
        <v>146</v>
      </c>
      <c r="B41" s="1">
        <v>82</v>
      </c>
      <c r="C41" s="1">
        <v>2</v>
      </c>
      <c r="D41" s="1">
        <v>104</v>
      </c>
      <c r="E41" s="1">
        <v>2</v>
      </c>
      <c r="F41" s="1">
        <v>198</v>
      </c>
      <c r="G41" s="1">
        <v>10</v>
      </c>
      <c r="H41" s="1">
        <v>195</v>
      </c>
      <c r="I41" s="1">
        <v>18</v>
      </c>
      <c r="J41" s="1"/>
      <c r="K41" s="1"/>
      <c r="L41" s="1" t="s">
        <v>142</v>
      </c>
      <c r="M41" s="1"/>
      <c r="N41" s="1"/>
      <c r="O41" s="1"/>
      <c r="P41" s="1"/>
      <c r="Q41"/>
      <c r="R41" s="1" t="s">
        <v>125</v>
      </c>
      <c r="S41" s="1" t="s">
        <v>236</v>
      </c>
      <c r="T41" s="1"/>
      <c r="U41" s="1"/>
      <c r="V41" s="1"/>
      <c r="W41" s="1"/>
      <c r="X41" s="1"/>
      <c r="Y41" s="1"/>
      <c r="Z41" s="1"/>
    </row>
    <row r="42" spans="1:26" x14ac:dyDescent="0.35">
      <c r="A42" s="1" t="s">
        <v>158</v>
      </c>
      <c r="B42" s="1">
        <v>24</v>
      </c>
      <c r="C42" s="1">
        <v>1</v>
      </c>
      <c r="D42" s="1">
        <v>46</v>
      </c>
      <c r="E42" s="1">
        <v>1</v>
      </c>
      <c r="F42" s="1">
        <v>155</v>
      </c>
      <c r="G42" s="1">
        <v>10</v>
      </c>
      <c r="H42" s="1">
        <v>48</v>
      </c>
      <c r="I42" s="1">
        <v>4</v>
      </c>
      <c r="J42" s="1"/>
      <c r="K42" s="1"/>
      <c r="L42" s="1" t="s">
        <v>142</v>
      </c>
      <c r="M42" s="1"/>
      <c r="N42" s="1"/>
      <c r="O42" s="1"/>
      <c r="P42" s="1"/>
      <c r="Q42"/>
      <c r="R42" s="1" t="s">
        <v>141</v>
      </c>
      <c r="S42" s="1" t="s">
        <v>180</v>
      </c>
      <c r="T42" s="1"/>
      <c r="U42" s="1"/>
      <c r="V42" s="1"/>
      <c r="W42" s="1"/>
      <c r="X42" s="1"/>
      <c r="Y42" s="1"/>
      <c r="Z42" s="1"/>
    </row>
    <row r="43" spans="1:26" x14ac:dyDescent="0.35">
      <c r="A43" s="1" t="s">
        <v>159</v>
      </c>
      <c r="B43" s="1">
        <v>102</v>
      </c>
      <c r="C43" s="1">
        <v>4</v>
      </c>
      <c r="D43" s="1">
        <v>99</v>
      </c>
      <c r="E43" s="1">
        <v>13</v>
      </c>
      <c r="F43" s="1">
        <v>62</v>
      </c>
      <c r="G43" s="1">
        <v>9</v>
      </c>
      <c r="H43" s="1">
        <v>135</v>
      </c>
      <c r="I43" s="1">
        <v>67</v>
      </c>
      <c r="J43" s="1"/>
      <c r="K43" s="1"/>
      <c r="L43" s="1" t="s">
        <v>142</v>
      </c>
      <c r="M43" s="1"/>
      <c r="N43" s="1"/>
      <c r="O43" s="1"/>
      <c r="P43" s="1"/>
      <c r="Q43"/>
      <c r="R43" s="1" t="s">
        <v>140</v>
      </c>
      <c r="S43" s="1" t="s">
        <v>181</v>
      </c>
      <c r="T43" s="1"/>
      <c r="U43" s="1">
        <v>4</v>
      </c>
      <c r="V43" s="1">
        <v>8</v>
      </c>
      <c r="W43" s="1"/>
      <c r="X43" s="1"/>
      <c r="Y43" s="1"/>
      <c r="Z43" s="1"/>
    </row>
    <row r="44" spans="1:26" x14ac:dyDescent="0.35">
      <c r="A44" s="1" t="s">
        <v>163</v>
      </c>
      <c r="B44" s="1">
        <v>118</v>
      </c>
      <c r="C44" s="1">
        <v>7</v>
      </c>
      <c r="D44" s="1">
        <v>245</v>
      </c>
      <c r="E44" s="1">
        <v>8</v>
      </c>
      <c r="F44" s="1">
        <v>105</v>
      </c>
      <c r="G44" s="1">
        <v>3</v>
      </c>
      <c r="H44" s="1">
        <v>98</v>
      </c>
      <c r="I44" s="1">
        <v>17</v>
      </c>
      <c r="J44" s="1"/>
      <c r="K44" s="1"/>
      <c r="L44" s="1" t="s">
        <v>142</v>
      </c>
      <c r="M44" s="1"/>
      <c r="N44" s="1"/>
      <c r="O44" s="1"/>
      <c r="P44" s="1"/>
      <c r="Q44"/>
      <c r="R44" s="16" t="s">
        <v>141</v>
      </c>
      <c r="S44" s="16" t="s">
        <v>182</v>
      </c>
      <c r="V44" s="16"/>
      <c r="W44" s="16"/>
      <c r="X44" s="16"/>
    </row>
    <row r="45" spans="1:26" x14ac:dyDescent="0.35">
      <c r="A45" s="1" t="s">
        <v>167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142</v>
      </c>
      <c r="M45" s="1"/>
      <c r="N45" s="1"/>
      <c r="O45" s="1"/>
      <c r="P45" s="1"/>
      <c r="Q45"/>
      <c r="R45" s="16" t="s">
        <v>139</v>
      </c>
      <c r="S45" s="16" t="s">
        <v>183</v>
      </c>
      <c r="V45" s="16">
        <v>39</v>
      </c>
      <c r="W45" s="16"/>
      <c r="X45" s="16"/>
    </row>
    <row r="46" spans="1:26" x14ac:dyDescent="0.35">
      <c r="A46" s="1" t="s">
        <v>173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142</v>
      </c>
      <c r="M46" s="1"/>
      <c r="N46" s="1"/>
      <c r="O46" s="1"/>
      <c r="P46" s="1"/>
      <c r="R46" s="16" t="s">
        <v>139</v>
      </c>
      <c r="S46" s="16" t="s">
        <v>184</v>
      </c>
      <c r="V46" s="16">
        <v>15</v>
      </c>
      <c r="W46" s="16"/>
      <c r="X46" s="16"/>
    </row>
    <row r="47" spans="1:26" x14ac:dyDescent="0.35">
      <c r="R47"/>
      <c r="S47"/>
      <c r="T47"/>
      <c r="U47"/>
    </row>
    <row r="48" spans="1:26" x14ac:dyDescent="0.35">
      <c r="R48"/>
      <c r="S48"/>
      <c r="T48"/>
      <c r="U48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7" workbookViewId="0">
      <selection sqref="A1:G52"/>
    </sheetView>
  </sheetViews>
  <sheetFormatPr defaultRowHeight="14.5" x14ac:dyDescent="0.35"/>
  <cols>
    <col min="1" max="1" width="18.08984375" bestFit="1" customWidth="1"/>
    <col min="2" max="7" width="14.1796875" bestFit="1" customWidth="1"/>
  </cols>
  <sheetData>
    <row r="1" spans="1:7" x14ac:dyDescent="0.35">
      <c r="A1" s="1" t="s">
        <v>30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t="s">
        <v>247</v>
      </c>
    </row>
    <row r="2" spans="1:7" x14ac:dyDescent="0.35">
      <c r="A2" s="1" t="s">
        <v>139</v>
      </c>
      <c r="B2" s="1">
        <v>8021</v>
      </c>
      <c r="C2" s="1">
        <v>0</v>
      </c>
      <c r="D2" s="1">
        <v>0</v>
      </c>
      <c r="E2" s="1">
        <v>290</v>
      </c>
      <c r="F2" s="1">
        <v>0</v>
      </c>
      <c r="G2">
        <f>SUM(TeamAssignment[[#This Row],[AssignWeek1]:[AssignWeek5]])</f>
        <v>8311</v>
      </c>
    </row>
    <row r="3" spans="1:7" x14ac:dyDescent="0.35">
      <c r="A3" s="1" t="s">
        <v>140</v>
      </c>
      <c r="B3" s="1">
        <v>6579</v>
      </c>
      <c r="C3" s="1">
        <v>0</v>
      </c>
      <c r="D3" s="1">
        <v>0</v>
      </c>
      <c r="E3" s="1">
        <v>0</v>
      </c>
      <c r="F3" s="1">
        <v>0</v>
      </c>
      <c r="G3">
        <f>SUM(TeamAssignment[[#This Row],[AssignWeek1]:[AssignWeek5]])</f>
        <v>6579</v>
      </c>
    </row>
    <row r="4" spans="1:7" x14ac:dyDescent="0.35">
      <c r="A4" s="1" t="s">
        <v>141</v>
      </c>
      <c r="B4" s="1">
        <v>5836</v>
      </c>
      <c r="C4" s="1">
        <v>0</v>
      </c>
      <c r="D4" s="1">
        <v>0</v>
      </c>
      <c r="E4" s="1">
        <v>0</v>
      </c>
      <c r="F4" s="1">
        <v>0</v>
      </c>
      <c r="G4">
        <f>SUM(TeamAssignment[[#This Row],[AssignWeek1]:[AssignWeek5]])</f>
        <v>5836</v>
      </c>
    </row>
    <row r="5" spans="1:7" x14ac:dyDescent="0.35">
      <c r="A5" s="1" t="s">
        <v>142</v>
      </c>
      <c r="B5" s="1">
        <v>3429</v>
      </c>
      <c r="C5" s="1">
        <v>0</v>
      </c>
      <c r="D5" s="1">
        <v>0</v>
      </c>
      <c r="E5" s="1">
        <v>1257</v>
      </c>
      <c r="F5" s="1">
        <v>0</v>
      </c>
      <c r="G5">
        <f>SUM(TeamAssignment[[#This Row],[AssignWeek1]:[AssignWeek5]])</f>
        <v>4686</v>
      </c>
    </row>
    <row r="6" spans="1:7" x14ac:dyDescent="0.35">
      <c r="A6" s="1" t="s">
        <v>118</v>
      </c>
      <c r="B6" s="1">
        <v>0</v>
      </c>
      <c r="C6" s="1">
        <v>0</v>
      </c>
      <c r="D6" s="1">
        <v>0</v>
      </c>
      <c r="E6" s="1">
        <v>60</v>
      </c>
      <c r="F6" s="1">
        <v>0</v>
      </c>
      <c r="G6">
        <f>SUM(TeamAssignment[[#This Row],[AssignWeek1]:[AssignWeek5]])</f>
        <v>60</v>
      </c>
    </row>
    <row r="7" spans="1:7" x14ac:dyDescent="0.35">
      <c r="A7" s="1" t="s">
        <v>119</v>
      </c>
      <c r="B7" s="1">
        <v>0</v>
      </c>
      <c r="C7" s="1">
        <v>0</v>
      </c>
      <c r="D7" s="1">
        <v>0</v>
      </c>
      <c r="E7" s="1">
        <v>55</v>
      </c>
      <c r="F7" s="1">
        <v>0</v>
      </c>
      <c r="G7">
        <f>SUM(TeamAssignment[[#This Row],[AssignWeek1]:[AssignWeek5]])</f>
        <v>55</v>
      </c>
    </row>
    <row r="8" spans="1:7" x14ac:dyDescent="0.35">
      <c r="A8" s="1" t="s">
        <v>120</v>
      </c>
      <c r="B8" s="1">
        <v>0</v>
      </c>
      <c r="C8" s="1">
        <v>0</v>
      </c>
      <c r="D8" s="1">
        <v>0</v>
      </c>
      <c r="E8" s="1">
        <v>236</v>
      </c>
      <c r="F8" s="1">
        <v>0</v>
      </c>
      <c r="G8">
        <f>SUM(TeamAssignment[[#This Row],[AssignWeek1]:[AssignWeek5]])</f>
        <v>236</v>
      </c>
    </row>
    <row r="9" spans="1:7" x14ac:dyDescent="0.35">
      <c r="A9" s="1" t="s">
        <v>121</v>
      </c>
      <c r="B9" s="1">
        <v>0</v>
      </c>
      <c r="C9" s="1">
        <v>0</v>
      </c>
      <c r="D9" s="1">
        <v>0</v>
      </c>
      <c r="E9" s="1">
        <v>16</v>
      </c>
      <c r="F9" s="1">
        <v>0</v>
      </c>
      <c r="G9">
        <f>SUM(TeamAssignment[[#This Row],[AssignWeek1]:[AssignWeek5]])</f>
        <v>16</v>
      </c>
    </row>
    <row r="10" spans="1:7" x14ac:dyDescent="0.35">
      <c r="A10" s="1" t="s">
        <v>122</v>
      </c>
      <c r="B10" s="1">
        <v>33</v>
      </c>
      <c r="C10" s="1">
        <v>0</v>
      </c>
      <c r="D10" s="1">
        <v>0</v>
      </c>
      <c r="E10" s="1">
        <v>55</v>
      </c>
      <c r="F10" s="1">
        <v>0</v>
      </c>
      <c r="G10">
        <f>SUM(TeamAssignment[[#This Row],[AssignWeek1]:[AssignWeek5]])</f>
        <v>88</v>
      </c>
    </row>
    <row r="11" spans="1:7" x14ac:dyDescent="0.35">
      <c r="A11" s="1" t="s">
        <v>123</v>
      </c>
      <c r="B11" s="1">
        <v>17</v>
      </c>
      <c r="C11" s="1">
        <v>0</v>
      </c>
      <c r="D11" s="1">
        <v>0</v>
      </c>
      <c r="E11" s="1">
        <v>108</v>
      </c>
      <c r="F11" s="1">
        <v>0</v>
      </c>
      <c r="G11">
        <f>SUM(TeamAssignment[[#This Row],[AssignWeek1]:[AssignWeek5]])</f>
        <v>125</v>
      </c>
    </row>
    <row r="12" spans="1:7" x14ac:dyDescent="0.35">
      <c r="A12" s="16" t="s">
        <v>124</v>
      </c>
      <c r="B12" s="16">
        <v>0</v>
      </c>
      <c r="C12" s="16">
        <v>0</v>
      </c>
      <c r="D12" s="16">
        <v>0</v>
      </c>
      <c r="E12" s="16">
        <v>34</v>
      </c>
      <c r="F12" s="16">
        <v>0</v>
      </c>
      <c r="G12">
        <f>SUM(TeamAssignment[[#This Row],[AssignWeek1]:[AssignWeek5]])</f>
        <v>34</v>
      </c>
    </row>
    <row r="13" spans="1:7" x14ac:dyDescent="0.35">
      <c r="A13" s="16" t="s">
        <v>125</v>
      </c>
      <c r="B13" s="16">
        <v>0</v>
      </c>
      <c r="C13" s="16">
        <v>0</v>
      </c>
      <c r="D13" s="16">
        <v>0</v>
      </c>
      <c r="E13" s="16">
        <v>20</v>
      </c>
      <c r="F13" s="16">
        <v>0</v>
      </c>
      <c r="G13">
        <f>SUM(TeamAssignment[[#This Row],[AssignWeek1]:[AssignWeek5]])</f>
        <v>20</v>
      </c>
    </row>
    <row r="14" spans="1:7" x14ac:dyDescent="0.35">
      <c r="A14" s="16" t="s">
        <v>126</v>
      </c>
      <c r="B14" s="16">
        <v>0</v>
      </c>
      <c r="C14" s="16">
        <v>0</v>
      </c>
      <c r="D14" s="16">
        <v>0</v>
      </c>
      <c r="E14" s="16">
        <v>143</v>
      </c>
      <c r="F14" s="16">
        <v>0</v>
      </c>
      <c r="G14">
        <f>SUM(TeamAssignment[[#This Row],[AssignWeek1]:[AssignWeek5]])</f>
        <v>143</v>
      </c>
    </row>
    <row r="15" spans="1:7" x14ac:dyDescent="0.35">
      <c r="A15" s="16" t="s">
        <v>127</v>
      </c>
      <c r="B15" s="16">
        <v>0</v>
      </c>
      <c r="C15" s="16">
        <v>0</v>
      </c>
      <c r="D15" s="16">
        <v>0</v>
      </c>
      <c r="E15" s="16">
        <v>135</v>
      </c>
      <c r="F15" s="16">
        <v>0</v>
      </c>
      <c r="G15">
        <f>SUM(TeamAssignment[[#This Row],[AssignWeek1]:[AssignWeek5]])</f>
        <v>135</v>
      </c>
    </row>
    <row r="16" spans="1:7" x14ac:dyDescent="0.35">
      <c r="A16" s="16" t="s">
        <v>128</v>
      </c>
      <c r="B16" s="16">
        <v>16</v>
      </c>
      <c r="C16" s="16">
        <v>0</v>
      </c>
      <c r="D16" s="16">
        <v>0</v>
      </c>
      <c r="E16" s="16">
        <v>80</v>
      </c>
      <c r="F16" s="16">
        <v>0</v>
      </c>
      <c r="G16">
        <f>SUM(TeamAssignment[[#This Row],[AssignWeek1]:[AssignWeek5]])</f>
        <v>96</v>
      </c>
    </row>
    <row r="17" spans="1:7" x14ac:dyDescent="0.35">
      <c r="A17" s="16" t="s">
        <v>129</v>
      </c>
      <c r="B17" s="16">
        <v>0</v>
      </c>
      <c r="C17" s="16">
        <v>0</v>
      </c>
      <c r="D17" s="16">
        <v>0</v>
      </c>
      <c r="E17" s="16">
        <v>150</v>
      </c>
      <c r="F17" s="16">
        <v>0</v>
      </c>
      <c r="G17">
        <f>SUM(TeamAssignment[[#This Row],[AssignWeek1]:[AssignWeek5]])</f>
        <v>150</v>
      </c>
    </row>
    <row r="18" spans="1:7" x14ac:dyDescent="0.35">
      <c r="A18" s="16" t="s">
        <v>130</v>
      </c>
      <c r="B18" s="16">
        <v>0</v>
      </c>
      <c r="C18" s="16">
        <v>0</v>
      </c>
      <c r="D18" s="16">
        <v>0</v>
      </c>
      <c r="E18" s="16">
        <v>148</v>
      </c>
      <c r="F18" s="16">
        <v>0</v>
      </c>
      <c r="G18">
        <f>SUM(TeamAssignment[[#This Row],[AssignWeek1]:[AssignWeek5]])</f>
        <v>148</v>
      </c>
    </row>
    <row r="19" spans="1:7" x14ac:dyDescent="0.35">
      <c r="A19" s="16" t="s">
        <v>131</v>
      </c>
      <c r="B19" s="16">
        <v>0</v>
      </c>
      <c r="C19" s="16">
        <v>0</v>
      </c>
      <c r="D19" s="16">
        <v>0</v>
      </c>
      <c r="E19" s="16">
        <v>139</v>
      </c>
      <c r="F19" s="16">
        <v>0</v>
      </c>
      <c r="G19">
        <f>SUM(TeamAssignment[[#This Row],[AssignWeek1]:[AssignWeek5]])</f>
        <v>139</v>
      </c>
    </row>
    <row r="20" spans="1:7" x14ac:dyDescent="0.35">
      <c r="A20" s="16" t="s">
        <v>132</v>
      </c>
      <c r="B20" s="16">
        <v>0</v>
      </c>
      <c r="C20" s="16">
        <v>0</v>
      </c>
      <c r="D20" s="16">
        <v>0</v>
      </c>
      <c r="E20" s="16">
        <v>76</v>
      </c>
      <c r="F20" s="16">
        <v>0</v>
      </c>
      <c r="G20">
        <f>SUM(TeamAssignment[[#This Row],[AssignWeek1]:[AssignWeek5]])</f>
        <v>76</v>
      </c>
    </row>
    <row r="21" spans="1:7" x14ac:dyDescent="0.35">
      <c r="A21" s="16" t="s">
        <v>133</v>
      </c>
      <c r="B21" s="16">
        <v>0</v>
      </c>
      <c r="C21" s="16">
        <v>0</v>
      </c>
      <c r="D21" s="16">
        <v>0</v>
      </c>
      <c r="E21" s="16">
        <v>0</v>
      </c>
      <c r="F21" s="16">
        <v>113</v>
      </c>
      <c r="G21">
        <f>SUM(TeamAssignment[[#This Row],[AssignWeek1]:[AssignWeek5]])</f>
        <v>113</v>
      </c>
    </row>
    <row r="22" spans="1:7" x14ac:dyDescent="0.35">
      <c r="A22" s="16" t="s">
        <v>134</v>
      </c>
      <c r="B22" s="16">
        <v>0</v>
      </c>
      <c r="C22" s="16">
        <v>0</v>
      </c>
      <c r="D22" s="16">
        <v>0</v>
      </c>
      <c r="E22" s="16">
        <v>0</v>
      </c>
      <c r="F22" s="16">
        <v>128</v>
      </c>
      <c r="G22">
        <f>SUM(TeamAssignment[[#This Row],[AssignWeek1]:[AssignWeek5]])</f>
        <v>128</v>
      </c>
    </row>
    <row r="23" spans="1:7" x14ac:dyDescent="0.35">
      <c r="A23" s="16" t="s">
        <v>135</v>
      </c>
      <c r="B23" s="16">
        <v>0</v>
      </c>
      <c r="C23" s="16">
        <v>0</v>
      </c>
      <c r="D23" s="16">
        <v>0</v>
      </c>
      <c r="E23" s="16">
        <v>0</v>
      </c>
      <c r="F23" s="16">
        <v>54</v>
      </c>
      <c r="G23">
        <f>SUM(TeamAssignment[[#This Row],[AssignWeek1]:[AssignWeek5]])</f>
        <v>54</v>
      </c>
    </row>
    <row r="24" spans="1:7" x14ac:dyDescent="0.35">
      <c r="A24" s="16" t="s">
        <v>136</v>
      </c>
      <c r="B24" s="16">
        <v>0</v>
      </c>
      <c r="C24" s="16">
        <v>0</v>
      </c>
      <c r="D24" s="16">
        <v>0</v>
      </c>
      <c r="E24" s="16">
        <v>0</v>
      </c>
      <c r="F24" s="16">
        <v>139</v>
      </c>
      <c r="G24">
        <f>SUM(TeamAssignment[[#This Row],[AssignWeek1]:[AssignWeek5]])</f>
        <v>139</v>
      </c>
    </row>
    <row r="25" spans="1:7" x14ac:dyDescent="0.35">
      <c r="A25" s="16" t="s">
        <v>137</v>
      </c>
      <c r="B25" s="16">
        <v>0</v>
      </c>
      <c r="C25" s="16">
        <v>0</v>
      </c>
      <c r="D25" s="16">
        <v>0</v>
      </c>
      <c r="E25" s="16">
        <v>0</v>
      </c>
      <c r="F25" s="16">
        <v>48</v>
      </c>
      <c r="G25">
        <f>SUM(TeamAssignment[[#This Row],[AssignWeek1]:[AssignWeek5]])</f>
        <v>48</v>
      </c>
    </row>
    <row r="26" spans="1:7" x14ac:dyDescent="0.35">
      <c r="A26" s="16" t="s">
        <v>138</v>
      </c>
      <c r="B26" s="16">
        <v>0</v>
      </c>
      <c r="C26" s="16">
        <v>0</v>
      </c>
      <c r="D26" s="16">
        <v>0</v>
      </c>
      <c r="E26" s="16">
        <v>0</v>
      </c>
      <c r="F26" s="16">
        <v>62</v>
      </c>
      <c r="G26">
        <f>SUM(TeamAssignment[[#This Row],[AssignWeek1]:[AssignWeek5]])</f>
        <v>62</v>
      </c>
    </row>
    <row r="27" spans="1:7" x14ac:dyDescent="0.35">
      <c r="A27" s="16" t="s">
        <v>201</v>
      </c>
      <c r="B27" s="16">
        <v>0</v>
      </c>
      <c r="C27" s="16">
        <v>0</v>
      </c>
      <c r="D27" s="16">
        <v>0</v>
      </c>
      <c r="E27" s="16">
        <v>0</v>
      </c>
      <c r="F27" s="16">
        <v>50</v>
      </c>
      <c r="G27">
        <f>SUM(TeamAssignment[[#This Row],[AssignWeek1]:[AssignWeek5]])</f>
        <v>50</v>
      </c>
    </row>
    <row r="28" spans="1:7" x14ac:dyDescent="0.35">
      <c r="A28" s="16" t="s">
        <v>202</v>
      </c>
      <c r="B28" s="16">
        <v>0</v>
      </c>
      <c r="C28" s="16">
        <v>0</v>
      </c>
      <c r="D28" s="16">
        <v>0</v>
      </c>
      <c r="E28" s="16">
        <v>0</v>
      </c>
      <c r="F28" s="16">
        <v>139</v>
      </c>
      <c r="G28">
        <f>SUM(TeamAssignment[[#This Row],[AssignWeek1]:[AssignWeek5]])</f>
        <v>139</v>
      </c>
    </row>
    <row r="29" spans="1:7" x14ac:dyDescent="0.35">
      <c r="A29" s="16" t="s">
        <v>203</v>
      </c>
      <c r="B29" s="16">
        <v>0</v>
      </c>
      <c r="C29" s="16">
        <v>0</v>
      </c>
      <c r="D29" s="16">
        <v>0</v>
      </c>
      <c r="E29" s="16">
        <v>0</v>
      </c>
      <c r="F29" s="16">
        <v>176</v>
      </c>
      <c r="G29">
        <f>SUM(TeamAssignment[[#This Row],[AssignWeek1]:[AssignWeek5]])</f>
        <v>176</v>
      </c>
    </row>
    <row r="30" spans="1:7" x14ac:dyDescent="0.35">
      <c r="A30" s="16" t="s">
        <v>204</v>
      </c>
      <c r="B30" s="16">
        <v>0</v>
      </c>
      <c r="C30" s="16">
        <v>0</v>
      </c>
      <c r="D30" s="16">
        <v>0</v>
      </c>
      <c r="E30" s="16">
        <v>0</v>
      </c>
      <c r="F30" s="16">
        <v>198</v>
      </c>
      <c r="G30">
        <f>SUM(TeamAssignment[[#This Row],[AssignWeek1]:[AssignWeek5]])</f>
        <v>198</v>
      </c>
    </row>
    <row r="31" spans="1:7" x14ac:dyDescent="0.35">
      <c r="A31" s="16" t="s">
        <v>205</v>
      </c>
      <c r="B31" s="16">
        <v>0</v>
      </c>
      <c r="C31" s="16">
        <v>0</v>
      </c>
      <c r="D31" s="16">
        <v>0</v>
      </c>
      <c r="E31" s="16">
        <v>0</v>
      </c>
      <c r="F31" s="16">
        <v>127</v>
      </c>
      <c r="G31">
        <f>SUM(TeamAssignment[[#This Row],[AssignWeek1]:[AssignWeek5]])</f>
        <v>127</v>
      </c>
    </row>
    <row r="32" spans="1:7" x14ac:dyDescent="0.35">
      <c r="A32" s="16" t="s">
        <v>206</v>
      </c>
      <c r="B32" s="16">
        <v>0</v>
      </c>
      <c r="C32" s="16">
        <v>0</v>
      </c>
      <c r="D32" s="16">
        <v>0</v>
      </c>
      <c r="E32" s="16">
        <v>0</v>
      </c>
      <c r="F32" s="16">
        <v>261</v>
      </c>
      <c r="G32">
        <f>SUM(TeamAssignment[[#This Row],[AssignWeek1]:[AssignWeek5]])</f>
        <v>261</v>
      </c>
    </row>
    <row r="33" spans="1:7" x14ac:dyDescent="0.35">
      <c r="A33" s="16" t="s">
        <v>207</v>
      </c>
      <c r="B33" s="16">
        <v>0</v>
      </c>
      <c r="C33" s="16">
        <v>0</v>
      </c>
      <c r="D33" s="16">
        <v>0</v>
      </c>
      <c r="E33" s="16">
        <v>0</v>
      </c>
      <c r="F33" s="16">
        <v>164</v>
      </c>
      <c r="G33">
        <f>SUM(TeamAssignment[[#This Row],[AssignWeek1]:[AssignWeek5]])</f>
        <v>164</v>
      </c>
    </row>
    <row r="34" spans="1:7" x14ac:dyDescent="0.35">
      <c r="A34" s="16" t="s">
        <v>208</v>
      </c>
      <c r="B34" s="16">
        <v>0</v>
      </c>
      <c r="C34" s="16">
        <v>0</v>
      </c>
      <c r="D34" s="16">
        <v>0</v>
      </c>
      <c r="E34" s="16">
        <v>0</v>
      </c>
      <c r="F34" s="16">
        <v>95</v>
      </c>
      <c r="G34">
        <f>SUM(TeamAssignment[[#This Row],[AssignWeek1]:[AssignWeek5]])</f>
        <v>95</v>
      </c>
    </row>
    <row r="35" spans="1:7" x14ac:dyDescent="0.35">
      <c r="A35" s="16" t="s">
        <v>209</v>
      </c>
      <c r="B35" s="16">
        <v>0</v>
      </c>
      <c r="C35" s="16">
        <v>0</v>
      </c>
      <c r="D35" s="16">
        <v>0</v>
      </c>
      <c r="E35" s="16">
        <v>0</v>
      </c>
      <c r="F35" s="16">
        <v>64</v>
      </c>
      <c r="G35">
        <f>SUM(TeamAssignment[[#This Row],[AssignWeek1]:[AssignWeek5]])</f>
        <v>64</v>
      </c>
    </row>
    <row r="36" spans="1:7" x14ac:dyDescent="0.35">
      <c r="A36" s="16" t="s">
        <v>210</v>
      </c>
      <c r="B36" s="16">
        <v>0</v>
      </c>
      <c r="C36" s="16">
        <v>0</v>
      </c>
      <c r="D36" s="16">
        <v>0</v>
      </c>
      <c r="E36" s="16">
        <v>0</v>
      </c>
      <c r="F36" s="16">
        <v>233</v>
      </c>
      <c r="G36">
        <f>SUM(TeamAssignment[[#This Row],[AssignWeek1]:[AssignWeek5]])</f>
        <v>233</v>
      </c>
    </row>
    <row r="37" spans="1:7" x14ac:dyDescent="0.35">
      <c r="A37" s="16" t="s">
        <v>211</v>
      </c>
      <c r="B37" s="16">
        <v>0</v>
      </c>
      <c r="C37" s="16">
        <v>0</v>
      </c>
      <c r="D37" s="16">
        <v>0</v>
      </c>
      <c r="E37" s="16">
        <v>0</v>
      </c>
      <c r="F37" s="16">
        <v>61</v>
      </c>
      <c r="G37">
        <f>SUM(TeamAssignment[[#This Row],[AssignWeek1]:[AssignWeek5]])</f>
        <v>61</v>
      </c>
    </row>
    <row r="38" spans="1:7" x14ac:dyDescent="0.35">
      <c r="A38" s="16" t="s">
        <v>212</v>
      </c>
      <c r="B38" s="16">
        <v>0</v>
      </c>
      <c r="C38" s="16">
        <v>0</v>
      </c>
      <c r="D38" s="16">
        <v>0</v>
      </c>
      <c r="E38" s="16">
        <v>0</v>
      </c>
      <c r="F38" s="16">
        <v>331</v>
      </c>
      <c r="G38">
        <f>SUM(TeamAssignment[[#This Row],[AssignWeek1]:[AssignWeek5]])</f>
        <v>331</v>
      </c>
    </row>
    <row r="39" spans="1:7" x14ac:dyDescent="0.35">
      <c r="A39" s="16" t="s">
        <v>213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>
        <f>SUM(TeamAssignment[[#This Row],[AssignWeek1]:[AssignWeek5]])</f>
        <v>0</v>
      </c>
    </row>
    <row r="40" spans="1:7" x14ac:dyDescent="0.35">
      <c r="A40" s="16" t="s">
        <v>214</v>
      </c>
      <c r="B40" s="16">
        <v>0</v>
      </c>
      <c r="C40" s="16">
        <v>0</v>
      </c>
      <c r="D40" s="16">
        <v>0</v>
      </c>
      <c r="E40" s="16">
        <v>0</v>
      </c>
      <c r="F40" s="16">
        <v>113</v>
      </c>
      <c r="G40">
        <f>SUM(TeamAssignment[[#This Row],[AssignWeek1]:[AssignWeek5]])</f>
        <v>113</v>
      </c>
    </row>
    <row r="41" spans="1:7" x14ac:dyDescent="0.35">
      <c r="A41" s="16" t="s">
        <v>215</v>
      </c>
      <c r="B41" s="16">
        <v>0</v>
      </c>
      <c r="C41" s="16">
        <v>0</v>
      </c>
      <c r="D41" s="16">
        <v>0</v>
      </c>
      <c r="E41" s="16">
        <v>0</v>
      </c>
      <c r="F41" s="16">
        <v>288</v>
      </c>
      <c r="G41">
        <f>SUM(TeamAssignment[[#This Row],[AssignWeek1]:[AssignWeek5]])</f>
        <v>288</v>
      </c>
    </row>
    <row r="42" spans="1:7" x14ac:dyDescent="0.35">
      <c r="A42" s="16" t="s">
        <v>216</v>
      </c>
      <c r="B42" s="16">
        <v>0</v>
      </c>
      <c r="C42" s="16">
        <v>0</v>
      </c>
      <c r="D42" s="16">
        <v>0</v>
      </c>
      <c r="E42" s="16">
        <v>0</v>
      </c>
      <c r="F42" s="16">
        <v>190</v>
      </c>
      <c r="G42">
        <f>SUM(TeamAssignment[[#This Row],[AssignWeek1]:[AssignWeek5]])</f>
        <v>190</v>
      </c>
    </row>
    <row r="43" spans="1:7" x14ac:dyDescent="0.35">
      <c r="A43" s="16" t="s">
        <v>217</v>
      </c>
      <c r="B43" s="16">
        <v>0</v>
      </c>
      <c r="C43" s="16">
        <v>0</v>
      </c>
      <c r="D43" s="16">
        <v>0</v>
      </c>
      <c r="E43" s="16">
        <v>0</v>
      </c>
      <c r="F43" s="16">
        <v>3</v>
      </c>
      <c r="G43">
        <f>SUM(TeamAssignment[[#This Row],[AssignWeek1]:[AssignWeek5]])</f>
        <v>3</v>
      </c>
    </row>
    <row r="44" spans="1:7" x14ac:dyDescent="0.35">
      <c r="A44" s="16" t="s">
        <v>218</v>
      </c>
      <c r="B44" s="16">
        <v>0</v>
      </c>
      <c r="C44" s="16">
        <v>0</v>
      </c>
      <c r="D44" s="16">
        <v>0</v>
      </c>
      <c r="E44" s="16">
        <v>0</v>
      </c>
      <c r="F44" s="16">
        <v>213</v>
      </c>
      <c r="G44">
        <f>SUM(TeamAssignment[[#This Row],[AssignWeek1]:[AssignWeek5]])</f>
        <v>213</v>
      </c>
    </row>
    <row r="45" spans="1:7" x14ac:dyDescent="0.35">
      <c r="A45" s="16" t="s">
        <v>219</v>
      </c>
      <c r="B45" s="16">
        <v>0</v>
      </c>
      <c r="C45" s="16">
        <v>0</v>
      </c>
      <c r="D45" s="16">
        <v>0</v>
      </c>
      <c r="E45" s="16">
        <v>0</v>
      </c>
      <c r="F45" s="16">
        <v>71</v>
      </c>
      <c r="G45">
        <f>SUM(TeamAssignment[[#This Row],[AssignWeek1]:[AssignWeek5]])</f>
        <v>71</v>
      </c>
    </row>
    <row r="46" spans="1:7" x14ac:dyDescent="0.35">
      <c r="A46" s="16" t="s">
        <v>220</v>
      </c>
      <c r="B46" s="16">
        <v>0</v>
      </c>
      <c r="C46" s="16">
        <v>0</v>
      </c>
      <c r="D46" s="16">
        <v>0</v>
      </c>
      <c r="E46" s="16">
        <v>0</v>
      </c>
      <c r="F46" s="16">
        <v>128</v>
      </c>
      <c r="G46">
        <f>SUM(TeamAssignment[[#This Row],[AssignWeek1]:[AssignWeek5]])</f>
        <v>128</v>
      </c>
    </row>
    <row r="47" spans="1:7" x14ac:dyDescent="0.35">
      <c r="A47" s="16" t="s">
        <v>221</v>
      </c>
      <c r="B47" s="16">
        <v>0</v>
      </c>
      <c r="C47" s="16">
        <v>0</v>
      </c>
      <c r="D47" s="16">
        <v>0</v>
      </c>
      <c r="E47" s="16">
        <v>0</v>
      </c>
      <c r="F47" s="16">
        <v>63</v>
      </c>
      <c r="G47">
        <f>SUM(TeamAssignment[[#This Row],[AssignWeek1]:[AssignWeek5]])</f>
        <v>63</v>
      </c>
    </row>
    <row r="48" spans="1:7" x14ac:dyDescent="0.35">
      <c r="A48" s="16" t="s">
        <v>222</v>
      </c>
      <c r="B48" s="16">
        <v>0</v>
      </c>
      <c r="C48" s="16">
        <v>0</v>
      </c>
      <c r="D48" s="16">
        <v>0</v>
      </c>
      <c r="E48" s="16">
        <v>0</v>
      </c>
      <c r="F48" s="16">
        <v>93</v>
      </c>
      <c r="G48">
        <f>SUM(TeamAssignment[[#This Row],[AssignWeek1]:[AssignWeek5]])</f>
        <v>93</v>
      </c>
    </row>
    <row r="49" spans="1:7" x14ac:dyDescent="0.35">
      <c r="A49" s="16" t="s">
        <v>223</v>
      </c>
      <c r="B49" s="16">
        <v>0</v>
      </c>
      <c r="C49" s="16">
        <v>0</v>
      </c>
      <c r="D49" s="16">
        <v>0</v>
      </c>
      <c r="E49" s="16">
        <v>0</v>
      </c>
      <c r="F49" s="16">
        <v>135</v>
      </c>
      <c r="G49">
        <f>SUM(TeamAssignment[[#This Row],[AssignWeek1]:[AssignWeek5]])</f>
        <v>135</v>
      </c>
    </row>
    <row r="50" spans="1:7" x14ac:dyDescent="0.35">
      <c r="A50" s="16" t="s">
        <v>224</v>
      </c>
      <c r="B50" s="16">
        <v>0</v>
      </c>
      <c r="C50" s="16">
        <v>0</v>
      </c>
      <c r="D50" s="16">
        <v>0</v>
      </c>
      <c r="E50" s="16">
        <v>0</v>
      </c>
      <c r="F50" s="16">
        <v>41</v>
      </c>
      <c r="G50">
        <f>SUM(TeamAssignment[[#This Row],[AssignWeek1]:[AssignWeek5]])</f>
        <v>41</v>
      </c>
    </row>
    <row r="51" spans="1:7" x14ac:dyDescent="0.35">
      <c r="A51" s="16" t="s">
        <v>241</v>
      </c>
      <c r="B51" s="16">
        <v>0</v>
      </c>
      <c r="C51" s="16">
        <v>0</v>
      </c>
      <c r="D51" s="16">
        <v>0</v>
      </c>
      <c r="E51" s="16">
        <v>0</v>
      </c>
      <c r="F51" s="16">
        <v>83</v>
      </c>
      <c r="G51">
        <f>SUM(TeamAssignment[[#This Row],[AssignWeek1]:[AssignWeek5]])</f>
        <v>83</v>
      </c>
    </row>
    <row r="52" spans="1:7" x14ac:dyDescent="0.35">
      <c r="A52" s="16" t="s">
        <v>242</v>
      </c>
      <c r="B52" s="16">
        <v>0</v>
      </c>
      <c r="C52" s="16">
        <v>0</v>
      </c>
      <c r="D52" s="16">
        <v>0</v>
      </c>
      <c r="E52" s="16">
        <v>0</v>
      </c>
      <c r="F52" s="16">
        <v>233</v>
      </c>
      <c r="G52">
        <f>SUM(TeamAssignment[[#This Row],[AssignWeek1]:[AssignWeek5]])</f>
        <v>233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32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5" sqref="H15"/>
    </sheetView>
  </sheetViews>
  <sheetFormatPr defaultRowHeight="14.5" x14ac:dyDescent="0.35"/>
  <cols>
    <col min="1" max="1" width="21.453125" customWidth="1"/>
    <col min="2" max="2" width="3.1796875" style="16" customWidth="1"/>
    <col min="3" max="3" width="8.6328125" style="16" customWidth="1"/>
    <col min="4" max="4" width="10.54296875" customWidth="1"/>
    <col min="5" max="5" width="9.08984375" style="16" customWidth="1"/>
    <col min="6" max="6" width="11.453125" style="16" customWidth="1"/>
    <col min="8" max="8" width="10.453125" customWidth="1"/>
    <col min="10" max="10" width="10.81640625" customWidth="1"/>
    <col min="12" max="12" width="10.453125" customWidth="1"/>
    <col min="14" max="14" width="10.54296875" customWidth="1"/>
    <col min="16" max="16" width="10.54296875" customWidth="1"/>
    <col min="17" max="21" width="10.54296875" style="16" customWidth="1"/>
    <col min="22" max="22" width="9.26953125" bestFit="1" customWidth="1"/>
    <col min="23" max="23" width="10.453125" customWidth="1"/>
  </cols>
  <sheetData>
    <row r="1" spans="1:25" ht="20" thickBot="1" x14ac:dyDescent="0.5">
      <c r="A1" s="335" t="s">
        <v>186</v>
      </c>
      <c r="B1" s="335"/>
      <c r="C1" s="335"/>
      <c r="D1" s="335"/>
      <c r="E1" s="335"/>
      <c r="F1" s="335"/>
      <c r="G1" s="335"/>
      <c r="H1" s="33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x14ac:dyDescent="0.35">
      <c r="A2" s="340" t="s">
        <v>17</v>
      </c>
      <c r="B2" s="343" t="s">
        <v>89</v>
      </c>
      <c r="C2" s="346" t="s">
        <v>16</v>
      </c>
      <c r="D2" s="347"/>
      <c r="E2" s="347"/>
      <c r="F2" s="348"/>
      <c r="G2" s="352" t="s">
        <v>3</v>
      </c>
      <c r="H2" s="337"/>
      <c r="I2" s="336" t="s">
        <v>4</v>
      </c>
      <c r="J2" s="337"/>
      <c r="K2" s="336" t="s">
        <v>5</v>
      </c>
      <c r="L2" s="337"/>
      <c r="M2" s="336" t="s">
        <v>6</v>
      </c>
      <c r="N2" s="337"/>
      <c r="O2" s="336" t="s">
        <v>7</v>
      </c>
      <c r="P2" s="337"/>
      <c r="Q2" s="336" t="s">
        <v>85</v>
      </c>
      <c r="R2" s="337"/>
      <c r="S2" s="336" t="s">
        <v>86</v>
      </c>
      <c r="T2" s="337"/>
      <c r="U2" s="354" t="s">
        <v>8</v>
      </c>
      <c r="V2" s="355"/>
      <c r="W2" s="356"/>
      <c r="X2" s="3"/>
    </row>
    <row r="3" spans="1:25" ht="15" thickBot="1" x14ac:dyDescent="0.4">
      <c r="A3" s="341"/>
      <c r="B3" s="344"/>
      <c r="C3" s="349"/>
      <c r="D3" s="350"/>
      <c r="E3" s="350"/>
      <c r="F3" s="351"/>
      <c r="G3" s="353" t="s">
        <v>9</v>
      </c>
      <c r="H3" s="339"/>
      <c r="I3" s="338" t="s">
        <v>10</v>
      </c>
      <c r="J3" s="339"/>
      <c r="K3" s="338" t="s">
        <v>11</v>
      </c>
      <c r="L3" s="339"/>
      <c r="M3" s="338" t="s">
        <v>12</v>
      </c>
      <c r="N3" s="339"/>
      <c r="O3" s="338" t="s">
        <v>13</v>
      </c>
      <c r="P3" s="339"/>
      <c r="Q3" s="360" t="s">
        <v>87</v>
      </c>
      <c r="R3" s="361"/>
      <c r="S3" s="360" t="s">
        <v>88</v>
      </c>
      <c r="T3" s="361"/>
      <c r="U3" s="357"/>
      <c r="V3" s="358"/>
      <c r="W3" s="359"/>
      <c r="X3" s="4"/>
      <c r="Y3" s="4"/>
    </row>
    <row r="4" spans="1:25" ht="44" thickBot="1" x14ac:dyDescent="0.4">
      <c r="A4" s="342"/>
      <c r="B4" s="345"/>
      <c r="C4" s="142" t="s">
        <v>245</v>
      </c>
      <c r="D4" s="143" t="s">
        <v>246</v>
      </c>
      <c r="E4" s="42" t="s">
        <v>106</v>
      </c>
      <c r="F4" s="215" t="s">
        <v>8</v>
      </c>
      <c r="G4" s="214" t="s">
        <v>23</v>
      </c>
      <c r="H4" s="22" t="s">
        <v>28</v>
      </c>
      <c r="I4" s="21" t="s">
        <v>23</v>
      </c>
      <c r="J4" s="22" t="s">
        <v>28</v>
      </c>
      <c r="K4" s="21" t="s">
        <v>23</v>
      </c>
      <c r="L4" s="22" t="s">
        <v>28</v>
      </c>
      <c r="M4" s="21" t="s">
        <v>23</v>
      </c>
      <c r="N4" s="22" t="s">
        <v>28</v>
      </c>
      <c r="O4" s="21" t="s">
        <v>23</v>
      </c>
      <c r="P4" s="22" t="s">
        <v>28</v>
      </c>
      <c r="Q4" s="86" t="s">
        <v>23</v>
      </c>
      <c r="R4" s="88" t="s">
        <v>28</v>
      </c>
      <c r="S4" s="86" t="s">
        <v>23</v>
      </c>
      <c r="T4" s="286" t="s">
        <v>28</v>
      </c>
      <c r="U4" s="287" t="s">
        <v>260</v>
      </c>
      <c r="V4" s="288" t="s">
        <v>261</v>
      </c>
      <c r="W4" s="96" t="s">
        <v>262</v>
      </c>
      <c r="X4" s="4"/>
      <c r="Y4" s="4"/>
    </row>
    <row r="5" spans="1:25" x14ac:dyDescent="0.35">
      <c r="A5" s="300">
        <v>10002</v>
      </c>
      <c r="B5" s="301" t="s">
        <v>93</v>
      </c>
      <c r="C5" s="302">
        <f>IFERROR(VLOOKUP(A5,GeoAreaTotalPlaces[#All],2,FALSE),0)</f>
        <v>3039</v>
      </c>
      <c r="D5" s="303"/>
      <c r="E5" s="303">
        <f>IFERROR(VLOOKUP(A5,GeoAreaTotalPlaces[#All],3,FALSE),0)</f>
        <v>1428</v>
      </c>
      <c r="F5" s="304">
        <f>C5+D5+E5</f>
        <v>4467</v>
      </c>
      <c r="G5" s="305">
        <f>IFERROR(VLOOKUP($A5,GeoAreaCompletion[#All],2,FALSE)/$F5,0)</f>
        <v>0.19274680993955676</v>
      </c>
      <c r="H5" s="306">
        <f>IFERROR(VLOOKUP($A5,GeoAreaCompletion[#All],3,FALSE)/VLOOKUP($A5,GeoAreaCompletion[#All],2,FALSE),0)</f>
        <v>0.16027874564459929</v>
      </c>
      <c r="I5" s="307">
        <f>IFERROR(VLOOKUP($A5,GeoAreaCompletion[#All],4,FALSE)/$F5,0)</f>
        <v>0.37967315871949853</v>
      </c>
      <c r="J5" s="306">
        <f>IFERROR(VLOOKUP($A5,GeoAreaCompletion[#All],5,FALSE)/VLOOKUP($A5,GeoAreaCompletion[#All],4,FALSE),0)</f>
        <v>3.891509433962264E-2</v>
      </c>
      <c r="K5" s="307">
        <f>IFERROR(VLOOKUP($A5,GeoAreaCompletion[#All],6,FALSE)/$F5,0)</f>
        <v>6.5815983881799864E-2</v>
      </c>
      <c r="L5" s="306">
        <f>IFERROR(VLOOKUP($A5,GeoAreaCompletion[#All],7,FALSE)/VLOOKUP($A5,GeoAreaCompletion[#All],6,FALSE),0)</f>
        <v>0.18027210884353742</v>
      </c>
      <c r="M5" s="307">
        <f>IFERROR(VLOOKUP($A5,GeoAreaCompletion[#All],8,FALSE)/$F5,0)</f>
        <v>3.8056861428251623E-3</v>
      </c>
      <c r="N5" s="306">
        <f>IFERROR(VLOOKUP($A5,GeoAreaCompletion[#All],9,FALSE)/VLOOKUP($A5,GeoAreaCompletion[#All],8,FALSE),0)</f>
        <v>0.17647058823529413</v>
      </c>
      <c r="O5" s="307">
        <f>IFERROR(VLOOKUP($A5,GeoAreaCompletion[#All],10,FALSE)/$F5,0)</f>
        <v>0</v>
      </c>
      <c r="P5" s="308">
        <f>IFERROR(VLOOKUP($A5,GeoAreaCompletion[#All],11,FALSE)/VLOOKUP($A5,GeoAreaCompletion[#All],10,FALSE),0)</f>
        <v>0</v>
      </c>
      <c r="Q5" s="307">
        <f>IFERROR(VLOOKUP($A5,GeoAreaCompletion[#All],12,FALSE)/$F5,0)</f>
        <v>0.28766509961943137</v>
      </c>
      <c r="R5" s="308">
        <f>IFERROR(VLOOKUP($A5,GeoAreaCompletion[#All],13,FALSE)/VLOOKUP($A5,GeoAreaCompletion[#All],12,FALSE),0)</f>
        <v>0.53073929961089494</v>
      </c>
      <c r="S5" s="307">
        <f>IFERROR(VLOOKUP($A5,GeoAreaCompletion[#All],14,FALSE)/$F5,0)</f>
        <v>0</v>
      </c>
      <c r="T5" s="308">
        <f>IFERROR(VLOOKUP($A5,GeoAreaCompletion[#All],15,FALSE)/VLOOKUP($A5,GeoAreaCompletion[#All],14,FALSE),0)</f>
        <v>0</v>
      </c>
      <c r="U5" s="309">
        <f>IFERROR(VLOOKUP($A5,GeoAreaCompletion[#All],16,FALSE),0)</f>
        <v>4153</v>
      </c>
      <c r="V5" s="310">
        <f>IFERROR(VLOOKUP($A5,GeoAreaCompletion[#All],16,FALSE)/$F5,0)</f>
        <v>0.92970673830311168</v>
      </c>
      <c r="W5" s="311">
        <f>IFERROR(VLOOKUP(A5,GeoAreaCompletion[[#Headers],[#Data]],17,FALSE)/'GeoArea Completion'!F5,0)</f>
        <v>0.21087978509066488</v>
      </c>
    </row>
    <row r="6" spans="1:25" x14ac:dyDescent="0.35">
      <c r="A6" s="121">
        <v>10013</v>
      </c>
      <c r="B6" s="212" t="s">
        <v>93</v>
      </c>
      <c r="C6" s="294">
        <f>IFERROR(VLOOKUP(A6,GeoAreaTotalPlaces[#All],2,FALSE),0)</f>
        <v>5514</v>
      </c>
      <c r="D6" s="295"/>
      <c r="E6" s="295">
        <f>IFERROR(VLOOKUP(A6,GeoAreaTotalPlaces[#All],3,FALSE),0)</f>
        <v>760</v>
      </c>
      <c r="F6" s="296">
        <f t="shared" ref="F6:F29" si="0">C6+D6+E6</f>
        <v>6274</v>
      </c>
      <c r="G6" s="213">
        <f>IFERROR(VLOOKUP($A6,GeoAreaCompletion[#All],2,FALSE)/$F6,0)</f>
        <v>0</v>
      </c>
      <c r="H6" s="40">
        <f>IFERROR(VLOOKUP($A6,GeoAreaCompletion[#All],3,FALSE)/VLOOKUP($A6,GeoAreaCompletion[#All],2,FALSE),0)</f>
        <v>0</v>
      </c>
      <c r="I6" s="39">
        <f>IFERROR(VLOOKUP($A6,GeoAreaCompletion[#All],4,FALSE)/$F6,0)</f>
        <v>6.3755180108383803E-4</v>
      </c>
      <c r="J6" s="40">
        <f>IFERROR(VLOOKUP($A6,GeoAreaCompletion[#All],5,FALSE)/VLOOKUP($A6,GeoAreaCompletion[#All],4,FALSE),0)</f>
        <v>0</v>
      </c>
      <c r="K6" s="39">
        <f>IFERROR(VLOOKUP($A6,GeoAreaCompletion[#All],6,FALSE)/$F6,0)</f>
        <v>0.16895122728721709</v>
      </c>
      <c r="L6" s="40">
        <f>IFERROR(VLOOKUP($A6,GeoAreaCompletion[#All],7,FALSE)/VLOOKUP($A6,GeoAreaCompletion[#All],6,FALSE),0)</f>
        <v>0.16886792452830188</v>
      </c>
      <c r="M6" s="39">
        <f>IFERROR(VLOOKUP($A6,GeoAreaCompletion[#All],8,FALSE)/$F6,0)</f>
        <v>0.22553394963340773</v>
      </c>
      <c r="N6" s="40">
        <f>IFERROR(VLOOKUP($A6,GeoAreaCompletion[#All],9,FALSE)/VLOOKUP($A6,GeoAreaCompletion[#All],8,FALSE),0)</f>
        <v>0.17455830388692581</v>
      </c>
      <c r="O6" s="39">
        <f>IFERROR(VLOOKUP($A6,GeoAreaCompletion[#All],10,FALSE)/$F6,0)</f>
        <v>0</v>
      </c>
      <c r="P6" s="81">
        <f>IFERROR(VLOOKUP($A6,GeoAreaCompletion[#All],11,FALSE)/VLOOKUP($A6,GeoAreaCompletion[#All],10,FALSE),0)</f>
        <v>0</v>
      </c>
      <c r="Q6" s="41">
        <f>IFERROR(VLOOKUP($A6,GeoAreaCompletion[#All],12,FALSE)/$F6,0)</f>
        <v>3.4905961109340133E-2</v>
      </c>
      <c r="R6" s="80">
        <f>IFERROR(VLOOKUP($A6,GeoAreaCompletion[#All],13,FALSE)/VLOOKUP($A6,GeoAreaCompletion[#All],12,FALSE),0)</f>
        <v>0.73059360730593603</v>
      </c>
      <c r="S6" s="41">
        <f>IFERROR(VLOOKUP($A6,GeoAreaCompletion[#All],14,FALSE)/$F6,0)</f>
        <v>0</v>
      </c>
      <c r="T6" s="80">
        <f>IFERROR(VLOOKUP($A6,GeoAreaCompletion[#All],15,FALSE)/VLOOKUP($A6,GeoAreaCompletion[#All],14,FALSE),0)</f>
        <v>0</v>
      </c>
      <c r="U6" s="290">
        <f>IFERROR(VLOOKUP($A6,GeoAreaCompletion[#All],16,FALSE),0)</f>
        <v>2698</v>
      </c>
      <c r="V6" s="289">
        <f>IFERROR(VLOOKUP($A6,GeoAreaCompletion[#All],16,FALSE)/$F6,0)</f>
        <v>0.43002868983104875</v>
      </c>
      <c r="W6" s="40">
        <f>IFERROR(VLOOKUP(A6,GeoAreaCompletion[[#Headers],[#Data]],17,FALSE)/'GeoArea Completion'!F6,0)</f>
        <v>9.3401338858782282E-2</v>
      </c>
    </row>
    <row r="7" spans="1:25" x14ac:dyDescent="0.35">
      <c r="A7" s="300">
        <v>10025</v>
      </c>
      <c r="B7" s="312"/>
      <c r="C7" s="313"/>
      <c r="D7" s="314">
        <f>IFERROR(VLOOKUP(A7,GeoAreaTotalPlaces[#All],2,FALSE),0)</f>
        <v>1144</v>
      </c>
      <c r="E7" s="314">
        <f>IFERROR(VLOOKUP(A7,GeoAreaTotalPlaces[#All],3,FALSE),0)</f>
        <v>256</v>
      </c>
      <c r="F7" s="315">
        <f t="shared" si="0"/>
        <v>1400</v>
      </c>
      <c r="G7" s="316">
        <f>IFERROR(VLOOKUP($A7,GeoAreaCompletion[#All],2,FALSE)/$F7,0)</f>
        <v>0</v>
      </c>
      <c r="H7" s="317">
        <f>IFERROR(VLOOKUP($A7,GeoAreaCompletion[#All],3,FALSE)/VLOOKUP($A7,GeoAreaCompletion[#All],2,FALSE),0)</f>
        <v>0</v>
      </c>
      <c r="I7" s="318">
        <f>IFERROR(VLOOKUP($A7,GeoAreaCompletion[#All],4,FALSE)/$F7,0)</f>
        <v>0.58642857142857141</v>
      </c>
      <c r="J7" s="317">
        <f>IFERROR(VLOOKUP($A7,GeoAreaCompletion[#All],5,FALSE)/VLOOKUP($A7,GeoAreaCompletion[#All],4,FALSE),0)</f>
        <v>3.6540803897685747E-3</v>
      </c>
      <c r="K7" s="318">
        <f>IFERROR(VLOOKUP($A7,GeoAreaCompletion[#All],6,FALSE)/$F7,0)</f>
        <v>7.1428571428571429E-4</v>
      </c>
      <c r="L7" s="317">
        <f>IFERROR(VLOOKUP($A7,GeoAreaCompletion[#All],7,FALSE)/VLOOKUP($A7,GeoAreaCompletion[#All],6,FALSE),0)</f>
        <v>0</v>
      </c>
      <c r="M7" s="318">
        <f>IFERROR(VLOOKUP($A7,GeoAreaCompletion[#All],8,FALSE)/$F7,0)</f>
        <v>0</v>
      </c>
      <c r="N7" s="317">
        <f>IFERROR(VLOOKUP($A7,GeoAreaCompletion[#All],9,FALSE)/VLOOKUP($A7,GeoAreaCompletion[#All],8,FALSE),0)</f>
        <v>0</v>
      </c>
      <c r="O7" s="318">
        <f>IFERROR(VLOOKUP($A7,GeoAreaCompletion[#All],10,FALSE)/$F7,0)</f>
        <v>0</v>
      </c>
      <c r="P7" s="319">
        <f>IFERROR(VLOOKUP($A7,GeoAreaCompletion[#All],11,FALSE)/VLOOKUP($A7,GeoAreaCompletion[#All],10,FALSE),0)</f>
        <v>0</v>
      </c>
      <c r="Q7" s="307">
        <f>IFERROR(VLOOKUP($A7,GeoAreaCompletion[#All],12,FALSE)/$F7,0)</f>
        <v>0</v>
      </c>
      <c r="R7" s="308">
        <f>IFERROR(VLOOKUP($A7,GeoAreaCompletion[#All],13,FALSE)/VLOOKUP($A7,GeoAreaCompletion[#All],12,FALSE),0)</f>
        <v>0</v>
      </c>
      <c r="S7" s="307">
        <f>IFERROR(VLOOKUP($A7,GeoAreaCompletion[#All],14,FALSE)/$F7,0)</f>
        <v>0</v>
      </c>
      <c r="T7" s="308">
        <f>IFERROR(VLOOKUP($A7,GeoAreaCompletion[#All],15,FALSE)/VLOOKUP($A7,GeoAreaCompletion[#All],14,FALSE),0)</f>
        <v>0</v>
      </c>
      <c r="U7" s="320">
        <f>IFERROR(VLOOKUP($A7,GeoAreaCompletion[#All],16,FALSE),0)</f>
        <v>822</v>
      </c>
      <c r="V7" s="321">
        <f>IFERROR(VLOOKUP($A7,GeoAreaCompletion[#All],16,FALSE)/$F7,0)</f>
        <v>0.58714285714285719</v>
      </c>
      <c r="W7" s="317">
        <f>IFERROR(VLOOKUP(A7,GeoAreaCompletion[[#Headers],[#Data]],17,FALSE)/'GeoArea Completion'!F7,0)</f>
        <v>2.142857142857143E-3</v>
      </c>
    </row>
    <row r="8" spans="1:25" x14ac:dyDescent="0.35">
      <c r="A8" s="121">
        <v>10026</v>
      </c>
      <c r="B8" s="212"/>
      <c r="C8" s="294"/>
      <c r="D8" s="295">
        <f>IFERROR(VLOOKUP(A8,GeoAreaTotalPlaces[#All],2,FALSE),0)</f>
        <v>439</v>
      </c>
      <c r="E8" s="295">
        <f>IFERROR(VLOOKUP(A8,GeoAreaTotalPlaces[#All],3,FALSE),0)</f>
        <v>76</v>
      </c>
      <c r="F8" s="296">
        <f t="shared" si="0"/>
        <v>515</v>
      </c>
      <c r="G8" s="213">
        <f>IFERROR(VLOOKUP($A8,GeoAreaCompletion[#All],2,FALSE)/$F8,0)</f>
        <v>0</v>
      </c>
      <c r="H8" s="40">
        <f>IFERROR(VLOOKUP($A8,GeoAreaCompletion[#All],3,FALSE)/VLOOKUP($A8,GeoAreaCompletion[#All],2,FALSE),0)</f>
        <v>0</v>
      </c>
      <c r="I8" s="39">
        <f>IFERROR(VLOOKUP($A8,GeoAreaCompletion[#All],4,FALSE)/$F8,0)</f>
        <v>4.4660194174757278E-2</v>
      </c>
      <c r="J8" s="40">
        <f>IFERROR(VLOOKUP($A8,GeoAreaCompletion[#All],5,FALSE)/VLOOKUP($A8,GeoAreaCompletion[#All],4,FALSE),0)</f>
        <v>0</v>
      </c>
      <c r="K8" s="39">
        <f>IFERROR(VLOOKUP($A8,GeoAreaCompletion[#All],6,FALSE)/$F8,0)</f>
        <v>0.22330097087378642</v>
      </c>
      <c r="L8" s="40">
        <f>IFERROR(VLOOKUP($A8,GeoAreaCompletion[#All],7,FALSE)/VLOOKUP($A8,GeoAreaCompletion[#All],6,FALSE),0)</f>
        <v>0</v>
      </c>
      <c r="M8" s="39">
        <f>IFERROR(VLOOKUP($A8,GeoAreaCompletion[#All],8,FALSE)/$F8,0)</f>
        <v>0</v>
      </c>
      <c r="N8" s="40">
        <f>IFERROR(VLOOKUP($A8,GeoAreaCompletion[#All],9,FALSE)/VLOOKUP($A8,GeoAreaCompletion[#All],8,FALSE),0)</f>
        <v>0</v>
      </c>
      <c r="O8" s="39">
        <f>IFERROR(VLOOKUP($A8,GeoAreaCompletion[#All],10,FALSE)/$F8,0)</f>
        <v>0</v>
      </c>
      <c r="P8" s="81">
        <f>IFERROR(VLOOKUP($A8,GeoAreaCompletion[#All],11,FALSE)/VLOOKUP($A8,GeoAreaCompletion[#All],10,FALSE),0)</f>
        <v>0</v>
      </c>
      <c r="Q8" s="41">
        <f>IFERROR(VLOOKUP($A8,GeoAreaCompletion[#All],12,FALSE)/$F8,0)</f>
        <v>0</v>
      </c>
      <c r="R8" s="80">
        <f>IFERROR(VLOOKUP($A8,GeoAreaCompletion[#All],13,FALSE)/VLOOKUP($A8,GeoAreaCompletion[#All],12,FALSE),0)</f>
        <v>0</v>
      </c>
      <c r="S8" s="41">
        <f>IFERROR(VLOOKUP($A8,GeoAreaCompletion[#All],14,FALSE)/$F8,0)</f>
        <v>0</v>
      </c>
      <c r="T8" s="80">
        <f>IFERROR(VLOOKUP($A8,GeoAreaCompletion[#All],15,FALSE)/VLOOKUP($A8,GeoAreaCompletion[#All],14,FALSE),0)</f>
        <v>0</v>
      </c>
      <c r="U8" s="290">
        <f>IFERROR(VLOOKUP($A8,GeoAreaCompletion[#All],16,FALSE),0)</f>
        <v>138</v>
      </c>
      <c r="V8" s="289">
        <f>IFERROR(VLOOKUP($A8,GeoAreaCompletion[#All],16,FALSE)/$F8,0)</f>
        <v>0.26796116504854367</v>
      </c>
      <c r="W8" s="40">
        <f>IFERROR(VLOOKUP(A8,GeoAreaCompletion[[#Headers],[#Data]],17,FALSE)/'GeoArea Completion'!F8,0)</f>
        <v>0</v>
      </c>
    </row>
    <row r="9" spans="1:25" x14ac:dyDescent="0.35">
      <c r="A9" s="300">
        <v>10027</v>
      </c>
      <c r="B9" s="312"/>
      <c r="C9" s="313"/>
      <c r="D9" s="314">
        <f>IFERROR(VLOOKUP(A9,GeoAreaTotalPlaces[#All],2,FALSE),0)</f>
        <v>1040</v>
      </c>
      <c r="E9" s="314">
        <f>IFERROR(VLOOKUP(A9,GeoAreaTotalPlaces[#All],3,FALSE),0)</f>
        <v>124</v>
      </c>
      <c r="F9" s="315">
        <f t="shared" si="0"/>
        <v>1164</v>
      </c>
      <c r="G9" s="316">
        <f>IFERROR(VLOOKUP($A9,GeoAreaCompletion[#All],2,FALSE)/$F9,0)</f>
        <v>0</v>
      </c>
      <c r="H9" s="317">
        <f>IFERROR(VLOOKUP($A9,GeoAreaCompletion[#All],3,FALSE)/VLOOKUP($A9,GeoAreaCompletion[#All],2,FALSE),0)</f>
        <v>0</v>
      </c>
      <c r="I9" s="318">
        <f>IFERROR(VLOOKUP($A9,GeoAreaCompletion[#All],4,FALSE)/$F9,0)</f>
        <v>8.5910652920962198E-4</v>
      </c>
      <c r="J9" s="317">
        <f>IFERROR(VLOOKUP($A9,GeoAreaCompletion[#All],5,FALSE)/VLOOKUP($A9,GeoAreaCompletion[#All],4,FALSE),0)</f>
        <v>0</v>
      </c>
      <c r="K9" s="318">
        <f>IFERROR(VLOOKUP($A9,GeoAreaCompletion[#All],6,FALSE)/$F9,0)</f>
        <v>0.38745704467353953</v>
      </c>
      <c r="L9" s="317">
        <f>IFERROR(VLOOKUP($A9,GeoAreaCompletion[#All],7,FALSE)/VLOOKUP($A9,GeoAreaCompletion[#All],6,FALSE),0)</f>
        <v>1.5521064301552107E-2</v>
      </c>
      <c r="M9" s="318">
        <f>IFERROR(VLOOKUP($A9,GeoAreaCompletion[#All],8,FALSE)/$F9,0)</f>
        <v>0</v>
      </c>
      <c r="N9" s="317">
        <f>IFERROR(VLOOKUP($A9,GeoAreaCompletion[#All],9,FALSE)/VLOOKUP($A9,GeoAreaCompletion[#All],8,FALSE),0)</f>
        <v>0</v>
      </c>
      <c r="O9" s="318">
        <f>IFERROR(VLOOKUP($A9,GeoAreaCompletion[#All],10,FALSE)/$F9,0)</f>
        <v>0</v>
      </c>
      <c r="P9" s="319">
        <f>IFERROR(VLOOKUP($A9,GeoAreaCompletion[#All],11,FALSE)/VLOOKUP($A9,GeoAreaCompletion[#All],10,FALSE),0)</f>
        <v>0</v>
      </c>
      <c r="Q9" s="307">
        <f>IFERROR(VLOOKUP($A9,GeoAreaCompletion[#All],12,FALSE)/$F9,0)</f>
        <v>0</v>
      </c>
      <c r="R9" s="308">
        <f>IFERROR(VLOOKUP($A9,GeoAreaCompletion[#All],13,FALSE)/VLOOKUP($A9,GeoAreaCompletion[#All],12,FALSE),0)</f>
        <v>0</v>
      </c>
      <c r="S9" s="307">
        <f>IFERROR(VLOOKUP($A9,GeoAreaCompletion[#All],14,FALSE)/$F9,0)</f>
        <v>0</v>
      </c>
      <c r="T9" s="308">
        <f>IFERROR(VLOOKUP($A9,GeoAreaCompletion[#All],15,FALSE)/VLOOKUP($A9,GeoAreaCompletion[#All],14,FALSE),0)</f>
        <v>0</v>
      </c>
      <c r="U9" s="320">
        <f>IFERROR(VLOOKUP($A9,GeoAreaCompletion[#All],16,FALSE),0)</f>
        <v>452</v>
      </c>
      <c r="V9" s="321">
        <f>IFERROR(VLOOKUP($A9,GeoAreaCompletion[#All],16,FALSE)/$F9,0)</f>
        <v>0.38831615120274915</v>
      </c>
      <c r="W9" s="317">
        <f>IFERROR(VLOOKUP(A9,GeoAreaCompletion[[#Headers],[#Data]],17,FALSE)/'GeoArea Completion'!F9,0)</f>
        <v>6.0137457044673543E-3</v>
      </c>
    </row>
    <row r="10" spans="1:25" x14ac:dyDescent="0.35">
      <c r="A10" s="121">
        <v>10029</v>
      </c>
      <c r="B10" s="212"/>
      <c r="C10" s="294"/>
      <c r="D10" s="295">
        <f>IFERROR(VLOOKUP(A10,GeoAreaTotalPlaces[#All],2,FALSE),0)</f>
        <v>1406</v>
      </c>
      <c r="E10" s="295">
        <f>IFERROR(VLOOKUP(A10,GeoAreaTotalPlaces[#All],3,FALSE),0)</f>
        <v>267</v>
      </c>
      <c r="F10" s="296">
        <f t="shared" si="0"/>
        <v>1673</v>
      </c>
      <c r="G10" s="213">
        <f>IFERROR(VLOOKUP($A10,GeoAreaCompletion[#All],2,FALSE)/$F10,0)</f>
        <v>0.45666467423789597</v>
      </c>
      <c r="H10" s="40">
        <f>IFERROR(VLOOKUP($A10,GeoAreaCompletion[#All],3,FALSE)/VLOOKUP($A10,GeoAreaCompletion[#All],2,FALSE),0)</f>
        <v>3.0104712041884817E-2</v>
      </c>
      <c r="I10" s="39">
        <f>IFERROR(VLOOKUP($A10,GeoAreaCompletion[#All],4,FALSE)/$F10,0)</f>
        <v>6.9934249850567842E-2</v>
      </c>
      <c r="J10" s="40">
        <f>IFERROR(VLOOKUP($A10,GeoAreaCompletion[#All],5,FALSE)/VLOOKUP($A10,GeoAreaCompletion[#All],4,FALSE),0)</f>
        <v>8.5470085470085479E-3</v>
      </c>
      <c r="K10" s="39">
        <f>IFERROR(VLOOKUP($A10,GeoAreaCompletion[#All],6,FALSE)/$F10,0)</f>
        <v>0</v>
      </c>
      <c r="L10" s="40">
        <f>IFERROR(VLOOKUP($A10,GeoAreaCompletion[#All],7,FALSE)/VLOOKUP($A10,GeoAreaCompletion[#All],6,FALSE),0)</f>
        <v>0</v>
      </c>
      <c r="M10" s="39">
        <f>IFERROR(VLOOKUP($A10,GeoAreaCompletion[#All],8,FALSE)/$F10,0)</f>
        <v>5.977286312014345E-4</v>
      </c>
      <c r="N10" s="40">
        <f>IFERROR(VLOOKUP($A10,GeoAreaCompletion[#All],9,FALSE)/VLOOKUP($A10,GeoAreaCompletion[#All],8,FALSE),0)</f>
        <v>0</v>
      </c>
      <c r="O10" s="39">
        <f>IFERROR(VLOOKUP($A10,GeoAreaCompletion[#All],10,FALSE)/$F10,0)</f>
        <v>0</v>
      </c>
      <c r="P10" s="81">
        <f>IFERROR(VLOOKUP($A10,GeoAreaCompletion[#All],11,FALSE)/VLOOKUP($A10,GeoAreaCompletion[#All],10,FALSE),0)</f>
        <v>0</v>
      </c>
      <c r="Q10" s="41">
        <f>IFERROR(VLOOKUP($A10,GeoAreaCompletion[#All],12,FALSE)/$F10,0)</f>
        <v>0</v>
      </c>
      <c r="R10" s="80">
        <f>IFERROR(VLOOKUP($A10,GeoAreaCompletion[#All],13,FALSE)/VLOOKUP($A10,GeoAreaCompletion[#All],12,FALSE),0)</f>
        <v>0</v>
      </c>
      <c r="S10" s="41">
        <f>IFERROR(VLOOKUP($A10,GeoAreaCompletion[#All],14,FALSE)/$F10,0)</f>
        <v>0</v>
      </c>
      <c r="T10" s="80">
        <f>IFERROR(VLOOKUP($A10,GeoAreaCompletion[#All],15,FALSE)/VLOOKUP($A10,GeoAreaCompletion[#All],14,FALSE),0)</f>
        <v>0</v>
      </c>
      <c r="U10" s="290">
        <f>IFERROR(VLOOKUP($A10,GeoAreaCompletion[#All],16,FALSE),0)</f>
        <v>882</v>
      </c>
      <c r="V10" s="289">
        <f>IFERROR(VLOOKUP($A10,GeoAreaCompletion[#All],16,FALSE)/$F10,0)</f>
        <v>0.52719665271966532</v>
      </c>
      <c r="W10" s="40">
        <f>IFERROR(VLOOKUP(A10,GeoAreaCompletion[[#Headers],[#Data]],17,FALSE)/'GeoArea Completion'!F10,0)</f>
        <v>1.434548714883443E-2</v>
      </c>
    </row>
    <row r="11" spans="1:25" x14ac:dyDescent="0.35">
      <c r="A11" s="300">
        <v>10030</v>
      </c>
      <c r="B11" s="312"/>
      <c r="C11" s="313"/>
      <c r="D11" s="314">
        <f>IFERROR(VLOOKUP(A11,GeoAreaTotalPlaces[#All],2,FALSE),0)</f>
        <v>288</v>
      </c>
      <c r="E11" s="314">
        <f>IFERROR(VLOOKUP(A11,GeoAreaTotalPlaces[#All],3,FALSE),0)</f>
        <v>91</v>
      </c>
      <c r="F11" s="315">
        <f t="shared" si="0"/>
        <v>379</v>
      </c>
      <c r="G11" s="316">
        <f>IFERROR(VLOOKUP($A11,GeoAreaCompletion[#All],2,FALSE)/$F11,0)</f>
        <v>0</v>
      </c>
      <c r="H11" s="317">
        <f>IFERROR(VLOOKUP($A11,GeoAreaCompletion[#All],3,FALSE)/VLOOKUP($A11,GeoAreaCompletion[#All],2,FALSE),0)</f>
        <v>0</v>
      </c>
      <c r="I11" s="318">
        <f>IFERROR(VLOOKUP($A11,GeoAreaCompletion[#All],4,FALSE)/$F11,0)</f>
        <v>0</v>
      </c>
      <c r="J11" s="317">
        <f>IFERROR(VLOOKUP($A11,GeoAreaCompletion[#All],5,FALSE)/VLOOKUP($A11,GeoAreaCompletion[#All],4,FALSE),0)</f>
        <v>0</v>
      </c>
      <c r="K11" s="318">
        <f>IFERROR(VLOOKUP($A11,GeoAreaCompletion[#All],6,FALSE)/$F11,0)</f>
        <v>0.63852242744063326</v>
      </c>
      <c r="L11" s="317">
        <f>IFERROR(VLOOKUP($A11,GeoAreaCompletion[#All],7,FALSE)/VLOOKUP($A11,GeoAreaCompletion[#All],6,FALSE),0)</f>
        <v>4.1322314049586778E-3</v>
      </c>
      <c r="M11" s="318">
        <f>IFERROR(VLOOKUP($A11,GeoAreaCompletion[#All],8,FALSE)/$F11,0)</f>
        <v>0</v>
      </c>
      <c r="N11" s="317">
        <f>IFERROR(VLOOKUP($A11,GeoAreaCompletion[#All],9,FALSE)/VLOOKUP($A11,GeoAreaCompletion[#All],8,FALSE),0)</f>
        <v>0</v>
      </c>
      <c r="O11" s="318">
        <f>IFERROR(VLOOKUP($A11,GeoAreaCompletion[#All],10,FALSE)/$F11,0)</f>
        <v>0</v>
      </c>
      <c r="P11" s="319">
        <f>IFERROR(VLOOKUP($A11,GeoAreaCompletion[#All],11,FALSE)/VLOOKUP($A11,GeoAreaCompletion[#All],10,FALSE),0)</f>
        <v>0</v>
      </c>
      <c r="Q11" s="307">
        <f>IFERROR(VLOOKUP($A11,GeoAreaCompletion[#All],12,FALSE)/$F11,0)</f>
        <v>0</v>
      </c>
      <c r="R11" s="308">
        <f>IFERROR(VLOOKUP($A11,GeoAreaCompletion[#All],13,FALSE)/VLOOKUP($A11,GeoAreaCompletion[#All],12,FALSE),0)</f>
        <v>0</v>
      </c>
      <c r="S11" s="307">
        <f>IFERROR(VLOOKUP($A11,GeoAreaCompletion[#All],14,FALSE)/$F11,0)</f>
        <v>0</v>
      </c>
      <c r="T11" s="308">
        <f>IFERROR(VLOOKUP($A11,GeoAreaCompletion[#All],15,FALSE)/VLOOKUP($A11,GeoAreaCompletion[#All],14,FALSE),0)</f>
        <v>0</v>
      </c>
      <c r="U11" s="320">
        <f>IFERROR(VLOOKUP($A11,GeoAreaCompletion[#All],16,FALSE),0)</f>
        <v>242</v>
      </c>
      <c r="V11" s="321">
        <f>IFERROR(VLOOKUP($A11,GeoAreaCompletion[#All],16,FALSE)/$F11,0)</f>
        <v>0.63852242744063326</v>
      </c>
      <c r="W11" s="317">
        <f>IFERROR(VLOOKUP(A11,GeoAreaCompletion[[#Headers],[#Data]],17,FALSE)/'GeoArea Completion'!F11,0)</f>
        <v>2.6385224274406332E-3</v>
      </c>
    </row>
    <row r="12" spans="1:25" ht="14.5" hidden="1" customHeight="1" x14ac:dyDescent="0.35">
      <c r="A12" s="121">
        <v>10031</v>
      </c>
      <c r="B12" s="212"/>
      <c r="C12" s="294"/>
      <c r="D12" s="295">
        <f>IFERROR(VLOOKUP(A12,GeoAreaTotalPlaces[#All],2,FALSE),0)</f>
        <v>663</v>
      </c>
      <c r="E12" s="295">
        <f>IFERROR(VLOOKUP(A12,GeoAreaTotalPlaces[#All],3,FALSE),0)</f>
        <v>175</v>
      </c>
      <c r="F12" s="296">
        <f t="shared" si="0"/>
        <v>838</v>
      </c>
      <c r="G12" s="213">
        <f>IFERROR(VLOOKUP($A12,GeoAreaCompletion[#All],2,FALSE)/$F12,0)</f>
        <v>0</v>
      </c>
      <c r="H12" s="40">
        <f>IFERROR(VLOOKUP($A12,GeoAreaCompletion[#All],3,FALSE)/VLOOKUP($A12,GeoAreaCompletion[#All],2,FALSE),0)</f>
        <v>0</v>
      </c>
      <c r="I12" s="39">
        <f>IFERROR(VLOOKUP($A12,GeoAreaCompletion[#All],4,FALSE)/$F12,0)</f>
        <v>0.77923627684964203</v>
      </c>
      <c r="J12" s="40">
        <f>IFERROR(VLOOKUP($A12,GeoAreaCompletion[#All],5,FALSE)/VLOOKUP($A12,GeoAreaCompletion[#All],4,FALSE),0)</f>
        <v>1.3782542113323124E-2</v>
      </c>
      <c r="K12" s="39">
        <f>IFERROR(VLOOKUP($A12,GeoAreaCompletion[#All],6,FALSE)/$F12,0)</f>
        <v>0</v>
      </c>
      <c r="L12" s="40">
        <f>IFERROR(VLOOKUP($A12,GeoAreaCompletion[#All],7,FALSE)/VLOOKUP($A12,GeoAreaCompletion[#All],6,FALSE),0)</f>
        <v>0</v>
      </c>
      <c r="M12" s="39">
        <f>IFERROR(VLOOKUP($A12,GeoAreaCompletion[#All],8,FALSE)/$F12,0)</f>
        <v>0</v>
      </c>
      <c r="N12" s="40">
        <f>IFERROR(VLOOKUP($A12,GeoAreaCompletion[#All],9,FALSE)/VLOOKUP($A12,GeoAreaCompletion[#All],8,FALSE),0)</f>
        <v>0</v>
      </c>
      <c r="O12" s="39">
        <f>IFERROR(VLOOKUP($A12,GeoAreaCompletion[#All],10,FALSE)/$F12,0)</f>
        <v>0</v>
      </c>
      <c r="P12" s="81">
        <f>IFERROR(VLOOKUP($A12,GeoAreaCompletion[#All],11,FALSE)/VLOOKUP($A12,GeoAreaCompletion[#All],10,FALSE),0)</f>
        <v>0</v>
      </c>
      <c r="Q12" s="41">
        <f>IFERROR(VLOOKUP($A12,GeoAreaCompletion[#All],12,FALSE)/$F12,0)</f>
        <v>0</v>
      </c>
      <c r="R12" s="80">
        <f>IFERROR(VLOOKUP($A12,GeoAreaCompletion[#All],13,FALSE)/VLOOKUP($A12,GeoAreaCompletion[#All],12,FALSE),0)</f>
        <v>0</v>
      </c>
      <c r="S12" s="41">
        <f>IFERROR(VLOOKUP($A12,GeoAreaCompletion[#All],14,FALSE)/$F12,0)</f>
        <v>0</v>
      </c>
      <c r="T12" s="80">
        <f>IFERROR(VLOOKUP($A12,GeoAreaCompletion[#All],15,FALSE)/VLOOKUP($A12,GeoAreaCompletion[#All],14,FALSE),0)</f>
        <v>0</v>
      </c>
      <c r="U12" s="290">
        <f>IFERROR(VLOOKUP($A12,GeoAreaCompletion[#All],16,FALSE),0)</f>
        <v>653</v>
      </c>
      <c r="V12" s="289">
        <f>IFERROR(VLOOKUP($A12,GeoAreaCompletion[#All],16,FALSE)/$F12,0)</f>
        <v>0.77923627684964203</v>
      </c>
      <c r="W12" s="40">
        <f>IFERROR(VLOOKUP(A12,GeoAreaCompletion[[#Headers],[#Data]],17,FALSE)/'GeoArea Completion'!F12,0)</f>
        <v>1.0739856801909307E-2</v>
      </c>
    </row>
    <row r="13" spans="1:25" x14ac:dyDescent="0.35">
      <c r="A13" s="121">
        <v>10032</v>
      </c>
      <c r="B13" s="212"/>
      <c r="C13" s="294"/>
      <c r="D13" s="295">
        <f>IFERROR(VLOOKUP(A13,GeoAreaTotalPlaces[#All],2,FALSE),0)</f>
        <v>716</v>
      </c>
      <c r="E13" s="295">
        <f>IFERROR(VLOOKUP(A13,GeoAreaTotalPlaces[#All],3,FALSE),0)</f>
        <v>157</v>
      </c>
      <c r="F13" s="296">
        <f t="shared" si="0"/>
        <v>873</v>
      </c>
      <c r="G13" s="213">
        <f>IFERROR(VLOOKUP($A13,GeoAreaCompletion[#All],2,FALSE)/$F13,0)</f>
        <v>0</v>
      </c>
      <c r="H13" s="40">
        <f>IFERROR(VLOOKUP($A13,GeoAreaCompletion[#All],3,FALSE)/VLOOKUP($A13,GeoAreaCompletion[#All],2,FALSE),0)</f>
        <v>0</v>
      </c>
      <c r="I13" s="39">
        <f>IFERROR(VLOOKUP($A13,GeoAreaCompletion[#All],4,FALSE)/$F13,0)</f>
        <v>0.32416953035509738</v>
      </c>
      <c r="J13" s="40">
        <f>IFERROR(VLOOKUP($A13,GeoAreaCompletion[#All],5,FALSE)/VLOOKUP($A13,GeoAreaCompletion[#All],4,FALSE),0)</f>
        <v>7.0671378091872791E-3</v>
      </c>
      <c r="K13" s="39">
        <f>IFERROR(VLOOKUP($A13,GeoAreaCompletion[#All],6,FALSE)/$F13,0)</f>
        <v>0.1718213058419244</v>
      </c>
      <c r="L13" s="40">
        <f>IFERROR(VLOOKUP($A13,GeoAreaCompletion[#All],7,FALSE)/VLOOKUP($A13,GeoAreaCompletion[#All],6,FALSE),0)</f>
        <v>4.6666666666666669E-2</v>
      </c>
      <c r="M13" s="39">
        <f>IFERROR(VLOOKUP($A13,GeoAreaCompletion[#All],8,FALSE)/$F13,0)</f>
        <v>0</v>
      </c>
      <c r="N13" s="40">
        <f>IFERROR(VLOOKUP($A13,GeoAreaCompletion[#All],9,FALSE)/VLOOKUP($A13,GeoAreaCompletion[#All],8,FALSE),0)</f>
        <v>0</v>
      </c>
      <c r="O13" s="39">
        <f>IFERROR(VLOOKUP($A13,GeoAreaCompletion[#All],10,FALSE)/$F13,0)</f>
        <v>0</v>
      </c>
      <c r="P13" s="81">
        <f>IFERROR(VLOOKUP($A13,GeoAreaCompletion[#All],11,FALSE)/VLOOKUP($A13,GeoAreaCompletion[#All],10,FALSE),0)</f>
        <v>0</v>
      </c>
      <c r="Q13" s="41">
        <f>IFERROR(VLOOKUP($A13,GeoAreaCompletion[#All],12,FALSE)/$F13,0)</f>
        <v>0</v>
      </c>
      <c r="R13" s="80">
        <f>IFERROR(VLOOKUP($A13,GeoAreaCompletion[#All],13,FALSE)/VLOOKUP($A13,GeoAreaCompletion[#All],12,FALSE),0)</f>
        <v>0</v>
      </c>
      <c r="S13" s="41">
        <f>IFERROR(VLOOKUP($A13,GeoAreaCompletion[#All],14,FALSE)/$F13,0)</f>
        <v>0</v>
      </c>
      <c r="T13" s="80">
        <f>IFERROR(VLOOKUP($A13,GeoAreaCompletion[#All],15,FALSE)/VLOOKUP($A13,GeoAreaCompletion[#All],14,FALSE),0)</f>
        <v>0</v>
      </c>
      <c r="U13" s="290">
        <f>IFERROR(VLOOKUP($A13,GeoAreaCompletion[#All],16,FALSE),0)</f>
        <v>433</v>
      </c>
      <c r="V13" s="289">
        <f>IFERROR(VLOOKUP($A13,GeoAreaCompletion[#All],16,FALSE)/$F13,0)</f>
        <v>0.49599083619702178</v>
      </c>
      <c r="W13" s="40">
        <f>IFERROR(VLOOKUP(A13,GeoAreaCompletion[[#Headers],[#Data]],17,FALSE)/'GeoArea Completion'!F13,0)</f>
        <v>1.0309278350515464E-2</v>
      </c>
    </row>
    <row r="14" spans="1:25" x14ac:dyDescent="0.35">
      <c r="A14" s="300">
        <v>10033</v>
      </c>
      <c r="B14" s="312" t="s">
        <v>93</v>
      </c>
      <c r="C14" s="313">
        <f>IFERROR(VLOOKUP(A14,GeoAreaTotalPlaces[#All],2,FALSE),0)</f>
        <v>1225</v>
      </c>
      <c r="D14" s="314"/>
      <c r="E14" s="314">
        <f>IFERROR(VLOOKUP(A14,GeoAreaTotalPlaces[#All],3,FALSE),0)</f>
        <v>300</v>
      </c>
      <c r="F14" s="315">
        <f t="shared" si="0"/>
        <v>1525</v>
      </c>
      <c r="G14" s="316">
        <f>IFERROR(VLOOKUP($A14,GeoAreaCompletion[#All],2,FALSE)/$F14,0)</f>
        <v>0</v>
      </c>
      <c r="H14" s="317">
        <f>IFERROR(VLOOKUP($A14,GeoAreaCompletion[#All],3,FALSE)/VLOOKUP($A14,GeoAreaCompletion[#All],2,FALSE),0)</f>
        <v>0</v>
      </c>
      <c r="I14" s="318">
        <f>IFERROR(VLOOKUP($A14,GeoAreaCompletion[#All],4,FALSE)/$F14,0)</f>
        <v>0</v>
      </c>
      <c r="J14" s="317">
        <f>IFERROR(VLOOKUP($A14,GeoAreaCompletion[#All],5,FALSE)/VLOOKUP($A14,GeoAreaCompletion[#All],4,FALSE),0)</f>
        <v>0</v>
      </c>
      <c r="K14" s="318">
        <f>IFERROR(VLOOKUP($A14,GeoAreaCompletion[#All],6,FALSE)/$F14,0)</f>
        <v>0.38885245901639343</v>
      </c>
      <c r="L14" s="317">
        <f>IFERROR(VLOOKUP($A14,GeoAreaCompletion[#All],7,FALSE)/VLOOKUP($A14,GeoAreaCompletion[#All],6,FALSE),0)</f>
        <v>3.3726812816188868E-2</v>
      </c>
      <c r="M14" s="318">
        <f>IFERROR(VLOOKUP($A14,GeoAreaCompletion[#All],8,FALSE)/$F14,0)</f>
        <v>2.8852459016393443E-2</v>
      </c>
      <c r="N14" s="317">
        <f>IFERROR(VLOOKUP($A14,GeoAreaCompletion[#All],9,FALSE)/VLOOKUP($A14,GeoAreaCompletion[#All],8,FALSE),0)</f>
        <v>2.2727272727272728E-2</v>
      </c>
      <c r="O14" s="318">
        <f>IFERROR(VLOOKUP($A14,GeoAreaCompletion[#All],10,FALSE)/$F14,0)</f>
        <v>0</v>
      </c>
      <c r="P14" s="319">
        <f>IFERROR(VLOOKUP($A14,GeoAreaCompletion[#All],11,FALSE)/VLOOKUP($A14,GeoAreaCompletion[#All],10,FALSE),0)</f>
        <v>0</v>
      </c>
      <c r="Q14" s="307">
        <f>IFERROR(VLOOKUP($A14,GeoAreaCompletion[#All],12,FALSE)/$F14,0)</f>
        <v>0</v>
      </c>
      <c r="R14" s="308">
        <f>IFERROR(VLOOKUP($A14,GeoAreaCompletion[#All],13,FALSE)/VLOOKUP($A14,GeoAreaCompletion[#All],12,FALSE),0)</f>
        <v>0</v>
      </c>
      <c r="S14" s="307">
        <f>IFERROR(VLOOKUP($A14,GeoAreaCompletion[#All],14,FALSE)/$F14,0)</f>
        <v>0</v>
      </c>
      <c r="T14" s="308">
        <f>IFERROR(VLOOKUP($A14,GeoAreaCompletion[#All],15,FALSE)/VLOOKUP($A14,GeoAreaCompletion[#All],14,FALSE),0)</f>
        <v>0</v>
      </c>
      <c r="U14" s="320">
        <f>IFERROR(VLOOKUP($A14,GeoAreaCompletion[#All],16,FALSE),0)</f>
        <v>637</v>
      </c>
      <c r="V14" s="321">
        <f>IFERROR(VLOOKUP($A14,GeoAreaCompletion[#All],16,FALSE)/$F14,0)</f>
        <v>0.41770491803278686</v>
      </c>
      <c r="W14" s="317">
        <f>IFERROR(VLOOKUP(A14,GeoAreaCompletion[[#Headers],[#Data]],17,FALSE)/'GeoArea Completion'!F14,0)</f>
        <v>1.3770491803278689E-2</v>
      </c>
    </row>
    <row r="15" spans="1:25" x14ac:dyDescent="0.35">
      <c r="A15" s="121">
        <v>10035</v>
      </c>
      <c r="B15" s="212"/>
      <c r="C15" s="294"/>
      <c r="D15" s="295">
        <f>IFERROR(VLOOKUP(A15,GeoAreaTotalPlaces[#All],2,FALSE),0)</f>
        <v>582</v>
      </c>
      <c r="E15" s="295">
        <f>IFERROR(VLOOKUP(A15,GeoAreaTotalPlaces[#All],3,FALSE),0)</f>
        <v>230</v>
      </c>
      <c r="F15" s="296">
        <f t="shared" si="0"/>
        <v>812</v>
      </c>
      <c r="G15" s="213">
        <f>IFERROR(VLOOKUP($A15,GeoAreaCompletion[#All],2,FALSE)/$F15,0)</f>
        <v>3.6945812807881772E-3</v>
      </c>
      <c r="H15" s="40">
        <f>IFERROR(VLOOKUP($A15,GeoAreaCompletion[#All],3,FALSE)/VLOOKUP($A15,GeoAreaCompletion[#All],2,FALSE),0)</f>
        <v>0</v>
      </c>
      <c r="I15" s="39">
        <f>IFERROR(VLOOKUP($A15,GeoAreaCompletion[#All],4,FALSE)/$F15,0)</f>
        <v>0.27339901477832512</v>
      </c>
      <c r="J15" s="40">
        <f>IFERROR(VLOOKUP($A15,GeoAreaCompletion[#All],5,FALSE)/VLOOKUP($A15,GeoAreaCompletion[#All],4,FALSE),0)</f>
        <v>1.3513513513513514E-2</v>
      </c>
      <c r="K15" s="39">
        <f>IFERROR(VLOOKUP($A15,GeoAreaCompletion[#All],6,FALSE)/$F15,0)</f>
        <v>0.19581280788177341</v>
      </c>
      <c r="L15" s="40">
        <f>IFERROR(VLOOKUP($A15,GeoAreaCompletion[#All],7,FALSE)/VLOOKUP($A15,GeoAreaCompletion[#All],6,FALSE),0)</f>
        <v>2.5157232704402517E-2</v>
      </c>
      <c r="M15" s="39">
        <f>IFERROR(VLOOKUP($A15,GeoAreaCompletion[#All],8,FALSE)/$F15,0)</f>
        <v>0</v>
      </c>
      <c r="N15" s="40">
        <f>IFERROR(VLOOKUP($A15,GeoAreaCompletion[#All],9,FALSE)/VLOOKUP($A15,GeoAreaCompletion[#All],8,FALSE),0)</f>
        <v>0</v>
      </c>
      <c r="O15" s="39">
        <f>IFERROR(VLOOKUP($A15,GeoAreaCompletion[#All],10,FALSE)/$F15,0)</f>
        <v>0</v>
      </c>
      <c r="P15" s="81">
        <f>IFERROR(VLOOKUP($A15,GeoAreaCompletion[#All],11,FALSE)/VLOOKUP($A15,GeoAreaCompletion[#All],10,FALSE),0)</f>
        <v>0</v>
      </c>
      <c r="Q15" s="41">
        <f>IFERROR(VLOOKUP($A15,GeoAreaCompletion[#All],12,FALSE)/$F15,0)</f>
        <v>0</v>
      </c>
      <c r="R15" s="80">
        <f>IFERROR(VLOOKUP($A15,GeoAreaCompletion[#All],13,FALSE)/VLOOKUP($A15,GeoAreaCompletion[#All],12,FALSE),0)</f>
        <v>0</v>
      </c>
      <c r="S15" s="41">
        <f>IFERROR(VLOOKUP($A15,GeoAreaCompletion[#All],14,FALSE)/$F15,0)</f>
        <v>0</v>
      </c>
      <c r="T15" s="80">
        <f>IFERROR(VLOOKUP($A15,GeoAreaCompletion[#All],15,FALSE)/VLOOKUP($A15,GeoAreaCompletion[#All],14,FALSE),0)</f>
        <v>0</v>
      </c>
      <c r="U15" s="290">
        <f>IFERROR(VLOOKUP($A15,GeoAreaCompletion[#All],16,FALSE),0)</f>
        <v>384</v>
      </c>
      <c r="V15" s="289">
        <f>IFERROR(VLOOKUP($A15,GeoAreaCompletion[#All],16,FALSE)/$F15,0)</f>
        <v>0.47290640394088668</v>
      </c>
      <c r="W15" s="40">
        <f>IFERROR(VLOOKUP(A15,GeoAreaCompletion[[#Headers],[#Data]],17,FALSE)/'GeoArea Completion'!F15,0)</f>
        <v>8.6206896551724137E-3</v>
      </c>
    </row>
    <row r="16" spans="1:25" x14ac:dyDescent="0.35">
      <c r="A16" s="300">
        <v>10037</v>
      </c>
      <c r="B16" s="312"/>
      <c r="C16" s="313"/>
      <c r="D16" s="314">
        <f>IFERROR(VLOOKUP(A16,GeoAreaTotalPlaces[#All],2,FALSE),0)</f>
        <v>205</v>
      </c>
      <c r="E16" s="314">
        <f>IFERROR(VLOOKUP(A16,GeoAreaTotalPlaces[#All],3,FALSE),0)</f>
        <v>47</v>
      </c>
      <c r="F16" s="315">
        <f t="shared" si="0"/>
        <v>252</v>
      </c>
      <c r="G16" s="316">
        <f>IFERROR(VLOOKUP($A16,GeoAreaCompletion[#All],2,FALSE)/$F16,0)</f>
        <v>0</v>
      </c>
      <c r="H16" s="317">
        <f>IFERROR(VLOOKUP($A16,GeoAreaCompletion[#All],3,FALSE)/VLOOKUP($A16,GeoAreaCompletion[#All],2,FALSE),0)</f>
        <v>0</v>
      </c>
      <c r="I16" s="318">
        <f>IFERROR(VLOOKUP($A16,GeoAreaCompletion[#All],4,FALSE)/$F16,0)</f>
        <v>0</v>
      </c>
      <c r="J16" s="317">
        <f>IFERROR(VLOOKUP($A16,GeoAreaCompletion[#All],5,FALSE)/VLOOKUP($A16,GeoAreaCompletion[#All],4,FALSE),0)</f>
        <v>0</v>
      </c>
      <c r="K16" s="318">
        <f>IFERROR(VLOOKUP($A16,GeoAreaCompletion[#All],6,FALSE)/$F16,0)</f>
        <v>0.40873015873015872</v>
      </c>
      <c r="L16" s="317">
        <f>IFERROR(VLOOKUP($A16,GeoAreaCompletion[#All],7,FALSE)/VLOOKUP($A16,GeoAreaCompletion[#All],6,FALSE),0)</f>
        <v>1.9417475728155338E-2</v>
      </c>
      <c r="M16" s="318">
        <f>IFERROR(VLOOKUP($A16,GeoAreaCompletion[#All],8,FALSE)/$F16,0)</f>
        <v>0</v>
      </c>
      <c r="N16" s="317">
        <f>IFERROR(VLOOKUP($A16,GeoAreaCompletion[#All],9,FALSE)/VLOOKUP($A16,GeoAreaCompletion[#All],8,FALSE),0)</f>
        <v>0</v>
      </c>
      <c r="O16" s="318">
        <f>IFERROR(VLOOKUP($A16,GeoAreaCompletion[#All],10,FALSE)/$F16,0)</f>
        <v>0</v>
      </c>
      <c r="P16" s="319">
        <f>IFERROR(VLOOKUP($A16,GeoAreaCompletion[#All],11,FALSE)/VLOOKUP($A16,GeoAreaCompletion[#All],10,FALSE),0)</f>
        <v>0</v>
      </c>
      <c r="Q16" s="307">
        <f>IFERROR(VLOOKUP($A16,GeoAreaCompletion[#All],12,FALSE)/$F16,0)</f>
        <v>0</v>
      </c>
      <c r="R16" s="308">
        <f>IFERROR(VLOOKUP($A16,GeoAreaCompletion[#All],13,FALSE)/VLOOKUP($A16,GeoAreaCompletion[#All],12,FALSE),0)</f>
        <v>0</v>
      </c>
      <c r="S16" s="307">
        <f>IFERROR(VLOOKUP($A16,GeoAreaCompletion[#All],14,FALSE)/$F16,0)</f>
        <v>0</v>
      </c>
      <c r="T16" s="308">
        <f>IFERROR(VLOOKUP($A16,GeoAreaCompletion[#All],15,FALSE)/VLOOKUP($A16,GeoAreaCompletion[#All],14,FALSE),0)</f>
        <v>0</v>
      </c>
      <c r="U16" s="320">
        <f>IFERROR(VLOOKUP($A16,GeoAreaCompletion[#All],16,FALSE),0)</f>
        <v>103</v>
      </c>
      <c r="V16" s="321">
        <f>IFERROR(VLOOKUP($A16,GeoAreaCompletion[#All],16,FALSE)/$F16,0)</f>
        <v>0.40873015873015872</v>
      </c>
      <c r="W16" s="317">
        <f>IFERROR(VLOOKUP(A16,GeoAreaCompletion[[#Headers],[#Data]],17,FALSE)/'GeoArea Completion'!F16,0)</f>
        <v>7.9365079365079361E-3</v>
      </c>
    </row>
    <row r="17" spans="1:31" hidden="1" x14ac:dyDescent="0.35">
      <c r="A17" s="121"/>
      <c r="B17" s="212"/>
      <c r="C17" s="294"/>
      <c r="D17" s="295"/>
      <c r="E17" s="295"/>
      <c r="F17" s="296"/>
      <c r="G17" s="213"/>
      <c r="H17" s="40"/>
      <c r="I17" s="39"/>
      <c r="J17" s="40"/>
      <c r="K17" s="39"/>
      <c r="L17" s="40"/>
      <c r="M17" s="39"/>
      <c r="N17" s="40"/>
      <c r="O17" s="39"/>
      <c r="P17" s="81"/>
      <c r="Q17" s="41"/>
      <c r="R17" s="80"/>
      <c r="S17" s="41"/>
      <c r="T17" s="80"/>
      <c r="U17" s="290">
        <f>IFERROR(VLOOKUP($A17,GeoAreaCompletion[#All],16,FALSE),0)</f>
        <v>0</v>
      </c>
      <c r="V17" s="289"/>
      <c r="W17" s="40"/>
    </row>
    <row r="18" spans="1:31" x14ac:dyDescent="0.35">
      <c r="A18" s="121">
        <v>10039</v>
      </c>
      <c r="B18" s="212"/>
      <c r="C18" s="294"/>
      <c r="D18" s="295">
        <f>IFERROR(VLOOKUP(A18,GeoAreaTotalPlaces[#All],2,FALSE),0)</f>
        <v>328</v>
      </c>
      <c r="E18" s="295">
        <f>IFERROR(VLOOKUP(A18,GeoAreaTotalPlaces[#All],3,FALSE),0)</f>
        <v>151</v>
      </c>
      <c r="F18" s="296">
        <f t="shared" si="0"/>
        <v>479</v>
      </c>
      <c r="G18" s="213">
        <f>IFERROR(VLOOKUP($A18,GeoAreaCompletion[#All],2,FALSE)/$F18,0)</f>
        <v>0.43632567849686849</v>
      </c>
      <c r="H18" s="40">
        <f>IFERROR(VLOOKUP($A18,GeoAreaCompletion[#All],3,FALSE)/VLOOKUP($A18,GeoAreaCompletion[#All],2,FALSE),0)</f>
        <v>9.5693779904306216E-3</v>
      </c>
      <c r="I18" s="39">
        <f>IFERROR(VLOOKUP($A18,GeoAreaCompletion[#All],4,FALSE)/$F18,0)</f>
        <v>0.18580375782881003</v>
      </c>
      <c r="J18" s="40">
        <f>IFERROR(VLOOKUP($A18,GeoAreaCompletion[#All],5,FALSE)/VLOOKUP($A18,GeoAreaCompletion[#All],4,FALSE),0)</f>
        <v>4.49438202247191E-2</v>
      </c>
      <c r="K18" s="39">
        <f>IFERROR(VLOOKUP($A18,GeoAreaCompletion[#All],6,FALSE)/$F18,0)</f>
        <v>0</v>
      </c>
      <c r="L18" s="40">
        <f>IFERROR(VLOOKUP($A18,GeoAreaCompletion[#All],7,FALSE)/VLOOKUP($A18,GeoAreaCompletion[#All],6,FALSE),0)</f>
        <v>0</v>
      </c>
      <c r="M18" s="39">
        <f>IFERROR(VLOOKUP($A18,GeoAreaCompletion[#All],8,FALSE)/$F18,0)</f>
        <v>0</v>
      </c>
      <c r="N18" s="40">
        <f>IFERROR(VLOOKUP($A18,GeoAreaCompletion[#All],9,FALSE)/VLOOKUP($A18,GeoAreaCompletion[#All],8,FALSE),0)</f>
        <v>0</v>
      </c>
      <c r="O18" s="39">
        <f>IFERROR(VLOOKUP($A18,GeoAreaCompletion[#All],10,FALSE)/$F18,0)</f>
        <v>0</v>
      </c>
      <c r="P18" s="81">
        <f>IFERROR(VLOOKUP($A18,GeoAreaCompletion[#All],11,FALSE)/VLOOKUP($A18,GeoAreaCompletion[#All],10,FALSE),0)</f>
        <v>0</v>
      </c>
      <c r="Q18" s="41">
        <f>IFERROR(VLOOKUP($A18,GeoAreaCompletion[#All],12,FALSE)/$F18,0)</f>
        <v>0</v>
      </c>
      <c r="R18" s="80">
        <f>IFERROR(VLOOKUP($A18,GeoAreaCompletion[#All],13,FALSE)/VLOOKUP($A18,GeoAreaCompletion[#All],12,FALSE),0)</f>
        <v>0</v>
      </c>
      <c r="S18" s="41">
        <f>IFERROR(VLOOKUP($A18,GeoAreaCompletion[#All],14,FALSE)/$F18,0)</f>
        <v>0</v>
      </c>
      <c r="T18" s="80">
        <f>IFERROR(VLOOKUP($A18,GeoAreaCompletion[#All],15,FALSE)/VLOOKUP($A18,GeoAreaCompletion[#All],14,FALSE),0)</f>
        <v>0</v>
      </c>
      <c r="U18" s="290">
        <f>IFERROR(VLOOKUP($A18,GeoAreaCompletion[#All],16,FALSE),0)</f>
        <v>298</v>
      </c>
      <c r="V18" s="289">
        <f>IFERROR(VLOOKUP($A18,GeoAreaCompletion[#All],16,FALSE)/$F18,0)</f>
        <v>0.62212943632567852</v>
      </c>
      <c r="W18" s="40">
        <f>IFERROR(VLOOKUP(A18,GeoAreaCompletion[[#Headers],[#Data]],17,FALSE)/'GeoArea Completion'!F18,0)</f>
        <v>1.2526096033402923E-2</v>
      </c>
      <c r="AD18">
        <v>20000</v>
      </c>
      <c r="AE18">
        <f>AD18*AE19/AD19</f>
        <v>60000</v>
      </c>
    </row>
    <row r="19" spans="1:31" x14ac:dyDescent="0.35">
      <c r="A19" s="300">
        <v>10451</v>
      </c>
      <c r="B19" s="312"/>
      <c r="C19" s="313"/>
      <c r="D19" s="314">
        <f>IFERROR(VLOOKUP(A19,GeoAreaTotalPlaces[#All],2,FALSE),0)</f>
        <v>1013</v>
      </c>
      <c r="E19" s="314">
        <f>IFERROR(VLOOKUP(A19,GeoAreaTotalPlaces[#All],3,FALSE),0)</f>
        <v>209</v>
      </c>
      <c r="F19" s="315">
        <f t="shared" si="0"/>
        <v>1222</v>
      </c>
      <c r="G19" s="316">
        <f>IFERROR(VLOOKUP($A19,GeoAreaCompletion[#All],2,FALSE)/$F19,0)</f>
        <v>0.12684124386252046</v>
      </c>
      <c r="H19" s="317">
        <f>IFERROR(VLOOKUP($A19,GeoAreaCompletion[#All],3,FALSE)/VLOOKUP($A19,GeoAreaCompletion[#All],2,FALSE),0)</f>
        <v>1.935483870967742E-2</v>
      </c>
      <c r="I19" s="318">
        <f>IFERROR(VLOOKUP($A19,GeoAreaCompletion[#All],4,FALSE)/$F19,0)</f>
        <v>0.36333878887070375</v>
      </c>
      <c r="J19" s="317">
        <f>IFERROR(VLOOKUP($A19,GeoAreaCompletion[#All],5,FALSE)/VLOOKUP($A19,GeoAreaCompletion[#All],4,FALSE),0)</f>
        <v>2.9279279279279279E-2</v>
      </c>
      <c r="K19" s="318">
        <f>IFERROR(VLOOKUP($A19,GeoAreaCompletion[#All],6,FALSE)/$F19,0)</f>
        <v>0</v>
      </c>
      <c r="L19" s="317">
        <f>IFERROR(VLOOKUP($A19,GeoAreaCompletion[#All],7,FALSE)/VLOOKUP($A19,GeoAreaCompletion[#All],6,FALSE),0)</f>
        <v>0</v>
      </c>
      <c r="M19" s="318">
        <f>IFERROR(VLOOKUP($A19,GeoAreaCompletion[#All],8,FALSE)/$F19,0)</f>
        <v>0</v>
      </c>
      <c r="N19" s="317">
        <f>IFERROR(VLOOKUP($A19,GeoAreaCompletion[#All],9,FALSE)/VLOOKUP($A19,GeoAreaCompletion[#All],8,FALSE),0)</f>
        <v>0</v>
      </c>
      <c r="O19" s="318">
        <f>IFERROR(VLOOKUP($A19,GeoAreaCompletion[#All],10,FALSE)/$F19,0)</f>
        <v>0</v>
      </c>
      <c r="P19" s="319">
        <f>IFERROR(VLOOKUP($A19,GeoAreaCompletion[#All],11,FALSE)/VLOOKUP($A19,GeoAreaCompletion[#All],10,FALSE),0)</f>
        <v>0</v>
      </c>
      <c r="Q19" s="307">
        <f>IFERROR(VLOOKUP($A19,GeoAreaCompletion[#All],12,FALSE)/$F19,0)</f>
        <v>0</v>
      </c>
      <c r="R19" s="308">
        <f>IFERROR(VLOOKUP($A19,GeoAreaCompletion[#All],13,FALSE)/VLOOKUP($A19,GeoAreaCompletion[#All],12,FALSE),0)</f>
        <v>0</v>
      </c>
      <c r="S19" s="307">
        <f>IFERROR(VLOOKUP($A19,GeoAreaCompletion[#All],14,FALSE)/$F19,0)</f>
        <v>0</v>
      </c>
      <c r="T19" s="308">
        <f>IFERROR(VLOOKUP($A19,GeoAreaCompletion[#All],15,FALSE)/VLOOKUP($A19,GeoAreaCompletion[#All],14,FALSE),0)</f>
        <v>0</v>
      </c>
      <c r="U19" s="320">
        <f>IFERROR(VLOOKUP($A19,GeoAreaCompletion[#All],16,FALSE),0)</f>
        <v>599</v>
      </c>
      <c r="V19" s="321">
        <f>IFERROR(VLOOKUP($A19,GeoAreaCompletion[#All],16,FALSE)/$F19,0)</f>
        <v>0.49018003273322425</v>
      </c>
      <c r="W19" s="317">
        <f>IFERROR(VLOOKUP(A19,GeoAreaCompletion[[#Headers],[#Data]],17,FALSE)/'GeoArea Completion'!F19,0)</f>
        <v>1.3093289689034371E-2</v>
      </c>
      <c r="AD19">
        <v>0.01</v>
      </c>
      <c r="AE19">
        <v>0.03</v>
      </c>
    </row>
    <row r="20" spans="1:31" x14ac:dyDescent="0.35">
      <c r="A20" s="121">
        <v>10452</v>
      </c>
      <c r="B20" s="212" t="s">
        <v>93</v>
      </c>
      <c r="C20" s="294">
        <f>IFERROR(VLOOKUP(A20,GeoAreaTotalPlaces[#All],2,FALSE),0)</f>
        <v>1089</v>
      </c>
      <c r="D20" s="295"/>
      <c r="E20" s="295">
        <f>IFERROR(VLOOKUP(A20,GeoAreaTotalPlaces[#All],3,FALSE),0)</f>
        <v>290</v>
      </c>
      <c r="F20" s="296">
        <f t="shared" si="0"/>
        <v>1379</v>
      </c>
      <c r="G20" s="213">
        <f>IFERROR(VLOOKUP($A20,GeoAreaCompletion[#All],2,FALSE)/$F20,0)</f>
        <v>0</v>
      </c>
      <c r="H20" s="40">
        <f>IFERROR(VLOOKUP($A20,GeoAreaCompletion[#All],3,FALSE)/VLOOKUP($A20,GeoAreaCompletion[#All],2,FALSE),0)</f>
        <v>0</v>
      </c>
      <c r="I20" s="39">
        <f>IFERROR(VLOOKUP($A20,GeoAreaCompletion[#All],4,FALSE)/$F20,0)</f>
        <v>0</v>
      </c>
      <c r="J20" s="40">
        <f>IFERROR(VLOOKUP($A20,GeoAreaCompletion[#All],5,FALSE)/VLOOKUP($A20,GeoAreaCompletion[#All],4,FALSE),0)</f>
        <v>0</v>
      </c>
      <c r="K20" s="39">
        <f>IFERROR(VLOOKUP($A20,GeoAreaCompletion[#All],6,FALSE)/$F20,0)</f>
        <v>0.41624365482233505</v>
      </c>
      <c r="L20" s="40">
        <f>IFERROR(VLOOKUP($A20,GeoAreaCompletion[#All],7,FALSE)/VLOOKUP($A20,GeoAreaCompletion[#All],6,FALSE),0)</f>
        <v>8.885017421602788E-2</v>
      </c>
      <c r="M20" s="39">
        <f>IFERROR(VLOOKUP($A20,GeoAreaCompletion[#All],8,FALSE)/$F20,0)</f>
        <v>0.16606236403190719</v>
      </c>
      <c r="N20" s="40">
        <f>IFERROR(VLOOKUP($A20,GeoAreaCompletion[#All],9,FALSE)/VLOOKUP($A20,GeoAreaCompletion[#All],8,FALSE),0)</f>
        <v>9.606986899563319E-2</v>
      </c>
      <c r="O20" s="39">
        <f>IFERROR(VLOOKUP($A20,GeoAreaCompletion[#All],10,FALSE)/$F20,0)</f>
        <v>0</v>
      </c>
      <c r="P20" s="81">
        <f>IFERROR(VLOOKUP($A20,GeoAreaCompletion[#All],11,FALSE)/VLOOKUP($A20,GeoAreaCompletion[#All],10,FALSE),0)</f>
        <v>0</v>
      </c>
      <c r="Q20" s="41">
        <f>IFERROR(VLOOKUP($A20,GeoAreaCompletion[#All],12,FALSE)/$F20,0)</f>
        <v>0</v>
      </c>
      <c r="R20" s="80">
        <f>IFERROR(VLOOKUP($A20,GeoAreaCompletion[#All],13,FALSE)/VLOOKUP($A20,GeoAreaCompletion[#All],12,FALSE),0)</f>
        <v>0</v>
      </c>
      <c r="S20" s="41">
        <f>IFERROR(VLOOKUP($A20,GeoAreaCompletion[#All],14,FALSE)/$F20,0)</f>
        <v>0</v>
      </c>
      <c r="T20" s="80">
        <f>IFERROR(VLOOKUP($A20,GeoAreaCompletion[#All],15,FALSE)/VLOOKUP($A20,GeoAreaCompletion[#All],14,FALSE),0)</f>
        <v>0</v>
      </c>
      <c r="U20" s="290">
        <f>IFERROR(VLOOKUP($A20,GeoAreaCompletion[#All],16,FALSE),0)</f>
        <v>803</v>
      </c>
      <c r="V20" s="289">
        <f>IFERROR(VLOOKUP($A20,GeoAreaCompletion[#All],16,FALSE)/$F20,0)</f>
        <v>0.58230601885424216</v>
      </c>
      <c r="W20" s="40">
        <f>IFERROR(VLOOKUP(A20,GeoAreaCompletion[[#Headers],[#Data]],17,FALSE)/'GeoArea Completion'!F20,0)</f>
        <v>5.2936910804931112E-2</v>
      </c>
    </row>
    <row r="21" spans="1:31" ht="15" customHeight="1" x14ac:dyDescent="0.35">
      <c r="A21" s="300">
        <v>10453</v>
      </c>
      <c r="B21" s="312" t="s">
        <v>93</v>
      </c>
      <c r="C21" s="313">
        <f>IFERROR(VLOOKUP(A21,GeoAreaTotalPlaces[#All],2,FALSE),0)</f>
        <v>1051</v>
      </c>
      <c r="D21" s="314"/>
      <c r="E21" s="314">
        <f>IFERROR(VLOOKUP(A21,GeoAreaTotalPlaces[#All],3,FALSE),0)</f>
        <v>245</v>
      </c>
      <c r="F21" s="315">
        <f t="shared" si="0"/>
        <v>1296</v>
      </c>
      <c r="G21" s="316">
        <f>IFERROR(VLOOKUP($A21,GeoAreaCompletion[#All],2,FALSE)/$F21,0)</f>
        <v>0</v>
      </c>
      <c r="H21" s="317">
        <f>IFERROR(VLOOKUP($A21,GeoAreaCompletion[#All],3,FALSE)/VLOOKUP($A21,GeoAreaCompletion[#All],2,FALSE),0)</f>
        <v>0</v>
      </c>
      <c r="I21" s="318">
        <f>IFERROR(VLOOKUP($A21,GeoAreaCompletion[#All],4,FALSE)/$F21,0)</f>
        <v>0</v>
      </c>
      <c r="J21" s="317">
        <f>IFERROR(VLOOKUP($A21,GeoAreaCompletion[#All],5,FALSE)/VLOOKUP($A21,GeoAreaCompletion[#All],4,FALSE),0)</f>
        <v>0</v>
      </c>
      <c r="K21" s="318">
        <f>IFERROR(VLOOKUP($A21,GeoAreaCompletion[#All],6,FALSE)/$F21,0)</f>
        <v>8.5648148148148154E-2</v>
      </c>
      <c r="L21" s="317">
        <f>IFERROR(VLOOKUP($A21,GeoAreaCompletion[#All],7,FALSE)/VLOOKUP($A21,GeoAreaCompletion[#All],6,FALSE),0)</f>
        <v>1.8018018018018018E-2</v>
      </c>
      <c r="M21" s="318">
        <f>IFERROR(VLOOKUP($A21,GeoAreaCompletion[#All],8,FALSE)/$F21,0)</f>
        <v>0.39969135802469136</v>
      </c>
      <c r="N21" s="317">
        <f>IFERROR(VLOOKUP($A21,GeoAreaCompletion[#All],9,FALSE)/VLOOKUP($A21,GeoAreaCompletion[#All],8,FALSE),0)</f>
        <v>0.13513513513513514</v>
      </c>
      <c r="O21" s="318">
        <f>IFERROR(VLOOKUP($A21,GeoAreaCompletion[#All],10,FALSE)/$F21,0)</f>
        <v>0</v>
      </c>
      <c r="P21" s="319">
        <f>IFERROR(VLOOKUP($A21,GeoAreaCompletion[#All],11,FALSE)/VLOOKUP($A21,GeoAreaCompletion[#All],10,FALSE),0)</f>
        <v>0</v>
      </c>
      <c r="Q21" s="307">
        <f>IFERROR(VLOOKUP($A21,GeoAreaCompletion[#All],12,FALSE)/$F21,0)</f>
        <v>0</v>
      </c>
      <c r="R21" s="308">
        <f>IFERROR(VLOOKUP($A21,GeoAreaCompletion[#All],13,FALSE)/VLOOKUP($A21,GeoAreaCompletion[#All],12,FALSE),0)</f>
        <v>0</v>
      </c>
      <c r="S21" s="307">
        <f>IFERROR(VLOOKUP($A21,GeoAreaCompletion[#All],14,FALSE)/$F21,0)</f>
        <v>0</v>
      </c>
      <c r="T21" s="308">
        <f>IFERROR(VLOOKUP($A21,GeoAreaCompletion[#All],15,FALSE)/VLOOKUP($A21,GeoAreaCompletion[#All],14,FALSE),0)</f>
        <v>0</v>
      </c>
      <c r="U21" s="320">
        <f>IFERROR(VLOOKUP($A21,GeoAreaCompletion[#All],16,FALSE),0)</f>
        <v>629</v>
      </c>
      <c r="V21" s="321">
        <f>IFERROR(VLOOKUP($A21,GeoAreaCompletion[#All],16,FALSE)/$F21,0)</f>
        <v>0.4853395061728395</v>
      </c>
      <c r="W21" s="317">
        <f>IFERROR(VLOOKUP(A21,GeoAreaCompletion[[#Headers],[#Data]],17,FALSE)/'GeoArea Completion'!F21,0)</f>
        <v>5.5555555555555552E-2</v>
      </c>
    </row>
    <row r="22" spans="1:31" x14ac:dyDescent="0.35">
      <c r="A22" s="121">
        <v>10454</v>
      </c>
      <c r="B22" s="212"/>
      <c r="C22" s="294"/>
      <c r="D22" s="295">
        <f>IFERROR(VLOOKUP(A22,GeoAreaTotalPlaces[#All],2,FALSE),0)</f>
        <v>691</v>
      </c>
      <c r="E22" s="295">
        <f>IFERROR(VLOOKUP(A22,GeoAreaTotalPlaces[#All],3,FALSE),0)</f>
        <v>102</v>
      </c>
      <c r="F22" s="296">
        <f t="shared" si="0"/>
        <v>793</v>
      </c>
      <c r="G22" s="213">
        <f>IFERROR(VLOOKUP($A22,GeoAreaCompletion[#All],2,FALSE)/$F22,0)</f>
        <v>0</v>
      </c>
      <c r="H22" s="40">
        <f>IFERROR(VLOOKUP($A22,GeoAreaCompletion[#All],3,FALSE)/VLOOKUP($A22,GeoAreaCompletion[#All],2,FALSE),0)</f>
        <v>0</v>
      </c>
      <c r="I22" s="39">
        <f>IFERROR(VLOOKUP($A22,GeoAreaCompletion[#All],4,FALSE)/$F22,0)</f>
        <v>0.53215636822194201</v>
      </c>
      <c r="J22" s="40">
        <f>IFERROR(VLOOKUP($A22,GeoAreaCompletion[#All],5,FALSE)/VLOOKUP($A22,GeoAreaCompletion[#All],4,FALSE),0)</f>
        <v>1.4218009478672985E-2</v>
      </c>
      <c r="K22" s="39">
        <f>IFERROR(VLOOKUP($A22,GeoAreaCompletion[#All],6,FALSE)/$F22,0)</f>
        <v>0.13745271122320302</v>
      </c>
      <c r="L22" s="40">
        <f>IFERROR(VLOOKUP($A22,GeoAreaCompletion[#All],7,FALSE)/VLOOKUP($A22,GeoAreaCompletion[#All],6,FALSE),0)</f>
        <v>6.4220183486238536E-2</v>
      </c>
      <c r="M22" s="39">
        <f>IFERROR(VLOOKUP($A22,GeoAreaCompletion[#All],8,FALSE)/$F22,0)</f>
        <v>0</v>
      </c>
      <c r="N22" s="40">
        <f>IFERROR(VLOOKUP($A22,GeoAreaCompletion[#All],9,FALSE)/VLOOKUP($A22,GeoAreaCompletion[#All],8,FALSE),0)</f>
        <v>0</v>
      </c>
      <c r="O22" s="39">
        <f>IFERROR(VLOOKUP($A22,GeoAreaCompletion[#All],10,FALSE)/$F22,0)</f>
        <v>0</v>
      </c>
      <c r="P22" s="81">
        <f>IFERROR(VLOOKUP($A22,GeoAreaCompletion[#All],11,FALSE)/VLOOKUP($A22,GeoAreaCompletion[#All],10,FALSE),0)</f>
        <v>0</v>
      </c>
      <c r="Q22" s="41">
        <f>IFERROR(VLOOKUP($A22,GeoAreaCompletion[#All],12,FALSE)/$F22,0)</f>
        <v>0</v>
      </c>
      <c r="R22" s="80">
        <f>IFERROR(VLOOKUP($A22,GeoAreaCompletion[#All],13,FALSE)/VLOOKUP($A22,GeoAreaCompletion[#All],12,FALSE),0)</f>
        <v>0</v>
      </c>
      <c r="S22" s="41">
        <f>IFERROR(VLOOKUP($A22,GeoAreaCompletion[#All],14,FALSE)/$F22,0)</f>
        <v>0</v>
      </c>
      <c r="T22" s="80">
        <f>IFERROR(VLOOKUP($A22,GeoAreaCompletion[#All],15,FALSE)/VLOOKUP($A22,GeoAreaCompletion[#All],14,FALSE),0)</f>
        <v>0</v>
      </c>
      <c r="U22" s="290">
        <f>IFERROR(VLOOKUP($A22,GeoAreaCompletion[#All],16,FALSE),0)</f>
        <v>531</v>
      </c>
      <c r="V22" s="289">
        <f>IFERROR(VLOOKUP($A22,GeoAreaCompletion[#All],16,FALSE)/$F22,0)</f>
        <v>0.66960907944514503</v>
      </c>
      <c r="W22" s="40">
        <f>IFERROR(VLOOKUP(A22,GeoAreaCompletion[[#Headers],[#Data]],17,FALSE)/'GeoArea Completion'!F22,0)</f>
        <v>1.6393442622950821E-2</v>
      </c>
    </row>
    <row r="23" spans="1:31" x14ac:dyDescent="0.35">
      <c r="A23" s="300">
        <v>10455</v>
      </c>
      <c r="B23" s="312"/>
      <c r="C23" s="313"/>
      <c r="D23" s="314">
        <f>IFERROR(VLOOKUP(A23,GeoAreaTotalPlaces[#All],2,FALSE),0)</f>
        <v>902</v>
      </c>
      <c r="E23" s="314">
        <f>IFERROR(VLOOKUP(A23,GeoAreaTotalPlaces[#All],3,FALSE),0)</f>
        <v>190</v>
      </c>
      <c r="F23" s="315">
        <f t="shared" si="0"/>
        <v>1092</v>
      </c>
      <c r="G23" s="316">
        <f>IFERROR(VLOOKUP($A23,GeoAreaCompletion[#All],2,FALSE)/$F23,0)</f>
        <v>4.578754578754579E-3</v>
      </c>
      <c r="H23" s="317">
        <f>IFERROR(VLOOKUP($A23,GeoAreaCompletion[#All],3,FALSE)/VLOOKUP($A23,GeoAreaCompletion[#All],2,FALSE),0)</f>
        <v>0.2</v>
      </c>
      <c r="I23" s="318">
        <f>IFERROR(VLOOKUP($A23,GeoAreaCompletion[#All],4,FALSE)/$F23,0)</f>
        <v>0.32600732600732601</v>
      </c>
      <c r="J23" s="317">
        <f>IFERROR(VLOOKUP($A23,GeoAreaCompletion[#All],5,FALSE)/VLOOKUP($A23,GeoAreaCompletion[#All],4,FALSE),0)</f>
        <v>1.6853932584269662E-2</v>
      </c>
      <c r="K23" s="318">
        <f>IFERROR(VLOOKUP($A23,GeoAreaCompletion[#All],6,FALSE)/$F23,0)</f>
        <v>0.39102564102564102</v>
      </c>
      <c r="L23" s="317">
        <f>IFERROR(VLOOKUP($A23,GeoAreaCompletion[#All],7,FALSE)/VLOOKUP($A23,GeoAreaCompletion[#All],6,FALSE),0)</f>
        <v>2.8103044496487119E-2</v>
      </c>
      <c r="M23" s="318">
        <f>IFERROR(VLOOKUP($A23,GeoAreaCompletion[#All],8,FALSE)/$F23,0)</f>
        <v>0</v>
      </c>
      <c r="N23" s="317">
        <f>IFERROR(VLOOKUP($A23,GeoAreaCompletion[#All],9,FALSE)/VLOOKUP($A23,GeoAreaCompletion[#All],8,FALSE),0)</f>
        <v>0</v>
      </c>
      <c r="O23" s="318">
        <f>IFERROR(VLOOKUP($A23,GeoAreaCompletion[#All],10,FALSE)/$F23,0)</f>
        <v>0</v>
      </c>
      <c r="P23" s="319">
        <f>IFERROR(VLOOKUP($A23,GeoAreaCompletion[#All],11,FALSE)/VLOOKUP($A23,GeoAreaCompletion[#All],10,FALSE),0)</f>
        <v>0</v>
      </c>
      <c r="Q23" s="307">
        <f>IFERROR(VLOOKUP($A23,GeoAreaCompletion[#All],12,FALSE)/$F23,0)</f>
        <v>0</v>
      </c>
      <c r="R23" s="308">
        <f>IFERROR(VLOOKUP($A23,GeoAreaCompletion[#All],13,FALSE)/VLOOKUP($A23,GeoAreaCompletion[#All],12,FALSE),0)</f>
        <v>0</v>
      </c>
      <c r="S23" s="307">
        <f>IFERROR(VLOOKUP($A23,GeoAreaCompletion[#All],14,FALSE)/$F23,0)</f>
        <v>0</v>
      </c>
      <c r="T23" s="308">
        <f>IFERROR(VLOOKUP($A23,GeoAreaCompletion[#All],15,FALSE)/VLOOKUP($A23,GeoAreaCompletion[#All],14,FALSE),0)</f>
        <v>0</v>
      </c>
      <c r="U23" s="320">
        <f>IFERROR(VLOOKUP($A23,GeoAreaCompletion[#All],16,FALSE),0)</f>
        <v>788</v>
      </c>
      <c r="V23" s="321">
        <f>IFERROR(VLOOKUP($A23,GeoAreaCompletion[#All],16,FALSE)/$F23,0)</f>
        <v>0.7216117216117216</v>
      </c>
      <c r="W23" s="317">
        <f>IFERROR(VLOOKUP(A23,GeoAreaCompletion[[#Headers],[#Data]],17,FALSE)/'GeoArea Completion'!F23,0)</f>
        <v>1.73992673992674E-2</v>
      </c>
    </row>
    <row r="24" spans="1:31" x14ac:dyDescent="0.35">
      <c r="A24" s="121">
        <v>10456</v>
      </c>
      <c r="B24" s="212"/>
      <c r="C24" s="294"/>
      <c r="D24" s="295">
        <f>IFERROR(VLOOKUP(A24,GeoAreaTotalPlaces[#All],2,FALSE),0)</f>
        <v>954</v>
      </c>
      <c r="E24" s="295">
        <f>IFERROR(VLOOKUP(A24,GeoAreaTotalPlaces[#All],3,FALSE),0)</f>
        <v>324</v>
      </c>
      <c r="F24" s="296">
        <f t="shared" si="0"/>
        <v>1278</v>
      </c>
      <c r="G24" s="213">
        <f>IFERROR(VLOOKUP($A24,GeoAreaCompletion[#All],2,FALSE)/$F24,0)</f>
        <v>0.54773082942097029</v>
      </c>
      <c r="H24" s="40">
        <f>IFERROR(VLOOKUP($A24,GeoAreaCompletion[#All],3,FALSE)/VLOOKUP($A24,GeoAreaCompletion[#All],2,FALSE),0)</f>
        <v>3.2857142857142856E-2</v>
      </c>
      <c r="I24" s="39">
        <f>IFERROR(VLOOKUP($A24,GeoAreaCompletion[#All],4,FALSE)/$F24,0)</f>
        <v>7.82472613458529E-2</v>
      </c>
      <c r="J24" s="40">
        <f>IFERROR(VLOOKUP($A24,GeoAreaCompletion[#All],5,FALSE)/VLOOKUP($A24,GeoAreaCompletion[#All],4,FALSE),0)</f>
        <v>0</v>
      </c>
      <c r="K24" s="39">
        <f>IFERROR(VLOOKUP($A24,GeoAreaCompletion[#All],6,FALSE)/$F24,0)</f>
        <v>0</v>
      </c>
      <c r="L24" s="40">
        <f>IFERROR(VLOOKUP($A24,GeoAreaCompletion[#All],7,FALSE)/VLOOKUP($A24,GeoAreaCompletion[#All],6,FALSE),0)</f>
        <v>0</v>
      </c>
      <c r="M24" s="39">
        <f>IFERROR(VLOOKUP($A24,GeoAreaCompletion[#All],8,FALSE)/$F24,0)</f>
        <v>0</v>
      </c>
      <c r="N24" s="40">
        <f>IFERROR(VLOOKUP($A24,GeoAreaCompletion[#All],9,FALSE)/VLOOKUP($A24,GeoAreaCompletion[#All],8,FALSE),0)</f>
        <v>0</v>
      </c>
      <c r="O24" s="39">
        <f>IFERROR(VLOOKUP($A24,GeoAreaCompletion[#All],10,FALSE)/$F24,0)</f>
        <v>0</v>
      </c>
      <c r="P24" s="81">
        <f>IFERROR(VLOOKUP($A24,GeoAreaCompletion[#All],11,FALSE)/VLOOKUP($A24,GeoAreaCompletion[#All],10,FALSE),0)</f>
        <v>0</v>
      </c>
      <c r="Q24" s="41">
        <f>IFERROR(VLOOKUP($A24,GeoAreaCompletion[#All],12,FALSE)/$F24,0)</f>
        <v>0</v>
      </c>
      <c r="R24" s="80">
        <f>IFERROR(VLOOKUP($A24,GeoAreaCompletion[#All],13,FALSE)/VLOOKUP($A24,GeoAreaCompletion[#All],12,FALSE),0)</f>
        <v>0</v>
      </c>
      <c r="S24" s="41">
        <f>IFERROR(VLOOKUP($A24,GeoAreaCompletion[#All],14,FALSE)/$F24,0)</f>
        <v>0</v>
      </c>
      <c r="T24" s="80">
        <f>IFERROR(VLOOKUP($A24,GeoAreaCompletion[#All],15,FALSE)/VLOOKUP($A24,GeoAreaCompletion[#All],14,FALSE),0)</f>
        <v>0</v>
      </c>
      <c r="U24" s="290">
        <f>IFERROR(VLOOKUP($A24,GeoAreaCompletion[#All],16,FALSE),0)</f>
        <v>800</v>
      </c>
      <c r="V24" s="289">
        <f>IFERROR(VLOOKUP($A24,GeoAreaCompletion[#All],16,FALSE)/$F24,0)</f>
        <v>0.6259780907668232</v>
      </c>
      <c r="W24" s="40">
        <f>IFERROR(VLOOKUP(A24,GeoAreaCompletion[[#Headers],[#Data]],17,FALSE)/'GeoArea Completion'!F24,0)</f>
        <v>1.7996870109546165E-2</v>
      </c>
    </row>
    <row r="25" spans="1:31" x14ac:dyDescent="0.35">
      <c r="A25" s="300">
        <v>10457</v>
      </c>
      <c r="B25" s="312" t="s">
        <v>93</v>
      </c>
      <c r="C25" s="313">
        <f>IFERROR(VLOOKUP(A25,GeoAreaTotalPlaces[#All],2,FALSE),0)</f>
        <v>140</v>
      </c>
      <c r="D25" s="314"/>
      <c r="E25" s="314">
        <f>IFERROR(VLOOKUP(A25,GeoAreaTotalPlaces[#All],3,FALSE),0)</f>
        <v>162</v>
      </c>
      <c r="F25" s="315">
        <f t="shared" si="0"/>
        <v>302</v>
      </c>
      <c r="G25" s="316">
        <f>IFERROR(VLOOKUP($A25,GeoAreaCompletion[#All],2,FALSE)/$F25,0)</f>
        <v>0</v>
      </c>
      <c r="H25" s="317">
        <f>IFERROR(VLOOKUP($A25,GeoAreaCompletion[#All],3,FALSE)/VLOOKUP($A25,GeoAreaCompletion[#All],2,FALSE),0)</f>
        <v>0</v>
      </c>
      <c r="I25" s="318">
        <f>IFERROR(VLOOKUP($A25,GeoAreaCompletion[#All],4,FALSE)/$F25,0)</f>
        <v>0</v>
      </c>
      <c r="J25" s="317">
        <f>IFERROR(VLOOKUP($A25,GeoAreaCompletion[#All],5,FALSE)/VLOOKUP($A25,GeoAreaCompletion[#All],4,FALSE),0)</f>
        <v>0</v>
      </c>
      <c r="K25" s="318">
        <f>IFERROR(VLOOKUP($A25,GeoAreaCompletion[#All],6,FALSE)/$F25,0)</f>
        <v>0</v>
      </c>
      <c r="L25" s="317">
        <f>IFERROR(VLOOKUP($A25,GeoAreaCompletion[#All],7,FALSE)/VLOOKUP($A25,GeoAreaCompletion[#All],6,FALSE),0)</f>
        <v>0</v>
      </c>
      <c r="M25" s="318">
        <f>IFERROR(VLOOKUP($A25,GeoAreaCompletion[#All],8,FALSE)/$F25,0)</f>
        <v>0.77152317880794707</v>
      </c>
      <c r="N25" s="317">
        <f>IFERROR(VLOOKUP($A25,GeoAreaCompletion[#All],9,FALSE)/VLOOKUP($A25,GeoAreaCompletion[#All],8,FALSE),0)</f>
        <v>0.12446351931330472</v>
      </c>
      <c r="O25" s="318">
        <f>IFERROR(VLOOKUP($A25,GeoAreaCompletion[#All],10,FALSE)/$F25,0)</f>
        <v>0</v>
      </c>
      <c r="P25" s="319">
        <f>IFERROR(VLOOKUP($A25,GeoAreaCompletion[#All],11,FALSE)/VLOOKUP($A25,GeoAreaCompletion[#All],10,FALSE),0)</f>
        <v>0</v>
      </c>
      <c r="Q25" s="307">
        <f>IFERROR(VLOOKUP($A25,GeoAreaCompletion[#All],12,FALSE)/$F25,0)</f>
        <v>0</v>
      </c>
      <c r="R25" s="308">
        <f>IFERROR(VLOOKUP($A25,GeoAreaCompletion[#All],13,FALSE)/VLOOKUP($A25,GeoAreaCompletion[#All],12,FALSE),0)</f>
        <v>0</v>
      </c>
      <c r="S25" s="307">
        <f>IFERROR(VLOOKUP($A25,GeoAreaCompletion[#All],14,FALSE)/$F25,0)</f>
        <v>0</v>
      </c>
      <c r="T25" s="308">
        <f>IFERROR(VLOOKUP($A25,GeoAreaCompletion[#All],15,FALSE)/VLOOKUP($A25,GeoAreaCompletion[#All],14,FALSE),0)</f>
        <v>0</v>
      </c>
      <c r="U25" s="320">
        <f>IFERROR(VLOOKUP($A25,GeoAreaCompletion[#All],16,FALSE),0)</f>
        <v>233</v>
      </c>
      <c r="V25" s="321">
        <f>IFERROR(VLOOKUP($A25,GeoAreaCompletion[#All],16,FALSE)/$F25,0)</f>
        <v>0.77152317880794707</v>
      </c>
      <c r="W25" s="317">
        <f>IFERROR(VLOOKUP(A25,GeoAreaCompletion[[#Headers],[#Data]],17,FALSE)/'GeoArea Completion'!F25,0)</f>
        <v>9.602649006622517E-2</v>
      </c>
    </row>
    <row r="26" spans="1:31" x14ac:dyDescent="0.35">
      <c r="A26" s="121">
        <v>10459</v>
      </c>
      <c r="B26" s="212" t="s">
        <v>93</v>
      </c>
      <c r="C26" s="294">
        <f>IFERROR(VLOOKUP(A26,GeoAreaTotalPlaces[#All],2,FALSE),0)</f>
        <v>96</v>
      </c>
      <c r="D26" s="295"/>
      <c r="E26" s="295">
        <f>IFERROR(VLOOKUP(A26,GeoAreaTotalPlaces[#All],3,FALSE),0)</f>
        <v>311</v>
      </c>
      <c r="F26" s="296">
        <f t="shared" si="0"/>
        <v>407</v>
      </c>
      <c r="G26" s="213">
        <f>IFERROR(VLOOKUP($A26,GeoAreaCompletion[#All],2,FALSE)/$F26,0)</f>
        <v>0</v>
      </c>
      <c r="H26" s="40">
        <f>IFERROR(VLOOKUP($A26,GeoAreaCompletion[#All],3,FALSE)/VLOOKUP($A26,GeoAreaCompletion[#All],2,FALSE),0)</f>
        <v>0</v>
      </c>
      <c r="I26" s="39">
        <f>IFERROR(VLOOKUP($A26,GeoAreaCompletion[#All],4,FALSE)/$F26,0)</f>
        <v>0</v>
      </c>
      <c r="J26" s="40">
        <f>IFERROR(VLOOKUP($A26,GeoAreaCompletion[#All],5,FALSE)/VLOOKUP($A26,GeoAreaCompletion[#All],4,FALSE),0)</f>
        <v>0</v>
      </c>
      <c r="K26" s="39">
        <f>IFERROR(VLOOKUP($A26,GeoAreaCompletion[#All],6,FALSE)/$F26,0)</f>
        <v>0</v>
      </c>
      <c r="L26" s="40">
        <f>IFERROR(VLOOKUP($A26,GeoAreaCompletion[#All],7,FALSE)/VLOOKUP($A26,GeoAreaCompletion[#All],6,FALSE),0)</f>
        <v>0</v>
      </c>
      <c r="M26" s="39">
        <f>IFERROR(VLOOKUP($A26,GeoAreaCompletion[#All],8,FALSE)/$F26,0)</f>
        <v>0.90909090909090906</v>
      </c>
      <c r="N26" s="40">
        <f>IFERROR(VLOOKUP($A26,GeoAreaCompletion[#All],9,FALSE)/VLOOKUP($A26,GeoAreaCompletion[#All],8,FALSE),0)</f>
        <v>1.891891891891892E-2</v>
      </c>
      <c r="O26" s="39">
        <f>IFERROR(VLOOKUP($A26,GeoAreaCompletion[#All],10,FALSE)/$F26,0)</f>
        <v>0</v>
      </c>
      <c r="P26" s="81">
        <f>IFERROR(VLOOKUP($A26,GeoAreaCompletion[#All],11,FALSE)/VLOOKUP($A26,GeoAreaCompletion[#All],10,FALSE),0)</f>
        <v>0</v>
      </c>
      <c r="Q26" s="41">
        <f>IFERROR(VLOOKUP($A26,GeoAreaCompletion[#All],12,FALSE)/$F26,0)</f>
        <v>0</v>
      </c>
      <c r="R26" s="80">
        <f>IFERROR(VLOOKUP($A26,GeoAreaCompletion[#All],13,FALSE)/VLOOKUP($A26,GeoAreaCompletion[#All],12,FALSE),0)</f>
        <v>0</v>
      </c>
      <c r="S26" s="41">
        <f>IFERROR(VLOOKUP($A26,GeoAreaCompletion[#All],14,FALSE)/$F26,0)</f>
        <v>0</v>
      </c>
      <c r="T26" s="80">
        <f>IFERROR(VLOOKUP($A26,GeoAreaCompletion[#All],15,FALSE)/VLOOKUP($A26,GeoAreaCompletion[#All],14,FALSE),0)</f>
        <v>0</v>
      </c>
      <c r="U26" s="290">
        <f>IFERROR(VLOOKUP($A26,GeoAreaCompletion[#All],16,FALSE),0)</f>
        <v>370</v>
      </c>
      <c r="V26" s="289">
        <f>IFERROR(VLOOKUP($A26,GeoAreaCompletion[#All],16,FALSE)/$F26,0)</f>
        <v>0.90909090909090906</v>
      </c>
      <c r="W26" s="40">
        <f>IFERROR(VLOOKUP(A26,GeoAreaCompletion[[#Headers],[#Data]],17,FALSE)/'GeoArea Completion'!F26,0)</f>
        <v>1.7199017199017199E-2</v>
      </c>
    </row>
    <row r="27" spans="1:31" hidden="1" x14ac:dyDescent="0.35">
      <c r="A27" s="121"/>
      <c r="B27" s="212"/>
      <c r="C27" s="294"/>
      <c r="D27" s="295"/>
      <c r="E27" s="295"/>
      <c r="F27" s="296"/>
      <c r="G27" s="213"/>
      <c r="H27" s="40"/>
      <c r="I27" s="39"/>
      <c r="J27" s="40"/>
      <c r="K27" s="39"/>
      <c r="L27" s="40"/>
      <c r="M27" s="39"/>
      <c r="N27" s="40"/>
      <c r="O27" s="39"/>
      <c r="P27" s="81"/>
      <c r="Q27" s="41"/>
      <c r="R27" s="80"/>
      <c r="S27" s="41"/>
      <c r="T27" s="80"/>
      <c r="U27" s="290">
        <f>IFERROR(VLOOKUP($A27,GeoAreaCompletion[#All],16,FALSE),0)</f>
        <v>0</v>
      </c>
      <c r="V27" s="289"/>
      <c r="W27" s="40"/>
    </row>
    <row r="28" spans="1:31" x14ac:dyDescent="0.35">
      <c r="A28" s="300">
        <v>10474</v>
      </c>
      <c r="B28" s="312"/>
      <c r="C28" s="313"/>
      <c r="D28" s="314">
        <f>IFERROR(VLOOKUP(A28,GeoAreaTotalPlaces[#All],2,FALSE),0)</f>
        <v>606</v>
      </c>
      <c r="E28" s="314">
        <f>IFERROR(VLOOKUP(A28,GeoAreaTotalPlaces[#All],3,FALSE),0)</f>
        <v>139</v>
      </c>
      <c r="F28" s="315">
        <f t="shared" si="0"/>
        <v>745</v>
      </c>
      <c r="G28" s="316">
        <f>IFERROR(VLOOKUP($A28,GeoAreaCompletion[#All],2,FALSE)/$F28,0)</f>
        <v>0</v>
      </c>
      <c r="H28" s="317">
        <f>IFERROR(VLOOKUP($A28,GeoAreaCompletion[#All],3,FALSE)/VLOOKUP($A28,GeoAreaCompletion[#All],2,FALSE),0)</f>
        <v>0</v>
      </c>
      <c r="I28" s="318">
        <f>IFERROR(VLOOKUP($A28,GeoAreaCompletion[#All],4,FALSE)/$F28,0)</f>
        <v>0</v>
      </c>
      <c r="J28" s="317">
        <f>IFERROR(VLOOKUP($A28,GeoAreaCompletion[#All],5,FALSE)/VLOOKUP($A28,GeoAreaCompletion[#All],4,FALSE),0)</f>
        <v>0</v>
      </c>
      <c r="K28" s="318">
        <f>IFERROR(VLOOKUP($A28,GeoAreaCompletion[#All],6,FALSE)/$F28,0)</f>
        <v>0</v>
      </c>
      <c r="L28" s="317">
        <f>IFERROR(VLOOKUP($A28,GeoAreaCompletion[#All],7,FALSE)/VLOOKUP($A28,GeoAreaCompletion[#All],6,FALSE),0)</f>
        <v>0</v>
      </c>
      <c r="M28" s="318">
        <f>IFERROR(VLOOKUP($A28,GeoAreaCompletion[#All],8,FALSE)/$F28,0)</f>
        <v>0.64832214765100671</v>
      </c>
      <c r="N28" s="317">
        <f>IFERROR(VLOOKUP($A28,GeoAreaCompletion[#All],9,FALSE)/VLOOKUP($A28,GeoAreaCompletion[#All],8,FALSE),0)</f>
        <v>7.4534161490683232E-2</v>
      </c>
      <c r="O28" s="318">
        <f>IFERROR(VLOOKUP($A28,GeoAreaCompletion[#All],10,FALSE)/$F28,0)</f>
        <v>0</v>
      </c>
      <c r="P28" s="319">
        <f>IFERROR(VLOOKUP($A28,GeoAreaCompletion[#All],11,FALSE)/VLOOKUP($A28,GeoAreaCompletion[#All],10,FALSE),0)</f>
        <v>0</v>
      </c>
      <c r="Q28" s="307">
        <f>IFERROR(VLOOKUP($A28,GeoAreaCompletion[#All],12,FALSE)/$F28,0)</f>
        <v>0</v>
      </c>
      <c r="R28" s="308">
        <f>IFERROR(VLOOKUP($A28,GeoAreaCompletion[#All],13,FALSE)/VLOOKUP($A28,GeoAreaCompletion[#All],12,FALSE),0)</f>
        <v>0</v>
      </c>
      <c r="S28" s="307">
        <f>IFERROR(VLOOKUP($A28,GeoAreaCompletion[#All],14,FALSE)/$F28,0)</f>
        <v>0</v>
      </c>
      <c r="T28" s="308">
        <f>IFERROR(VLOOKUP($A28,GeoAreaCompletion[#All],15,FALSE)/VLOOKUP($A28,GeoAreaCompletion[#All],14,FALSE),0)</f>
        <v>0</v>
      </c>
      <c r="U28" s="320">
        <f>IFERROR(VLOOKUP($A28,GeoAreaCompletion[#All],16,FALSE),0)</f>
        <v>483</v>
      </c>
      <c r="V28" s="321">
        <f>IFERROR(VLOOKUP($A28,GeoAreaCompletion[#All],16,FALSE)/$F28,0)</f>
        <v>0.64832214765100671</v>
      </c>
      <c r="W28" s="317">
        <f>IFERROR(VLOOKUP(A28,GeoAreaCompletion[[#Headers],[#Data]],17,FALSE)/'GeoArea Completion'!F28,0)</f>
        <v>4.832214765100671E-2</v>
      </c>
    </row>
    <row r="29" spans="1:31" ht="15" thickBot="1" x14ac:dyDescent="0.4">
      <c r="A29" s="121">
        <v>11207</v>
      </c>
      <c r="B29" s="212" t="s">
        <v>93</v>
      </c>
      <c r="C29" s="294">
        <f>IFERROR(VLOOKUP(A29,GeoAreaTotalPlaces[#All],2,FALSE),0)</f>
        <v>1926</v>
      </c>
      <c r="D29" s="295"/>
      <c r="E29" s="295">
        <f>IFERROR(VLOOKUP(A29,GeoAreaTotalPlaces[#All],3,FALSE),0)</f>
        <v>377</v>
      </c>
      <c r="F29" s="296">
        <f t="shared" si="0"/>
        <v>2303</v>
      </c>
      <c r="G29" s="213">
        <f>IFERROR(VLOOKUP($A29,GeoAreaCompletion[#All],2,FALSE)/$F29,0)</f>
        <v>0.15371254884932697</v>
      </c>
      <c r="H29" s="40">
        <f>IFERROR(VLOOKUP($A29,GeoAreaCompletion[#All],3,FALSE)/VLOOKUP($A29,GeoAreaCompletion[#All],2,FALSE),0)</f>
        <v>4.2372881355932202E-2</v>
      </c>
      <c r="I29" s="39">
        <f>IFERROR(VLOOKUP($A29,GeoAreaCompletion[#All],4,FALSE)/$F29,0)</f>
        <v>5.3408597481545812E-2</v>
      </c>
      <c r="J29" s="40">
        <f>IFERROR(VLOOKUP($A29,GeoAreaCompletion[#All],5,FALSE)/VLOOKUP($A29,GeoAreaCompletion[#All],4,FALSE),0)</f>
        <v>5.6910569105691054E-2</v>
      </c>
      <c r="K29" s="39">
        <f>IFERROR(VLOOKUP($A29,GeoAreaCompletion[#All],6,FALSE)/$F29,0)</f>
        <v>0.22579244463742945</v>
      </c>
      <c r="L29" s="40">
        <f>IFERROR(VLOOKUP($A29,GeoAreaCompletion[#All],7,FALSE)/VLOOKUP($A29,GeoAreaCompletion[#All],6,FALSE),0)</f>
        <v>6.1538461538461542E-2</v>
      </c>
      <c r="M29" s="39">
        <f>IFERROR(VLOOKUP($A29,GeoAreaCompletion[#All],8,FALSE)/$F29,0)</f>
        <v>0.10551454624402953</v>
      </c>
      <c r="N29" s="40">
        <f>IFERROR(VLOOKUP($A29,GeoAreaCompletion[#All],9,FALSE)/VLOOKUP($A29,GeoAreaCompletion[#All],8,FALSE),0)</f>
        <v>0.13991769547325103</v>
      </c>
      <c r="O29" s="39">
        <f>IFERROR(VLOOKUP($A29,GeoAreaCompletion[#All],10,FALSE)/$F29,0)</f>
        <v>0</v>
      </c>
      <c r="P29" s="81">
        <f>IFERROR(VLOOKUP($A29,GeoAreaCompletion[#All],11,FALSE)/VLOOKUP($A29,GeoAreaCompletion[#All],10,FALSE),0)</f>
        <v>0</v>
      </c>
      <c r="Q29" s="41">
        <f>IFERROR(VLOOKUP($A29,GeoAreaCompletion[#All],12,FALSE)/$F29,0)</f>
        <v>0</v>
      </c>
      <c r="R29" s="80">
        <f>IFERROR(VLOOKUP($A29,GeoAreaCompletion[#All],13,FALSE)/VLOOKUP($A29,GeoAreaCompletion[#All],12,FALSE),0)</f>
        <v>0</v>
      </c>
      <c r="S29" s="41">
        <f>IFERROR(VLOOKUP($A29,GeoAreaCompletion[#All],14,FALSE)/$F29,0)</f>
        <v>0</v>
      </c>
      <c r="T29" s="80">
        <f>IFERROR(VLOOKUP($A29,GeoAreaCompletion[#All],15,FALSE)/VLOOKUP($A29,GeoAreaCompletion[#All],14,FALSE),0)</f>
        <v>0</v>
      </c>
      <c r="U29" s="290">
        <f>IFERROR(VLOOKUP($A29,GeoAreaCompletion[#All],16,FALSE),0)</f>
        <v>1240</v>
      </c>
      <c r="V29" s="289">
        <f>IFERROR(VLOOKUP($A29,GeoAreaCompletion[#All],16,FALSE)/$F29,0)</f>
        <v>0.53842813721233174</v>
      </c>
      <c r="W29" s="40">
        <f>IFERROR(VLOOKUP(A29,GeoAreaCompletion[[#Headers],[#Data]],17,FALSE)/'GeoArea Completion'!F29,0)</f>
        <v>3.8211029092488059E-2</v>
      </c>
    </row>
    <row r="30" spans="1:31" ht="15" hidden="1" thickBot="1" x14ac:dyDescent="0.4">
      <c r="A30" s="121"/>
      <c r="B30" s="212"/>
      <c r="C30" s="294"/>
      <c r="D30" s="295"/>
      <c r="E30" s="295"/>
      <c r="F30" s="296"/>
      <c r="G30" s="213"/>
      <c r="H30" s="40"/>
      <c r="I30" s="39"/>
      <c r="J30" s="40"/>
      <c r="K30" s="39"/>
      <c r="L30" s="40"/>
      <c r="M30" s="39"/>
      <c r="N30" s="40"/>
      <c r="O30" s="39"/>
      <c r="P30" s="81"/>
      <c r="Q30" s="41"/>
      <c r="R30" s="80"/>
      <c r="S30" s="41"/>
      <c r="T30" s="80"/>
      <c r="U30" s="39"/>
      <c r="V30" s="289"/>
      <c r="W30" s="40"/>
    </row>
    <row r="31" spans="1:31" ht="15" hidden="1" thickBot="1" x14ac:dyDescent="0.4">
      <c r="A31" s="121"/>
      <c r="B31" s="212"/>
      <c r="C31" s="297"/>
      <c r="D31" s="298"/>
      <c r="E31" s="298"/>
      <c r="F31" s="299"/>
      <c r="G31" s="213"/>
      <c r="H31" s="40"/>
      <c r="I31" s="39"/>
      <c r="J31" s="40"/>
      <c r="K31" s="39"/>
      <c r="L31" s="40"/>
      <c r="M31" s="39"/>
      <c r="N31" s="40"/>
      <c r="O31" s="39"/>
      <c r="P31" s="81"/>
      <c r="Q31" s="41"/>
      <c r="R31" s="80"/>
      <c r="S31" s="41"/>
      <c r="T31" s="80"/>
      <c r="U31" s="291"/>
      <c r="V31" s="292"/>
      <c r="W31" s="293"/>
    </row>
    <row r="32" spans="1:31" ht="15" thickBot="1" x14ac:dyDescent="0.4">
      <c r="A32" s="333" t="s">
        <v>15</v>
      </c>
      <c r="B32" s="334"/>
      <c r="C32" s="322">
        <f>SUM(C5:C31)</f>
        <v>14080</v>
      </c>
      <c r="D32" s="323">
        <f>SUM(D5:D31)</f>
        <v>10977</v>
      </c>
      <c r="E32" s="324">
        <f>SUM(E5:E31)</f>
        <v>6411</v>
      </c>
      <c r="F32" s="325">
        <f>C32+D32+E32</f>
        <v>31468</v>
      </c>
      <c r="G32" s="326">
        <f>SUM(GeoAreaCompletion[mapped])/$F32</f>
        <v>9.6955637472988437E-2</v>
      </c>
      <c r="H32" s="327">
        <f>SUM(GeoAreaCompletion[FieldCheck])/SUM(GeoAreaCompletion[mapped])</f>
        <v>6.719108489019994E-2</v>
      </c>
      <c r="I32" s="326">
        <f>SUM(GeoAreaCompletion[mapped2])/$F32</f>
        <v>0.17014109571628322</v>
      </c>
      <c r="J32" s="327">
        <f>SUM(GeoAreaCompletion[FieldCheck2])/SUM(GeoAreaCompletion[mapped2])</f>
        <v>2.2413149047441166E-2</v>
      </c>
      <c r="K32" s="326">
        <f>SUM(GeoAreaCompletion[mapped3])/$F32</f>
        <v>0.15599974577348416</v>
      </c>
      <c r="L32" s="327">
        <f>SUM(GeoAreaCompletion[FieldCheck3])/SUM(GeoAreaCompletion[mapped3])</f>
        <v>7.6797718476268081E-2</v>
      </c>
      <c r="M32" s="326">
        <f>SUM(GeoAreaCompletion[mapped4])/$F32</f>
        <v>0.11290835134104488</v>
      </c>
      <c r="N32" s="327">
        <f>IFERROR(SUM(GeoAreaCompletion[FieldCheck4])/SUM(GeoAreaCompletion[mapped4]),0)</f>
        <v>0.12637207993245145</v>
      </c>
      <c r="O32" s="326">
        <f>SUM(GeoAreaCompletion[mapped5])/$F32</f>
        <v>0</v>
      </c>
      <c r="P32" s="328">
        <f>IFERROR(SUM(GeoAreaCompletion[FieldCheck5])/SUM(GeoAreaCompletion[mapped5]),0)</f>
        <v>0</v>
      </c>
      <c r="Q32" s="326">
        <f>SUM(GeoAreaCompletion[mapped6])/$F32</f>
        <v>4.7794584975212911E-2</v>
      </c>
      <c r="R32" s="328">
        <f>IFERROR(SUM(GeoAreaCompletion[FieldCheck6])/SUM(GeoAreaCompletion[mapped6]),0)</f>
        <v>0.55984042553191493</v>
      </c>
      <c r="S32" s="326">
        <f>SUM(GeoAreaCompletion[mapped7])/$F32</f>
        <v>0</v>
      </c>
      <c r="T32" s="328">
        <f>IFERROR(SUM(GeoAreaCompletion[FieldCheck7])/SUM(GeoAreaCompletion[mapped7]),0)</f>
        <v>0</v>
      </c>
      <c r="U32" s="329">
        <f>SUM(U5:U29)</f>
        <v>18371</v>
      </c>
      <c r="V32" s="330">
        <f>IFERROR(VLOOKUP($A32,GeoAreaCompletion[#All],16,FALSE)/$F32,0)</f>
        <v>0.58379941527901358</v>
      </c>
      <c r="W32" s="327">
        <f>IFERROR(VLOOKUP(A32,GeoAreaCompletion[#All],17,FALSE)/'GeoArea Completion'!F32,0)</f>
        <v>6.3334180755052746E-2</v>
      </c>
    </row>
  </sheetData>
  <mergeCells count="20">
    <mergeCell ref="U2:W3"/>
    <mergeCell ref="O2:P2"/>
    <mergeCell ref="O3:P3"/>
    <mergeCell ref="Q2:R2"/>
    <mergeCell ref="Q3:R3"/>
    <mergeCell ref="S2:T2"/>
    <mergeCell ref="S3:T3"/>
    <mergeCell ref="A32:B32"/>
    <mergeCell ref="A1:H1"/>
    <mergeCell ref="M2:N2"/>
    <mergeCell ref="M3:N3"/>
    <mergeCell ref="A2:A4"/>
    <mergeCell ref="B2:B4"/>
    <mergeCell ref="C2:F3"/>
    <mergeCell ref="G2:H2"/>
    <mergeCell ref="G3:H3"/>
    <mergeCell ref="I2:J2"/>
    <mergeCell ref="I3:J3"/>
    <mergeCell ref="K2:L2"/>
    <mergeCell ref="K3:L3"/>
  </mergeCells>
  <conditionalFormatting sqref="G30:W31 G5:T29 V5:W29 G32:T32 V32:W32">
    <cfRule type="cellIs" dxfId="62" priority="10" operator="equal">
      <formula>0</formula>
    </cfRule>
    <cfRule type="cellIs" dxfId="61" priority="11" operator="greaterThan">
      <formula>0</formula>
    </cfRule>
  </conditionalFormatting>
  <conditionalFormatting sqref="F32 D5:F31">
    <cfRule type="cellIs" dxfId="60" priority="8" operator="equal">
      <formula>0</formula>
    </cfRule>
    <cfRule type="cellIs" dxfId="59" priority="9" operator="greaterThan">
      <formula>0</formula>
    </cfRule>
  </conditionalFormatting>
  <conditionalFormatting sqref="C32:E32">
    <cfRule type="cellIs" dxfId="58" priority="5" operator="equal">
      <formula>0</formula>
    </cfRule>
    <cfRule type="cellIs" dxfId="57" priority="6" operator="greaterThan">
      <formula>0</formula>
    </cfRule>
  </conditionalFormatting>
  <pageMargins left="0.25" right="0.25" top="0.75" bottom="0.75" header="0.3" footer="0.3"/>
  <pageSetup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20"/>
  <sheetViews>
    <sheetView tabSelected="1" zoomScale="70" zoomScaleNormal="70" workbookViewId="0">
      <pane xSplit="1" ySplit="1" topLeftCell="I2" activePane="bottomRight" state="frozen"/>
      <selection pane="topRight" activeCell="B1" sqref="B1"/>
      <selection pane="bottomLeft" activeCell="A5" sqref="A5"/>
      <selection pane="bottomRight" activeCell="AJ14" activeCellId="3" sqref="AJ5 AJ8 AJ11 AJ14"/>
    </sheetView>
  </sheetViews>
  <sheetFormatPr defaultRowHeight="14.5" x14ac:dyDescent="0.35"/>
  <cols>
    <col min="1" max="1" width="13.36328125" customWidth="1"/>
    <col min="2" max="2" width="9.81640625" customWidth="1"/>
    <col min="3" max="3" width="8.1796875" customWidth="1"/>
    <col min="4" max="4" width="10.81640625" style="16" customWidth="1"/>
    <col min="5" max="5" width="8.26953125" customWidth="1"/>
    <col min="6" max="6" width="7.81640625" customWidth="1"/>
    <col min="7" max="7" width="7.81640625" style="16" customWidth="1"/>
    <col min="8" max="8" width="13.81640625" style="16" customWidth="1"/>
    <col min="9" max="9" width="8.453125" customWidth="1"/>
    <col min="10" max="10" width="9.453125" customWidth="1"/>
    <col min="11" max="11" width="8.453125" style="16" customWidth="1"/>
    <col min="12" max="12" width="9.81640625" style="16" customWidth="1"/>
    <col min="13" max="13" width="8.81640625" customWidth="1"/>
    <col min="14" max="14" width="8" customWidth="1"/>
    <col min="15" max="15" width="7.7265625" style="16" customWidth="1"/>
    <col min="16" max="16" width="10.1796875" style="16" customWidth="1"/>
    <col min="17" max="17" width="8.81640625" customWidth="1"/>
    <col min="18" max="18" width="8" customWidth="1"/>
    <col min="19" max="19" width="8.7265625" style="16" customWidth="1"/>
    <col min="20" max="20" width="11.26953125" style="16" customWidth="1"/>
    <col min="21" max="22" width="8.7265625" customWidth="1"/>
    <col min="23" max="23" width="7.54296875" style="16" customWidth="1"/>
    <col min="24" max="29" width="9.54296875" style="16" hidden="1" customWidth="1"/>
    <col min="30" max="30" width="10.81640625" style="16" customWidth="1"/>
    <col min="31" max="31" width="9.54296875" customWidth="1"/>
    <col min="32" max="32" width="8.7265625" customWidth="1"/>
    <col min="33" max="33" width="7.81640625" style="16" customWidth="1"/>
    <col min="34" max="34" width="10.81640625" customWidth="1"/>
  </cols>
  <sheetData>
    <row r="1" spans="1:37" ht="20" thickBot="1" x14ac:dyDescent="0.5">
      <c r="A1" s="396" t="s">
        <v>189</v>
      </c>
      <c r="B1" s="396"/>
      <c r="C1" s="396"/>
      <c r="D1" s="396"/>
      <c r="E1" s="396"/>
      <c r="F1" s="396"/>
      <c r="G1" s="396"/>
      <c r="H1" s="396"/>
      <c r="I1" s="396"/>
      <c r="J1" s="16"/>
      <c r="M1" s="16"/>
      <c r="N1" s="16"/>
      <c r="Q1" s="16"/>
      <c r="R1" s="16"/>
      <c r="U1" s="16"/>
      <c r="V1" s="16"/>
      <c r="AE1" s="16"/>
      <c r="AF1" s="16"/>
      <c r="AH1" s="16"/>
      <c r="AI1" s="16"/>
    </row>
    <row r="2" spans="1:37" ht="15" thickBot="1" x14ac:dyDescent="0.4">
      <c r="A2" s="397" t="s">
        <v>1</v>
      </c>
      <c r="B2" s="400" t="s">
        <v>96</v>
      </c>
      <c r="C2" s="403" t="s">
        <v>2</v>
      </c>
      <c r="D2" s="388" t="s">
        <v>3</v>
      </c>
      <c r="E2" s="389"/>
      <c r="F2" s="389"/>
      <c r="G2" s="390"/>
      <c r="H2" s="388" t="s">
        <v>4</v>
      </c>
      <c r="I2" s="389"/>
      <c r="J2" s="389"/>
      <c r="K2" s="390"/>
      <c r="L2" s="388" t="s">
        <v>5</v>
      </c>
      <c r="M2" s="389"/>
      <c r="N2" s="389"/>
      <c r="O2" s="390"/>
      <c r="P2" s="388" t="s">
        <v>6</v>
      </c>
      <c r="Q2" s="389"/>
      <c r="R2" s="389"/>
      <c r="S2" s="390"/>
      <c r="T2" s="388" t="s">
        <v>7</v>
      </c>
      <c r="U2" s="389"/>
      <c r="V2" s="389"/>
      <c r="W2" s="390"/>
      <c r="X2" s="391" t="s">
        <v>85</v>
      </c>
      <c r="Y2" s="392"/>
      <c r="Z2" s="393"/>
      <c r="AA2" s="394" t="s">
        <v>86</v>
      </c>
      <c r="AB2" s="392"/>
      <c r="AC2" s="395"/>
      <c r="AD2" s="371" t="s">
        <v>237</v>
      </c>
      <c r="AE2" s="372"/>
      <c r="AF2" s="372"/>
      <c r="AG2" s="373"/>
      <c r="AH2" s="340" t="s">
        <v>99</v>
      </c>
      <c r="AI2" s="377" t="s">
        <v>78</v>
      </c>
    </row>
    <row r="3" spans="1:37" ht="15" thickBot="1" x14ac:dyDescent="0.4">
      <c r="A3" s="398"/>
      <c r="B3" s="401"/>
      <c r="C3" s="404"/>
      <c r="D3" s="380" t="s">
        <v>9</v>
      </c>
      <c r="E3" s="381"/>
      <c r="F3" s="381"/>
      <c r="G3" s="382"/>
      <c r="H3" s="380" t="s">
        <v>10</v>
      </c>
      <c r="I3" s="381"/>
      <c r="J3" s="381"/>
      <c r="K3" s="382"/>
      <c r="L3" s="380" t="s">
        <v>11</v>
      </c>
      <c r="M3" s="381"/>
      <c r="N3" s="381"/>
      <c r="O3" s="382"/>
      <c r="P3" s="380" t="s">
        <v>12</v>
      </c>
      <c r="Q3" s="381"/>
      <c r="R3" s="381"/>
      <c r="S3" s="382"/>
      <c r="T3" s="380" t="s">
        <v>13</v>
      </c>
      <c r="U3" s="381"/>
      <c r="V3" s="381"/>
      <c r="W3" s="382"/>
      <c r="X3" s="383" t="s">
        <v>87</v>
      </c>
      <c r="Y3" s="384"/>
      <c r="Z3" s="385"/>
      <c r="AA3" s="386" t="s">
        <v>88</v>
      </c>
      <c r="AB3" s="384"/>
      <c r="AC3" s="387"/>
      <c r="AD3" s="374"/>
      <c r="AE3" s="375"/>
      <c r="AF3" s="375"/>
      <c r="AG3" s="376"/>
      <c r="AH3" s="341"/>
      <c r="AI3" s="378"/>
    </row>
    <row r="4" spans="1:37" ht="42.5" thickBot="1" x14ac:dyDescent="0.4">
      <c r="A4" s="399"/>
      <c r="B4" s="402"/>
      <c r="C4" s="405"/>
      <c r="D4" s="104" t="s">
        <v>97</v>
      </c>
      <c r="E4" s="105" t="s">
        <v>23</v>
      </c>
      <c r="F4" s="105" t="s">
        <v>105</v>
      </c>
      <c r="G4" s="111" t="s">
        <v>100</v>
      </c>
      <c r="H4" s="104" t="s">
        <v>97</v>
      </c>
      <c r="I4" s="105" t="s">
        <v>23</v>
      </c>
      <c r="J4" s="105" t="s">
        <v>105</v>
      </c>
      <c r="K4" s="111" t="s">
        <v>100</v>
      </c>
      <c r="L4" s="104" t="s">
        <v>97</v>
      </c>
      <c r="M4" s="105" t="s">
        <v>23</v>
      </c>
      <c r="N4" s="105" t="s">
        <v>105</v>
      </c>
      <c r="O4" s="111" t="s">
        <v>100</v>
      </c>
      <c r="P4" s="104" t="s">
        <v>97</v>
      </c>
      <c r="Q4" s="105" t="s">
        <v>23</v>
      </c>
      <c r="R4" s="105" t="s">
        <v>105</v>
      </c>
      <c r="S4" s="111" t="s">
        <v>100</v>
      </c>
      <c r="T4" s="104" t="s">
        <v>97</v>
      </c>
      <c r="U4" s="105" t="s">
        <v>23</v>
      </c>
      <c r="V4" s="105" t="s">
        <v>105</v>
      </c>
      <c r="W4" s="111" t="s">
        <v>100</v>
      </c>
      <c r="X4" s="106" t="s">
        <v>23</v>
      </c>
      <c r="Y4" s="107" t="s">
        <v>28</v>
      </c>
      <c r="Z4" s="107" t="s">
        <v>77</v>
      </c>
      <c r="AA4" s="107" t="s">
        <v>23</v>
      </c>
      <c r="AB4" s="107" t="s">
        <v>28</v>
      </c>
      <c r="AC4" s="108" t="s">
        <v>77</v>
      </c>
      <c r="AD4" s="109" t="s">
        <v>98</v>
      </c>
      <c r="AE4" s="110" t="s">
        <v>23</v>
      </c>
      <c r="AF4" s="105" t="s">
        <v>105</v>
      </c>
      <c r="AG4" s="111" t="s">
        <v>100</v>
      </c>
      <c r="AH4" s="342"/>
      <c r="AI4" s="379"/>
    </row>
    <row r="5" spans="1:37" x14ac:dyDescent="0.35">
      <c r="A5" s="362" t="s">
        <v>139</v>
      </c>
      <c r="B5" s="365">
        <v>8034</v>
      </c>
      <c r="C5" s="30" t="s">
        <v>14</v>
      </c>
      <c r="D5" s="31">
        <v>8034</v>
      </c>
      <c r="E5" s="32">
        <v>1092</v>
      </c>
      <c r="F5" s="32">
        <v>29</v>
      </c>
      <c r="G5" s="32">
        <v>2</v>
      </c>
      <c r="H5" s="34">
        <f>D5-E5</f>
        <v>6942</v>
      </c>
      <c r="I5" s="32">
        <v>2378</v>
      </c>
      <c r="J5" s="32">
        <v>30</v>
      </c>
      <c r="K5" s="32">
        <v>12</v>
      </c>
      <c r="L5" s="34">
        <f>H5-I5</f>
        <v>4564</v>
      </c>
      <c r="M5" s="32">
        <v>1646</v>
      </c>
      <c r="N5" s="32">
        <v>20</v>
      </c>
      <c r="O5" s="32">
        <v>100</v>
      </c>
      <c r="P5" s="34">
        <f>L5-M5</f>
        <v>2918</v>
      </c>
      <c r="Q5" s="32">
        <v>210</v>
      </c>
      <c r="R5" s="32">
        <v>0</v>
      </c>
      <c r="S5" s="32">
        <v>30</v>
      </c>
      <c r="T5" s="34">
        <f>P5-Q5</f>
        <v>2708</v>
      </c>
      <c r="U5" s="32">
        <v>0</v>
      </c>
      <c r="V5" s="32">
        <v>0</v>
      </c>
      <c r="W5" s="32">
        <v>0</v>
      </c>
      <c r="X5" s="34">
        <v>0</v>
      </c>
      <c r="Y5" s="32">
        <v>0</v>
      </c>
      <c r="Z5" s="32" t="e">
        <v>#REF!</v>
      </c>
      <c r="AA5" s="32">
        <v>0</v>
      </c>
      <c r="AB5" s="32">
        <v>0</v>
      </c>
      <c r="AC5" s="35" t="e">
        <v>#REF!</v>
      </c>
      <c r="AD5" s="31">
        <f>B5</f>
        <v>8034</v>
      </c>
      <c r="AE5" s="32">
        <f>U5+Q5+M5+I5+E5</f>
        <v>5326</v>
      </c>
      <c r="AF5" s="32">
        <f>V5+R5+N5+J5+F5</f>
        <v>79</v>
      </c>
      <c r="AG5" s="32">
        <f>W5+S5+O5+K5+G5</f>
        <v>144</v>
      </c>
      <c r="AH5" s="34">
        <v>203</v>
      </c>
      <c r="AI5" s="36">
        <v>15.615384615384615</v>
      </c>
      <c r="AJ5" s="19">
        <f>(AE5+144)/25</f>
        <v>218.8</v>
      </c>
      <c r="AK5" s="19">
        <f>AJ5/10</f>
        <v>21.880000000000003</v>
      </c>
    </row>
    <row r="6" spans="1:37" ht="26" x14ac:dyDescent="0.35">
      <c r="A6" s="363"/>
      <c r="B6" s="366"/>
      <c r="C6" s="83" t="s">
        <v>83</v>
      </c>
      <c r="D6" s="114"/>
      <c r="E6" s="17">
        <v>0.13592233009708737</v>
      </c>
      <c r="F6" s="17">
        <v>2.6556776556776556E-2</v>
      </c>
      <c r="G6" s="114"/>
      <c r="H6" s="114"/>
      <c r="I6" s="17">
        <v>0.34255257850763471</v>
      </c>
      <c r="J6" s="17">
        <v>1.2615643397813289E-2</v>
      </c>
      <c r="K6" s="114"/>
      <c r="L6" s="114"/>
      <c r="M6" s="17">
        <v>0.36064855390008765</v>
      </c>
      <c r="N6" s="17">
        <v>1.2150668286755772E-2</v>
      </c>
      <c r="O6" s="114"/>
      <c r="P6" s="114"/>
      <c r="Q6" s="17">
        <v>7.1967100753941055E-2</v>
      </c>
      <c r="R6" s="17">
        <v>0</v>
      </c>
      <c r="S6" s="114"/>
      <c r="T6" s="114"/>
      <c r="U6" s="17">
        <v>0</v>
      </c>
      <c r="V6" s="17">
        <v>0</v>
      </c>
      <c r="W6" s="114"/>
      <c r="X6" s="24">
        <v>0</v>
      </c>
      <c r="Y6" s="17">
        <v>0</v>
      </c>
      <c r="Z6" s="17"/>
      <c r="AA6" s="17">
        <v>0</v>
      </c>
      <c r="AB6" s="17">
        <v>0</v>
      </c>
      <c r="AC6" s="29"/>
      <c r="AD6" s="114"/>
      <c r="AE6" s="17">
        <v>0.66293253671894448</v>
      </c>
      <c r="AF6" s="17">
        <v>1.4832895230942547E-2</v>
      </c>
      <c r="AG6" s="146"/>
      <c r="AH6" s="103"/>
      <c r="AI6" s="25"/>
      <c r="AJ6" s="19"/>
      <c r="AK6" s="19"/>
    </row>
    <row r="7" spans="1:37" ht="15" thickBot="1" x14ac:dyDescent="0.4">
      <c r="A7" s="364"/>
      <c r="B7" s="367"/>
      <c r="C7" s="84" t="s">
        <v>248</v>
      </c>
      <c r="D7" s="26">
        <v>1</v>
      </c>
      <c r="E7" s="27">
        <v>0.13592233009708737</v>
      </c>
      <c r="F7" s="27">
        <v>3.6096589494647746E-3</v>
      </c>
      <c r="G7" s="28">
        <v>7.0921985815602835E-3</v>
      </c>
      <c r="H7" s="37">
        <v>0.86407766990291257</v>
      </c>
      <c r="I7" s="27">
        <v>0.2959920338561115</v>
      </c>
      <c r="J7" s="27">
        <v>3.7341299477221808E-3</v>
      </c>
      <c r="K7" s="28">
        <v>4.2553191489361701E-2</v>
      </c>
      <c r="L7" s="26">
        <v>0.56808563604680107</v>
      </c>
      <c r="M7" s="27">
        <v>0.2048792631316903</v>
      </c>
      <c r="N7" s="27">
        <v>2.4894199651481204E-3</v>
      </c>
      <c r="O7" s="28">
        <v>0.3546099290780142</v>
      </c>
      <c r="P7" s="37">
        <v>0.36320637291511076</v>
      </c>
      <c r="Q7" s="27">
        <v>2.6138909634055265E-2</v>
      </c>
      <c r="R7" s="27">
        <v>0</v>
      </c>
      <c r="S7" s="28">
        <v>0.10638297872340426</v>
      </c>
      <c r="T7" s="26">
        <v>0.33706746328105552</v>
      </c>
      <c r="U7" s="27">
        <v>0</v>
      </c>
      <c r="V7" s="27">
        <v>0</v>
      </c>
      <c r="W7" s="28">
        <v>0</v>
      </c>
      <c r="X7" s="37">
        <v>0</v>
      </c>
      <c r="Y7" s="27">
        <v>0</v>
      </c>
      <c r="Z7" s="27">
        <v>0</v>
      </c>
      <c r="AA7" s="27">
        <v>0</v>
      </c>
      <c r="AB7" s="27">
        <v>0</v>
      </c>
      <c r="AC7" s="38">
        <v>0</v>
      </c>
      <c r="AD7" s="102">
        <v>1</v>
      </c>
      <c r="AE7" s="100">
        <v>0.66293253671894448</v>
      </c>
      <c r="AF7" s="100">
        <v>9.8332088623350761E-3</v>
      </c>
      <c r="AG7" s="28">
        <v>0.51063829787234039</v>
      </c>
      <c r="AH7" s="37"/>
      <c r="AI7" s="28"/>
      <c r="AJ7" s="19"/>
      <c r="AK7" s="19"/>
    </row>
    <row r="8" spans="1:37" x14ac:dyDescent="0.35">
      <c r="A8" s="362" t="s">
        <v>140</v>
      </c>
      <c r="B8" s="365">
        <v>7413</v>
      </c>
      <c r="C8" s="30" t="s">
        <v>14</v>
      </c>
      <c r="D8" s="98">
        <v>7413</v>
      </c>
      <c r="E8" s="99">
        <v>1042</v>
      </c>
      <c r="F8" s="99">
        <v>26</v>
      </c>
      <c r="G8" s="32">
        <v>0</v>
      </c>
      <c r="H8" s="34">
        <f>D8-E8</f>
        <v>6371</v>
      </c>
      <c r="I8" s="99">
        <v>1326</v>
      </c>
      <c r="J8" s="99">
        <v>21</v>
      </c>
      <c r="K8" s="32">
        <v>24</v>
      </c>
      <c r="L8" s="34">
        <f>H8-I8</f>
        <v>5045</v>
      </c>
      <c r="M8" s="32">
        <v>1506</v>
      </c>
      <c r="N8" s="99">
        <v>16</v>
      </c>
      <c r="O8" s="32">
        <v>19</v>
      </c>
      <c r="P8" s="34">
        <f>L8-M8</f>
        <v>3539</v>
      </c>
      <c r="Q8" s="99">
        <v>1668</v>
      </c>
      <c r="R8" s="99">
        <v>19</v>
      </c>
      <c r="S8" s="32">
        <v>36</v>
      </c>
      <c r="T8" s="34">
        <f>P8-Q8</f>
        <v>1871</v>
      </c>
      <c r="U8" s="99">
        <v>0</v>
      </c>
      <c r="V8" s="99">
        <v>0</v>
      </c>
      <c r="W8" s="32">
        <v>0</v>
      </c>
      <c r="X8" s="34">
        <v>0</v>
      </c>
      <c r="Y8" s="32">
        <v>0</v>
      </c>
      <c r="Z8" s="32" t="e">
        <v>#REF!</v>
      </c>
      <c r="AA8" s="32">
        <v>0</v>
      </c>
      <c r="AB8" s="32">
        <v>0</v>
      </c>
      <c r="AC8" s="35" t="e">
        <v>#REF!</v>
      </c>
      <c r="AD8" s="31">
        <f>B8</f>
        <v>7413</v>
      </c>
      <c r="AE8" s="32">
        <f>U8+Q8+M8+I8+E8</f>
        <v>5542</v>
      </c>
      <c r="AF8" s="32">
        <f>V8+R8+N8+J8+F8</f>
        <v>82</v>
      </c>
      <c r="AG8" s="32">
        <f>W8+S8+O8+K8+G8</f>
        <v>79</v>
      </c>
      <c r="AH8" s="34">
        <v>208</v>
      </c>
      <c r="AI8" s="36">
        <v>20.8</v>
      </c>
      <c r="AJ8" s="19">
        <f t="shared" ref="AJ6:AJ16" si="0">(AE8+144)/25</f>
        <v>227.44</v>
      </c>
      <c r="AK8" s="19">
        <f>AJ8/9</f>
        <v>25.271111111111111</v>
      </c>
    </row>
    <row r="9" spans="1:37" ht="26" x14ac:dyDescent="0.35">
      <c r="A9" s="363"/>
      <c r="B9" s="366"/>
      <c r="C9" s="83" t="s">
        <v>83</v>
      </c>
      <c r="D9" s="114"/>
      <c r="E9" s="17">
        <v>0.14056387427492242</v>
      </c>
      <c r="F9" s="17">
        <v>2.4952015355086371E-2</v>
      </c>
      <c r="G9" s="114"/>
      <c r="H9" s="114"/>
      <c r="I9" s="17">
        <v>0.20813059174383927</v>
      </c>
      <c r="J9" s="17">
        <v>1.5837104072398189E-2</v>
      </c>
      <c r="K9" s="114"/>
      <c r="L9" s="114"/>
      <c r="M9" s="17">
        <v>0.2985133795837463</v>
      </c>
      <c r="N9" s="17">
        <v>1.0624169986719787E-2</v>
      </c>
      <c r="O9" s="114"/>
      <c r="P9" s="114"/>
      <c r="Q9" s="17">
        <v>0.47131958180276912</v>
      </c>
      <c r="R9" s="17">
        <v>1.1390887290167866E-2</v>
      </c>
      <c r="S9" s="114"/>
      <c r="T9" s="114"/>
      <c r="U9" s="17">
        <v>0</v>
      </c>
      <c r="V9" s="17">
        <v>0</v>
      </c>
      <c r="W9" s="114"/>
      <c r="X9" s="24">
        <v>0</v>
      </c>
      <c r="Y9" s="17">
        <v>0</v>
      </c>
      <c r="Z9" s="17"/>
      <c r="AA9" s="17">
        <v>0</v>
      </c>
      <c r="AB9" s="17">
        <v>0</v>
      </c>
      <c r="AC9" s="29"/>
      <c r="AD9" s="114"/>
      <c r="AE9" s="17">
        <v>0.74760555780385807</v>
      </c>
      <c r="AF9" s="17">
        <v>1.4796102490075786E-2</v>
      </c>
      <c r="AG9" s="146"/>
      <c r="AH9" s="24"/>
      <c r="AI9" s="25"/>
      <c r="AJ9" s="19"/>
      <c r="AK9" s="19"/>
    </row>
    <row r="10" spans="1:37" ht="15" thickBot="1" x14ac:dyDescent="0.4">
      <c r="A10" s="364"/>
      <c r="B10" s="367"/>
      <c r="C10" s="84" t="s">
        <v>248</v>
      </c>
      <c r="D10" s="102">
        <v>1</v>
      </c>
      <c r="E10" s="100">
        <v>0.14056387427492242</v>
      </c>
      <c r="F10" s="100">
        <v>3.507351949278295E-3</v>
      </c>
      <c r="G10" s="28">
        <v>0</v>
      </c>
      <c r="H10" s="101">
        <v>0.85943612572507755</v>
      </c>
      <c r="I10" s="100">
        <v>0.17887494941319304</v>
      </c>
      <c r="J10" s="100">
        <v>2.8328611898016999E-3</v>
      </c>
      <c r="K10" s="28">
        <v>8.5106382978723402E-2</v>
      </c>
      <c r="L10" s="102">
        <v>0.68056117631188451</v>
      </c>
      <c r="M10" s="100">
        <v>0.20315661675435046</v>
      </c>
      <c r="N10" s="100">
        <v>2.1583704303251047E-3</v>
      </c>
      <c r="O10" s="28">
        <v>6.7375886524822695E-2</v>
      </c>
      <c r="P10" s="101">
        <v>0.47740455955753408</v>
      </c>
      <c r="Q10" s="100">
        <v>0.22501011736139215</v>
      </c>
      <c r="R10" s="100">
        <v>2.5630648860110617E-3</v>
      </c>
      <c r="S10" s="28">
        <v>0.1276595744680851</v>
      </c>
      <c r="T10" s="102">
        <v>0.25239444219614193</v>
      </c>
      <c r="U10" s="100">
        <v>0</v>
      </c>
      <c r="V10" s="100">
        <v>0</v>
      </c>
      <c r="W10" s="28">
        <v>0</v>
      </c>
      <c r="X10" s="37">
        <v>0</v>
      </c>
      <c r="Y10" s="27">
        <v>0</v>
      </c>
      <c r="Z10" s="27">
        <v>0</v>
      </c>
      <c r="AA10" s="27">
        <v>0</v>
      </c>
      <c r="AB10" s="27">
        <v>0</v>
      </c>
      <c r="AC10" s="38">
        <v>0</v>
      </c>
      <c r="AD10" s="26">
        <v>1</v>
      </c>
      <c r="AE10" s="27">
        <v>0.74760555780385807</v>
      </c>
      <c r="AF10" s="27">
        <v>1.106164845541616E-2</v>
      </c>
      <c r="AG10" s="28">
        <v>0.28014184397163122</v>
      </c>
      <c r="AH10" s="37"/>
      <c r="AI10" s="28"/>
      <c r="AJ10" s="19"/>
      <c r="AK10" s="19"/>
    </row>
    <row r="11" spans="1:37" x14ac:dyDescent="0.35">
      <c r="A11" s="362" t="s">
        <v>141</v>
      </c>
      <c r="B11" s="365">
        <v>10911</v>
      </c>
      <c r="C11" s="30" t="s">
        <v>14</v>
      </c>
      <c r="D11" s="31">
        <v>10911</v>
      </c>
      <c r="E11" s="32">
        <v>591</v>
      </c>
      <c r="F11" s="32">
        <v>34</v>
      </c>
      <c r="G11" s="32">
        <v>0</v>
      </c>
      <c r="H11" s="34">
        <f>D11-E11</f>
        <v>10320</v>
      </c>
      <c r="I11" s="32">
        <v>1156</v>
      </c>
      <c r="J11" s="32">
        <v>29</v>
      </c>
      <c r="K11" s="32">
        <v>0</v>
      </c>
      <c r="L11" s="34">
        <f>H11-I11</f>
        <v>9164</v>
      </c>
      <c r="M11" s="32">
        <v>1237</v>
      </c>
      <c r="N11" s="32">
        <v>27</v>
      </c>
      <c r="O11" s="32">
        <v>30</v>
      </c>
      <c r="P11" s="34">
        <f>L11-M11</f>
        <v>7927</v>
      </c>
      <c r="Q11" s="32">
        <v>1199</v>
      </c>
      <c r="R11" s="32">
        <v>4</v>
      </c>
      <c r="S11" s="32">
        <v>0</v>
      </c>
      <c r="T11" s="34">
        <f>P11-Q11</f>
        <v>6728</v>
      </c>
      <c r="U11" s="32">
        <v>0</v>
      </c>
      <c r="V11" s="32">
        <v>0</v>
      </c>
      <c r="W11" s="32">
        <v>0</v>
      </c>
      <c r="X11" s="34">
        <v>0</v>
      </c>
      <c r="Y11" s="32">
        <v>0</v>
      </c>
      <c r="Z11" s="32" t="e">
        <v>#REF!</v>
      </c>
      <c r="AA11" s="32">
        <v>0</v>
      </c>
      <c r="AB11" s="32">
        <v>0</v>
      </c>
      <c r="AC11" s="35" t="e">
        <v>#REF!</v>
      </c>
      <c r="AD11" s="31">
        <f>B11</f>
        <v>10911</v>
      </c>
      <c r="AE11" s="32">
        <f>U11+Q11+M11+I11+E11</f>
        <v>4183</v>
      </c>
      <c r="AF11" s="32">
        <f>V11+R11+N11+J11+F11</f>
        <v>94</v>
      </c>
      <c r="AG11" s="32">
        <f>W11+S11+O11+K11+G11</f>
        <v>30</v>
      </c>
      <c r="AH11" s="34">
        <v>156</v>
      </c>
      <c r="AI11" s="36">
        <v>14.181818181818182</v>
      </c>
      <c r="AJ11" s="19">
        <f t="shared" si="0"/>
        <v>173.08</v>
      </c>
      <c r="AK11" s="19">
        <f>AJ11/8</f>
        <v>21.635000000000002</v>
      </c>
    </row>
    <row r="12" spans="1:37" ht="26" x14ac:dyDescent="0.35">
      <c r="A12" s="363"/>
      <c r="B12" s="366"/>
      <c r="C12" s="83" t="s">
        <v>83</v>
      </c>
      <c r="D12" s="114"/>
      <c r="E12" s="17">
        <v>5.4165521033819081E-2</v>
      </c>
      <c r="F12" s="17">
        <v>4.3993231810490696E-2</v>
      </c>
      <c r="G12" s="114"/>
      <c r="H12" s="114"/>
      <c r="I12" s="17">
        <v>0.11201550387596899</v>
      </c>
      <c r="J12" s="17">
        <v>2.4221453287197232E-2</v>
      </c>
      <c r="K12" s="114"/>
      <c r="L12" s="114"/>
      <c r="M12" s="17">
        <v>0.13498472282845919</v>
      </c>
      <c r="N12" s="17">
        <v>1.4551333872271624E-2</v>
      </c>
      <c r="O12" s="114"/>
      <c r="P12" s="114"/>
      <c r="Q12" s="17">
        <v>0.15125520373407342</v>
      </c>
      <c r="R12" s="17">
        <v>3.336113427856547E-3</v>
      </c>
      <c r="S12" s="114"/>
      <c r="T12" s="114"/>
      <c r="U12" s="17">
        <v>0</v>
      </c>
      <c r="V12" s="17">
        <v>0</v>
      </c>
      <c r="W12" s="114"/>
      <c r="X12" s="24">
        <v>0</v>
      </c>
      <c r="Y12" s="17">
        <v>0</v>
      </c>
      <c r="Z12" s="17"/>
      <c r="AA12" s="17">
        <v>0</v>
      </c>
      <c r="AB12" s="17">
        <v>0</v>
      </c>
      <c r="AC12" s="29"/>
      <c r="AD12" s="114"/>
      <c r="AE12" s="17">
        <v>0.38337457611584641</v>
      </c>
      <c r="AF12" s="17">
        <v>1.8168778388716233E-2</v>
      </c>
      <c r="AG12" s="146"/>
      <c r="AH12" s="24"/>
      <c r="AI12" s="25"/>
      <c r="AJ12" s="19"/>
      <c r="AK12" s="19"/>
    </row>
    <row r="13" spans="1:37" ht="15" thickBot="1" x14ac:dyDescent="0.4">
      <c r="A13" s="364"/>
      <c r="B13" s="367"/>
      <c r="C13" s="84" t="s">
        <v>248</v>
      </c>
      <c r="D13" s="26">
        <v>1</v>
      </c>
      <c r="E13" s="27">
        <v>5.4165521033819081E-2</v>
      </c>
      <c r="F13" s="27">
        <v>2.3829163229768125E-3</v>
      </c>
      <c r="G13" s="28">
        <v>0</v>
      </c>
      <c r="H13" s="37">
        <v>0.94583447896618089</v>
      </c>
      <c r="I13" s="27">
        <v>0.10594812574466135</v>
      </c>
      <c r="J13" s="27">
        <v>2.5662175785904134E-3</v>
      </c>
      <c r="K13" s="28">
        <v>0</v>
      </c>
      <c r="L13" s="26">
        <v>0.83988635322151961</v>
      </c>
      <c r="M13" s="27">
        <v>0.11337182659701218</v>
      </c>
      <c r="N13" s="27">
        <v>1.6497113005224085E-3</v>
      </c>
      <c r="O13" s="28">
        <v>0.10638297872340426</v>
      </c>
      <c r="P13" s="37">
        <v>0.72651452662450733</v>
      </c>
      <c r="Q13" s="27">
        <v>0.10988910274035377</v>
      </c>
      <c r="R13" s="27">
        <v>3.666025112272019E-4</v>
      </c>
      <c r="S13" s="28">
        <v>0</v>
      </c>
      <c r="T13" s="26">
        <v>0.61662542388415365</v>
      </c>
      <c r="U13" s="27">
        <v>0</v>
      </c>
      <c r="V13" s="27">
        <v>0</v>
      </c>
      <c r="W13" s="28">
        <v>0</v>
      </c>
      <c r="X13" s="37">
        <v>0</v>
      </c>
      <c r="Y13" s="27">
        <v>0</v>
      </c>
      <c r="Z13" s="27">
        <v>0</v>
      </c>
      <c r="AA13" s="27">
        <v>0</v>
      </c>
      <c r="AB13" s="27">
        <v>0</v>
      </c>
      <c r="AC13" s="38">
        <v>0</v>
      </c>
      <c r="AD13" s="102">
        <v>1</v>
      </c>
      <c r="AE13" s="100">
        <v>0.38337457611584641</v>
      </c>
      <c r="AF13" s="100">
        <v>6.9654477133168366E-3</v>
      </c>
      <c r="AG13" s="28">
        <v>0.10638297872340426</v>
      </c>
      <c r="AH13" s="37"/>
      <c r="AI13" s="28"/>
      <c r="AJ13" s="19"/>
      <c r="AK13" s="19"/>
    </row>
    <row r="14" spans="1:37" x14ac:dyDescent="0.35">
      <c r="A14" s="362" t="s">
        <v>142</v>
      </c>
      <c r="B14" s="365">
        <v>4681</v>
      </c>
      <c r="C14" s="30" t="s">
        <v>14</v>
      </c>
      <c r="D14" s="98">
        <v>4681</v>
      </c>
      <c r="E14" s="99">
        <v>326</v>
      </c>
      <c r="F14" s="99">
        <v>14</v>
      </c>
      <c r="G14" s="32">
        <v>0</v>
      </c>
      <c r="H14" s="34">
        <f>D14-E14</f>
        <v>4355</v>
      </c>
      <c r="I14" s="99">
        <v>494</v>
      </c>
      <c r="J14" s="99">
        <v>13</v>
      </c>
      <c r="K14" s="32">
        <v>0</v>
      </c>
      <c r="L14" s="34">
        <f>H14-I14</f>
        <v>3861</v>
      </c>
      <c r="M14" s="99">
        <v>520</v>
      </c>
      <c r="N14" s="99">
        <v>12</v>
      </c>
      <c r="O14" s="32">
        <v>0</v>
      </c>
      <c r="P14" s="34">
        <f>L14-M14</f>
        <v>3341</v>
      </c>
      <c r="Q14" s="99">
        <v>476</v>
      </c>
      <c r="R14" s="99">
        <v>6</v>
      </c>
      <c r="S14" s="32">
        <v>0</v>
      </c>
      <c r="T14" s="34">
        <f>P14-Q14</f>
        <v>2865</v>
      </c>
      <c r="U14" s="99">
        <v>0</v>
      </c>
      <c r="V14" s="99">
        <v>0</v>
      </c>
      <c r="W14" s="32">
        <v>0</v>
      </c>
      <c r="X14" s="34">
        <v>0</v>
      </c>
      <c r="Y14" s="32">
        <v>0</v>
      </c>
      <c r="Z14" s="32" t="e">
        <v>#REF!</v>
      </c>
      <c r="AA14" s="32">
        <v>0</v>
      </c>
      <c r="AB14" s="32">
        <v>0</v>
      </c>
      <c r="AC14" s="35" t="e">
        <v>#REF!</v>
      </c>
      <c r="AD14" s="31">
        <f>B14</f>
        <v>4681</v>
      </c>
      <c r="AE14" s="32">
        <f>U14+Q14+M14+I14+E14</f>
        <v>1816</v>
      </c>
      <c r="AF14" s="32">
        <f>V14+R14+N14+J14+F14</f>
        <v>45</v>
      </c>
      <c r="AG14" s="32">
        <f>W14+S14+O14+K14+G14</f>
        <v>0</v>
      </c>
      <c r="AH14" s="34">
        <v>67</v>
      </c>
      <c r="AI14" s="36">
        <v>11.166666666666666</v>
      </c>
      <c r="AJ14" s="19">
        <f t="shared" si="0"/>
        <v>78.400000000000006</v>
      </c>
      <c r="AK14" s="19">
        <f>AJ14/4</f>
        <v>19.600000000000001</v>
      </c>
    </row>
    <row r="15" spans="1:37" ht="26" x14ac:dyDescent="0.35">
      <c r="A15" s="363"/>
      <c r="B15" s="366"/>
      <c r="C15" s="83" t="s">
        <v>83</v>
      </c>
      <c r="D15" s="114"/>
      <c r="E15" s="17">
        <v>6.9643238624225598E-2</v>
      </c>
      <c r="F15" s="17">
        <v>4.2944785276073622E-2</v>
      </c>
      <c r="G15" s="114"/>
      <c r="H15" s="114"/>
      <c r="I15" s="17">
        <v>0.11343283582089553</v>
      </c>
      <c r="J15" s="17">
        <v>2.6315789473684209E-2</v>
      </c>
      <c r="K15" s="114"/>
      <c r="L15" s="114"/>
      <c r="M15" s="17">
        <v>0.13468013468013468</v>
      </c>
      <c r="N15" s="17">
        <v>2.3076923076923078E-2</v>
      </c>
      <c r="O15" s="114"/>
      <c r="P15" s="114"/>
      <c r="Q15" s="17">
        <v>0.14247231367853935</v>
      </c>
      <c r="R15" s="17">
        <v>1.2605042016806723E-2</v>
      </c>
      <c r="S15" s="114"/>
      <c r="T15" s="114"/>
      <c r="U15" s="17">
        <v>0</v>
      </c>
      <c r="V15" s="17">
        <v>0</v>
      </c>
      <c r="W15" s="114"/>
      <c r="X15" s="24">
        <v>0</v>
      </c>
      <c r="Y15" s="17">
        <v>0</v>
      </c>
      <c r="Z15" s="17"/>
      <c r="AA15" s="17">
        <v>0</v>
      </c>
      <c r="AB15" s="17">
        <v>0</v>
      </c>
      <c r="AC15" s="29"/>
      <c r="AD15" s="114"/>
      <c r="AE15" s="17">
        <v>0.38795129245887633</v>
      </c>
      <c r="AF15" s="17">
        <v>2.4779735682819382E-2</v>
      </c>
      <c r="AG15" s="146"/>
      <c r="AH15" s="24"/>
      <c r="AI15" s="25"/>
      <c r="AJ15" s="19"/>
      <c r="AK15" s="19"/>
    </row>
    <row r="16" spans="1:37" ht="15" thickBot="1" x14ac:dyDescent="0.4">
      <c r="A16" s="364"/>
      <c r="B16" s="367"/>
      <c r="C16" s="84" t="s">
        <v>248</v>
      </c>
      <c r="D16" s="102">
        <v>1</v>
      </c>
      <c r="E16" s="100">
        <v>6.9643238624225598E-2</v>
      </c>
      <c r="F16" s="100">
        <v>2.9908139286477248E-3</v>
      </c>
      <c r="G16" s="28">
        <v>0</v>
      </c>
      <c r="H16" s="101">
        <v>0.93035676137577439</v>
      </c>
      <c r="I16" s="100">
        <v>0.10553300576799829</v>
      </c>
      <c r="J16" s="100">
        <v>2.7771843623157445E-3</v>
      </c>
      <c r="K16" s="28">
        <v>0</v>
      </c>
      <c r="L16" s="102">
        <v>0.8248237556077761</v>
      </c>
      <c r="M16" s="100">
        <v>0.11108737449262979</v>
      </c>
      <c r="N16" s="100">
        <v>2.5635547959837642E-3</v>
      </c>
      <c r="O16" s="28">
        <v>0</v>
      </c>
      <c r="P16" s="101">
        <v>0.71373638111514637</v>
      </c>
      <c r="Q16" s="100">
        <v>0.10168767357402264</v>
      </c>
      <c r="R16" s="100">
        <v>1.2817773979918821E-3</v>
      </c>
      <c r="S16" s="28">
        <v>0</v>
      </c>
      <c r="T16" s="102">
        <v>0.61204870754112373</v>
      </c>
      <c r="U16" s="100">
        <v>0</v>
      </c>
      <c r="V16" s="100">
        <v>0</v>
      </c>
      <c r="W16" s="28">
        <v>0</v>
      </c>
      <c r="X16" s="37">
        <v>0</v>
      </c>
      <c r="Y16" s="27">
        <v>0</v>
      </c>
      <c r="Z16" s="27">
        <v>0</v>
      </c>
      <c r="AA16" s="27">
        <v>0</v>
      </c>
      <c r="AB16" s="27">
        <v>0</v>
      </c>
      <c r="AC16" s="38">
        <v>0</v>
      </c>
      <c r="AD16" s="26">
        <v>1</v>
      </c>
      <c r="AE16" s="27">
        <v>0.38795129245887633</v>
      </c>
      <c r="AF16" s="27">
        <v>9.6133304849391164E-3</v>
      </c>
      <c r="AG16" s="28">
        <v>0</v>
      </c>
      <c r="AH16" s="37"/>
      <c r="AI16" s="28"/>
      <c r="AJ16" s="19"/>
      <c r="AK16" s="19"/>
    </row>
    <row r="17" spans="1:38" x14ac:dyDescent="0.35">
      <c r="A17" s="368" t="s">
        <v>238</v>
      </c>
      <c r="B17" s="365">
        <v>31039</v>
      </c>
      <c r="C17" s="30" t="s">
        <v>14</v>
      </c>
      <c r="D17" s="31">
        <v>31039</v>
      </c>
      <c r="E17" s="32">
        <f>E5+E8+E11+E14</f>
        <v>3051</v>
      </c>
      <c r="F17" s="32">
        <f>F5+F8+F11+F14</f>
        <v>103</v>
      </c>
      <c r="G17" s="32">
        <v>4</v>
      </c>
      <c r="H17" s="34">
        <f>D17-E17</f>
        <v>27988</v>
      </c>
      <c r="I17" s="32">
        <f>I5+I8+I11+I14</f>
        <v>5354</v>
      </c>
      <c r="J17" s="32">
        <f>J5+J8+J11+J14</f>
        <v>93</v>
      </c>
      <c r="K17" s="32">
        <v>36</v>
      </c>
      <c r="L17" s="34">
        <f>H17-I17</f>
        <v>22634</v>
      </c>
      <c r="M17" s="32">
        <f>M5+M8+M11+M14</f>
        <v>4909</v>
      </c>
      <c r="N17" s="32">
        <f>N5+N8+N11+N14</f>
        <v>75</v>
      </c>
      <c r="O17" s="32">
        <v>149</v>
      </c>
      <c r="P17" s="34">
        <f>L17-M17</f>
        <v>17725</v>
      </c>
      <c r="Q17" s="32">
        <f>Q5+Q8+Q11+Q14</f>
        <v>3553</v>
      </c>
      <c r="R17" s="32">
        <f>R5+R8+R11+R14</f>
        <v>29</v>
      </c>
      <c r="S17" s="32">
        <v>66</v>
      </c>
      <c r="T17" s="34">
        <f>P17-Q17</f>
        <v>14172</v>
      </c>
      <c r="U17" s="32">
        <f>U5+U8+U11+U14</f>
        <v>0</v>
      </c>
      <c r="V17" s="32">
        <f>V5+V8+V11+V14</f>
        <v>0</v>
      </c>
      <c r="W17" s="32">
        <v>0</v>
      </c>
      <c r="X17" s="34">
        <v>0</v>
      </c>
      <c r="Y17" s="32">
        <v>0</v>
      </c>
      <c r="Z17" s="32" t="e">
        <v>#REF!</v>
      </c>
      <c r="AA17" s="32">
        <v>0</v>
      </c>
      <c r="AB17" s="32">
        <v>0</v>
      </c>
      <c r="AC17" s="35" t="e">
        <v>#REF!</v>
      </c>
      <c r="AD17" s="31">
        <f>B17</f>
        <v>31039</v>
      </c>
      <c r="AE17" s="32">
        <f>AE5+AE8+AE11+AE14</f>
        <v>16867</v>
      </c>
      <c r="AF17" s="32">
        <f>AF5+AF8+AF11+AF14</f>
        <v>300</v>
      </c>
      <c r="AG17" s="32">
        <f>AG5+AG8+AG11+AG14</f>
        <v>253</v>
      </c>
      <c r="AH17" s="34">
        <f>634/4</f>
        <v>158.5</v>
      </c>
      <c r="AI17" s="33">
        <v>15.098765432098766</v>
      </c>
      <c r="AJ17" s="19">
        <f>SUM(AJ5:AJ16)/4</f>
        <v>174.43</v>
      </c>
      <c r="AK17" s="19"/>
      <c r="AL17" s="19">
        <f>AVERAGE(AK5,AK8,AK11,AK14)</f>
        <v>22.09652777777778</v>
      </c>
    </row>
    <row r="18" spans="1:38" ht="26" x14ac:dyDescent="0.35">
      <c r="A18" s="369"/>
      <c r="B18" s="366"/>
      <c r="C18" s="83" t="s">
        <v>83</v>
      </c>
      <c r="D18" s="114"/>
      <c r="E18" s="17">
        <v>9.8295692515867131E-2</v>
      </c>
      <c r="F18" s="17">
        <v>3.1137332022287776E-2</v>
      </c>
      <c r="G18" s="114"/>
      <c r="H18" s="114"/>
      <c r="I18" s="17">
        <v>0.19129626982992712</v>
      </c>
      <c r="J18" s="17">
        <v>1.7183414269704895E-2</v>
      </c>
      <c r="K18" s="114"/>
      <c r="L18" s="114"/>
      <c r="M18" s="17">
        <v>0.21688610055668464</v>
      </c>
      <c r="N18" s="17">
        <v>1.3444693420248522E-2</v>
      </c>
      <c r="O18" s="114"/>
      <c r="P18" s="114"/>
      <c r="Q18" s="17">
        <v>0.20045133991537376</v>
      </c>
      <c r="R18" s="17">
        <v>8.1621165212496481E-3</v>
      </c>
      <c r="S18" s="114"/>
      <c r="T18" s="114"/>
      <c r="U18" s="17">
        <v>0</v>
      </c>
      <c r="V18" s="17">
        <v>0</v>
      </c>
      <c r="W18" s="114"/>
      <c r="X18" s="24" t="e">
        <v>#REF!</v>
      </c>
      <c r="Y18" s="17">
        <v>0</v>
      </c>
      <c r="Z18" s="17"/>
      <c r="AA18" s="17" t="e">
        <v>#REF!</v>
      </c>
      <c r="AB18" s="17">
        <v>0</v>
      </c>
      <c r="AC18" s="29"/>
      <c r="AD18" s="114"/>
      <c r="AE18" s="17">
        <v>0.54341312542285514</v>
      </c>
      <c r="AF18" s="17">
        <v>1.6719037173178394E-2</v>
      </c>
      <c r="AG18" s="146"/>
      <c r="AH18" s="24"/>
      <c r="AI18" s="25"/>
    </row>
    <row r="19" spans="1:38" ht="15" thickBot="1" x14ac:dyDescent="0.4">
      <c r="A19" s="370"/>
      <c r="B19" s="367"/>
      <c r="C19" s="84" t="s">
        <v>248</v>
      </c>
      <c r="D19" s="26">
        <v>1</v>
      </c>
      <c r="E19" s="27">
        <v>9.8295692515867131E-2</v>
      </c>
      <c r="F19" s="27">
        <v>3.0606656142272625E-3</v>
      </c>
      <c r="G19" s="28"/>
      <c r="H19" s="37">
        <v>0.90170430748413288</v>
      </c>
      <c r="I19" s="27">
        <v>0.27078836302715936</v>
      </c>
      <c r="J19" s="27">
        <v>6.0246786301105058E-3</v>
      </c>
      <c r="K19" s="38"/>
      <c r="L19" s="26">
        <v>0.72921163697284064</v>
      </c>
      <c r="M19" s="27">
        <v>0.4289442314507555</v>
      </c>
      <c r="N19" s="27">
        <v>2.1263571635684137E-3</v>
      </c>
      <c r="O19" s="28"/>
      <c r="P19" s="37">
        <v>0.57105576854924445</v>
      </c>
      <c r="Q19" s="27">
        <v>0.54341312542285514</v>
      </c>
      <c r="R19" s="27">
        <v>9.0853442443377692E-3</v>
      </c>
      <c r="S19" s="38"/>
      <c r="T19" s="26">
        <v>0.45658687457714486</v>
      </c>
      <c r="U19" s="27">
        <v>0.54341312542285514</v>
      </c>
      <c r="V19" s="27">
        <v>9.0853442443377692E-3</v>
      </c>
      <c r="W19" s="28"/>
      <c r="X19" s="37">
        <v>0</v>
      </c>
      <c r="Y19" s="27">
        <v>0</v>
      </c>
      <c r="Z19" s="27" t="e">
        <v>#REF!</v>
      </c>
      <c r="AA19" s="27">
        <v>0</v>
      </c>
      <c r="AB19" s="27">
        <v>0</v>
      </c>
      <c r="AC19" s="38" t="e">
        <v>#REF!</v>
      </c>
      <c r="AD19" s="26">
        <v>1</v>
      </c>
      <c r="AE19" s="27">
        <v>0.54341312542285514</v>
      </c>
      <c r="AF19" s="27">
        <v>9.0853442443377692E-3</v>
      </c>
      <c r="AG19" s="28">
        <v>0.8971631205673759</v>
      </c>
      <c r="AH19" s="37"/>
      <c r="AI19" s="28"/>
    </row>
    <row r="20" spans="1:38" x14ac:dyDescent="0.35">
      <c r="I20" s="145"/>
    </row>
  </sheetData>
  <mergeCells count="31">
    <mergeCell ref="A1:I1"/>
    <mergeCell ref="A2:A4"/>
    <mergeCell ref="B2:B4"/>
    <mergeCell ref="C2:C4"/>
    <mergeCell ref="D2:G2"/>
    <mergeCell ref="H2:K2"/>
    <mergeCell ref="AD2:AG3"/>
    <mergeCell ref="AH2:AH4"/>
    <mergeCell ref="AI2:AI4"/>
    <mergeCell ref="D3:G3"/>
    <mergeCell ref="H3:K3"/>
    <mergeCell ref="L3:O3"/>
    <mergeCell ref="P3:S3"/>
    <mergeCell ref="T3:W3"/>
    <mergeCell ref="X3:Z3"/>
    <mergeCell ref="AA3:AC3"/>
    <mergeCell ref="L2:O2"/>
    <mergeCell ref="P2:S2"/>
    <mergeCell ref="T2:W2"/>
    <mergeCell ref="X2:Z2"/>
    <mergeCell ref="AA2:AC2"/>
    <mergeCell ref="A14:A16"/>
    <mergeCell ref="B14:B16"/>
    <mergeCell ref="A17:A19"/>
    <mergeCell ref="B17:B19"/>
    <mergeCell ref="A5:A7"/>
    <mergeCell ref="B5:B7"/>
    <mergeCell ref="A8:A10"/>
    <mergeCell ref="B8:B10"/>
    <mergeCell ref="A11:A13"/>
    <mergeCell ref="B11:B13"/>
  </mergeCells>
  <pageMargins left="0.7" right="0.7" top="0.75" bottom="0.75" header="0.3" footer="0.3"/>
  <pageSetup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56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R127" sqref="R127"/>
    </sheetView>
  </sheetViews>
  <sheetFormatPr defaultColWidth="8.7265625" defaultRowHeight="14.5" x14ac:dyDescent="0.35"/>
  <cols>
    <col min="1" max="1" width="18.54296875" style="16" customWidth="1"/>
    <col min="2" max="2" width="9.81640625" style="16" customWidth="1"/>
    <col min="3" max="3" width="8.1796875" style="16" customWidth="1"/>
    <col min="4" max="4" width="10.81640625" style="16" customWidth="1"/>
    <col min="5" max="5" width="8.26953125" style="16" customWidth="1"/>
    <col min="6" max="7" width="7.81640625" style="16" customWidth="1"/>
    <col min="8" max="8" width="13.81640625" style="16" customWidth="1"/>
    <col min="9" max="9" width="8.453125" style="16" customWidth="1"/>
    <col min="10" max="10" width="9.453125" style="16" customWidth="1"/>
    <col min="11" max="11" width="8.453125" style="16" customWidth="1"/>
    <col min="12" max="12" width="9.81640625" style="16" customWidth="1"/>
    <col min="13" max="13" width="8.81640625" style="16" customWidth="1"/>
    <col min="14" max="14" width="8" style="16" customWidth="1"/>
    <col min="15" max="15" width="7.7265625" style="16" customWidth="1"/>
    <col min="16" max="16" width="10.1796875" style="16" customWidth="1"/>
    <col min="17" max="17" width="8.81640625" style="16" customWidth="1"/>
    <col min="18" max="18" width="8" style="16" customWidth="1"/>
    <col min="19" max="19" width="8.7265625" style="16" customWidth="1"/>
    <col min="20" max="20" width="11.26953125" style="16" customWidth="1"/>
    <col min="21" max="22" width="8.7265625" style="16" customWidth="1"/>
    <col min="23" max="23" width="7.54296875" style="16" customWidth="1"/>
    <col min="24" max="29" width="9.54296875" style="16" hidden="1" customWidth="1"/>
    <col min="30" max="30" width="10.81640625" style="16" customWidth="1"/>
    <col min="31" max="31" width="9.54296875" style="16" customWidth="1"/>
    <col min="32" max="32" width="8.7265625" style="16" customWidth="1"/>
    <col min="33" max="33" width="7.81640625" style="16" customWidth="1"/>
    <col min="34" max="34" width="10.81640625" style="16" customWidth="1"/>
    <col min="35" max="16384" width="8.7265625" style="16"/>
  </cols>
  <sheetData>
    <row r="1" spans="1:35" s="44" customFormat="1" ht="20" thickBot="1" x14ac:dyDescent="0.5">
      <c r="A1" s="335" t="s">
        <v>185</v>
      </c>
      <c r="B1" s="335"/>
      <c r="C1" s="335"/>
      <c r="D1" s="335"/>
      <c r="E1" s="335"/>
      <c r="F1" s="335"/>
      <c r="G1" s="335"/>
      <c r="H1" s="335"/>
      <c r="I1" s="335"/>
      <c r="J1" s="16"/>
      <c r="K1" s="16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</row>
    <row r="2" spans="1:35" s="44" customFormat="1" ht="14.5" customHeight="1" thickBot="1" x14ac:dyDescent="0.4">
      <c r="A2" s="406" t="s">
        <v>107</v>
      </c>
      <c r="B2" s="409" t="s">
        <v>108</v>
      </c>
      <c r="C2" s="412" t="s">
        <v>2</v>
      </c>
      <c r="D2" s="388" t="s">
        <v>85</v>
      </c>
      <c r="E2" s="389"/>
      <c r="F2" s="389"/>
      <c r="G2" s="390"/>
      <c r="H2" s="415" t="s">
        <v>86</v>
      </c>
      <c r="I2" s="416"/>
      <c r="J2" s="416"/>
      <c r="K2" s="417"/>
      <c r="L2" s="372" t="s">
        <v>8</v>
      </c>
      <c r="M2" s="372"/>
      <c r="N2" s="372"/>
      <c r="O2" s="373"/>
      <c r="P2" s="420" t="s">
        <v>258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s="44" customFormat="1" ht="15.75" customHeight="1" x14ac:dyDescent="0.35">
      <c r="A3" s="407"/>
      <c r="B3" s="410"/>
      <c r="C3" s="413"/>
      <c r="D3" s="423" t="s">
        <v>87</v>
      </c>
      <c r="E3" s="424"/>
      <c r="F3" s="424"/>
      <c r="G3" s="425"/>
      <c r="H3" s="426" t="s">
        <v>88</v>
      </c>
      <c r="I3" s="427"/>
      <c r="J3" s="427"/>
      <c r="K3" s="428"/>
      <c r="L3" s="418"/>
      <c r="M3" s="418"/>
      <c r="N3" s="418"/>
      <c r="O3" s="419"/>
      <c r="P3" s="421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s="44" customFormat="1" ht="51.75" customHeight="1" thickBot="1" x14ac:dyDescent="0.4">
      <c r="A4" s="408"/>
      <c r="B4" s="411"/>
      <c r="C4" s="414"/>
      <c r="D4" s="21" t="s">
        <v>95</v>
      </c>
      <c r="E4" s="261" t="s">
        <v>23</v>
      </c>
      <c r="F4" s="262" t="s">
        <v>105</v>
      </c>
      <c r="G4" s="279" t="s">
        <v>100</v>
      </c>
      <c r="H4" s="21" t="s">
        <v>95</v>
      </c>
      <c r="I4" s="261" t="s">
        <v>23</v>
      </c>
      <c r="J4" s="262" t="s">
        <v>105</v>
      </c>
      <c r="K4" s="279" t="s">
        <v>100</v>
      </c>
      <c r="L4" s="214" t="s">
        <v>94</v>
      </c>
      <c r="M4" s="261" t="s">
        <v>23</v>
      </c>
      <c r="N4" s="262" t="s">
        <v>105</v>
      </c>
      <c r="O4" s="262" t="s">
        <v>100</v>
      </c>
      <c r="P4" s="42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ht="14.5" hidden="1" customHeight="1" x14ac:dyDescent="0.35">
      <c r="A5" s="362" t="s">
        <v>118</v>
      </c>
      <c r="B5" s="127"/>
      <c r="C5" s="112" t="s">
        <v>14</v>
      </c>
      <c r="D5" s="256">
        <v>60</v>
      </c>
      <c r="E5" s="99">
        <f>IFERROR(VLOOKUP($A5,TeamCompletion[#All],12,FALSE),0)</f>
        <v>14</v>
      </c>
      <c r="F5" s="99">
        <f>IFERROR(VLOOKUP($A5,TeamCompletion[#All],13,FALSE),0)</f>
        <v>1</v>
      </c>
      <c r="G5" s="257">
        <f>IFERROR(VLOOKUP($A5,TeamFieldCheckCompletion[#All],7,FALSE),0)</f>
        <v>0</v>
      </c>
      <c r="H5" s="256">
        <f>MAX(0,B6-E5)</f>
        <v>46</v>
      </c>
      <c r="I5" s="99">
        <f>IFERROR(VLOOKUP($A5,TeamCompletion[#All],14,FALSE),0)</f>
        <v>0</v>
      </c>
      <c r="J5" s="99">
        <f>IFERROR(VLOOKUP($A5,TeamCompletion[#All],15,FALSE),0)</f>
        <v>0</v>
      </c>
      <c r="K5" s="257">
        <f>IFERROR(VLOOKUP($A5,TeamFieldCheckCompletion[#All],8,FALSE),0)</f>
        <v>0</v>
      </c>
      <c r="L5" s="256">
        <f>B6</f>
        <v>60</v>
      </c>
      <c r="M5" s="258">
        <f>E5+I5</f>
        <v>14</v>
      </c>
      <c r="N5" s="258">
        <f>F5+J5</f>
        <v>1</v>
      </c>
      <c r="O5" s="259">
        <f>G5+K5</f>
        <v>0</v>
      </c>
      <c r="P5" s="260">
        <f ca="1">(M5+N5)/OverviewData!$B$6</f>
        <v>0.21739130434782608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ht="26.5" hidden="1" x14ac:dyDescent="0.35">
      <c r="A6" s="363"/>
      <c r="B6" s="128">
        <f>VLOOKUP(A5,TeamAssignment!A$6:G$52,7,FALSE)</f>
        <v>60</v>
      </c>
      <c r="C6" s="82" t="s">
        <v>83</v>
      </c>
      <c r="D6" s="133"/>
      <c r="E6" s="17">
        <f>IFERROR(E5/D5,0)</f>
        <v>0.23333333333333334</v>
      </c>
      <c r="F6" s="17">
        <f>IFERROR(F5/E5,0)</f>
        <v>7.1428571428571425E-2</v>
      </c>
      <c r="G6" s="146"/>
      <c r="H6" s="114"/>
      <c r="I6" s="17">
        <f>IFERROR(I5/H5,0)</f>
        <v>0</v>
      </c>
      <c r="J6" s="17">
        <f>IFERROR(J5/I5,0)</f>
        <v>0</v>
      </c>
      <c r="K6" s="146"/>
      <c r="L6" s="114"/>
      <c r="M6" s="17">
        <f>M5/L5</f>
        <v>0.23333333333333334</v>
      </c>
      <c r="N6" s="17">
        <f>IFERROR(N5/M5,0)</f>
        <v>7.1428571428571425E-2</v>
      </c>
      <c r="O6" s="146"/>
      <c r="P6" s="148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ht="15" hidden="1" thickBot="1" x14ac:dyDescent="0.4">
      <c r="A7" s="364"/>
      <c r="B7" s="129"/>
      <c r="C7" s="84" t="s">
        <v>248</v>
      </c>
      <c r="D7" s="26">
        <f>D5/B6</f>
        <v>1</v>
      </c>
      <c r="E7" s="27">
        <f>IFERROR(VLOOKUP($A5,TeamCompletion[#All],12,FALSE)/B6,0)</f>
        <v>0.23333333333333334</v>
      </c>
      <c r="F7" s="27">
        <f>IFERROR(VLOOKUP($A5,TeamCompletion[#All],13,FALSE)/B6,0)</f>
        <v>1.6666666666666666E-2</v>
      </c>
      <c r="G7" s="28">
        <f>IFERROR(VLOOKUP($A5,TeamFieldCheckCompletion[#All],7,FALSE)/B6,0)</f>
        <v>0</v>
      </c>
      <c r="H7" s="26">
        <f>H5/B6</f>
        <v>0.76666666666666672</v>
      </c>
      <c r="I7" s="27">
        <f>IFERROR(VLOOKUP($A5,TeamCompletion[#All],14,FALSE)/F6,0)</f>
        <v>0</v>
      </c>
      <c r="J7" s="27">
        <f>IFERROR(VLOOKUP($A5,TeamCompletion[#All],15,FALSE)/F6,0)</f>
        <v>0</v>
      </c>
      <c r="K7" s="28">
        <f>IFERROR(VLOOKUP($A5,TeamFieldCheckCompletion[#All],8,FALSE)/F6,0)</f>
        <v>0</v>
      </c>
      <c r="L7" s="26">
        <f>IFERROR(L5/$B6,0)</f>
        <v>1</v>
      </c>
      <c r="M7" s="26">
        <f>IFERROR(M5/$B6,0)</f>
        <v>0.23333333333333334</v>
      </c>
      <c r="N7" s="26">
        <f>IFERROR(N5/$B6,0)</f>
        <v>1.6666666666666666E-2</v>
      </c>
      <c r="O7" s="151">
        <f>IFERROR(O5/$B6,0)</f>
        <v>0</v>
      </c>
      <c r="P7" s="148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  <row r="8" spans="1:35" ht="14.5" hidden="1" customHeight="1" x14ac:dyDescent="0.35">
      <c r="A8" s="362" t="s">
        <v>119</v>
      </c>
      <c r="B8" s="127"/>
      <c r="C8" s="112" t="s">
        <v>14</v>
      </c>
      <c r="D8" s="132">
        <v>55</v>
      </c>
      <c r="E8" s="134">
        <f>IFERROR(VLOOKUP($A8,TeamCompletion[#All],12,FALSE),0)</f>
        <v>0</v>
      </c>
      <c r="F8" s="134">
        <f>IFERROR(VLOOKUP($A8,TeamCompletion[#All],13,FALSE),0)</f>
        <v>0</v>
      </c>
      <c r="G8" s="149">
        <f>IFERROR(VLOOKUP($A8,TeamFieldCheckCompletion[#All],7,FALSE),0)</f>
        <v>0</v>
      </c>
      <c r="H8" s="132">
        <f>MAX(0,B9-E8)</f>
        <v>55</v>
      </c>
      <c r="I8" s="134">
        <f>IFERROR(VLOOKUP($A8,TeamCompletion[#All],14,FALSE),0)</f>
        <v>0</v>
      </c>
      <c r="J8" s="134">
        <f>IFERROR(VLOOKUP($A8,TeamCompletion[#All],15,FALSE),0)</f>
        <v>0</v>
      </c>
      <c r="K8" s="149">
        <f>IFERROR(VLOOKUP($A8,TeamFieldCheckCompletion[#All],8,FALSE),0)</f>
        <v>0</v>
      </c>
      <c r="L8" s="132">
        <f>B9</f>
        <v>55</v>
      </c>
      <c r="M8" s="135">
        <f>E8+I8</f>
        <v>0</v>
      </c>
      <c r="N8" s="135">
        <f>F8+J8</f>
        <v>0</v>
      </c>
      <c r="O8" s="136">
        <f>G8+K8</f>
        <v>0</v>
      </c>
      <c r="P8" s="138">
        <f ca="1">(M8+N8)/OverviewData!$B$6</f>
        <v>0</v>
      </c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</row>
    <row r="9" spans="1:35" ht="26.5" hidden="1" x14ac:dyDescent="0.35">
      <c r="A9" s="363"/>
      <c r="B9" s="141">
        <f>VLOOKUP(A8,TeamAssignment!A$6:G$52,7,FALSE)</f>
        <v>55</v>
      </c>
      <c r="C9" s="82" t="s">
        <v>83</v>
      </c>
      <c r="D9" s="133"/>
      <c r="E9" s="17">
        <f>IFERROR(E8/D8,0)</f>
        <v>0</v>
      </c>
      <c r="F9" s="17">
        <f>IFERROR(F8/E8,0)</f>
        <v>0</v>
      </c>
      <c r="G9" s="146"/>
      <c r="H9" s="114"/>
      <c r="I9" s="17">
        <f>IFERROR(I8/H8,0)</f>
        <v>0</v>
      </c>
      <c r="J9" s="17">
        <f>IFERROR(J8/I8,0)</f>
        <v>0</v>
      </c>
      <c r="K9" s="146"/>
      <c r="L9" s="114"/>
      <c r="M9" s="17">
        <f>M8/L8</f>
        <v>0</v>
      </c>
      <c r="N9" s="17">
        <f>IFERROR(N8/M8,0)</f>
        <v>0</v>
      </c>
      <c r="O9" s="146"/>
      <c r="P9" s="148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</row>
    <row r="10" spans="1:35" ht="15" hidden="1" thickBot="1" x14ac:dyDescent="0.4">
      <c r="A10" s="364"/>
      <c r="B10" s="129"/>
      <c r="C10" s="84" t="s">
        <v>248</v>
      </c>
      <c r="D10" s="26">
        <f>D8/B9</f>
        <v>1</v>
      </c>
      <c r="E10" s="27">
        <f>IFERROR(VLOOKUP($A8,TeamCompletion[#All],12,FALSE)/B9,0)</f>
        <v>0</v>
      </c>
      <c r="F10" s="27">
        <f>IFERROR(VLOOKUP($A8,TeamCompletion[#All],13,FALSE)/B9,0)</f>
        <v>0</v>
      </c>
      <c r="G10" s="28">
        <f>IFERROR(VLOOKUP($A8,TeamFieldCheckCompletion[#All],7,FALSE)/B9,0)</f>
        <v>0</v>
      </c>
      <c r="H10" s="26">
        <f>H8/B9</f>
        <v>1</v>
      </c>
      <c r="I10" s="27">
        <f>IFERROR(VLOOKUP($A8,TeamCompletion[#All],14,FALSE)/F9,0)</f>
        <v>0</v>
      </c>
      <c r="J10" s="27">
        <f>IFERROR(VLOOKUP($A8,TeamCompletion[#All],15,FALSE)/F9,0)</f>
        <v>0</v>
      </c>
      <c r="K10" s="28">
        <f>IFERROR(VLOOKUP($A8,TeamFieldCheckCompletion[#All],8,FALSE)/F9,0)</f>
        <v>0</v>
      </c>
      <c r="L10" s="26">
        <f>IFERROR(L8/$B9,0)</f>
        <v>1</v>
      </c>
      <c r="M10" s="26">
        <f>IFERROR(M8/$B9,0)</f>
        <v>0</v>
      </c>
      <c r="N10" s="26">
        <f>IFERROR(N8/$B9,0)</f>
        <v>0</v>
      </c>
      <c r="O10" s="151">
        <f>IFERROR(O8/$B9,0)</f>
        <v>0</v>
      </c>
      <c r="P10" s="148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</row>
    <row r="11" spans="1:35" ht="14.5" hidden="1" customHeight="1" x14ac:dyDescent="0.35">
      <c r="A11" s="362" t="s">
        <v>120</v>
      </c>
      <c r="B11" s="127"/>
      <c r="C11" s="112" t="s">
        <v>14</v>
      </c>
      <c r="D11" s="132">
        <v>236</v>
      </c>
      <c r="E11" s="134">
        <f>IFERROR(VLOOKUP($A11,TeamCompletion[#All],12,FALSE),0)</f>
        <v>307</v>
      </c>
      <c r="F11" s="134">
        <f>IFERROR(VLOOKUP($A11,TeamCompletion[#All],13,FALSE),0)</f>
        <v>113</v>
      </c>
      <c r="G11" s="149">
        <f>IFERROR(VLOOKUP($A11,TeamFieldCheckCompletion[#All],7,FALSE),0)</f>
        <v>0</v>
      </c>
      <c r="H11" s="132">
        <f>MAX(0,B12-E11)</f>
        <v>0</v>
      </c>
      <c r="I11" s="134">
        <f>IFERROR(VLOOKUP($A11,TeamCompletion[#All],14,FALSE),0)</f>
        <v>0</v>
      </c>
      <c r="J11" s="134">
        <f>IFERROR(VLOOKUP($A11,TeamCompletion[#All],15,FALSE),0)</f>
        <v>0</v>
      </c>
      <c r="K11" s="149">
        <f>IFERROR(VLOOKUP($A11,TeamFieldCheckCompletion[#All],8,FALSE),0)</f>
        <v>0</v>
      </c>
      <c r="L11" s="132">
        <f>B12</f>
        <v>236</v>
      </c>
      <c r="M11" s="135">
        <f>E11+I11</f>
        <v>307</v>
      </c>
      <c r="N11" s="135">
        <f>F11+J11</f>
        <v>113</v>
      </c>
      <c r="O11" s="136">
        <f>G11+K11</f>
        <v>0</v>
      </c>
      <c r="P11" s="138">
        <f ca="1">(M11+N11)/OverviewData!$B$6</f>
        <v>6.0869565217391308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35" ht="26.5" hidden="1" x14ac:dyDescent="0.35">
      <c r="A12" s="363"/>
      <c r="B12" s="141">
        <f>VLOOKUP(A11,TeamAssignment!A$6:G$52,7,FALSE)</f>
        <v>236</v>
      </c>
      <c r="C12" s="82" t="s">
        <v>83</v>
      </c>
      <c r="D12" s="133"/>
      <c r="E12" s="17">
        <f>IFERROR(E11/D11,0)</f>
        <v>1.3008474576271187</v>
      </c>
      <c r="F12" s="17">
        <f>IFERROR(F11/E11,0)</f>
        <v>0.36807817589576547</v>
      </c>
      <c r="G12" s="146"/>
      <c r="H12" s="114"/>
      <c r="I12" s="17">
        <f>IFERROR(I11/H11,0)</f>
        <v>0</v>
      </c>
      <c r="J12" s="17">
        <f>IFERROR(J11/I11,0)</f>
        <v>0</v>
      </c>
      <c r="K12" s="146"/>
      <c r="L12" s="114"/>
      <c r="M12" s="17">
        <f>M11/L11</f>
        <v>1.3008474576271187</v>
      </c>
      <c r="N12" s="17">
        <f>IFERROR(N11/M11,0)</f>
        <v>0.36807817589576547</v>
      </c>
      <c r="O12" s="146"/>
      <c r="P12" s="148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35" ht="15" hidden="1" thickBot="1" x14ac:dyDescent="0.4">
      <c r="A13" s="364"/>
      <c r="B13" s="129"/>
      <c r="C13" s="84" t="s">
        <v>248</v>
      </c>
      <c r="D13" s="26">
        <f>D11/B12</f>
        <v>1</v>
      </c>
      <c r="E13" s="27">
        <f>IFERROR(VLOOKUP($A11,TeamCompletion[#All],12,FALSE)/B12,0)</f>
        <v>1.3008474576271187</v>
      </c>
      <c r="F13" s="27">
        <f>IFERROR(VLOOKUP($A11,TeamCompletion[#All],13,FALSE)/B12,0)</f>
        <v>0.4788135593220339</v>
      </c>
      <c r="G13" s="28">
        <f>IFERROR(VLOOKUP($A11,TeamFieldCheckCompletion[#All],7,FALSE)/B12,0)</f>
        <v>0</v>
      </c>
      <c r="H13" s="26">
        <f>H11/B12</f>
        <v>0</v>
      </c>
      <c r="I13" s="27">
        <f>IFERROR(VLOOKUP($A11,TeamCompletion[#All],14,FALSE)/F12,0)</f>
        <v>0</v>
      </c>
      <c r="J13" s="27">
        <f>IFERROR(VLOOKUP($A11,TeamCompletion[#All],15,FALSE)/F12,0)</f>
        <v>0</v>
      </c>
      <c r="K13" s="28">
        <f>IFERROR(VLOOKUP($A11,TeamFieldCheckCompletion[#All],8,FALSE)/F12,0)</f>
        <v>0</v>
      </c>
      <c r="L13" s="26">
        <f>IFERROR(L11/$B12,0)</f>
        <v>1</v>
      </c>
      <c r="M13" s="26">
        <f>IFERROR(M11/$B12,0)</f>
        <v>1.3008474576271187</v>
      </c>
      <c r="N13" s="26">
        <f>IFERROR(N11/$B12,0)</f>
        <v>0.4788135593220339</v>
      </c>
      <c r="O13" s="151">
        <f>IFERROR(O11/$B12,0)</f>
        <v>0</v>
      </c>
      <c r="P13" s="148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</row>
    <row r="14" spans="1:35" ht="14.5" hidden="1" customHeight="1" x14ac:dyDescent="0.35">
      <c r="A14" s="362" t="s">
        <v>121</v>
      </c>
      <c r="B14" s="127"/>
      <c r="C14" s="112" t="s">
        <v>14</v>
      </c>
      <c r="D14" s="132">
        <v>16</v>
      </c>
      <c r="E14" s="134">
        <f>IFERROR(VLOOKUP($A14,TeamCompletion[#All],12,FALSE),0)</f>
        <v>0</v>
      </c>
      <c r="F14" s="134">
        <f>IFERROR(VLOOKUP($A14,TeamCompletion[#All],13,FALSE),0)</f>
        <v>0</v>
      </c>
      <c r="G14" s="149">
        <f>IFERROR(VLOOKUP($A14,TeamFieldCheckCompletion[#All],7,FALSE),0)</f>
        <v>0</v>
      </c>
      <c r="H14" s="132">
        <f>MAX(0,B15-E14)</f>
        <v>16</v>
      </c>
      <c r="I14" s="134">
        <f>IFERROR(VLOOKUP($A14,TeamCompletion[#All],14,FALSE),0)</f>
        <v>0</v>
      </c>
      <c r="J14" s="134">
        <f>IFERROR(VLOOKUP($A14,TeamCompletion[#All],15,FALSE),0)</f>
        <v>0</v>
      </c>
      <c r="K14" s="149">
        <f>IFERROR(VLOOKUP($A14,TeamFieldCheckCompletion[#All],8,FALSE),0)</f>
        <v>0</v>
      </c>
      <c r="L14" s="132">
        <f>B15</f>
        <v>16</v>
      </c>
      <c r="M14" s="135">
        <f>E14+I14</f>
        <v>0</v>
      </c>
      <c r="N14" s="135">
        <f>F14+J14</f>
        <v>0</v>
      </c>
      <c r="O14" s="136">
        <f>G14+K14</f>
        <v>0</v>
      </c>
      <c r="P14" s="138">
        <f ca="1">(M14+N14)/OverviewData!$B$6</f>
        <v>0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</row>
    <row r="15" spans="1:35" ht="26.5" hidden="1" x14ac:dyDescent="0.35">
      <c r="A15" s="363"/>
      <c r="B15" s="141">
        <f>VLOOKUP(A14,TeamAssignment!A$6:G$52,7,FALSE)</f>
        <v>16</v>
      </c>
      <c r="C15" s="82" t="s">
        <v>83</v>
      </c>
      <c r="D15" s="133"/>
      <c r="E15" s="17">
        <f>IFERROR(E14/D14,0)</f>
        <v>0</v>
      </c>
      <c r="F15" s="17">
        <f>IFERROR(F14/E14,0)</f>
        <v>0</v>
      </c>
      <c r="G15" s="146"/>
      <c r="H15" s="114"/>
      <c r="I15" s="17">
        <f>IFERROR(I14/H14,0)</f>
        <v>0</v>
      </c>
      <c r="J15" s="17">
        <f>IFERROR(J14/I14,0)</f>
        <v>0</v>
      </c>
      <c r="K15" s="146"/>
      <c r="L15" s="114"/>
      <c r="M15" s="17">
        <f>M14/L14</f>
        <v>0</v>
      </c>
      <c r="N15" s="17">
        <f>IFERROR(N14/M14,0)</f>
        <v>0</v>
      </c>
      <c r="O15" s="146"/>
      <c r="P15" s="148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</row>
    <row r="16" spans="1:35" ht="15" hidden="1" thickBot="1" x14ac:dyDescent="0.4">
      <c r="A16" s="364"/>
      <c r="B16" s="129"/>
      <c r="C16" s="84" t="s">
        <v>248</v>
      </c>
      <c r="D16" s="26">
        <f>D14/B15</f>
        <v>1</v>
      </c>
      <c r="E16" s="27">
        <f>IFERROR(VLOOKUP($A14,TeamCompletion[#All],12,FALSE)/B15,0)</f>
        <v>0</v>
      </c>
      <c r="F16" s="27">
        <f>IFERROR(VLOOKUP($A14,TeamCompletion[#All],13,FALSE)/B15,0)</f>
        <v>0</v>
      </c>
      <c r="G16" s="28">
        <f>IFERROR(VLOOKUP($A14,TeamFieldCheckCompletion[#All],7,FALSE)/B15,0)</f>
        <v>0</v>
      </c>
      <c r="H16" s="26">
        <f>H14/B15</f>
        <v>1</v>
      </c>
      <c r="I16" s="27">
        <f>IFERROR(VLOOKUP($A14,TeamCompletion[#All],14,FALSE)/F15,0)</f>
        <v>0</v>
      </c>
      <c r="J16" s="27">
        <f>IFERROR(VLOOKUP($A14,TeamCompletion[#All],15,FALSE)/F15,0)</f>
        <v>0</v>
      </c>
      <c r="K16" s="28">
        <f>IFERROR(VLOOKUP($A14,TeamFieldCheckCompletion[#All],8,FALSE)/F15,0)</f>
        <v>0</v>
      </c>
      <c r="L16" s="26">
        <f>IFERROR(L14/$B15,0)</f>
        <v>1</v>
      </c>
      <c r="M16" s="26">
        <f>IFERROR(M14/$B15,0)</f>
        <v>0</v>
      </c>
      <c r="N16" s="26">
        <f>IFERROR(N14/$B15,0)</f>
        <v>0</v>
      </c>
      <c r="O16" s="151">
        <f>IFERROR(O14/$B15,0)</f>
        <v>0</v>
      </c>
      <c r="P16" s="148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</row>
    <row r="17" spans="1:35" ht="14.5" hidden="1" customHeight="1" x14ac:dyDescent="0.35">
      <c r="A17" s="362" t="s">
        <v>122</v>
      </c>
      <c r="B17" s="127"/>
      <c r="C17" s="112" t="s">
        <v>14</v>
      </c>
      <c r="D17" s="132">
        <v>88</v>
      </c>
      <c r="E17" s="134">
        <f>IFERROR(VLOOKUP($A17,TeamCompletion[#All],12,FALSE),0)</f>
        <v>0</v>
      </c>
      <c r="F17" s="134">
        <f>IFERROR(VLOOKUP($A17,TeamCompletion[#All],13,FALSE),0)</f>
        <v>0</v>
      </c>
      <c r="G17" s="149">
        <f>IFERROR(VLOOKUP($A17,TeamFieldCheckCompletion[#All],7,FALSE),0)</f>
        <v>0</v>
      </c>
      <c r="H17" s="132">
        <f>MAX(0,B18-E17)</f>
        <v>88</v>
      </c>
      <c r="I17" s="134">
        <f>IFERROR(VLOOKUP($A17,TeamCompletion[#All],14,FALSE),0)</f>
        <v>0</v>
      </c>
      <c r="J17" s="134">
        <f>IFERROR(VLOOKUP($A17,TeamCompletion[#All],15,FALSE),0)</f>
        <v>0</v>
      </c>
      <c r="K17" s="149">
        <f>IFERROR(VLOOKUP($A17,TeamFieldCheckCompletion[#All],8,FALSE),0)</f>
        <v>0</v>
      </c>
      <c r="L17" s="132">
        <f>B18</f>
        <v>88</v>
      </c>
      <c r="M17" s="135">
        <f>E17+I17</f>
        <v>0</v>
      </c>
      <c r="N17" s="135">
        <f>F17+J17</f>
        <v>0</v>
      </c>
      <c r="O17" s="136">
        <f>G17+K17</f>
        <v>0</v>
      </c>
      <c r="P17" s="138">
        <f ca="1">(M17+N17)/OverviewData!$B$6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26.5" hidden="1" x14ac:dyDescent="0.35">
      <c r="A18" s="363"/>
      <c r="B18" s="141">
        <f>VLOOKUP(A17,TeamAssignment!A$6:G$52,7,FALSE)</f>
        <v>88</v>
      </c>
      <c r="C18" s="82" t="s">
        <v>83</v>
      </c>
      <c r="D18" s="133"/>
      <c r="E18" s="17">
        <f>IFERROR(E17/D17,0)</f>
        <v>0</v>
      </c>
      <c r="F18" s="17">
        <f>IFERROR(F17/E17,0)</f>
        <v>0</v>
      </c>
      <c r="G18" s="146"/>
      <c r="H18" s="114"/>
      <c r="I18" s="17">
        <f>IFERROR(I17/H17,0)</f>
        <v>0</v>
      </c>
      <c r="J18" s="17">
        <f>IFERROR(J17/I17,0)</f>
        <v>0</v>
      </c>
      <c r="K18" s="146"/>
      <c r="L18" s="114"/>
      <c r="M18" s="17">
        <f>M17/L17</f>
        <v>0</v>
      </c>
      <c r="N18" s="17">
        <f>IFERROR(N17/M17,0)</f>
        <v>0</v>
      </c>
      <c r="O18" s="146"/>
      <c r="P18" s="148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5" hidden="1" thickBot="1" x14ac:dyDescent="0.4">
      <c r="A19" s="364"/>
      <c r="B19" s="129"/>
      <c r="C19" s="84" t="s">
        <v>248</v>
      </c>
      <c r="D19" s="26">
        <f>D17/B18</f>
        <v>1</v>
      </c>
      <c r="E19" s="27">
        <f>IFERROR(VLOOKUP($A17,TeamCompletion[#All],12,FALSE)/B18,0)</f>
        <v>0</v>
      </c>
      <c r="F19" s="27">
        <f>IFERROR(VLOOKUP($A17,TeamCompletion[#All],13,FALSE)/B18,0)</f>
        <v>0</v>
      </c>
      <c r="G19" s="28">
        <f>IFERROR(VLOOKUP($A17,TeamFieldCheckCompletion[#All],7,FALSE)/B18,0)</f>
        <v>0</v>
      </c>
      <c r="H19" s="26">
        <f>H17/B18</f>
        <v>1</v>
      </c>
      <c r="I19" s="27">
        <f>IFERROR(VLOOKUP($A17,TeamCompletion[#All],14,FALSE)/F18,0)</f>
        <v>0</v>
      </c>
      <c r="J19" s="27">
        <f>IFERROR(VLOOKUP($A17,TeamCompletion[#All],15,FALSE)/F18,0)</f>
        <v>0</v>
      </c>
      <c r="K19" s="28">
        <f>IFERROR(VLOOKUP($A17,TeamFieldCheckCompletion[#All],8,FALSE)/F18,0)</f>
        <v>0</v>
      </c>
      <c r="L19" s="26">
        <f>IFERROR(L17/$B18,0)</f>
        <v>1</v>
      </c>
      <c r="M19" s="26">
        <f>IFERROR(M17/$B18,0)</f>
        <v>0</v>
      </c>
      <c r="N19" s="26">
        <f>IFERROR(N17/$B18,0)</f>
        <v>0</v>
      </c>
      <c r="O19" s="151">
        <f>IFERROR(O17/$B18,0)</f>
        <v>0</v>
      </c>
      <c r="P19" s="148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4.5" hidden="1" customHeight="1" x14ac:dyDescent="0.35">
      <c r="A20" s="362" t="s">
        <v>123</v>
      </c>
      <c r="B20" s="127"/>
      <c r="C20" s="112" t="s">
        <v>14</v>
      </c>
      <c r="D20" s="132">
        <v>125</v>
      </c>
      <c r="E20" s="134">
        <f>IFERROR(VLOOKUP($A20,TeamCompletion[#All],12,FALSE),0)</f>
        <v>108</v>
      </c>
      <c r="F20" s="134">
        <f>IFERROR(VLOOKUP($A20,TeamCompletion[#All],13,FALSE),0)</f>
        <v>86</v>
      </c>
      <c r="G20" s="149">
        <f>IFERROR(VLOOKUP($A20,TeamFieldCheckCompletion[#All],7,FALSE),0)</f>
        <v>0</v>
      </c>
      <c r="H20" s="132">
        <f>MAX(0,B21-E20)</f>
        <v>17</v>
      </c>
      <c r="I20" s="134">
        <f>IFERROR(VLOOKUP($A20,TeamCompletion[#All],14,FALSE),0)</f>
        <v>0</v>
      </c>
      <c r="J20" s="134">
        <f>IFERROR(VLOOKUP($A20,TeamCompletion[#All],15,FALSE),0)</f>
        <v>0</v>
      </c>
      <c r="K20" s="149">
        <f>IFERROR(VLOOKUP($A20,TeamFieldCheckCompletion[#All],8,FALSE),0)</f>
        <v>0</v>
      </c>
      <c r="L20" s="132">
        <f>B21</f>
        <v>125</v>
      </c>
      <c r="M20" s="135">
        <f>E20+I20</f>
        <v>108</v>
      </c>
      <c r="N20" s="135">
        <f>F20+J20</f>
        <v>86</v>
      </c>
      <c r="O20" s="136">
        <f>G20+K20</f>
        <v>0</v>
      </c>
      <c r="P20" s="138">
        <f ca="1">(M20+N20)/OverviewData!$B$6</f>
        <v>2.8115942028985508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26.5" hidden="1" x14ac:dyDescent="0.35">
      <c r="A21" s="363"/>
      <c r="B21" s="141">
        <f>VLOOKUP(A20,TeamAssignment!A$6:G$52,7,FALSE)</f>
        <v>125</v>
      </c>
      <c r="C21" s="82" t="s">
        <v>83</v>
      </c>
      <c r="D21" s="133"/>
      <c r="E21" s="17">
        <f>IFERROR(E20/D20,0)</f>
        <v>0.86399999999999999</v>
      </c>
      <c r="F21" s="17">
        <f>IFERROR(F20/E20,0)</f>
        <v>0.79629629629629628</v>
      </c>
      <c r="G21" s="146"/>
      <c r="H21" s="114"/>
      <c r="I21" s="17">
        <f>IFERROR(I20/H20,0)</f>
        <v>0</v>
      </c>
      <c r="J21" s="17">
        <f>IFERROR(J20/I20,0)</f>
        <v>0</v>
      </c>
      <c r="K21" s="146"/>
      <c r="L21" s="114"/>
      <c r="M21" s="17">
        <f>M20/L20</f>
        <v>0.86399999999999999</v>
      </c>
      <c r="N21" s="17">
        <f>IFERROR(N20/M20,0)</f>
        <v>0.79629629629629628</v>
      </c>
      <c r="O21" s="146"/>
      <c r="P21" s="148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4.65" hidden="1" customHeight="1" thickBot="1" x14ac:dyDescent="0.4">
      <c r="A22" s="364"/>
      <c r="B22" s="129"/>
      <c r="C22" s="84" t="s">
        <v>248</v>
      </c>
      <c r="D22" s="26">
        <f>D20/B21</f>
        <v>1</v>
      </c>
      <c r="E22" s="27">
        <f>IFERROR(VLOOKUP($A20,TeamCompletion[#All],12,FALSE)/B21,0)</f>
        <v>0.86399999999999999</v>
      </c>
      <c r="F22" s="27">
        <f>IFERROR(VLOOKUP($A20,TeamCompletion[#All],13,FALSE)/B21,0)</f>
        <v>0.68799999999999994</v>
      </c>
      <c r="G22" s="28">
        <f>IFERROR(VLOOKUP($A20,TeamFieldCheckCompletion[#All],7,FALSE)/B21,0)</f>
        <v>0</v>
      </c>
      <c r="H22" s="26">
        <f>H20/B21</f>
        <v>0.13600000000000001</v>
      </c>
      <c r="I22" s="27">
        <f>IFERROR(VLOOKUP($A20,TeamCompletion[#All],14,FALSE)/F21,0)</f>
        <v>0</v>
      </c>
      <c r="J22" s="27">
        <f>IFERROR(VLOOKUP($A20,TeamCompletion[#All],15,FALSE)/F21,0)</f>
        <v>0</v>
      </c>
      <c r="K22" s="28">
        <f>IFERROR(VLOOKUP($A20,TeamFieldCheckCompletion[#All],8,FALSE)/F21,0)</f>
        <v>0</v>
      </c>
      <c r="L22" s="26">
        <f>IFERROR(L20/$B21,0)</f>
        <v>1</v>
      </c>
      <c r="M22" s="26">
        <f>IFERROR(M20/$B21,0)</f>
        <v>0.86399999999999999</v>
      </c>
      <c r="N22" s="26">
        <f>IFERROR(N20/$B21,0)</f>
        <v>0.68799999999999994</v>
      </c>
      <c r="O22" s="151">
        <f>IFERROR(O20/$B21,0)</f>
        <v>0</v>
      </c>
      <c r="P22" s="148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4.5" hidden="1" customHeight="1" x14ac:dyDescent="0.35">
      <c r="A23" s="362" t="s">
        <v>124</v>
      </c>
      <c r="B23" s="127"/>
      <c r="C23" s="113" t="s">
        <v>14</v>
      </c>
      <c r="D23" s="132">
        <v>34</v>
      </c>
      <c r="E23" s="134">
        <f>IFERROR(VLOOKUP($A23,TeamCompletion[#All],12,FALSE),0)</f>
        <v>36</v>
      </c>
      <c r="F23" s="134">
        <f>IFERROR(VLOOKUP($A23,TeamCompletion[#All],13,FALSE),0)</f>
        <v>7</v>
      </c>
      <c r="G23" s="149">
        <f>IFERROR(VLOOKUP($A23,TeamFieldCheckCompletion[#All],7,FALSE),0)</f>
        <v>0</v>
      </c>
      <c r="H23" s="132">
        <f>MAX(0,B24-E23)</f>
        <v>0</v>
      </c>
      <c r="I23" s="134">
        <f>IFERROR(VLOOKUP($A23,TeamCompletion[#All],14,FALSE),0)</f>
        <v>0</v>
      </c>
      <c r="J23" s="134">
        <f>IFERROR(VLOOKUP($A23,TeamCompletion[#All],15,FALSE),0)</f>
        <v>0</v>
      </c>
      <c r="K23" s="149">
        <f>IFERROR(VLOOKUP($A23,TeamFieldCheckCompletion[#All],8,FALSE),0)</f>
        <v>0</v>
      </c>
      <c r="L23" s="132">
        <f>B24</f>
        <v>34</v>
      </c>
      <c r="M23" s="135">
        <f>E23+I23</f>
        <v>36</v>
      </c>
      <c r="N23" s="135">
        <f>F23+J23</f>
        <v>7</v>
      </c>
      <c r="O23" s="136">
        <f>G23+K23</f>
        <v>0</v>
      </c>
      <c r="P23" s="138">
        <f ca="1">(M23+N23)/OverviewData!$B$6</f>
        <v>0.62318840579710144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26.5" hidden="1" x14ac:dyDescent="0.35">
      <c r="A24" s="363"/>
      <c r="B24" s="141">
        <f>VLOOKUP(A23,TeamAssignment!A$6:G$52,7,FALSE)</f>
        <v>34</v>
      </c>
      <c r="C24" s="82" t="s">
        <v>83</v>
      </c>
      <c r="D24" s="133"/>
      <c r="E24" s="17">
        <f>IFERROR(E23/D23,0)</f>
        <v>1.0588235294117647</v>
      </c>
      <c r="F24" s="17">
        <f>IFERROR(F23/E23,0)</f>
        <v>0.19444444444444445</v>
      </c>
      <c r="G24" s="146"/>
      <c r="H24" s="114"/>
      <c r="I24" s="17">
        <f>IFERROR(I23/H23,0)</f>
        <v>0</v>
      </c>
      <c r="J24" s="17">
        <f>IFERROR(J23/I23,0)</f>
        <v>0</v>
      </c>
      <c r="K24" s="146"/>
      <c r="L24" s="114"/>
      <c r="M24" s="17">
        <f>M23/L23</f>
        <v>1.0588235294117647</v>
      </c>
      <c r="N24" s="17">
        <f>IFERROR(N23/M23,0)</f>
        <v>0.19444444444444445</v>
      </c>
      <c r="O24" s="146"/>
      <c r="P24" s="148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5" hidden="1" thickBot="1" x14ac:dyDescent="0.4">
      <c r="A25" s="364"/>
      <c r="B25" s="129"/>
      <c r="C25" s="84" t="s">
        <v>248</v>
      </c>
      <c r="D25" s="26">
        <f>D23/B24</f>
        <v>1</v>
      </c>
      <c r="E25" s="27">
        <f>IFERROR(VLOOKUP($A23,TeamCompletion[#All],12,FALSE)/B24,0)</f>
        <v>1.0588235294117647</v>
      </c>
      <c r="F25" s="27">
        <f>IFERROR(VLOOKUP($A23,TeamCompletion[#All],13,FALSE)/B24,0)</f>
        <v>0.20588235294117646</v>
      </c>
      <c r="G25" s="28">
        <f>IFERROR(VLOOKUP($A23,TeamFieldCheckCompletion[#All],7,FALSE)/B24,0)</f>
        <v>0</v>
      </c>
      <c r="H25" s="26">
        <f>H23/B24</f>
        <v>0</v>
      </c>
      <c r="I25" s="27">
        <f>IFERROR(VLOOKUP($A23,TeamCompletion[#All],14,FALSE)/F24,0)</f>
        <v>0</v>
      </c>
      <c r="J25" s="27">
        <f>IFERROR(VLOOKUP($A23,TeamCompletion[#All],15,FALSE)/F24,0)</f>
        <v>0</v>
      </c>
      <c r="K25" s="28">
        <f>IFERROR(VLOOKUP($A23,TeamFieldCheckCompletion[#All],8,FALSE)/F24,0)</f>
        <v>0</v>
      </c>
      <c r="L25" s="26">
        <f>IFERROR(L23/$B24,0)</f>
        <v>1</v>
      </c>
      <c r="M25" s="26">
        <f>IFERROR(M23/$B24,0)</f>
        <v>1.0588235294117647</v>
      </c>
      <c r="N25" s="26">
        <f>IFERROR(N23/$B24,0)</f>
        <v>0.20588235294117646</v>
      </c>
      <c r="O25" s="151">
        <f>IFERROR(O23/$B24,0)</f>
        <v>0</v>
      </c>
      <c r="P25" s="148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idden="1" x14ac:dyDescent="0.35">
      <c r="A26" s="362" t="s">
        <v>125</v>
      </c>
      <c r="B26" s="127"/>
      <c r="C26" s="113" t="s">
        <v>14</v>
      </c>
      <c r="D26" s="132">
        <v>20</v>
      </c>
      <c r="E26" s="134">
        <f>IFERROR(VLOOKUP($A26,TeamCompletion[#All],12,FALSE),0)</f>
        <v>35</v>
      </c>
      <c r="F26" s="134">
        <f>IFERROR(VLOOKUP($A26,TeamCompletion[#All],13,FALSE),0)</f>
        <v>9</v>
      </c>
      <c r="G26" s="149">
        <f>IFERROR(VLOOKUP($A26,TeamFieldCheckCompletion[#All],7,FALSE),0)</f>
        <v>0</v>
      </c>
      <c r="H26" s="132">
        <f>MAX(0,B27-E26)</f>
        <v>0</v>
      </c>
      <c r="I26" s="134">
        <f>IFERROR(VLOOKUP($A26,TeamCompletion[#All],14,FALSE),0)</f>
        <v>0</v>
      </c>
      <c r="J26" s="134">
        <f>IFERROR(VLOOKUP($A26,TeamCompletion[#All],15,FALSE),0)</f>
        <v>0</v>
      </c>
      <c r="K26" s="149">
        <f>IFERROR(VLOOKUP($A26,TeamFieldCheckCompletion[#All],8,FALSE),0)</f>
        <v>0</v>
      </c>
      <c r="L26" s="132">
        <f>B27</f>
        <v>20</v>
      </c>
      <c r="M26" s="135">
        <f>E26+I26</f>
        <v>35</v>
      </c>
      <c r="N26" s="135">
        <f>F26+J26</f>
        <v>9</v>
      </c>
      <c r="O26" s="136">
        <f>G26+K26</f>
        <v>0</v>
      </c>
      <c r="P26" s="138">
        <f ca="1">(M26+N26)/OverviewData!$B$6</f>
        <v>0.6376811594202898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26.5" hidden="1" x14ac:dyDescent="0.35">
      <c r="A27" s="363"/>
      <c r="B27" s="141">
        <f>VLOOKUP(A26,TeamAssignment!A$6:G$52,7,FALSE)</f>
        <v>20</v>
      </c>
      <c r="C27" s="82" t="s">
        <v>83</v>
      </c>
      <c r="D27" s="133"/>
      <c r="E27" s="17">
        <f>IFERROR(E26/D26,0)</f>
        <v>1.75</v>
      </c>
      <c r="F27" s="17">
        <f>IFERROR(F26/E26,0)</f>
        <v>0.25714285714285712</v>
      </c>
      <c r="G27" s="146"/>
      <c r="H27" s="114"/>
      <c r="I27" s="17">
        <f>IFERROR(I26/H26,0)</f>
        <v>0</v>
      </c>
      <c r="J27" s="17">
        <f>IFERROR(J26/I26,0)</f>
        <v>0</v>
      </c>
      <c r="K27" s="146"/>
      <c r="L27" s="114"/>
      <c r="M27" s="17">
        <f>M26/L26</f>
        <v>1.75</v>
      </c>
      <c r="N27" s="17">
        <f>IFERROR(N26/M26,0)</f>
        <v>0.25714285714285712</v>
      </c>
      <c r="O27" s="146"/>
      <c r="P27" s="148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5" hidden="1" thickBot="1" x14ac:dyDescent="0.4">
      <c r="A28" s="364"/>
      <c r="B28" s="129"/>
      <c r="C28" s="84" t="s">
        <v>248</v>
      </c>
      <c r="D28" s="26">
        <f>D26/B27</f>
        <v>1</v>
      </c>
      <c r="E28" s="27">
        <f>IFERROR(VLOOKUP($A26,TeamCompletion[#All],12,FALSE)/B27,0)</f>
        <v>1.75</v>
      </c>
      <c r="F28" s="27">
        <f>IFERROR(VLOOKUP($A26,TeamCompletion[#All],13,FALSE)/B27,0)</f>
        <v>0.45</v>
      </c>
      <c r="G28" s="28">
        <f>IFERROR(VLOOKUP($A26,TeamFieldCheckCompletion[#All],7,FALSE)/B27,0)</f>
        <v>0</v>
      </c>
      <c r="H28" s="26">
        <f>H26/B27</f>
        <v>0</v>
      </c>
      <c r="I28" s="27">
        <f>IFERROR(VLOOKUP($A26,TeamCompletion[#All],14,FALSE)/F27,0)</f>
        <v>0</v>
      </c>
      <c r="J28" s="27">
        <f>IFERROR(VLOOKUP($A26,TeamCompletion[#All],15,FALSE)/F27,0)</f>
        <v>0</v>
      </c>
      <c r="K28" s="28">
        <f>IFERROR(VLOOKUP($A26,TeamFieldCheckCompletion[#All],8,FALSE)/F27,0)</f>
        <v>0</v>
      </c>
      <c r="L28" s="26">
        <f>IFERROR(L26/$B27,0)</f>
        <v>1</v>
      </c>
      <c r="M28" s="26">
        <f>IFERROR(M26/$B27,0)</f>
        <v>1.75</v>
      </c>
      <c r="N28" s="26">
        <f>IFERROR(N26/$B27,0)</f>
        <v>0.45</v>
      </c>
      <c r="O28" s="151">
        <f>IFERROR(O26/$B27,0)</f>
        <v>0</v>
      </c>
      <c r="P28" s="148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4.5" hidden="1" customHeight="1" x14ac:dyDescent="0.35">
      <c r="A29" s="362" t="s">
        <v>126</v>
      </c>
      <c r="B29" s="127"/>
      <c r="C29" s="112" t="s">
        <v>14</v>
      </c>
      <c r="D29" s="132">
        <v>143</v>
      </c>
      <c r="E29" s="134">
        <f>IFERROR(VLOOKUP($A29,TeamCompletion[#All],12,FALSE),0)</f>
        <v>0</v>
      </c>
      <c r="F29" s="134">
        <f>IFERROR(VLOOKUP($A29,TeamCompletion[#All],13,FALSE),0)</f>
        <v>0</v>
      </c>
      <c r="G29" s="149">
        <f>IFERROR(VLOOKUP($A29,TeamFieldCheckCompletion[#All],7,FALSE),0)</f>
        <v>0</v>
      </c>
      <c r="H29" s="132">
        <f>MAX(0,B30-E29)</f>
        <v>143</v>
      </c>
      <c r="I29" s="134">
        <f>IFERROR(VLOOKUP($A29,TeamCompletion[#All],14,FALSE),0)</f>
        <v>0</v>
      </c>
      <c r="J29" s="134">
        <f>IFERROR(VLOOKUP($A29,TeamCompletion[#All],15,FALSE),0)</f>
        <v>0</v>
      </c>
      <c r="K29" s="149">
        <f>IFERROR(VLOOKUP($A29,TeamFieldCheckCompletion[#All],8,FALSE),0)</f>
        <v>0</v>
      </c>
      <c r="L29" s="132">
        <f>B30</f>
        <v>143</v>
      </c>
      <c r="M29" s="135">
        <f>E29+I29</f>
        <v>0</v>
      </c>
      <c r="N29" s="135">
        <f>F29+J29</f>
        <v>0</v>
      </c>
      <c r="O29" s="136">
        <f>G29+K29</f>
        <v>0</v>
      </c>
      <c r="P29" s="138">
        <f ca="1">(M29+N29)/OverviewData!$B$6</f>
        <v>0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26.5" hidden="1" x14ac:dyDescent="0.35">
      <c r="A30" s="363"/>
      <c r="B30" s="141">
        <f>VLOOKUP(A29,TeamAssignment!A$6:G$52,7,FALSE)</f>
        <v>143</v>
      </c>
      <c r="C30" s="82" t="s">
        <v>83</v>
      </c>
      <c r="D30" s="133"/>
      <c r="E30" s="17">
        <f>IFERROR(E29/D29,0)</f>
        <v>0</v>
      </c>
      <c r="F30" s="17">
        <f>IFERROR(F29/E29,0)</f>
        <v>0</v>
      </c>
      <c r="G30" s="146"/>
      <c r="H30" s="114"/>
      <c r="I30" s="17">
        <f>IFERROR(I29/H29,0)</f>
        <v>0</v>
      </c>
      <c r="J30" s="17">
        <f>IFERROR(J29/I29,0)</f>
        <v>0</v>
      </c>
      <c r="K30" s="146"/>
      <c r="L30" s="114"/>
      <c r="M30" s="17">
        <f>M29/L29</f>
        <v>0</v>
      </c>
      <c r="N30" s="17">
        <f>IFERROR(N29/M29,0)</f>
        <v>0</v>
      </c>
      <c r="O30" s="146"/>
      <c r="P30" s="148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5" hidden="1" thickBot="1" x14ac:dyDescent="0.4">
      <c r="A31" s="364"/>
      <c r="B31" s="129"/>
      <c r="C31" s="84" t="s">
        <v>248</v>
      </c>
      <c r="D31" s="26">
        <f>D29/B30</f>
        <v>1</v>
      </c>
      <c r="E31" s="27"/>
      <c r="F31" s="27"/>
      <c r="G31" s="28"/>
      <c r="H31" s="26">
        <f>H29/B30</f>
        <v>1</v>
      </c>
      <c r="I31" s="27">
        <f>IFERROR(VLOOKUP($A29,TeamCompletion[#All],14,FALSE)/F30,0)</f>
        <v>0</v>
      </c>
      <c r="J31" s="27">
        <f>IFERROR(VLOOKUP($A29,TeamCompletion[#All],15,FALSE)/F30,0)</f>
        <v>0</v>
      </c>
      <c r="K31" s="28">
        <f>IFERROR(VLOOKUP($A29,TeamFieldCheckCompletion[#All],8,FALSE)/F30,0)</f>
        <v>0</v>
      </c>
      <c r="L31" s="26">
        <f>IFERROR(L29/$B30,0)</f>
        <v>1</v>
      </c>
      <c r="M31" s="26">
        <f>IFERROR(M29/$B30,0)</f>
        <v>0</v>
      </c>
      <c r="N31" s="26">
        <f>IFERROR(N29/$B30,0)</f>
        <v>0</v>
      </c>
      <c r="O31" s="151">
        <f>IFERROR(O29/$B30,0)</f>
        <v>0</v>
      </c>
      <c r="P31" s="148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4.5" hidden="1" customHeight="1" x14ac:dyDescent="0.35">
      <c r="A32" s="362" t="s">
        <v>127</v>
      </c>
      <c r="B32" s="127"/>
      <c r="C32" s="112" t="s">
        <v>14</v>
      </c>
      <c r="D32" s="132">
        <v>135</v>
      </c>
      <c r="E32" s="134">
        <f>IFERROR(VLOOKUP($A32,TeamCompletion[#All],12,FALSE),0)</f>
        <v>0</v>
      </c>
      <c r="F32" s="134">
        <f>IFERROR(VLOOKUP($A32,TeamCompletion[#All],13,FALSE),0)</f>
        <v>0</v>
      </c>
      <c r="G32" s="149">
        <f>IFERROR(VLOOKUP($A32,TeamFieldCheckCompletion[#All],7,FALSE),0)</f>
        <v>0</v>
      </c>
      <c r="H32" s="132">
        <f>MAX(0,B33-E32)</f>
        <v>135</v>
      </c>
      <c r="I32" s="134">
        <f>IFERROR(VLOOKUP($A32,TeamCompletion[#All],14,FALSE),0)</f>
        <v>0</v>
      </c>
      <c r="J32" s="134">
        <f>IFERROR(VLOOKUP($A32,TeamCompletion[#All],15,FALSE),0)</f>
        <v>0</v>
      </c>
      <c r="K32" s="149">
        <f>IFERROR(VLOOKUP($A32,TeamFieldCheckCompletion[#All],8,FALSE),0)</f>
        <v>0</v>
      </c>
      <c r="L32" s="132">
        <f>B33</f>
        <v>135</v>
      </c>
      <c r="M32" s="135">
        <f>E32+I32</f>
        <v>0</v>
      </c>
      <c r="N32" s="135">
        <f>F32+J32</f>
        <v>0</v>
      </c>
      <c r="O32" s="136">
        <f>G32+K32</f>
        <v>0</v>
      </c>
      <c r="P32" s="138">
        <f ca="1">(M32+N32)/OverviewData!$B$6</f>
        <v>0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26.5" hidden="1" x14ac:dyDescent="0.35">
      <c r="A33" s="363"/>
      <c r="B33" s="141">
        <f>VLOOKUP(A32,TeamAssignment!A$6:G$52,7,FALSE)</f>
        <v>135</v>
      </c>
      <c r="C33" s="82" t="s">
        <v>83</v>
      </c>
      <c r="D33" s="133"/>
      <c r="E33" s="17">
        <f>IFERROR(E32/D32,0)</f>
        <v>0</v>
      </c>
      <c r="F33" s="17">
        <f>IFERROR(F32/E32,0)</f>
        <v>0</v>
      </c>
      <c r="G33" s="146"/>
      <c r="H33" s="114"/>
      <c r="I33" s="17">
        <f>IFERROR(I32/H32,0)</f>
        <v>0</v>
      </c>
      <c r="J33" s="17">
        <f>IFERROR(J32/I32,0)</f>
        <v>0</v>
      </c>
      <c r="K33" s="146"/>
      <c r="L33" s="114"/>
      <c r="M33" s="17">
        <f>M32/L32</f>
        <v>0</v>
      </c>
      <c r="N33" s="17">
        <f>IFERROR(N32/M32,0)</f>
        <v>0</v>
      </c>
      <c r="O33" s="146"/>
      <c r="P33" s="148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hidden="1" thickBot="1" x14ac:dyDescent="0.4">
      <c r="A34" s="364"/>
      <c r="B34" s="129"/>
      <c r="C34" s="84" t="s">
        <v>248</v>
      </c>
      <c r="D34" s="26">
        <f>D32/B33</f>
        <v>1</v>
      </c>
      <c r="E34" s="27">
        <f>IFERROR(VLOOKUP($A32,TeamCompletion[#All],12,FALSE)/B33,0)</f>
        <v>0</v>
      </c>
      <c r="F34" s="27">
        <f>IFERROR(VLOOKUP($A32,TeamCompletion[#All],13,FALSE)/B33,0)</f>
        <v>0</v>
      </c>
      <c r="G34" s="28">
        <f>IFERROR(VLOOKUP($A32,TeamFieldCheckCompletion[#All],7,FALSE)/B33,0)</f>
        <v>0</v>
      </c>
      <c r="H34" s="26">
        <f>H32/B33</f>
        <v>1</v>
      </c>
      <c r="I34" s="27">
        <f>IFERROR(VLOOKUP($A32,TeamCompletion[#All],14,FALSE)/F33,0)</f>
        <v>0</v>
      </c>
      <c r="J34" s="27">
        <f>IFERROR(VLOOKUP($A32,TeamCompletion[#All],15,FALSE)/F33,0)</f>
        <v>0</v>
      </c>
      <c r="K34" s="28">
        <f>IFERROR(VLOOKUP($A32,TeamFieldCheckCompletion[#All],8,FALSE)/F33,0)</f>
        <v>0</v>
      </c>
      <c r="L34" s="26">
        <f>IFERROR(L32/$B33,0)</f>
        <v>1</v>
      </c>
      <c r="M34" s="26">
        <f>IFERROR(M32/$B33,0)</f>
        <v>0</v>
      </c>
      <c r="N34" s="26">
        <f>IFERROR(N32/$B33,0)</f>
        <v>0</v>
      </c>
      <c r="O34" s="151">
        <f>IFERROR(O32/$B33,0)</f>
        <v>0</v>
      </c>
      <c r="P34" s="148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</row>
    <row r="35" spans="1:35" ht="14.5" hidden="1" customHeight="1" x14ac:dyDescent="0.35">
      <c r="A35" s="362" t="s">
        <v>128</v>
      </c>
      <c r="B35" s="127"/>
      <c r="C35" s="112" t="s">
        <v>14</v>
      </c>
      <c r="D35" s="132">
        <v>96</v>
      </c>
      <c r="E35" s="134">
        <f>IFERROR(VLOOKUP($A35,TeamCompletion[#All],12,FALSE),0)</f>
        <v>39</v>
      </c>
      <c r="F35" s="134">
        <f>IFERROR(VLOOKUP($A35,TeamCompletion[#All],13,FALSE),0)</f>
        <v>14</v>
      </c>
      <c r="G35" s="149">
        <f>IFERROR(VLOOKUP($A35,TeamFieldCheckCompletion[#All],7,FALSE),0)</f>
        <v>0</v>
      </c>
      <c r="H35" s="132">
        <f>MAX(0,B36-E35)</f>
        <v>57</v>
      </c>
      <c r="I35" s="134">
        <f>IFERROR(VLOOKUP($A35,TeamCompletion[#All],14,FALSE),0)</f>
        <v>0</v>
      </c>
      <c r="J35" s="134">
        <f>IFERROR(VLOOKUP($A35,TeamCompletion[#All],15,FALSE),0)</f>
        <v>0</v>
      </c>
      <c r="K35" s="149">
        <f>IFERROR(VLOOKUP($A35,TeamFieldCheckCompletion[#All],8,FALSE),0)</f>
        <v>0</v>
      </c>
      <c r="L35" s="132">
        <f>B36</f>
        <v>96</v>
      </c>
      <c r="M35" s="135">
        <f>E35+I35</f>
        <v>39</v>
      </c>
      <c r="N35" s="135">
        <f>F35+J35</f>
        <v>14</v>
      </c>
      <c r="O35" s="136">
        <f>G35+K35</f>
        <v>0</v>
      </c>
      <c r="P35" s="138">
        <f ca="1">(M35+N35)/OverviewData!$B$6</f>
        <v>0.76811594202898548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 ht="26.5" hidden="1" x14ac:dyDescent="0.35">
      <c r="A36" s="363"/>
      <c r="B36" s="141">
        <f>VLOOKUP(A35,TeamAssignment!A$6:G$52,7,FALSE)</f>
        <v>96</v>
      </c>
      <c r="C36" s="82" t="s">
        <v>83</v>
      </c>
      <c r="D36" s="133"/>
      <c r="E36" s="17">
        <f>IFERROR(E35/D35,0)</f>
        <v>0.40625</v>
      </c>
      <c r="F36" s="17">
        <f>IFERROR(F35/E35,0)</f>
        <v>0.35897435897435898</v>
      </c>
      <c r="G36" s="146"/>
      <c r="H36" s="114"/>
      <c r="I36" s="17">
        <f>IFERROR(I35/H35,0)</f>
        <v>0</v>
      </c>
      <c r="J36" s="17">
        <f>IFERROR(J35/I35,0)</f>
        <v>0</v>
      </c>
      <c r="K36" s="146"/>
      <c r="L36" s="114"/>
      <c r="M36" s="17">
        <f>M35/L35</f>
        <v>0.40625</v>
      </c>
      <c r="N36" s="17">
        <f>IFERROR(N35/M35,0)</f>
        <v>0.35897435897435898</v>
      </c>
      <c r="O36" s="146"/>
      <c r="P36" s="148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</row>
    <row r="37" spans="1:35" ht="15" hidden="1" thickBot="1" x14ac:dyDescent="0.4">
      <c r="A37" s="364"/>
      <c r="B37" s="129"/>
      <c r="C37" s="84" t="s">
        <v>248</v>
      </c>
      <c r="D37" s="26">
        <f>D35/B36</f>
        <v>1</v>
      </c>
      <c r="E37" s="27">
        <f>IFERROR(VLOOKUP($A35,TeamCompletion[#All],12,FALSE)/B36,0)</f>
        <v>0.40625</v>
      </c>
      <c r="F37" s="27">
        <f>IFERROR(VLOOKUP($A35,TeamCompletion[#All],13,FALSE)/B36,0)</f>
        <v>0.14583333333333334</v>
      </c>
      <c r="G37" s="28">
        <f>IFERROR(VLOOKUP($A35,TeamFieldCheckCompletion[#All],7,FALSE)/B36,0)</f>
        <v>0</v>
      </c>
      <c r="H37" s="26">
        <f>H35/B36</f>
        <v>0.59375</v>
      </c>
      <c r="I37" s="27">
        <f>IFERROR(VLOOKUP($A35,TeamCompletion[#All],14,FALSE)/F36,0)</f>
        <v>0</v>
      </c>
      <c r="J37" s="27">
        <f>IFERROR(VLOOKUP($A35,TeamCompletion[#All],15,FALSE)/F36,0)</f>
        <v>0</v>
      </c>
      <c r="K37" s="28">
        <f>IFERROR(VLOOKUP($A35,TeamFieldCheckCompletion[#All],8,FALSE)/F36,0)</f>
        <v>0</v>
      </c>
      <c r="L37" s="26">
        <f>IFERROR(L35/$B36,0)</f>
        <v>1</v>
      </c>
      <c r="M37" s="26">
        <f>IFERROR(M35/$B36,0)</f>
        <v>0.40625</v>
      </c>
      <c r="N37" s="26">
        <f>IFERROR(N35/$B36,0)</f>
        <v>0.14583333333333334</v>
      </c>
      <c r="O37" s="151">
        <f>IFERROR(O35/$B36,0)</f>
        <v>0</v>
      </c>
      <c r="P37" s="148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</row>
    <row r="38" spans="1:35" ht="14.5" hidden="1" customHeight="1" x14ac:dyDescent="0.35">
      <c r="A38" s="362" t="s">
        <v>129</v>
      </c>
      <c r="B38" s="127"/>
      <c r="C38" s="112" t="s">
        <v>14</v>
      </c>
      <c r="D38" s="132">
        <v>150</v>
      </c>
      <c r="E38" s="134">
        <f>IFERROR(VLOOKUP($A38,TeamCompletion[#All],12,FALSE),0)</f>
        <v>0</v>
      </c>
      <c r="F38" s="134">
        <f>IFERROR(VLOOKUP($A38,TeamCompletion[#All],13,FALSE),0)</f>
        <v>0</v>
      </c>
      <c r="G38" s="149">
        <f>IFERROR(VLOOKUP($A38,TeamFieldCheckCompletion[#All],7,FALSE),0)</f>
        <v>0</v>
      </c>
      <c r="H38" s="132">
        <f>MAX(0,B39-E38)</f>
        <v>150</v>
      </c>
      <c r="I38" s="134">
        <f>IFERROR(VLOOKUP($A38,TeamCompletion[#All],14,FALSE),0)</f>
        <v>0</v>
      </c>
      <c r="J38" s="134">
        <f>IFERROR(VLOOKUP($A38,TeamCompletion[#All],15,FALSE),0)</f>
        <v>0</v>
      </c>
      <c r="K38" s="149">
        <f>IFERROR(VLOOKUP($A38,TeamFieldCheckCompletion[#All],8,FALSE),0)</f>
        <v>0</v>
      </c>
      <c r="L38" s="132">
        <f>B39</f>
        <v>150</v>
      </c>
      <c r="M38" s="135">
        <f>E38+I38</f>
        <v>0</v>
      </c>
      <c r="N38" s="135">
        <f>F38+J38</f>
        <v>0</v>
      </c>
      <c r="O38" s="136">
        <f>G38+K38</f>
        <v>0</v>
      </c>
      <c r="P38" s="138">
        <f ca="1">(M38+N38)/OverviewData!$B$6</f>
        <v>0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</row>
    <row r="39" spans="1:35" ht="26.5" hidden="1" x14ac:dyDescent="0.35">
      <c r="A39" s="363"/>
      <c r="B39" s="141">
        <f>VLOOKUP(A38,TeamAssignment!A$6:G$52,7,FALSE)</f>
        <v>150</v>
      </c>
      <c r="C39" s="82" t="s">
        <v>83</v>
      </c>
      <c r="D39" s="133"/>
      <c r="E39" s="17">
        <f>IFERROR(E38/D38,0)</f>
        <v>0</v>
      </c>
      <c r="F39" s="17">
        <f t="shared" ref="F39:F42" si="0">IFERROR(F38/E38,0)</f>
        <v>0</v>
      </c>
      <c r="G39" s="146"/>
      <c r="H39" s="114"/>
      <c r="I39" s="17">
        <f>IFERROR(I38/H38,0)</f>
        <v>0</v>
      </c>
      <c r="J39" s="17">
        <f>IFERROR(J38/I38,0)</f>
        <v>0</v>
      </c>
      <c r="K39" s="146"/>
      <c r="L39" s="114"/>
      <c r="M39" s="17">
        <f>M38/L38</f>
        <v>0</v>
      </c>
      <c r="N39" s="17">
        <f>IFERROR(N38/M38,0)</f>
        <v>0</v>
      </c>
      <c r="O39" s="146"/>
      <c r="P39" s="148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1:35" ht="15" hidden="1" thickBot="1" x14ac:dyDescent="0.4">
      <c r="A40" s="364"/>
      <c r="B40" s="129"/>
      <c r="C40" s="84" t="s">
        <v>248</v>
      </c>
      <c r="D40" s="26">
        <f>D38/B39</f>
        <v>1</v>
      </c>
      <c r="E40" s="27">
        <f>IFERROR(VLOOKUP($A38,TeamCompletion[#All],12,FALSE)/B39,0)</f>
        <v>0</v>
      </c>
      <c r="F40" s="27">
        <f>IFERROR(VLOOKUP($A38,TeamCompletion[#All],13,FALSE)/B39,0)</f>
        <v>0</v>
      </c>
      <c r="G40" s="28">
        <f>IFERROR(VLOOKUP($A38,TeamFieldCheckCompletion[#All],7,FALSE)/B39,0)</f>
        <v>0</v>
      </c>
      <c r="H40" s="26">
        <f>H38/B39</f>
        <v>1</v>
      </c>
      <c r="I40" s="27">
        <f>IFERROR(VLOOKUP($A38,TeamCompletion[#All],14,FALSE)/F39,0)</f>
        <v>0</v>
      </c>
      <c r="J40" s="27">
        <f>IFERROR(VLOOKUP($A38,TeamCompletion[#All],15,FALSE)/F39,0)</f>
        <v>0</v>
      </c>
      <c r="K40" s="28">
        <f>IFERROR(VLOOKUP($A38,TeamFieldCheckCompletion[#All],8,FALSE)/F39,0)</f>
        <v>0</v>
      </c>
      <c r="L40" s="26">
        <f>IFERROR(L38/$B39,0)</f>
        <v>1</v>
      </c>
      <c r="M40" s="26">
        <f>IFERROR(M38/$B39,0)</f>
        <v>0</v>
      </c>
      <c r="N40" s="26">
        <f>IFERROR(N38/$B39,0)</f>
        <v>0</v>
      </c>
      <c r="O40" s="151">
        <f>IFERROR(O38/$B39,0)</f>
        <v>0</v>
      </c>
      <c r="P40" s="148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</row>
    <row r="41" spans="1:35" ht="14.5" hidden="1" customHeight="1" x14ac:dyDescent="0.35">
      <c r="A41" s="362" t="s">
        <v>130</v>
      </c>
      <c r="B41" s="127"/>
      <c r="C41" s="112" t="s">
        <v>14</v>
      </c>
      <c r="D41" s="132">
        <v>148</v>
      </c>
      <c r="E41" s="134">
        <f>IFERROR(VLOOKUP($A41,TeamCompletion[#All],12,FALSE),0)</f>
        <v>0</v>
      </c>
      <c r="F41" s="134">
        <f>IFERROR(VLOOKUP($A41,TeamCompletion[#All],13,FALSE),0)</f>
        <v>0</v>
      </c>
      <c r="G41" s="149">
        <f>IFERROR(VLOOKUP($A41,TeamFieldCheckCompletion[#All],7,FALSE),0)</f>
        <v>0</v>
      </c>
      <c r="H41" s="132">
        <f>MAX(0,B42-E41)</f>
        <v>148</v>
      </c>
      <c r="I41" s="134">
        <f>IFERROR(VLOOKUP($A41,TeamCompletion[#All],14,FALSE),0)</f>
        <v>0</v>
      </c>
      <c r="J41" s="134">
        <f>IFERROR(VLOOKUP($A41,TeamCompletion[#All],15,FALSE),0)</f>
        <v>0</v>
      </c>
      <c r="K41" s="149">
        <f>IFERROR(VLOOKUP($A41,TeamFieldCheckCompletion[#All],8,FALSE),0)</f>
        <v>0</v>
      </c>
      <c r="L41" s="132">
        <f>B42</f>
        <v>148</v>
      </c>
      <c r="M41" s="135">
        <f>E41+I41</f>
        <v>0</v>
      </c>
      <c r="N41" s="135">
        <f>F41+J41</f>
        <v>0</v>
      </c>
      <c r="O41" s="136">
        <f>G41+K41</f>
        <v>0</v>
      </c>
      <c r="P41" s="138">
        <f ca="1">(M41+N41)/OverviewData!$B$6</f>
        <v>0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</row>
    <row r="42" spans="1:35" ht="26.5" hidden="1" x14ac:dyDescent="0.35">
      <c r="A42" s="363"/>
      <c r="B42" s="141">
        <f>VLOOKUP(A41,TeamAssignment!A$6:G$52,7,FALSE)</f>
        <v>148</v>
      </c>
      <c r="C42" s="82" t="s">
        <v>83</v>
      </c>
      <c r="D42" s="133"/>
      <c r="E42" s="17">
        <f>IFERROR(E41/D41,0)</f>
        <v>0</v>
      </c>
      <c r="F42" s="17">
        <f t="shared" si="0"/>
        <v>0</v>
      </c>
      <c r="G42" s="146"/>
      <c r="H42" s="114"/>
      <c r="I42" s="17">
        <f>IFERROR(I41/H41,0)</f>
        <v>0</v>
      </c>
      <c r="J42" s="17">
        <f>IFERROR(J41/I41,0)</f>
        <v>0</v>
      </c>
      <c r="K42" s="146"/>
      <c r="L42" s="114"/>
      <c r="M42" s="17">
        <f>M41/L41</f>
        <v>0</v>
      </c>
      <c r="N42" s="17">
        <f>IFERROR(N41/M41,0)</f>
        <v>0</v>
      </c>
      <c r="O42" s="146"/>
      <c r="P42" s="148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</row>
    <row r="43" spans="1:35" ht="15" hidden="1" thickBot="1" x14ac:dyDescent="0.4">
      <c r="A43" s="364"/>
      <c r="B43" s="129"/>
      <c r="C43" s="84" t="s">
        <v>248</v>
      </c>
      <c r="D43" s="26">
        <f>D41/B42</f>
        <v>1</v>
      </c>
      <c r="E43" s="27">
        <f>IFERROR(VLOOKUP($A41,TeamCompletion[#All],12,FALSE)/B42,0)</f>
        <v>0</v>
      </c>
      <c r="F43" s="27">
        <f>IFERROR(VLOOKUP($A41,TeamCompletion[#All],13,FALSE)/B42,0)</f>
        <v>0</v>
      </c>
      <c r="G43" s="28">
        <f>IFERROR(VLOOKUP($A41,TeamFieldCheckCompletion[#All],7,FALSE)/B42,0)</f>
        <v>0</v>
      </c>
      <c r="H43" s="26">
        <f>H41/B42</f>
        <v>1</v>
      </c>
      <c r="I43" s="27">
        <f>IFERROR(VLOOKUP($A41,TeamCompletion[#All],14,FALSE)/F42,0)</f>
        <v>0</v>
      </c>
      <c r="J43" s="27">
        <f>IFERROR(VLOOKUP($A41,TeamCompletion[#All],15,FALSE)/F42,0)</f>
        <v>0</v>
      </c>
      <c r="K43" s="28">
        <f>IFERROR(VLOOKUP($A41,TeamFieldCheckCompletion[#All],8,FALSE)/F42,0)</f>
        <v>0</v>
      </c>
      <c r="L43" s="26">
        <f>IFERROR(L41/$B42,0)</f>
        <v>1</v>
      </c>
      <c r="M43" s="26">
        <f>IFERROR(M41/$B42,0)</f>
        <v>0</v>
      </c>
      <c r="N43" s="26">
        <f>IFERROR(N41/$B42,0)</f>
        <v>0</v>
      </c>
      <c r="O43" s="151">
        <f>IFERROR(O41/$B42,0)</f>
        <v>0</v>
      </c>
      <c r="P43" s="148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</row>
    <row r="44" spans="1:35" ht="14.5" hidden="1" customHeight="1" x14ac:dyDescent="0.35">
      <c r="A44" s="362" t="s">
        <v>131</v>
      </c>
      <c r="B44" s="127"/>
      <c r="C44" s="112" t="s">
        <v>14</v>
      </c>
      <c r="D44" s="132">
        <v>139</v>
      </c>
      <c r="E44" s="134">
        <f>IFERROR(VLOOKUP($A44,TeamCompletion[#All],12,FALSE),0)</f>
        <v>209</v>
      </c>
      <c r="F44" s="134">
        <f>IFERROR(VLOOKUP($A44,TeamCompletion[#All],13,FALSE),0)</f>
        <v>128</v>
      </c>
      <c r="G44" s="149">
        <f>IFERROR(VLOOKUP($A44,TeamFieldCheckCompletion[#All],7,FALSE),0)</f>
        <v>0</v>
      </c>
      <c r="H44" s="132">
        <f>MAX(0,B45-E44)</f>
        <v>0</v>
      </c>
      <c r="I44" s="134">
        <f>IFERROR(VLOOKUP($A44,TeamCompletion[#All],14,FALSE),0)</f>
        <v>0</v>
      </c>
      <c r="J44" s="134">
        <f>IFERROR(VLOOKUP($A44,TeamCompletion[#All],15,FALSE),0)</f>
        <v>0</v>
      </c>
      <c r="K44" s="149">
        <f>IFERROR(VLOOKUP($A44,TeamFieldCheckCompletion[#All],8,FALSE),0)</f>
        <v>0</v>
      </c>
      <c r="L44" s="132">
        <f>B45</f>
        <v>139</v>
      </c>
      <c r="M44" s="135">
        <f>E44+I44</f>
        <v>209</v>
      </c>
      <c r="N44" s="135">
        <f>F44+J44</f>
        <v>128</v>
      </c>
      <c r="O44" s="136">
        <f>G44+K44</f>
        <v>0</v>
      </c>
      <c r="P44" s="138">
        <f ca="1">(M44+N44)/OverviewData!$B$6</f>
        <v>4.8840579710144931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</row>
    <row r="45" spans="1:35" ht="26.5" hidden="1" x14ac:dyDescent="0.35">
      <c r="A45" s="363"/>
      <c r="B45" s="141">
        <f>VLOOKUP(A44,TeamAssignment!A$6:G$52,7,FALSE)</f>
        <v>139</v>
      </c>
      <c r="C45" s="82" t="s">
        <v>83</v>
      </c>
      <c r="D45" s="133"/>
      <c r="E45" s="17">
        <f>IFERROR(E44/D44,0)</f>
        <v>1.5035971223021583</v>
      </c>
      <c r="F45" s="17">
        <f t="shared" ref="F45" si="1">IFERROR(F44/E44,0)</f>
        <v>0.61244019138755978</v>
      </c>
      <c r="G45" s="146"/>
      <c r="H45" s="114"/>
      <c r="I45" s="17">
        <f>IFERROR(I44/H44,0)</f>
        <v>0</v>
      </c>
      <c r="J45" s="17">
        <f>IFERROR(J44/I44,0)</f>
        <v>0</v>
      </c>
      <c r="K45" s="146"/>
      <c r="L45" s="114"/>
      <c r="M45" s="17">
        <f>M44/L44</f>
        <v>1.5035971223021583</v>
      </c>
      <c r="N45" s="17">
        <f>IFERROR(N44/M44,0)</f>
        <v>0.61244019138755978</v>
      </c>
      <c r="O45" s="146"/>
      <c r="P45" s="148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</row>
    <row r="46" spans="1:35" ht="14.65" hidden="1" customHeight="1" thickBot="1" x14ac:dyDescent="0.4">
      <c r="A46" s="364"/>
      <c r="B46" s="129"/>
      <c r="C46" s="84" t="s">
        <v>248</v>
      </c>
      <c r="D46" s="26">
        <f>D44/B45</f>
        <v>1</v>
      </c>
      <c r="E46" s="27">
        <f>IFERROR(VLOOKUP($A44,TeamCompletion[#All],12,FALSE)/B45,0)</f>
        <v>1.5035971223021583</v>
      </c>
      <c r="F46" s="27">
        <f>IFERROR(VLOOKUP($A44,TeamCompletion[#All],13,FALSE)/B45,0)</f>
        <v>0.92086330935251803</v>
      </c>
      <c r="G46" s="28">
        <f>IFERROR(VLOOKUP($A44,TeamFieldCheckCompletion[#All],7,FALSE)/B45,0)</f>
        <v>0</v>
      </c>
      <c r="H46" s="26">
        <f>H44/B45</f>
        <v>0</v>
      </c>
      <c r="I46" s="27">
        <f>IFERROR(VLOOKUP($A44,TeamCompletion[#All],14,FALSE)/F45,0)</f>
        <v>0</v>
      </c>
      <c r="J46" s="27">
        <f>IFERROR(VLOOKUP($A44,TeamCompletion[#All],15,FALSE)/F45,0)</f>
        <v>0</v>
      </c>
      <c r="K46" s="28">
        <f>IFERROR(VLOOKUP($A44,TeamFieldCheckCompletion[#All],8,FALSE)/F45,0)</f>
        <v>0</v>
      </c>
      <c r="L46" s="26">
        <f>IFERROR(L44/$B45,0)</f>
        <v>1</v>
      </c>
      <c r="M46" s="26">
        <f>IFERROR(M44/$B45,0)</f>
        <v>1.5035971223021583</v>
      </c>
      <c r="N46" s="26">
        <f>IFERROR(N44/$B45,0)</f>
        <v>0.92086330935251803</v>
      </c>
      <c r="O46" s="151">
        <f>IFERROR(O44/$B45,0)</f>
        <v>0</v>
      </c>
      <c r="P46" s="148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</row>
    <row r="47" spans="1:35" ht="14.5" hidden="1" customHeight="1" x14ac:dyDescent="0.35">
      <c r="A47" s="362" t="s">
        <v>132</v>
      </c>
      <c r="B47" s="127"/>
      <c r="C47" s="113" t="s">
        <v>14</v>
      </c>
      <c r="D47" s="132">
        <v>76</v>
      </c>
      <c r="E47" s="134">
        <f>IFERROR(VLOOKUP($A47,TeamCompletion[#All],12,FALSE),0)</f>
        <v>205</v>
      </c>
      <c r="F47" s="134">
        <f>IFERROR(VLOOKUP($A47,TeamCompletion[#All],13,FALSE),0)</f>
        <v>119</v>
      </c>
      <c r="G47" s="149">
        <f>IFERROR(VLOOKUP($A47,TeamFieldCheckCompletion[#All],7,FALSE),0)</f>
        <v>0</v>
      </c>
      <c r="H47" s="132">
        <f>MAX(0,B48-E47)</f>
        <v>0</v>
      </c>
      <c r="I47" s="134">
        <f>IFERROR(VLOOKUP($A47,TeamCompletion[#All],14,FALSE),0)</f>
        <v>0</v>
      </c>
      <c r="J47" s="134">
        <f>IFERROR(VLOOKUP($A47,TeamCompletion[#All],15,FALSE),0)</f>
        <v>0</v>
      </c>
      <c r="K47" s="149">
        <f>IFERROR(VLOOKUP($A47,TeamFieldCheckCompletion[#All],8,FALSE),0)</f>
        <v>0</v>
      </c>
      <c r="L47" s="132">
        <f>B48</f>
        <v>76</v>
      </c>
      <c r="M47" s="135">
        <f>E47+I47</f>
        <v>205</v>
      </c>
      <c r="N47" s="135">
        <f>F47+J47</f>
        <v>119</v>
      </c>
      <c r="O47" s="136">
        <f>G47+K47</f>
        <v>0</v>
      </c>
      <c r="P47" s="138">
        <f ca="1">(M47+N47)/OverviewData!$B$6</f>
        <v>4.6956521739130439</v>
      </c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1:35" ht="26.5" hidden="1" x14ac:dyDescent="0.35">
      <c r="A48" s="363"/>
      <c r="B48" s="141">
        <f>VLOOKUP(A47,TeamAssignment!A$6:G$52,7,FALSE)</f>
        <v>76</v>
      </c>
      <c r="C48" s="82" t="s">
        <v>83</v>
      </c>
      <c r="D48" s="133"/>
      <c r="E48" s="17">
        <f>IFERROR(E47/D47,0)</f>
        <v>2.6973684210526314</v>
      </c>
      <c r="F48" s="17">
        <f t="shared" ref="F48" si="2">IFERROR(F47/E47,0)</f>
        <v>0.58048780487804874</v>
      </c>
      <c r="G48" s="146"/>
      <c r="H48" s="114"/>
      <c r="I48" s="17">
        <f>IFERROR(I47/H47,0)</f>
        <v>0</v>
      </c>
      <c r="J48" s="17">
        <f>IFERROR(J47/I47,0)</f>
        <v>0</v>
      </c>
      <c r="K48" s="146"/>
      <c r="L48" s="114"/>
      <c r="M48" s="17">
        <f>M47/L47</f>
        <v>2.6973684210526314</v>
      </c>
      <c r="N48" s="17">
        <f>IFERROR(N47/M47,0)</f>
        <v>0.58048780487804874</v>
      </c>
      <c r="O48" s="146"/>
      <c r="P48" s="148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 ht="15" hidden="1" thickBot="1" x14ac:dyDescent="0.4">
      <c r="A49" s="364"/>
      <c r="B49" s="129"/>
      <c r="C49" s="84" t="s">
        <v>248</v>
      </c>
      <c r="D49" s="26">
        <f>D47/B48</f>
        <v>1</v>
      </c>
      <c r="E49" s="27">
        <f>IFERROR(VLOOKUP($A47,TeamCompletion[#All],12,FALSE)/B48,0)</f>
        <v>2.6973684210526314</v>
      </c>
      <c r="F49" s="27">
        <f>IFERROR(VLOOKUP($A47,TeamCompletion[#All],13,FALSE)/B48,0)</f>
        <v>1.5657894736842106</v>
      </c>
      <c r="G49" s="28">
        <f>IFERROR(VLOOKUP($A47,TeamFieldCheckCompletion[#All],7,FALSE)/B48,0)</f>
        <v>0</v>
      </c>
      <c r="H49" s="26">
        <f>H47/B48</f>
        <v>0</v>
      </c>
      <c r="I49" s="27">
        <f>IFERROR(VLOOKUP($A47,TeamCompletion[#All],14,FALSE)/F48,0)</f>
        <v>0</v>
      </c>
      <c r="J49" s="27">
        <f>IFERROR(VLOOKUP($A47,TeamCompletion[#All],15,FALSE)/F48,0)</f>
        <v>0</v>
      </c>
      <c r="K49" s="28">
        <f>IFERROR(VLOOKUP($A47,TeamFieldCheckCompletion[#All],8,FALSE)/F48,0)</f>
        <v>0</v>
      </c>
      <c r="L49" s="26">
        <f>IFERROR(L47/$B48,0)</f>
        <v>1</v>
      </c>
      <c r="M49" s="26">
        <f>IFERROR(M47/$B48,0)</f>
        <v>2.6973684210526314</v>
      </c>
      <c r="N49" s="26">
        <f>IFERROR(N47/$B48,0)</f>
        <v>1.5657894736842106</v>
      </c>
      <c r="O49" s="151">
        <f>IFERROR(O47/$B48,0)</f>
        <v>0</v>
      </c>
      <c r="P49" s="148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 x14ac:dyDescent="0.35">
      <c r="A50" s="362" t="s">
        <v>255</v>
      </c>
      <c r="B50" s="268"/>
      <c r="C50" s="275" t="s">
        <v>14</v>
      </c>
      <c r="D50" s="271">
        <f t="shared" ref="D50:O50" si="3">D47+D44+D41+D38+D35+D32+D29+D26+D23+D20+D17+D14+D11+D8+D5</f>
        <v>1521</v>
      </c>
      <c r="E50" s="265">
        <f t="shared" si="3"/>
        <v>953</v>
      </c>
      <c r="F50" s="265">
        <f t="shared" si="3"/>
        <v>477</v>
      </c>
      <c r="G50" s="265">
        <f t="shared" si="3"/>
        <v>0</v>
      </c>
      <c r="H50" s="265">
        <f t="shared" si="3"/>
        <v>855</v>
      </c>
      <c r="I50" s="265">
        <f t="shared" si="3"/>
        <v>0</v>
      </c>
      <c r="J50" s="265">
        <f t="shared" si="3"/>
        <v>0</v>
      </c>
      <c r="K50" s="265">
        <f t="shared" si="3"/>
        <v>0</v>
      </c>
      <c r="L50" s="264">
        <f t="shared" si="3"/>
        <v>1521</v>
      </c>
      <c r="M50" s="265">
        <f t="shared" si="3"/>
        <v>953</v>
      </c>
      <c r="N50" s="265">
        <f t="shared" si="3"/>
        <v>477</v>
      </c>
      <c r="O50" s="265">
        <f t="shared" si="3"/>
        <v>0</v>
      </c>
      <c r="P50" s="138">
        <f ca="1">(M50+N50)/OverviewData!$B$6</f>
        <v>20.724637681159422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 spans="1:35" ht="26.5" x14ac:dyDescent="0.35">
      <c r="A51" s="363"/>
      <c r="B51" s="269">
        <f>SUM(B6:B49)</f>
        <v>1521</v>
      </c>
      <c r="C51" s="276" t="s">
        <v>83</v>
      </c>
      <c r="D51" s="148"/>
      <c r="E51" s="17">
        <f>IFERROR(E50/D50,0)</f>
        <v>0.62656147271531892</v>
      </c>
      <c r="F51" s="17">
        <f t="shared" ref="F51" si="4">IFERROR(F50/E50,0)</f>
        <v>0.50052465897166842</v>
      </c>
      <c r="G51" s="133"/>
      <c r="H51" s="133"/>
      <c r="I51" s="17">
        <f>IFERROR(I50/H50,0)</f>
        <v>0</v>
      </c>
      <c r="J51" s="17">
        <f t="shared" ref="J51" si="5">IFERROR(J50/I50,0)</f>
        <v>0</v>
      </c>
      <c r="K51" s="133"/>
      <c r="L51" s="133"/>
      <c r="M51" s="17">
        <f>IFERROR(M50/L50,0)</f>
        <v>0.62656147271531892</v>
      </c>
      <c r="N51" s="17">
        <f t="shared" ref="N51" si="6">IFERROR(N50/M50,0)</f>
        <v>0.50052465897166842</v>
      </c>
      <c r="O51" s="133"/>
      <c r="P51" s="266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</row>
    <row r="52" spans="1:35" ht="15" thickBot="1" x14ac:dyDescent="0.4">
      <c r="A52" s="364"/>
      <c r="B52" s="270"/>
      <c r="C52" s="277" t="s">
        <v>248</v>
      </c>
      <c r="D52" s="37">
        <f t="shared" ref="D52:O52" si="7">D50/$B51</f>
        <v>1</v>
      </c>
      <c r="E52" s="27">
        <f t="shared" si="7"/>
        <v>0.62656147271531892</v>
      </c>
      <c r="F52" s="27">
        <f t="shared" si="7"/>
        <v>0.31360946745562129</v>
      </c>
      <c r="G52" s="28">
        <f t="shared" si="7"/>
        <v>0</v>
      </c>
      <c r="H52" s="26">
        <f t="shared" si="7"/>
        <v>0.56213017751479288</v>
      </c>
      <c r="I52" s="27">
        <f t="shared" si="7"/>
        <v>0</v>
      </c>
      <c r="J52" s="27">
        <f t="shared" si="7"/>
        <v>0</v>
      </c>
      <c r="K52" s="28">
        <f t="shared" si="7"/>
        <v>0</v>
      </c>
      <c r="L52" s="26">
        <f t="shared" si="7"/>
        <v>1</v>
      </c>
      <c r="M52" s="27">
        <f t="shared" si="7"/>
        <v>0.62656147271531892</v>
      </c>
      <c r="N52" s="27">
        <f t="shared" si="7"/>
        <v>0.31360946745562129</v>
      </c>
      <c r="O52" s="28">
        <f t="shared" si="7"/>
        <v>0</v>
      </c>
      <c r="P52" s="267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</row>
    <row r="53" spans="1:35" ht="14.5" hidden="1" customHeight="1" x14ac:dyDescent="0.35">
      <c r="A53" s="362" t="s">
        <v>201</v>
      </c>
      <c r="B53" s="268"/>
      <c r="C53" s="278" t="s">
        <v>14</v>
      </c>
      <c r="D53" s="272">
        <v>60</v>
      </c>
      <c r="E53" s="134">
        <f>IFERROR(VLOOKUP($A53,TeamCompletion[#All],12,FALSE),0)</f>
        <v>204</v>
      </c>
      <c r="F53" s="134">
        <f>IFERROR(VLOOKUP($A53,TeamCompletion[#All],13,FALSE),0)</f>
        <v>121</v>
      </c>
      <c r="G53" s="149">
        <f>IFERROR(VLOOKUP($A53,TeamFieldCheckCompletion[#All],7,FALSE),0)</f>
        <v>0</v>
      </c>
      <c r="H53" s="132">
        <f>MAX(0,B54-E53)</f>
        <v>0</v>
      </c>
      <c r="I53" s="134">
        <f>IFERROR(VLOOKUP($A53,TeamCompletion[#All],14,FALSE),0)</f>
        <v>0</v>
      </c>
      <c r="J53" s="134">
        <f>IFERROR(VLOOKUP($A53,TeamCompletion[#All],15,FALSE),0)</f>
        <v>0</v>
      </c>
      <c r="K53" s="149">
        <f>IFERROR(VLOOKUP($A53,TeamFieldCheckCompletion[#All],8,FALSE),0)</f>
        <v>0</v>
      </c>
      <c r="L53" s="132">
        <f>B54</f>
        <v>50</v>
      </c>
      <c r="M53" s="135">
        <f>E53+I53</f>
        <v>204</v>
      </c>
      <c r="N53" s="135">
        <f>F53+J53</f>
        <v>121</v>
      </c>
      <c r="O53" s="136">
        <f>G53+K53</f>
        <v>0</v>
      </c>
      <c r="P53" s="138">
        <f ca="1">(M53+N53)/OverviewData!$B$6</f>
        <v>4.7101449275362315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 ht="26.5" hidden="1" x14ac:dyDescent="0.35">
      <c r="A54" s="363"/>
      <c r="B54" s="269">
        <f>VLOOKUP(A53,TeamAssignment!A$6:G$52,7,FALSE)</f>
        <v>50</v>
      </c>
      <c r="C54" s="276" t="s">
        <v>83</v>
      </c>
      <c r="D54" s="148"/>
      <c r="E54" s="17">
        <f>IFERROR(E53/D53,0)</f>
        <v>3.4</v>
      </c>
      <c r="F54" s="17">
        <f>IFERROR(F53/E53,0)</f>
        <v>0.59313725490196079</v>
      </c>
      <c r="G54" s="146"/>
      <c r="H54" s="114"/>
      <c r="I54" s="17">
        <f>IFERROR(I53/H53,0)</f>
        <v>0</v>
      </c>
      <c r="J54" s="17">
        <f>IFERROR(J53/I53,0)</f>
        <v>0</v>
      </c>
      <c r="K54" s="146"/>
      <c r="L54" s="114"/>
      <c r="M54" s="17">
        <f>M53/L53</f>
        <v>4.08</v>
      </c>
      <c r="N54" s="17">
        <f>IFERROR(N53/M53,0)</f>
        <v>0.59313725490196079</v>
      </c>
      <c r="O54" s="146"/>
      <c r="P54" s="148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 spans="1:35" ht="15" hidden="1" thickBot="1" x14ac:dyDescent="0.4">
      <c r="A55" s="364"/>
      <c r="B55" s="270"/>
      <c r="C55" s="277" t="s">
        <v>248</v>
      </c>
      <c r="D55" s="37">
        <f>D53/B54</f>
        <v>1.2</v>
      </c>
      <c r="E55" s="27">
        <f>IFERROR(VLOOKUP($A53,TeamCompletion[#All],12,FALSE)/B54,0)</f>
        <v>4.08</v>
      </c>
      <c r="F55" s="27">
        <f>IFERROR(VLOOKUP($A53,TeamCompletion[#All],13,FALSE)/B54,0)</f>
        <v>2.42</v>
      </c>
      <c r="G55" s="28">
        <f>IFERROR(VLOOKUP($A53,TeamFieldCheckCompletion[#All],7,FALSE)/B54,0)</f>
        <v>0</v>
      </c>
      <c r="H55" s="26">
        <f>H53/B54</f>
        <v>0</v>
      </c>
      <c r="I55" s="27">
        <f>IFERROR(VLOOKUP($A53,TeamCompletion[#All],14,FALSE)/F54,0)</f>
        <v>0</v>
      </c>
      <c r="J55" s="27">
        <f>IFERROR(VLOOKUP($A53,TeamCompletion[#All],15,FALSE)/F54,0)</f>
        <v>0</v>
      </c>
      <c r="K55" s="28">
        <f>IFERROR(VLOOKUP($A53,TeamFieldCheckCompletion[#All],8,FALSE)/F54,0)</f>
        <v>0</v>
      </c>
      <c r="L55" s="26">
        <f>IFERROR(L53/$B54,0)</f>
        <v>1</v>
      </c>
      <c r="M55" s="26">
        <f>IFERROR(M53/$B54,0)</f>
        <v>4.08</v>
      </c>
      <c r="N55" s="26">
        <f>IFERROR(N53/$B54,0)</f>
        <v>2.42</v>
      </c>
      <c r="O55" s="151">
        <f>IFERROR(O53/$B54,0)</f>
        <v>0</v>
      </c>
      <c r="P55" s="148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1:35" ht="14.5" hidden="1" customHeight="1" x14ac:dyDescent="0.35">
      <c r="A56" s="362" t="s">
        <v>202</v>
      </c>
      <c r="B56" s="268"/>
      <c r="C56" s="278" t="s">
        <v>14</v>
      </c>
      <c r="D56" s="272">
        <v>55</v>
      </c>
      <c r="E56" s="134">
        <f>IFERROR(VLOOKUP($A56,TeamCompletion[#All],12,FALSE),0)</f>
        <v>183</v>
      </c>
      <c r="F56" s="134">
        <f>IFERROR(VLOOKUP($A56,TeamCompletion[#All],13,FALSE),0)</f>
        <v>110</v>
      </c>
      <c r="G56" s="149">
        <f>IFERROR(VLOOKUP($A56,TeamFieldCheckCompletion[#All],7,FALSE),0)</f>
        <v>0</v>
      </c>
      <c r="H56" s="132">
        <f>MAX(0,B57-E56)</f>
        <v>0</v>
      </c>
      <c r="I56" s="134">
        <f>IFERROR(VLOOKUP($A56,TeamCompletion[#All],14,FALSE),0)</f>
        <v>0</v>
      </c>
      <c r="J56" s="134">
        <f>IFERROR(VLOOKUP($A56,TeamCompletion[#All],15,FALSE),0)</f>
        <v>0</v>
      </c>
      <c r="K56" s="149">
        <f>IFERROR(VLOOKUP($A56,TeamFieldCheckCompletion[#All],8,FALSE),0)</f>
        <v>0</v>
      </c>
      <c r="L56" s="132">
        <f>B57</f>
        <v>139</v>
      </c>
      <c r="M56" s="135">
        <f>E56+I56</f>
        <v>183</v>
      </c>
      <c r="N56" s="135">
        <f>F56+J56</f>
        <v>110</v>
      </c>
      <c r="O56" s="136">
        <f>G56+K56</f>
        <v>0</v>
      </c>
      <c r="P56" s="138">
        <f ca="1">(M56+N56)/OverviewData!$B$6</f>
        <v>4.2463768115942031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1:35" ht="26.5" hidden="1" x14ac:dyDescent="0.35">
      <c r="A57" s="363"/>
      <c r="B57" s="269">
        <f>VLOOKUP(A56,TeamAssignment!A$6:G$52,7,FALSE)</f>
        <v>139</v>
      </c>
      <c r="C57" s="276" t="s">
        <v>83</v>
      </c>
      <c r="D57" s="148"/>
      <c r="E57" s="17">
        <f>IFERROR(E56/D56,0)</f>
        <v>3.3272727272727272</v>
      </c>
      <c r="F57" s="17">
        <f>IFERROR(F56/E56,0)</f>
        <v>0.60109289617486339</v>
      </c>
      <c r="G57" s="146"/>
      <c r="H57" s="114"/>
      <c r="I57" s="17">
        <f>IFERROR(I56/H56,0)</f>
        <v>0</v>
      </c>
      <c r="J57" s="17">
        <f>IFERROR(J56/I56,0)</f>
        <v>0</v>
      </c>
      <c r="K57" s="146"/>
      <c r="L57" s="114"/>
      <c r="M57" s="17">
        <f>M56/L56</f>
        <v>1.3165467625899281</v>
      </c>
      <c r="N57" s="17">
        <f>IFERROR(N56/M56,0)</f>
        <v>0.60109289617486339</v>
      </c>
      <c r="O57" s="146"/>
      <c r="P57" s="148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 ht="15" hidden="1" thickBot="1" x14ac:dyDescent="0.4">
      <c r="A58" s="364"/>
      <c r="B58" s="270"/>
      <c r="C58" s="277" t="s">
        <v>248</v>
      </c>
      <c r="D58" s="37">
        <f>D56/B57</f>
        <v>0.39568345323741005</v>
      </c>
      <c r="E58" s="27">
        <f>IFERROR(VLOOKUP($A56,TeamCompletion[#All],12,FALSE)/B57,0)</f>
        <v>1.3165467625899281</v>
      </c>
      <c r="F58" s="27">
        <f>IFERROR(VLOOKUP($A56,TeamCompletion[#All],13,FALSE)/B57,0)</f>
        <v>0.79136690647482011</v>
      </c>
      <c r="G58" s="28">
        <f>IFERROR(VLOOKUP($A56,TeamFieldCheckCompletion[#All],7,FALSE)/B57,0)</f>
        <v>0</v>
      </c>
      <c r="H58" s="26">
        <f>H56/B57</f>
        <v>0</v>
      </c>
      <c r="I58" s="27">
        <f>IFERROR(VLOOKUP($A56,TeamCompletion[#All],14,FALSE)/F57,0)</f>
        <v>0</v>
      </c>
      <c r="J58" s="27">
        <f>IFERROR(VLOOKUP($A56,TeamCompletion[#All],15,FALSE)/F57,0)</f>
        <v>0</v>
      </c>
      <c r="K58" s="28">
        <f>IFERROR(VLOOKUP($A56,TeamFieldCheckCompletion[#All],8,FALSE)/F57,0)</f>
        <v>0</v>
      </c>
      <c r="L58" s="26">
        <f>IFERROR(L56/$B57,0)</f>
        <v>1</v>
      </c>
      <c r="M58" s="26">
        <f>IFERROR(M56/$B57,0)</f>
        <v>1.3165467625899281</v>
      </c>
      <c r="N58" s="26">
        <f>IFERROR(N56/$B57,0)</f>
        <v>0.79136690647482011</v>
      </c>
      <c r="O58" s="151">
        <f>IFERROR(O56/$B57,0)</f>
        <v>0</v>
      </c>
      <c r="P58" s="148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</row>
    <row r="59" spans="1:35" ht="14.5" hidden="1" customHeight="1" x14ac:dyDescent="0.35">
      <c r="A59" s="362" t="s">
        <v>203</v>
      </c>
      <c r="B59" s="268"/>
      <c r="C59" s="278" t="s">
        <v>14</v>
      </c>
      <c r="D59" s="272">
        <v>236</v>
      </c>
      <c r="E59" s="134">
        <f>IFERROR(VLOOKUP($A59,TeamCompletion[#All],12,FALSE),0)</f>
        <v>164</v>
      </c>
      <c r="F59" s="134">
        <f>IFERROR(VLOOKUP($A59,TeamCompletion[#All],13,FALSE),0)</f>
        <v>134</v>
      </c>
      <c r="G59" s="149">
        <f>IFERROR(VLOOKUP($A59,TeamFieldCheckCompletion[#All],7,FALSE),0)</f>
        <v>0</v>
      </c>
      <c r="H59" s="132">
        <f>MAX(0,B60-E59)</f>
        <v>12</v>
      </c>
      <c r="I59" s="134">
        <f>IFERROR(VLOOKUP($A59,TeamCompletion[#All],14,FALSE),0)</f>
        <v>0</v>
      </c>
      <c r="J59" s="134">
        <f>IFERROR(VLOOKUP($A59,TeamCompletion[#All],15,FALSE),0)</f>
        <v>0</v>
      </c>
      <c r="K59" s="149">
        <f>IFERROR(VLOOKUP($A59,TeamFieldCheckCompletion[#All],8,FALSE),0)</f>
        <v>0</v>
      </c>
      <c r="L59" s="132">
        <f>B60</f>
        <v>176</v>
      </c>
      <c r="M59" s="135">
        <f>E59+I59</f>
        <v>164</v>
      </c>
      <c r="N59" s="135">
        <f>F59+J59</f>
        <v>134</v>
      </c>
      <c r="O59" s="136">
        <f>G59+K59</f>
        <v>0</v>
      </c>
      <c r="P59" s="138">
        <f ca="1">(M59+N59)/OverviewData!$B$6</f>
        <v>4.3188405797101446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</row>
    <row r="60" spans="1:35" ht="26.5" hidden="1" x14ac:dyDescent="0.35">
      <c r="A60" s="363"/>
      <c r="B60" s="269">
        <f>VLOOKUP(A59,TeamAssignment!A$6:G$52,7,FALSE)</f>
        <v>176</v>
      </c>
      <c r="C60" s="276" t="s">
        <v>83</v>
      </c>
      <c r="D60" s="148"/>
      <c r="E60" s="17">
        <f>IFERROR(E59/D59,0)</f>
        <v>0.69491525423728817</v>
      </c>
      <c r="F60" s="17">
        <f>IFERROR(F59/E59,0)</f>
        <v>0.81707317073170727</v>
      </c>
      <c r="G60" s="146"/>
      <c r="H60" s="114"/>
      <c r="I60" s="17">
        <f>IFERROR(I59/H59,0)</f>
        <v>0</v>
      </c>
      <c r="J60" s="17">
        <f>IFERROR(J59/I59,0)</f>
        <v>0</v>
      </c>
      <c r="K60" s="146"/>
      <c r="L60" s="114"/>
      <c r="M60" s="17">
        <f>M59/L59</f>
        <v>0.93181818181818177</v>
      </c>
      <c r="N60" s="17">
        <f>IFERROR(N59/M59,0)</f>
        <v>0.81707317073170727</v>
      </c>
      <c r="O60" s="146"/>
      <c r="P60" s="148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</row>
    <row r="61" spans="1:35" ht="15" hidden="1" thickBot="1" x14ac:dyDescent="0.4">
      <c r="A61" s="364"/>
      <c r="B61" s="270"/>
      <c r="C61" s="277" t="s">
        <v>248</v>
      </c>
      <c r="D61" s="37">
        <f>D59/B60</f>
        <v>1.3409090909090908</v>
      </c>
      <c r="E61" s="27">
        <f>IFERROR(VLOOKUP($A59,TeamCompletion[#All],12,FALSE)/B60,0)</f>
        <v>0.93181818181818177</v>
      </c>
      <c r="F61" s="27">
        <f>IFERROR(VLOOKUP($A59,TeamCompletion[#All],13,FALSE)/B60,0)</f>
        <v>0.76136363636363635</v>
      </c>
      <c r="G61" s="28">
        <f>IFERROR(VLOOKUP($A59,TeamFieldCheckCompletion[#All],7,FALSE)/B60,0)</f>
        <v>0</v>
      </c>
      <c r="H61" s="26">
        <f>H59/B60</f>
        <v>6.8181818181818177E-2</v>
      </c>
      <c r="I61" s="27">
        <f>IFERROR(VLOOKUP($A59,TeamCompletion[#All],14,FALSE)/F60,0)</f>
        <v>0</v>
      </c>
      <c r="J61" s="27">
        <f>IFERROR(VLOOKUP($A59,TeamCompletion[#All],15,FALSE)/F60,0)</f>
        <v>0</v>
      </c>
      <c r="K61" s="28">
        <f>IFERROR(VLOOKUP($A59,TeamFieldCheckCompletion[#All],8,FALSE)/F60,0)</f>
        <v>0</v>
      </c>
      <c r="L61" s="26">
        <f>IFERROR(L59/$B60,0)</f>
        <v>1</v>
      </c>
      <c r="M61" s="26">
        <f>IFERROR(M59/$B60,0)</f>
        <v>0.93181818181818177</v>
      </c>
      <c r="N61" s="26">
        <f>IFERROR(N59/$B60,0)</f>
        <v>0.76136363636363635</v>
      </c>
      <c r="O61" s="151">
        <f>IFERROR(O59/$B60,0)</f>
        <v>0</v>
      </c>
      <c r="P61" s="148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 ht="14.5" hidden="1" customHeight="1" x14ac:dyDescent="0.35">
      <c r="A62" s="362" t="s">
        <v>204</v>
      </c>
      <c r="B62" s="268"/>
      <c r="C62" s="278" t="s">
        <v>14</v>
      </c>
      <c r="D62" s="272">
        <f>B63</f>
        <v>198</v>
      </c>
      <c r="E62" s="134">
        <f>IFERROR(VLOOKUP($A62,TeamCompletion[#All],12,FALSE),0)</f>
        <v>0</v>
      </c>
      <c r="F62" s="134">
        <f>IFERROR(VLOOKUP($A62,TeamCompletion[#All],13,FALSE),0)</f>
        <v>0</v>
      </c>
      <c r="G62" s="149">
        <f>IFERROR(VLOOKUP($A62,TeamFieldCheckCompletion[#All],7,FALSE),0)</f>
        <v>0</v>
      </c>
      <c r="H62" s="132">
        <f>MAX(0,B63-E62)</f>
        <v>198</v>
      </c>
      <c r="I62" s="134">
        <f>IFERROR(VLOOKUP($A62,TeamCompletion[#All],14,FALSE),0)</f>
        <v>0</v>
      </c>
      <c r="J62" s="134">
        <f>IFERROR(VLOOKUP($A62,TeamCompletion[#All],15,FALSE),0)</f>
        <v>0</v>
      </c>
      <c r="K62" s="149">
        <f>IFERROR(VLOOKUP($A62,TeamFieldCheckCompletion[#All],8,FALSE),0)</f>
        <v>0</v>
      </c>
      <c r="L62" s="132">
        <f>B63</f>
        <v>198</v>
      </c>
      <c r="M62" s="135">
        <f>E62+I62</f>
        <v>0</v>
      </c>
      <c r="N62" s="135">
        <f>F62+J62</f>
        <v>0</v>
      </c>
      <c r="O62" s="136">
        <f>G62+K62</f>
        <v>0</v>
      </c>
      <c r="P62" s="138">
        <f ca="1">(M62+N62)/OverviewData!$B$6</f>
        <v>0</v>
      </c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</row>
    <row r="63" spans="1:35" ht="26.5" hidden="1" x14ac:dyDescent="0.35">
      <c r="A63" s="363"/>
      <c r="B63" s="269">
        <f>VLOOKUP(A62,TeamAssignment!A$6:G$52,7,FALSE)</f>
        <v>198</v>
      </c>
      <c r="C63" s="276" t="s">
        <v>83</v>
      </c>
      <c r="D63" s="148"/>
      <c r="E63" s="17">
        <f>IFERROR(E62/D62,0)</f>
        <v>0</v>
      </c>
      <c r="F63" s="17">
        <f>IFERROR(F62/E62,0)</f>
        <v>0</v>
      </c>
      <c r="G63" s="146"/>
      <c r="H63" s="114"/>
      <c r="I63" s="17">
        <f>IFERROR(I62/H62,0)</f>
        <v>0</v>
      </c>
      <c r="J63" s="17">
        <f>IFERROR(J62/I62,0)</f>
        <v>0</v>
      </c>
      <c r="K63" s="146"/>
      <c r="L63" s="114"/>
      <c r="M63" s="17">
        <f>IFERROR(M62/L62,0)</f>
        <v>0</v>
      </c>
      <c r="N63" s="17">
        <f>IFERROR(N62/M62,0)</f>
        <v>0</v>
      </c>
      <c r="O63" s="146"/>
      <c r="P63" s="148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</row>
    <row r="64" spans="1:35" ht="15" hidden="1" thickBot="1" x14ac:dyDescent="0.4">
      <c r="A64" s="364"/>
      <c r="B64" s="270"/>
      <c r="C64" s="277" t="s">
        <v>248</v>
      </c>
      <c r="D64" s="37">
        <f>IFERROR(D62/B63,0)</f>
        <v>1</v>
      </c>
      <c r="E64" s="27">
        <f>IFERROR(VLOOKUP($A62,TeamCompletion[#All],12,FALSE)/B63,0)</f>
        <v>0</v>
      </c>
      <c r="F64" s="27">
        <f>IFERROR(VLOOKUP($A62,TeamCompletion[#All],13,FALSE)/B63,0)</f>
        <v>0</v>
      </c>
      <c r="G64" s="28">
        <f>IFERROR(VLOOKUP($A62,TeamFieldCheckCompletion[#All],7,FALSE)/B63,0)</f>
        <v>0</v>
      </c>
      <c r="H64" s="26">
        <f>IFERROR(H62/B63,0)</f>
        <v>1</v>
      </c>
      <c r="I64" s="27">
        <f>IFERROR(VLOOKUP($A62,TeamCompletion[#All],14,FALSE)/F63,0)</f>
        <v>0</v>
      </c>
      <c r="J64" s="27">
        <f>IFERROR(VLOOKUP($A62,TeamCompletion[#All],15,FALSE)/F63,0)</f>
        <v>0</v>
      </c>
      <c r="K64" s="28">
        <f>IFERROR(VLOOKUP($A62,TeamFieldCheckCompletion[#All],8,FALSE)/F63,0)</f>
        <v>0</v>
      </c>
      <c r="L64" s="26">
        <f>IFERROR(L62/$B63,0)</f>
        <v>1</v>
      </c>
      <c r="M64" s="26">
        <f>IFERROR(M62/$B63,0)</f>
        <v>0</v>
      </c>
      <c r="N64" s="26">
        <f>IFERROR(N62/$B63,0)</f>
        <v>0</v>
      </c>
      <c r="O64" s="151">
        <f>IFERROR(O62/$B63,0)</f>
        <v>0</v>
      </c>
      <c r="P64" s="148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</row>
    <row r="65" spans="1:35" ht="14.5" hidden="1" customHeight="1" x14ac:dyDescent="0.35">
      <c r="A65" s="362" t="s">
        <v>205</v>
      </c>
      <c r="B65" s="268"/>
      <c r="C65" s="278" t="s">
        <v>14</v>
      </c>
      <c r="D65" s="272">
        <f>B66</f>
        <v>127</v>
      </c>
      <c r="E65" s="134">
        <f>IFERROR(VLOOKUP($A65,TeamCompletion[#All],12,FALSE),0)</f>
        <v>0</v>
      </c>
      <c r="F65" s="134">
        <f>IFERROR(VLOOKUP($A65,TeamCompletion[#All],13,FALSE),0)</f>
        <v>0</v>
      </c>
      <c r="G65" s="149">
        <f>IFERROR(VLOOKUP($A65,TeamFieldCheckCompletion[#All],7,FALSE),0)</f>
        <v>0</v>
      </c>
      <c r="H65" s="132">
        <f>MAX(0,B66-E65)</f>
        <v>127</v>
      </c>
      <c r="I65" s="134">
        <f>IFERROR(VLOOKUP($A65,TeamCompletion[#All],14,FALSE),0)</f>
        <v>0</v>
      </c>
      <c r="J65" s="134">
        <f>IFERROR(VLOOKUP($A65,TeamCompletion[#All],15,FALSE),0)</f>
        <v>0</v>
      </c>
      <c r="K65" s="149">
        <f>IFERROR(VLOOKUP($A65,TeamFieldCheckCompletion[#All],8,FALSE),0)</f>
        <v>0</v>
      </c>
      <c r="L65" s="132">
        <f>B66</f>
        <v>127</v>
      </c>
      <c r="M65" s="135">
        <f>E65+I65</f>
        <v>0</v>
      </c>
      <c r="N65" s="135">
        <f>F65+J65</f>
        <v>0</v>
      </c>
      <c r="O65" s="136">
        <f>G65+K65</f>
        <v>0</v>
      </c>
      <c r="P65" s="138">
        <f ca="1">(M65+N65)/OverviewData!$B$6</f>
        <v>0</v>
      </c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ht="26.5" hidden="1" x14ac:dyDescent="0.35">
      <c r="A66" s="363"/>
      <c r="B66" s="269">
        <f>VLOOKUP(A65,TeamAssignment!A$6:G$52,7,FALSE)</f>
        <v>127</v>
      </c>
      <c r="C66" s="276" t="s">
        <v>83</v>
      </c>
      <c r="D66" s="148"/>
      <c r="E66" s="17">
        <f>IFERROR(E65/D65,0)</f>
        <v>0</v>
      </c>
      <c r="F66" s="17">
        <f>IFERROR(F65/E65,0)</f>
        <v>0</v>
      </c>
      <c r="G66" s="146"/>
      <c r="H66" s="114"/>
      <c r="I66" s="17">
        <f>IFERROR(I65/H65,0)</f>
        <v>0</v>
      </c>
      <c r="J66" s="17">
        <f>IFERROR(J65/I65,0)</f>
        <v>0</v>
      </c>
      <c r="K66" s="146"/>
      <c r="L66" s="114"/>
      <c r="M66" s="17">
        <f>IFERROR(M65/L65,0)</f>
        <v>0</v>
      </c>
      <c r="N66" s="17">
        <f>IFERROR(N65/M65,0)</f>
        <v>0</v>
      </c>
      <c r="O66" s="146"/>
      <c r="P66" s="148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 spans="1:35" ht="15" hidden="1" thickBot="1" x14ac:dyDescent="0.4">
      <c r="A67" s="364"/>
      <c r="B67" s="270"/>
      <c r="C67" s="277" t="s">
        <v>248</v>
      </c>
      <c r="D67" s="37">
        <f>IFERROR(D65/B66,0)</f>
        <v>1</v>
      </c>
      <c r="E67" s="27">
        <f>IFERROR(VLOOKUP($A65,TeamCompletion[#All],12,FALSE)/B66,0)</f>
        <v>0</v>
      </c>
      <c r="F67" s="27">
        <f>IFERROR(VLOOKUP($A65,TeamCompletion[#All],13,FALSE)/B66,0)</f>
        <v>0</v>
      </c>
      <c r="G67" s="28">
        <f>IFERROR(VLOOKUP($A65,TeamFieldCheckCompletion[#All],7,FALSE)/B66,0)</f>
        <v>0</v>
      </c>
      <c r="H67" s="26">
        <f>IFERROR(H65/B66,0)</f>
        <v>1</v>
      </c>
      <c r="I67" s="27">
        <f>IFERROR(VLOOKUP($A65,TeamCompletion[#All],14,FALSE)/F66,0)</f>
        <v>0</v>
      </c>
      <c r="J67" s="27">
        <f>IFERROR(VLOOKUP($A65,TeamCompletion[#All],15,FALSE)/F66,0)</f>
        <v>0</v>
      </c>
      <c r="K67" s="28">
        <f>IFERROR(VLOOKUP($A65,TeamFieldCheckCompletion[#All],8,FALSE)/F66,0)</f>
        <v>0</v>
      </c>
      <c r="L67" s="26">
        <f>IFERROR(L65/$B66,0)</f>
        <v>1</v>
      </c>
      <c r="M67" s="26">
        <f>IFERROR(M65/$B66,0)</f>
        <v>0</v>
      </c>
      <c r="N67" s="26">
        <f>IFERROR(N65/$B66,0)</f>
        <v>0</v>
      </c>
      <c r="O67" s="151">
        <f>IFERROR(O65/$B66,0)</f>
        <v>0</v>
      </c>
      <c r="P67" s="148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</row>
    <row r="68" spans="1:35" ht="14.5" hidden="1" customHeight="1" x14ac:dyDescent="0.35">
      <c r="A68" s="362" t="s">
        <v>206</v>
      </c>
      <c r="B68" s="268"/>
      <c r="C68" s="278" t="s">
        <v>14</v>
      </c>
      <c r="D68" s="272">
        <f>B69</f>
        <v>261</v>
      </c>
      <c r="E68" s="134">
        <f>IFERROR(VLOOKUP($A68,TeamCompletion[#All],12,FALSE),0)</f>
        <v>0</v>
      </c>
      <c r="F68" s="134">
        <f>IFERROR(VLOOKUP($A68,TeamCompletion[#All],13,FALSE),0)</f>
        <v>0</v>
      </c>
      <c r="G68" s="149">
        <f>IFERROR(VLOOKUP($A68,TeamFieldCheckCompletion[#All],7,FALSE),0)</f>
        <v>0</v>
      </c>
      <c r="H68" s="132">
        <f>MAX(0,B69-E68)</f>
        <v>261</v>
      </c>
      <c r="I68" s="134">
        <f>IFERROR(VLOOKUP($A68,TeamCompletion[#All],14,FALSE),0)</f>
        <v>0</v>
      </c>
      <c r="J68" s="134">
        <f>IFERROR(VLOOKUP($A68,TeamCompletion[#All],15,FALSE),0)</f>
        <v>0</v>
      </c>
      <c r="K68" s="149">
        <f>IFERROR(VLOOKUP($A68,TeamFieldCheckCompletion[#All],8,FALSE),0)</f>
        <v>0</v>
      </c>
      <c r="L68" s="132">
        <f>B69</f>
        <v>261</v>
      </c>
      <c r="M68" s="135">
        <f>E68+I68</f>
        <v>0</v>
      </c>
      <c r="N68" s="135">
        <f>F68+J68</f>
        <v>0</v>
      </c>
      <c r="O68" s="136">
        <f>G68+K68</f>
        <v>0</v>
      </c>
      <c r="P68" s="138">
        <f ca="1">(M68+N68)/OverviewData!$B$6</f>
        <v>0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</row>
    <row r="69" spans="1:35" ht="26.5" hidden="1" x14ac:dyDescent="0.35">
      <c r="A69" s="363"/>
      <c r="B69" s="269">
        <f>VLOOKUP(A68,TeamAssignment!A$6:G$52,7,FALSE)</f>
        <v>261</v>
      </c>
      <c r="C69" s="276" t="s">
        <v>83</v>
      </c>
      <c r="D69" s="148"/>
      <c r="E69" s="17">
        <f>IFERROR(E68/D68,0)</f>
        <v>0</v>
      </c>
      <c r="F69" s="17">
        <f>IFERROR(F68/E68,0)</f>
        <v>0</v>
      </c>
      <c r="G69" s="146"/>
      <c r="H69" s="114"/>
      <c r="I69" s="17">
        <f>IFERROR(I68/H68,0)</f>
        <v>0</v>
      </c>
      <c r="J69" s="17">
        <f>IFERROR(J68/I68,0)</f>
        <v>0</v>
      </c>
      <c r="K69" s="146"/>
      <c r="L69" s="114"/>
      <c r="M69" s="17">
        <f>IFERROR(M68/L68,0)</f>
        <v>0</v>
      </c>
      <c r="N69" s="17">
        <f>IFERROR(N68/M68,0)</f>
        <v>0</v>
      </c>
      <c r="O69" s="146"/>
      <c r="P69" s="148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</row>
    <row r="70" spans="1:35" ht="14.65" hidden="1" customHeight="1" thickBot="1" x14ac:dyDescent="0.4">
      <c r="A70" s="364"/>
      <c r="B70" s="270"/>
      <c r="C70" s="277" t="s">
        <v>248</v>
      </c>
      <c r="D70" s="37">
        <f>IFERROR(D68/B69,0)</f>
        <v>1</v>
      </c>
      <c r="E70" s="27">
        <f>IFERROR(VLOOKUP($A68,TeamCompletion[#All],12,FALSE)/B69,0)</f>
        <v>0</v>
      </c>
      <c r="F70" s="27">
        <f>IFERROR(VLOOKUP($A68,TeamCompletion[#All],13,FALSE)/B69,0)</f>
        <v>0</v>
      </c>
      <c r="G70" s="28">
        <f>IFERROR(VLOOKUP($A68,TeamFieldCheckCompletion[#All],7,FALSE)/B69,0)</f>
        <v>0</v>
      </c>
      <c r="H70" s="26">
        <f>IFERROR(H68/B69,0)</f>
        <v>1</v>
      </c>
      <c r="I70" s="27">
        <f>IFERROR(VLOOKUP($A68,TeamCompletion[#All],14,FALSE)/F69,0)</f>
        <v>0</v>
      </c>
      <c r="J70" s="27">
        <f>IFERROR(VLOOKUP($A68,TeamCompletion[#All],15,FALSE)/F69,0)</f>
        <v>0</v>
      </c>
      <c r="K70" s="28">
        <f>IFERROR(VLOOKUP($A68,TeamFieldCheckCompletion[#All],8,FALSE)/F69,0)</f>
        <v>0</v>
      </c>
      <c r="L70" s="26">
        <f>IFERROR(L68/$B69,0)</f>
        <v>1</v>
      </c>
      <c r="M70" s="26">
        <f>IFERROR(M68/$B69,0)</f>
        <v>0</v>
      </c>
      <c r="N70" s="26">
        <f>IFERROR(N68/$B69,0)</f>
        <v>0</v>
      </c>
      <c r="O70" s="151">
        <f>IFERROR(O68/$B69,0)</f>
        <v>0</v>
      </c>
      <c r="P70" s="148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</row>
    <row r="71" spans="1:35" ht="14.5" hidden="1" customHeight="1" x14ac:dyDescent="0.35">
      <c r="A71" s="362" t="s">
        <v>207</v>
      </c>
      <c r="B71" s="268"/>
      <c r="C71" s="275" t="s">
        <v>14</v>
      </c>
      <c r="D71" s="272">
        <f>B72</f>
        <v>164</v>
      </c>
      <c r="E71" s="134">
        <f>IFERROR(VLOOKUP($A71,TeamCompletion[#All],12,FALSE),0)</f>
        <v>0</v>
      </c>
      <c r="F71" s="134">
        <f>IFERROR(VLOOKUP($A71,TeamCompletion[#All],13,FALSE),0)</f>
        <v>0</v>
      </c>
      <c r="G71" s="149">
        <f>IFERROR(VLOOKUP($A71,TeamFieldCheckCompletion[#All],7,FALSE),0)</f>
        <v>0</v>
      </c>
      <c r="H71" s="132">
        <f>MAX(0,B72-E71)</f>
        <v>164</v>
      </c>
      <c r="I71" s="134">
        <f>IFERROR(VLOOKUP($A71,TeamCompletion[#All],14,FALSE),0)</f>
        <v>0</v>
      </c>
      <c r="J71" s="134">
        <f>IFERROR(VLOOKUP($A71,TeamCompletion[#All],15,FALSE),0)</f>
        <v>0</v>
      </c>
      <c r="K71" s="149">
        <f>IFERROR(VLOOKUP($A71,TeamFieldCheckCompletion[#All],8,FALSE),0)</f>
        <v>0</v>
      </c>
      <c r="L71" s="132">
        <f>B72</f>
        <v>164</v>
      </c>
      <c r="M71" s="135">
        <f>E71+I71</f>
        <v>0</v>
      </c>
      <c r="N71" s="135">
        <f>F71+J71</f>
        <v>0</v>
      </c>
      <c r="O71" s="136">
        <f>G71+K71</f>
        <v>0</v>
      </c>
      <c r="P71" s="138">
        <f ca="1">(M71+N71)/OverviewData!$B$6</f>
        <v>0</v>
      </c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</row>
    <row r="72" spans="1:35" ht="26.5" hidden="1" x14ac:dyDescent="0.35">
      <c r="A72" s="363"/>
      <c r="B72" s="269">
        <f>VLOOKUP(A71,TeamAssignment!A$6:G$52,7,FALSE)</f>
        <v>164</v>
      </c>
      <c r="C72" s="276" t="s">
        <v>83</v>
      </c>
      <c r="D72" s="148"/>
      <c r="E72" s="17">
        <f>IFERROR(E71/D71,0)</f>
        <v>0</v>
      </c>
      <c r="F72" s="17">
        <f>IFERROR(F71/E71,0)</f>
        <v>0</v>
      </c>
      <c r="G72" s="146"/>
      <c r="H72" s="114"/>
      <c r="I72" s="17">
        <f>IFERROR(I71/H71,0)</f>
        <v>0</v>
      </c>
      <c r="J72" s="17">
        <f>IFERROR(J71/I71,0)</f>
        <v>0</v>
      </c>
      <c r="K72" s="146"/>
      <c r="L72" s="114"/>
      <c r="M72" s="17">
        <f>IFERROR(M71/L71,0)</f>
        <v>0</v>
      </c>
      <c r="N72" s="17">
        <f>IFERROR(N71/M71,0)</f>
        <v>0</v>
      </c>
      <c r="O72" s="146"/>
      <c r="P72" s="148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</row>
    <row r="73" spans="1:35" ht="15" hidden="1" thickBot="1" x14ac:dyDescent="0.4">
      <c r="A73" s="364"/>
      <c r="B73" s="270"/>
      <c r="C73" s="277" t="s">
        <v>248</v>
      </c>
      <c r="D73" s="37">
        <f>IFERROR(D71/B72,0)</f>
        <v>1</v>
      </c>
      <c r="E73" s="27">
        <f>IFERROR(VLOOKUP($A71,TeamCompletion[#All],12,FALSE)/B72,0)</f>
        <v>0</v>
      </c>
      <c r="F73" s="27">
        <f>IFERROR(VLOOKUP($A71,TeamCompletion[#All],13,FALSE)/B72,0)</f>
        <v>0</v>
      </c>
      <c r="G73" s="28">
        <f>IFERROR(VLOOKUP($A71,TeamFieldCheckCompletion[#All],7,FALSE)/B72,0)</f>
        <v>0</v>
      </c>
      <c r="H73" s="26">
        <f>IFERROR(H71/B72,0)</f>
        <v>1</v>
      </c>
      <c r="I73" s="27">
        <f>IFERROR(VLOOKUP($A71,TeamCompletion[#All],14,FALSE)/F72,0)</f>
        <v>0</v>
      </c>
      <c r="J73" s="27">
        <f>IFERROR(VLOOKUP($A71,TeamCompletion[#All],15,FALSE)/F72,0)</f>
        <v>0</v>
      </c>
      <c r="K73" s="28">
        <f>IFERROR(VLOOKUP($A71,TeamFieldCheckCompletion[#All],8,FALSE)/F72,0)</f>
        <v>0</v>
      </c>
      <c r="L73" s="26">
        <f>IFERROR(L71/$B72,0)</f>
        <v>1</v>
      </c>
      <c r="M73" s="26">
        <f>IFERROR(M71/$B72,0)</f>
        <v>0</v>
      </c>
      <c r="N73" s="26">
        <f>IFERROR(N71/$B72,0)</f>
        <v>0</v>
      </c>
      <c r="O73" s="151">
        <f>IFERROR(O71/$B72,0)</f>
        <v>0</v>
      </c>
      <c r="P73" s="148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</row>
    <row r="74" spans="1:35" hidden="1" x14ac:dyDescent="0.35">
      <c r="A74" s="362" t="s">
        <v>208</v>
      </c>
      <c r="B74" s="268"/>
      <c r="C74" s="275" t="s">
        <v>14</v>
      </c>
      <c r="D74" s="272">
        <f>B75</f>
        <v>95</v>
      </c>
      <c r="E74" s="134">
        <f>IFERROR(VLOOKUP($A74,TeamCompletion[#All],12,FALSE),0)</f>
        <v>0</v>
      </c>
      <c r="F74" s="134">
        <f>IFERROR(VLOOKUP($A74,TeamCompletion[#All],13,FALSE),0)</f>
        <v>0</v>
      </c>
      <c r="G74" s="149">
        <f>IFERROR(VLOOKUP($A74,TeamFieldCheckCompletion[#All],7,FALSE),0)</f>
        <v>0</v>
      </c>
      <c r="H74" s="132">
        <f>MAX(0,B75-E74)</f>
        <v>95</v>
      </c>
      <c r="I74" s="134">
        <f>IFERROR(VLOOKUP($A74,TeamCompletion[#All],14,FALSE),0)</f>
        <v>0</v>
      </c>
      <c r="J74" s="134">
        <f>IFERROR(VLOOKUP($A74,TeamCompletion[#All],15,FALSE),0)</f>
        <v>0</v>
      </c>
      <c r="K74" s="149">
        <f>IFERROR(VLOOKUP($A74,TeamFieldCheckCompletion[#All],8,FALSE),0)</f>
        <v>0</v>
      </c>
      <c r="L74" s="132">
        <f>B75</f>
        <v>95</v>
      </c>
      <c r="M74" s="135">
        <f>E74+I74</f>
        <v>0</v>
      </c>
      <c r="N74" s="135">
        <f>F74+J74</f>
        <v>0</v>
      </c>
      <c r="O74" s="136">
        <f>G74+K74</f>
        <v>0</v>
      </c>
      <c r="P74" s="138">
        <f ca="1">(M74+N74)/OverviewData!$B$6</f>
        <v>0</v>
      </c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</row>
    <row r="75" spans="1:35" ht="26.5" hidden="1" x14ac:dyDescent="0.35">
      <c r="A75" s="363"/>
      <c r="B75" s="269">
        <f>VLOOKUP(A74,TeamAssignment!A$6:G$52,7,FALSE)</f>
        <v>95</v>
      </c>
      <c r="C75" s="276" t="s">
        <v>83</v>
      </c>
      <c r="D75" s="148"/>
      <c r="E75" s="17">
        <f>IFERROR(E74/D74,0)</f>
        <v>0</v>
      </c>
      <c r="F75" s="17">
        <f>IFERROR(F74/E74,0)</f>
        <v>0</v>
      </c>
      <c r="G75" s="146"/>
      <c r="H75" s="114"/>
      <c r="I75" s="17">
        <f>IFERROR(I74/H74,0)</f>
        <v>0</v>
      </c>
      <c r="J75" s="17">
        <f>IFERROR(J74/I74,0)</f>
        <v>0</v>
      </c>
      <c r="K75" s="146"/>
      <c r="L75" s="114"/>
      <c r="M75" s="17">
        <f>IFERROR(M74/L74,0)</f>
        <v>0</v>
      </c>
      <c r="N75" s="17">
        <f>IFERROR(N74/M74,0)</f>
        <v>0</v>
      </c>
      <c r="O75" s="146"/>
      <c r="P75" s="148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</row>
    <row r="76" spans="1:35" ht="15" hidden="1" thickBot="1" x14ac:dyDescent="0.4">
      <c r="A76" s="364"/>
      <c r="B76" s="270"/>
      <c r="C76" s="277" t="s">
        <v>248</v>
      </c>
      <c r="D76" s="37">
        <f>IFERROR(D74/B75,0)</f>
        <v>1</v>
      </c>
      <c r="E76" s="27">
        <f>IFERROR(VLOOKUP($A74,TeamCompletion[#All],12,FALSE)/B75,0)</f>
        <v>0</v>
      </c>
      <c r="F76" s="27">
        <f>IFERROR(VLOOKUP($A74,TeamCompletion[#All],13,FALSE)/B75,0)</f>
        <v>0</v>
      </c>
      <c r="G76" s="28">
        <f>IFERROR(VLOOKUP($A74,TeamFieldCheckCompletion[#All],7,FALSE)/B75,0)</f>
        <v>0</v>
      </c>
      <c r="H76" s="26">
        <f>IFERROR(H74/B75,0)</f>
        <v>1</v>
      </c>
      <c r="I76" s="27">
        <f>IFERROR(VLOOKUP($A74,TeamCompletion[#All],14,FALSE)/F75,0)</f>
        <v>0</v>
      </c>
      <c r="J76" s="27">
        <f>IFERROR(VLOOKUP($A74,TeamCompletion[#All],15,FALSE)/F75,0)</f>
        <v>0</v>
      </c>
      <c r="K76" s="28">
        <f>IFERROR(VLOOKUP($A74,TeamFieldCheckCompletion[#All],8,FALSE)/F75,0)</f>
        <v>0</v>
      </c>
      <c r="L76" s="26">
        <f>IFERROR(L74/$B75,0)</f>
        <v>1</v>
      </c>
      <c r="M76" s="26">
        <f>IFERROR(M74/$B75,0)</f>
        <v>0</v>
      </c>
      <c r="N76" s="26">
        <f>IFERROR(N74/$B75,0)</f>
        <v>0</v>
      </c>
      <c r="O76" s="151">
        <f>IFERROR(O74/$B75,0)</f>
        <v>0</v>
      </c>
      <c r="P76" s="148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</row>
    <row r="77" spans="1:35" ht="14.5" hidden="1" customHeight="1" x14ac:dyDescent="0.35">
      <c r="A77" s="362" t="s">
        <v>209</v>
      </c>
      <c r="B77" s="268"/>
      <c r="C77" s="278" t="s">
        <v>14</v>
      </c>
      <c r="D77" s="272">
        <f>B78</f>
        <v>64</v>
      </c>
      <c r="E77" s="134">
        <f>IFERROR(VLOOKUP($A77,TeamCompletion[#All],12,FALSE),0)</f>
        <v>0</v>
      </c>
      <c r="F77" s="134">
        <f>IFERROR(VLOOKUP($A77,TeamCompletion[#All],13,FALSE),0)</f>
        <v>0</v>
      </c>
      <c r="G77" s="149">
        <f>IFERROR(VLOOKUP($A77,TeamFieldCheckCompletion[#All],7,FALSE),0)</f>
        <v>0</v>
      </c>
      <c r="H77" s="132">
        <f>MAX(0,B78-E77)</f>
        <v>64</v>
      </c>
      <c r="I77" s="134">
        <f>IFERROR(VLOOKUP($A77,TeamCompletion[#All],14,FALSE),0)</f>
        <v>0</v>
      </c>
      <c r="J77" s="134">
        <f>IFERROR(VLOOKUP($A77,TeamCompletion[#All],15,FALSE),0)</f>
        <v>0</v>
      </c>
      <c r="K77" s="149">
        <f>IFERROR(VLOOKUP($A77,TeamFieldCheckCompletion[#All],8,FALSE),0)</f>
        <v>0</v>
      </c>
      <c r="L77" s="132">
        <f>B78</f>
        <v>64</v>
      </c>
      <c r="M77" s="135">
        <f>E77+I77</f>
        <v>0</v>
      </c>
      <c r="N77" s="135">
        <f>F77+J77</f>
        <v>0</v>
      </c>
      <c r="O77" s="136">
        <f>G77+K77</f>
        <v>0</v>
      </c>
      <c r="P77" s="138">
        <f ca="1">(M77+N77)/OverviewData!$B$6</f>
        <v>0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</row>
    <row r="78" spans="1:35" ht="26.5" hidden="1" x14ac:dyDescent="0.35">
      <c r="A78" s="363"/>
      <c r="B78" s="269">
        <f>VLOOKUP(A77,TeamAssignment!A$6:G$52,7,FALSE)</f>
        <v>64</v>
      </c>
      <c r="C78" s="276" t="s">
        <v>83</v>
      </c>
      <c r="D78" s="148"/>
      <c r="E78" s="17">
        <f>IFERROR(E77/D77,0)</f>
        <v>0</v>
      </c>
      <c r="F78" s="17">
        <f>IFERROR(F77/E77,0)</f>
        <v>0</v>
      </c>
      <c r="G78" s="146"/>
      <c r="H78" s="114"/>
      <c r="I78" s="17">
        <f>IFERROR(I77/H77,0)</f>
        <v>0</v>
      </c>
      <c r="J78" s="17">
        <f>IFERROR(J77/I77,0)</f>
        <v>0</v>
      </c>
      <c r="K78" s="146"/>
      <c r="L78" s="114"/>
      <c r="M78" s="17">
        <f>IFERROR(M77/L77,0)</f>
        <v>0</v>
      </c>
      <c r="N78" s="17">
        <f>IFERROR(N77/M77,0)</f>
        <v>0</v>
      </c>
      <c r="O78" s="146"/>
      <c r="P78" s="148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</row>
    <row r="79" spans="1:35" ht="15" hidden="1" thickBot="1" x14ac:dyDescent="0.4">
      <c r="A79" s="364"/>
      <c r="B79" s="270"/>
      <c r="C79" s="277" t="s">
        <v>248</v>
      </c>
      <c r="D79" s="37">
        <f>IFERROR(D77/B78,0)</f>
        <v>1</v>
      </c>
      <c r="E79" s="27"/>
      <c r="F79" s="27"/>
      <c r="G79" s="28"/>
      <c r="H79" s="26">
        <f>IFERROR(H77/B78,0)</f>
        <v>1</v>
      </c>
      <c r="I79" s="27">
        <f>IFERROR(VLOOKUP($A77,TeamCompletion[#All],14,FALSE)/F78,0)</f>
        <v>0</v>
      </c>
      <c r="J79" s="27">
        <f>IFERROR(VLOOKUP($A77,TeamCompletion[#All],15,FALSE)/F78,0)</f>
        <v>0</v>
      </c>
      <c r="K79" s="28">
        <f>IFERROR(VLOOKUP($A77,TeamFieldCheckCompletion[#All],8,FALSE)/F78,0)</f>
        <v>0</v>
      </c>
      <c r="L79" s="26">
        <f>IFERROR(L77/$B78,0)</f>
        <v>1</v>
      </c>
      <c r="M79" s="26">
        <f>IFERROR(M77/$B78,0)</f>
        <v>0</v>
      </c>
      <c r="N79" s="26">
        <f>IFERROR(N77/$B78,0)</f>
        <v>0</v>
      </c>
      <c r="O79" s="151">
        <f>IFERROR(O77/$B78,0)</f>
        <v>0</v>
      </c>
      <c r="P79" s="148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</row>
    <row r="80" spans="1:35" ht="14.5" hidden="1" customHeight="1" x14ac:dyDescent="0.35">
      <c r="A80" s="362" t="s">
        <v>210</v>
      </c>
      <c r="B80" s="268"/>
      <c r="C80" s="278" t="s">
        <v>14</v>
      </c>
      <c r="D80" s="272">
        <f>B81</f>
        <v>233</v>
      </c>
      <c r="E80" s="134">
        <f>IFERROR(VLOOKUP($A80,TeamCompletion[#All],12,FALSE),0)</f>
        <v>0</v>
      </c>
      <c r="F80" s="134">
        <f>IFERROR(VLOOKUP($A80,TeamCompletion[#All],13,FALSE),0)</f>
        <v>0</v>
      </c>
      <c r="G80" s="149">
        <f>IFERROR(VLOOKUP($A80,TeamFieldCheckCompletion[#All],7,FALSE),0)</f>
        <v>0</v>
      </c>
      <c r="H80" s="132">
        <f>MAX(0,B81-E80)</f>
        <v>233</v>
      </c>
      <c r="I80" s="134">
        <f>IFERROR(VLOOKUP($A80,TeamCompletion[#All],14,FALSE),0)</f>
        <v>0</v>
      </c>
      <c r="J80" s="134">
        <f>IFERROR(VLOOKUP($A80,TeamCompletion[#All],15,FALSE),0)</f>
        <v>0</v>
      </c>
      <c r="K80" s="149">
        <f>IFERROR(VLOOKUP($A80,TeamFieldCheckCompletion[#All],8,FALSE),0)</f>
        <v>0</v>
      </c>
      <c r="L80" s="132">
        <f>B81</f>
        <v>233</v>
      </c>
      <c r="M80" s="135">
        <f>E80+I80</f>
        <v>0</v>
      </c>
      <c r="N80" s="135">
        <f>F80+J80</f>
        <v>0</v>
      </c>
      <c r="O80" s="136">
        <f>G80+K80</f>
        <v>0</v>
      </c>
      <c r="P80" s="138">
        <f ca="1">(M80+N80)/OverviewData!$B$6</f>
        <v>0</v>
      </c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</row>
    <row r="81" spans="1:35" ht="26.5" hidden="1" x14ac:dyDescent="0.35">
      <c r="A81" s="363"/>
      <c r="B81" s="269">
        <f>VLOOKUP(A80,TeamAssignment!A$6:G$52,7,FALSE)</f>
        <v>233</v>
      </c>
      <c r="C81" s="276" t="s">
        <v>83</v>
      </c>
      <c r="D81" s="148"/>
      <c r="E81" s="17">
        <f>IFERROR(E80/D80,0)</f>
        <v>0</v>
      </c>
      <c r="F81" s="17">
        <f>IFERROR(F80/E80,0)</f>
        <v>0</v>
      </c>
      <c r="G81" s="146"/>
      <c r="H81" s="114"/>
      <c r="I81" s="17">
        <f>IFERROR(I80/H80,0)</f>
        <v>0</v>
      </c>
      <c r="J81" s="17">
        <f>IFERROR(J80/I80,0)</f>
        <v>0</v>
      </c>
      <c r="K81" s="146"/>
      <c r="L81" s="114"/>
      <c r="M81" s="17">
        <f>IFERROR(M80/L80,0)</f>
        <v>0</v>
      </c>
      <c r="N81" s="17">
        <f>IFERROR(N80/M80,0)</f>
        <v>0</v>
      </c>
      <c r="O81" s="146"/>
      <c r="P81" s="148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</row>
    <row r="82" spans="1:35" ht="15" hidden="1" thickBot="1" x14ac:dyDescent="0.4">
      <c r="A82" s="364"/>
      <c r="B82" s="270"/>
      <c r="C82" s="277" t="s">
        <v>248</v>
      </c>
      <c r="D82" s="37">
        <f>IFERROR(D80/B81,0)</f>
        <v>1</v>
      </c>
      <c r="E82" s="27">
        <f>IFERROR(VLOOKUP($A80,TeamCompletion[#All],12,FALSE)/B81,0)</f>
        <v>0</v>
      </c>
      <c r="F82" s="27">
        <f>IFERROR(VLOOKUP($A80,TeamCompletion[#All],13,FALSE)/B81,0)</f>
        <v>0</v>
      </c>
      <c r="G82" s="28">
        <f>IFERROR(VLOOKUP($A80,TeamFieldCheckCompletion[#All],7,FALSE)/B81,0)</f>
        <v>0</v>
      </c>
      <c r="H82" s="26">
        <f>IFERROR(H80/B81,0)</f>
        <v>1</v>
      </c>
      <c r="I82" s="27">
        <f>IFERROR(VLOOKUP($A80,TeamCompletion[#All],14,FALSE)/F81,0)</f>
        <v>0</v>
      </c>
      <c r="J82" s="27">
        <f>IFERROR(VLOOKUP($A80,TeamCompletion[#All],15,FALSE)/F81,0)</f>
        <v>0</v>
      </c>
      <c r="K82" s="28">
        <f>IFERROR(VLOOKUP($A80,TeamFieldCheckCompletion[#All],8,FALSE)/F81,0)</f>
        <v>0</v>
      </c>
      <c r="L82" s="26">
        <f>IFERROR(L80/$B81,0)</f>
        <v>1</v>
      </c>
      <c r="M82" s="26">
        <f>IFERROR(M80/$B81,0)</f>
        <v>0</v>
      </c>
      <c r="N82" s="26">
        <f>IFERROR(N80/$B81,0)</f>
        <v>0</v>
      </c>
      <c r="O82" s="151">
        <f>IFERROR(O80/$B81,0)</f>
        <v>0</v>
      </c>
      <c r="P82" s="148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</row>
    <row r="83" spans="1:35" ht="14.5" hidden="1" customHeight="1" x14ac:dyDescent="0.35">
      <c r="A83" s="362" t="s">
        <v>211</v>
      </c>
      <c r="B83" s="268"/>
      <c r="C83" s="278" t="s">
        <v>14</v>
      </c>
      <c r="D83" s="272">
        <f>B84</f>
        <v>61</v>
      </c>
      <c r="E83" s="134">
        <f>IFERROR(VLOOKUP($A83,TeamCompletion[#All],12,FALSE),0)</f>
        <v>0</v>
      </c>
      <c r="F83" s="134">
        <f>IFERROR(VLOOKUP($A83,TeamCompletion[#All],13,FALSE),0)</f>
        <v>0</v>
      </c>
      <c r="G83" s="149">
        <f>IFERROR(VLOOKUP($A83,TeamFieldCheckCompletion[#All],7,FALSE),0)</f>
        <v>0</v>
      </c>
      <c r="H83" s="132">
        <f>MAX(0,B84-E83)</f>
        <v>61</v>
      </c>
      <c r="I83" s="134">
        <f>IFERROR(VLOOKUP($A83,TeamCompletion[#All],14,FALSE),0)</f>
        <v>0</v>
      </c>
      <c r="J83" s="134">
        <f>IFERROR(VLOOKUP($A83,TeamCompletion[#All],15,FALSE),0)</f>
        <v>0</v>
      </c>
      <c r="K83" s="149">
        <f>IFERROR(VLOOKUP($A83,TeamFieldCheckCompletion[#All],8,FALSE),0)</f>
        <v>0</v>
      </c>
      <c r="L83" s="132">
        <f>B84</f>
        <v>61</v>
      </c>
      <c r="M83" s="135">
        <f>E83+I83</f>
        <v>0</v>
      </c>
      <c r="N83" s="135">
        <f>F83+J83</f>
        <v>0</v>
      </c>
      <c r="O83" s="136">
        <f>G83+K83</f>
        <v>0</v>
      </c>
      <c r="P83" s="138">
        <f ca="1">(M83+N83)/OverviewData!$B$6</f>
        <v>0</v>
      </c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</row>
    <row r="84" spans="1:35" ht="26.5" hidden="1" x14ac:dyDescent="0.35">
      <c r="A84" s="363"/>
      <c r="B84" s="269">
        <f>VLOOKUP(A83,TeamAssignment!A$6:G$52,7,FALSE)</f>
        <v>61</v>
      </c>
      <c r="C84" s="276" t="s">
        <v>83</v>
      </c>
      <c r="D84" s="148"/>
      <c r="E84" s="17">
        <f>IFERROR(E83/D83,0)</f>
        <v>0</v>
      </c>
      <c r="F84" s="17">
        <f>IFERROR(F83/E83,0)</f>
        <v>0</v>
      </c>
      <c r="G84" s="146"/>
      <c r="H84" s="114"/>
      <c r="I84" s="17">
        <f>IFERROR(I83/H83,0)</f>
        <v>0</v>
      </c>
      <c r="J84" s="17">
        <f>IFERROR(J83/I83,0)</f>
        <v>0</v>
      </c>
      <c r="K84" s="146"/>
      <c r="L84" s="114"/>
      <c r="M84" s="17">
        <f>IFERROR(M83/L83,0)</f>
        <v>0</v>
      </c>
      <c r="N84" s="17">
        <f>IFERROR(N83/M83,0)</f>
        <v>0</v>
      </c>
      <c r="O84" s="146"/>
      <c r="P84" s="148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</row>
    <row r="85" spans="1:35" ht="15" hidden="1" thickBot="1" x14ac:dyDescent="0.4">
      <c r="A85" s="364"/>
      <c r="B85" s="270"/>
      <c r="C85" s="277" t="s">
        <v>248</v>
      </c>
      <c r="D85" s="37">
        <f>IFERROR(D83/B84,0)</f>
        <v>1</v>
      </c>
      <c r="E85" s="27">
        <f>IFERROR(VLOOKUP($A83,TeamCompletion[#All],12,FALSE)/B84,0)</f>
        <v>0</v>
      </c>
      <c r="F85" s="27">
        <f>IFERROR(VLOOKUP($A83,TeamCompletion[#All],13,FALSE)/B84,0)</f>
        <v>0</v>
      </c>
      <c r="G85" s="28">
        <f>IFERROR(VLOOKUP($A83,TeamFieldCheckCompletion[#All],7,FALSE)/B84,0)</f>
        <v>0</v>
      </c>
      <c r="H85" s="26">
        <f>IFERROR(H83/B84,0)</f>
        <v>1</v>
      </c>
      <c r="I85" s="27">
        <f>IFERROR(VLOOKUP($A83,TeamCompletion[#All],14,FALSE)/F84,0)</f>
        <v>0</v>
      </c>
      <c r="J85" s="27">
        <f>IFERROR(VLOOKUP($A83,TeamCompletion[#All],15,FALSE)/F84,0)</f>
        <v>0</v>
      </c>
      <c r="K85" s="28">
        <f>IFERROR(VLOOKUP($A83,TeamFieldCheckCompletion[#All],8,FALSE)/F84,0)</f>
        <v>0</v>
      </c>
      <c r="L85" s="26">
        <f>IFERROR(L83/$B84,0)</f>
        <v>1</v>
      </c>
      <c r="M85" s="26">
        <f>IFERROR(M83/$B84,0)</f>
        <v>0</v>
      </c>
      <c r="N85" s="26">
        <f>IFERROR(N83/$B84,0)</f>
        <v>0</v>
      </c>
      <c r="O85" s="151">
        <f>IFERROR(O83/$B84,0)</f>
        <v>0</v>
      </c>
      <c r="P85" s="148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</row>
    <row r="86" spans="1:35" ht="14.5" hidden="1" customHeight="1" x14ac:dyDescent="0.35">
      <c r="A86" s="362" t="s">
        <v>212</v>
      </c>
      <c r="B86" s="268"/>
      <c r="C86" s="278" t="s">
        <v>14</v>
      </c>
      <c r="D86" s="272">
        <f>B87</f>
        <v>331</v>
      </c>
      <c r="E86" s="134">
        <f>IFERROR(VLOOKUP($A86,TeamCompletion[#All],12,FALSE),0)</f>
        <v>0</v>
      </c>
      <c r="F86" s="134">
        <f>IFERROR(VLOOKUP($A86,TeamCompletion[#All],13,FALSE),0)</f>
        <v>0</v>
      </c>
      <c r="G86" s="149">
        <f>IFERROR(VLOOKUP($A86,TeamFieldCheckCompletion[#All],7,FALSE),0)</f>
        <v>0</v>
      </c>
      <c r="H86" s="132">
        <f>MAX(0,B87-E86)</f>
        <v>331</v>
      </c>
      <c r="I86" s="134">
        <f>IFERROR(VLOOKUP($A86,TeamCompletion[#All],14,FALSE),0)</f>
        <v>0</v>
      </c>
      <c r="J86" s="134">
        <f>IFERROR(VLOOKUP($A86,TeamCompletion[#All],15,FALSE),0)</f>
        <v>0</v>
      </c>
      <c r="K86" s="149">
        <f>IFERROR(VLOOKUP($A86,TeamFieldCheckCompletion[#All],8,FALSE),0)</f>
        <v>0</v>
      </c>
      <c r="L86" s="132">
        <f>B87</f>
        <v>331</v>
      </c>
      <c r="M86" s="135">
        <f>E86+I86</f>
        <v>0</v>
      </c>
      <c r="N86" s="135">
        <f>F86+J86</f>
        <v>0</v>
      </c>
      <c r="O86" s="136">
        <f>G86+K86</f>
        <v>0</v>
      </c>
      <c r="P86" s="138">
        <f ca="1">(M86+N86)/OverviewData!$B$6</f>
        <v>0</v>
      </c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</row>
    <row r="87" spans="1:35" ht="26.5" hidden="1" x14ac:dyDescent="0.35">
      <c r="A87" s="363"/>
      <c r="B87" s="269">
        <f>VLOOKUP(A86,TeamAssignment!A$6:G$52,7,FALSE)</f>
        <v>331</v>
      </c>
      <c r="C87" s="276" t="s">
        <v>83</v>
      </c>
      <c r="D87" s="148"/>
      <c r="E87" s="17">
        <f>IFERROR(E86/D86,0)</f>
        <v>0</v>
      </c>
      <c r="F87" s="17">
        <f t="shared" ref="F87" si="8">IFERROR(F86/E86,0)</f>
        <v>0</v>
      </c>
      <c r="G87" s="146"/>
      <c r="H87" s="114"/>
      <c r="I87" s="17">
        <f>IFERROR(I86/H86,0)</f>
        <v>0</v>
      </c>
      <c r="J87" s="17">
        <f>IFERROR(J86/I86,0)</f>
        <v>0</v>
      </c>
      <c r="K87" s="146"/>
      <c r="L87" s="114"/>
      <c r="M87" s="17">
        <f>IFERROR(M86/L86,0)</f>
        <v>0</v>
      </c>
      <c r="N87" s="17">
        <f>IFERROR(N86/M86,0)</f>
        <v>0</v>
      </c>
      <c r="O87" s="146"/>
      <c r="P87" s="148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hidden="1" thickBot="1" x14ac:dyDescent="0.4">
      <c r="A88" s="364"/>
      <c r="B88" s="270"/>
      <c r="C88" s="277" t="s">
        <v>248</v>
      </c>
      <c r="D88" s="37">
        <f>IFERROR(D86/B87,0)</f>
        <v>1</v>
      </c>
      <c r="E88" s="27">
        <f>IFERROR(VLOOKUP($A86,TeamCompletion[#All],12,FALSE)/B87,0)</f>
        <v>0</v>
      </c>
      <c r="F88" s="27">
        <f>IFERROR(VLOOKUP($A86,TeamCompletion[#All],13,FALSE)/B87,0)</f>
        <v>0</v>
      </c>
      <c r="G88" s="28">
        <f>IFERROR(VLOOKUP($A86,TeamFieldCheckCompletion[#All],7,FALSE)/B87,0)</f>
        <v>0</v>
      </c>
      <c r="H88" s="26">
        <f>IFERROR(H86/B87,0)</f>
        <v>1</v>
      </c>
      <c r="I88" s="27">
        <f>IFERROR(VLOOKUP($A86,TeamCompletion[#All],14,FALSE)/F87,0)</f>
        <v>0</v>
      </c>
      <c r="J88" s="27">
        <f>IFERROR(VLOOKUP($A86,TeamCompletion[#All],15,FALSE)/F87,0)</f>
        <v>0</v>
      </c>
      <c r="K88" s="28">
        <f>IFERROR(VLOOKUP($A86,TeamFieldCheckCompletion[#All],8,FALSE)/F87,0)</f>
        <v>0</v>
      </c>
      <c r="L88" s="26">
        <f>IFERROR(L86/$B87,0)</f>
        <v>1</v>
      </c>
      <c r="M88" s="26">
        <f>IFERROR(M86/$B87,0)</f>
        <v>0</v>
      </c>
      <c r="N88" s="26">
        <f>IFERROR(N86/$B87,0)</f>
        <v>0</v>
      </c>
      <c r="O88" s="151">
        <f>IFERROR(O86/$B87,0)</f>
        <v>0</v>
      </c>
      <c r="P88" s="148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</row>
    <row r="89" spans="1:35" ht="14.5" hidden="1" customHeight="1" x14ac:dyDescent="0.35">
      <c r="A89" s="362" t="s">
        <v>213</v>
      </c>
      <c r="B89" s="268"/>
      <c r="C89" s="278" t="s">
        <v>14</v>
      </c>
      <c r="D89" s="272">
        <f>B90</f>
        <v>0</v>
      </c>
      <c r="E89" s="134">
        <f>IFERROR(VLOOKUP($A89,TeamCompletion[#All],12,FALSE),0)</f>
        <v>0</v>
      </c>
      <c r="F89" s="134">
        <f>IFERROR(VLOOKUP($A89,TeamCompletion[#All],13,FALSE),0)</f>
        <v>0</v>
      </c>
      <c r="G89" s="149">
        <f>IFERROR(VLOOKUP($A89,TeamFieldCheckCompletion[#All],7,FALSE),0)</f>
        <v>0</v>
      </c>
      <c r="H89" s="132">
        <f>MAX(0,B90-E89)</f>
        <v>0</v>
      </c>
      <c r="I89" s="134">
        <f>IFERROR(VLOOKUP($A89,TeamCompletion[#All],14,FALSE),0)</f>
        <v>0</v>
      </c>
      <c r="J89" s="134">
        <f>IFERROR(VLOOKUP($A89,TeamCompletion[#All],15,FALSE),0)</f>
        <v>0</v>
      </c>
      <c r="K89" s="149">
        <f>IFERROR(VLOOKUP($A89,TeamFieldCheckCompletion[#All],8,FALSE),0)</f>
        <v>0</v>
      </c>
      <c r="L89" s="132">
        <f>B90</f>
        <v>0</v>
      </c>
      <c r="M89" s="135">
        <f>E89+I89</f>
        <v>0</v>
      </c>
      <c r="N89" s="135">
        <f>F89+J89</f>
        <v>0</v>
      </c>
      <c r="O89" s="136">
        <f>G89+K89</f>
        <v>0</v>
      </c>
      <c r="P89" s="138">
        <f ca="1">(M89+N89)/OverviewData!$B$6</f>
        <v>0</v>
      </c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</row>
    <row r="90" spans="1:35" ht="26.5" hidden="1" x14ac:dyDescent="0.35">
      <c r="A90" s="363"/>
      <c r="B90" s="269">
        <f>VLOOKUP(A89,TeamAssignment!A$6:G$52,7,FALSE)</f>
        <v>0</v>
      </c>
      <c r="C90" s="276" t="s">
        <v>83</v>
      </c>
      <c r="D90" s="148"/>
      <c r="E90" s="17">
        <f>IFERROR(E89/D89,0)</f>
        <v>0</v>
      </c>
      <c r="F90" s="17">
        <f t="shared" ref="F90" si="9">IFERROR(F89/E89,0)</f>
        <v>0</v>
      </c>
      <c r="G90" s="146"/>
      <c r="H90" s="114"/>
      <c r="I90" s="17">
        <f>IFERROR(I89/H89,0)</f>
        <v>0</v>
      </c>
      <c r="J90" s="17">
        <f>IFERROR(J89/I89,0)</f>
        <v>0</v>
      </c>
      <c r="K90" s="146"/>
      <c r="L90" s="114"/>
      <c r="M90" s="17">
        <f>IFERROR(M89/L89,0)</f>
        <v>0</v>
      </c>
      <c r="N90" s="17">
        <f>IFERROR(N89/M89,0)</f>
        <v>0</v>
      </c>
      <c r="O90" s="146"/>
      <c r="P90" s="148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</row>
    <row r="91" spans="1:35" ht="15" hidden="1" thickBot="1" x14ac:dyDescent="0.4">
      <c r="A91" s="364"/>
      <c r="B91" s="270"/>
      <c r="C91" s="277" t="s">
        <v>248</v>
      </c>
      <c r="D91" s="37">
        <f>IFERROR(D89/B90,0)</f>
        <v>0</v>
      </c>
      <c r="E91" s="27">
        <f>IFERROR(VLOOKUP($A89,TeamCompletion[#All],12,FALSE)/B90,0)</f>
        <v>0</v>
      </c>
      <c r="F91" s="27">
        <f>IFERROR(VLOOKUP($A89,TeamCompletion[#All],13,FALSE)/B90,0)</f>
        <v>0</v>
      </c>
      <c r="G91" s="28">
        <f>IFERROR(VLOOKUP($A89,TeamFieldCheckCompletion[#All],7,FALSE)/B90,0)</f>
        <v>0</v>
      </c>
      <c r="H91" s="26">
        <f>IFERROR(H89/B90,0)</f>
        <v>0</v>
      </c>
      <c r="I91" s="27">
        <f>IFERROR(VLOOKUP($A89,TeamCompletion[#All],14,FALSE)/F90,0)</f>
        <v>0</v>
      </c>
      <c r="J91" s="27">
        <f>IFERROR(VLOOKUP($A89,TeamCompletion[#All],15,FALSE)/F90,0)</f>
        <v>0</v>
      </c>
      <c r="K91" s="28">
        <f>IFERROR(VLOOKUP($A89,TeamFieldCheckCompletion[#All],8,FALSE)/F90,0)</f>
        <v>0</v>
      </c>
      <c r="L91" s="26">
        <f>IFERROR(L89/$B90,0)</f>
        <v>0</v>
      </c>
      <c r="M91" s="26">
        <f>IFERROR(M89/$B90,0)</f>
        <v>0</v>
      </c>
      <c r="N91" s="26">
        <f>IFERROR(N89/$B90,0)</f>
        <v>0</v>
      </c>
      <c r="O91" s="151">
        <f>IFERROR(O89/$B90,0)</f>
        <v>0</v>
      </c>
      <c r="P91" s="148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</row>
    <row r="92" spans="1:35" ht="14.5" hidden="1" customHeight="1" x14ac:dyDescent="0.35">
      <c r="A92" s="362" t="s">
        <v>214</v>
      </c>
      <c r="B92" s="268"/>
      <c r="C92" s="278" t="s">
        <v>14</v>
      </c>
      <c r="D92" s="272">
        <f>B93</f>
        <v>113</v>
      </c>
      <c r="E92" s="134">
        <f>IFERROR(VLOOKUP($A92,TeamCompletion[#All],12,FALSE),0)</f>
        <v>0</v>
      </c>
      <c r="F92" s="134">
        <f>IFERROR(VLOOKUP($A92,TeamCompletion[#All],13,FALSE),0)</f>
        <v>0</v>
      </c>
      <c r="G92" s="149">
        <f>IFERROR(VLOOKUP($A92,TeamFieldCheckCompletion[#All],7,FALSE),0)</f>
        <v>0</v>
      </c>
      <c r="H92" s="132">
        <f>MAX(0,B93-E92)</f>
        <v>113</v>
      </c>
      <c r="I92" s="134">
        <f>IFERROR(VLOOKUP($A92,TeamCompletion[#All],14,FALSE),0)</f>
        <v>0</v>
      </c>
      <c r="J92" s="134">
        <f>IFERROR(VLOOKUP($A92,TeamCompletion[#All],15,FALSE),0)</f>
        <v>0</v>
      </c>
      <c r="K92" s="149">
        <f>IFERROR(VLOOKUP($A92,TeamFieldCheckCompletion[#All],8,FALSE),0)</f>
        <v>0</v>
      </c>
      <c r="L92" s="132">
        <f>B93</f>
        <v>113</v>
      </c>
      <c r="M92" s="135">
        <f>E92+I92</f>
        <v>0</v>
      </c>
      <c r="N92" s="135">
        <f>F92+J92</f>
        <v>0</v>
      </c>
      <c r="O92" s="136">
        <f>G92+K92</f>
        <v>0</v>
      </c>
      <c r="P92" s="138">
        <f ca="1">(M92+N92)/OverviewData!$B$6</f>
        <v>0</v>
      </c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</row>
    <row r="93" spans="1:35" ht="26.5" hidden="1" x14ac:dyDescent="0.35">
      <c r="A93" s="363"/>
      <c r="B93" s="269">
        <f>VLOOKUP(A92,TeamAssignment!A$6:G$52,7,FALSE)</f>
        <v>113</v>
      </c>
      <c r="C93" s="276" t="s">
        <v>83</v>
      </c>
      <c r="D93" s="148"/>
      <c r="E93" s="17">
        <f>IFERROR(E92/D92,0)</f>
        <v>0</v>
      </c>
      <c r="F93" s="17">
        <f t="shared" ref="F93" si="10">IFERROR(F92/E92,0)</f>
        <v>0</v>
      </c>
      <c r="G93" s="146"/>
      <c r="H93" s="114"/>
      <c r="I93" s="17">
        <f>IFERROR(I92/H92,0)</f>
        <v>0</v>
      </c>
      <c r="J93" s="17">
        <f>IFERROR(J92/I92,0)</f>
        <v>0</v>
      </c>
      <c r="K93" s="146"/>
      <c r="L93" s="114"/>
      <c r="M93" s="17">
        <f>IFERROR(M92/L92,0)</f>
        <v>0</v>
      </c>
      <c r="N93" s="17">
        <f>IFERROR(N92/M92,0)</f>
        <v>0</v>
      </c>
      <c r="O93" s="146"/>
      <c r="P93" s="148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</row>
    <row r="94" spans="1:35" ht="14.65" hidden="1" customHeight="1" thickBot="1" x14ac:dyDescent="0.4">
      <c r="A94" s="364"/>
      <c r="B94" s="270"/>
      <c r="C94" s="277" t="s">
        <v>248</v>
      </c>
      <c r="D94" s="37">
        <f>IFERROR(D92/B93,0)</f>
        <v>1</v>
      </c>
      <c r="E94" s="27">
        <f>IFERROR(VLOOKUP($A92,TeamCompletion[#All],12,FALSE)/B93,0)</f>
        <v>0</v>
      </c>
      <c r="F94" s="27">
        <f>IFERROR(VLOOKUP($A92,TeamCompletion[#All],13,FALSE)/B93,0)</f>
        <v>0</v>
      </c>
      <c r="G94" s="28">
        <f>IFERROR(VLOOKUP($A92,TeamFieldCheckCompletion[#All],7,FALSE)/B93,0)</f>
        <v>0</v>
      </c>
      <c r="H94" s="26">
        <f>IFERROR(H92/B93,0)</f>
        <v>1</v>
      </c>
      <c r="I94" s="27">
        <f>IFERROR(VLOOKUP($A92,TeamCompletion[#All],14,FALSE)/F93,0)</f>
        <v>0</v>
      </c>
      <c r="J94" s="27">
        <f>IFERROR(VLOOKUP($A92,TeamCompletion[#All],15,FALSE)/F93,0)</f>
        <v>0</v>
      </c>
      <c r="K94" s="28">
        <f>IFERROR(VLOOKUP($A92,TeamFieldCheckCompletion[#All],8,FALSE)/F93,0)</f>
        <v>0</v>
      </c>
      <c r="L94" s="26">
        <f>IFERROR(L92/$B93,0)</f>
        <v>1</v>
      </c>
      <c r="M94" s="26">
        <f>IFERROR(M92/$B93,0)</f>
        <v>0</v>
      </c>
      <c r="N94" s="26">
        <f>IFERROR(N92/$B93,0)</f>
        <v>0</v>
      </c>
      <c r="O94" s="151">
        <f>IFERROR(O92/$B93,0)</f>
        <v>0</v>
      </c>
      <c r="P94" s="148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</row>
    <row r="95" spans="1:35" ht="14.5" hidden="1" customHeight="1" x14ac:dyDescent="0.35">
      <c r="A95" s="362" t="s">
        <v>215</v>
      </c>
      <c r="B95" s="268"/>
      <c r="C95" s="275" t="s">
        <v>14</v>
      </c>
      <c r="D95" s="272">
        <f>B96</f>
        <v>288</v>
      </c>
      <c r="E95" s="134">
        <f>IFERROR(VLOOKUP($A95,TeamCompletion[#All],12,FALSE),0)</f>
        <v>0</v>
      </c>
      <c r="F95" s="134">
        <f>IFERROR(VLOOKUP($A95,TeamCompletion[#All],13,FALSE),0)</f>
        <v>0</v>
      </c>
      <c r="G95" s="149">
        <f>IFERROR(VLOOKUP($A95,TeamFieldCheckCompletion[#All],7,FALSE),0)</f>
        <v>0</v>
      </c>
      <c r="H95" s="132">
        <f>MAX(0,B96-E95)</f>
        <v>288</v>
      </c>
      <c r="I95" s="134">
        <f>IFERROR(VLOOKUP($A95,TeamCompletion[#All],14,FALSE),0)</f>
        <v>0</v>
      </c>
      <c r="J95" s="134">
        <f>IFERROR(VLOOKUP($A95,TeamCompletion[#All],15,FALSE),0)</f>
        <v>0</v>
      </c>
      <c r="K95" s="149">
        <f>IFERROR(VLOOKUP($A95,TeamFieldCheckCompletion[#All],8,FALSE),0)</f>
        <v>0</v>
      </c>
      <c r="L95" s="132">
        <f>B96</f>
        <v>288</v>
      </c>
      <c r="M95" s="135">
        <f>E95+I95</f>
        <v>0</v>
      </c>
      <c r="N95" s="135">
        <f>F95+J95</f>
        <v>0</v>
      </c>
      <c r="O95" s="136">
        <f>G95+K95</f>
        <v>0</v>
      </c>
      <c r="P95" s="138">
        <f ca="1">(M95+N95)/OverviewData!$B$6</f>
        <v>0</v>
      </c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</row>
    <row r="96" spans="1:35" ht="26.5" hidden="1" x14ac:dyDescent="0.35">
      <c r="A96" s="363"/>
      <c r="B96" s="269">
        <f>VLOOKUP(A95,TeamAssignment!A$6:G$52,7,FALSE)</f>
        <v>288</v>
      </c>
      <c r="C96" s="276" t="s">
        <v>83</v>
      </c>
      <c r="D96" s="148"/>
      <c r="E96" s="17">
        <f>IFERROR(E95/D95,0)</f>
        <v>0</v>
      </c>
      <c r="F96" s="17">
        <f t="shared" ref="F96" si="11">IFERROR(F95/E95,0)</f>
        <v>0</v>
      </c>
      <c r="G96" s="146"/>
      <c r="H96" s="114"/>
      <c r="I96" s="17">
        <f>IFERROR(I95/H95,0)</f>
        <v>0</v>
      </c>
      <c r="J96" s="17">
        <f>IFERROR(J95/I95,0)</f>
        <v>0</v>
      </c>
      <c r="K96" s="146"/>
      <c r="L96" s="114"/>
      <c r="M96" s="17">
        <f>IFERROR(M95/L95,0)</f>
        <v>0</v>
      </c>
      <c r="N96" s="17">
        <f>IFERROR(N95/M95,0)</f>
        <v>0</v>
      </c>
      <c r="O96" s="146"/>
      <c r="P96" s="148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</row>
    <row r="97" spans="1:35" ht="15" hidden="1" thickBot="1" x14ac:dyDescent="0.4">
      <c r="A97" s="364"/>
      <c r="B97" s="270"/>
      <c r="C97" s="277" t="s">
        <v>248</v>
      </c>
      <c r="D97" s="37">
        <f>IFERROR(D95/B96,0)</f>
        <v>1</v>
      </c>
      <c r="E97" s="27">
        <f>IFERROR(VLOOKUP($A95,TeamCompletion[#All],12,FALSE)/B96,0)</f>
        <v>0</v>
      </c>
      <c r="F97" s="27">
        <f>IFERROR(VLOOKUP($A95,TeamCompletion[#All],13,FALSE)/B96,0)</f>
        <v>0</v>
      </c>
      <c r="G97" s="28">
        <f>IFERROR(VLOOKUP($A95,TeamFieldCheckCompletion[#All],7,FALSE)/B96,0)</f>
        <v>0</v>
      </c>
      <c r="H97" s="26">
        <f>IFERROR(H95/B96,0)</f>
        <v>1</v>
      </c>
      <c r="I97" s="27">
        <f>IFERROR(VLOOKUP($A95,TeamCompletion[#All],14,FALSE)/F96,0)</f>
        <v>0</v>
      </c>
      <c r="J97" s="27">
        <f>IFERROR(VLOOKUP($A95,TeamCompletion[#All],15,FALSE)/F96,0)</f>
        <v>0</v>
      </c>
      <c r="K97" s="28">
        <f>IFERROR(VLOOKUP($A95,TeamFieldCheckCompletion[#All],8,FALSE)/F96,0)</f>
        <v>0</v>
      </c>
      <c r="L97" s="26">
        <f>IFERROR(L95/$B96,0)</f>
        <v>1</v>
      </c>
      <c r="M97" s="26">
        <f>IFERROR(M95/$B96,0)</f>
        <v>0</v>
      </c>
      <c r="N97" s="26">
        <f>IFERROR(N95/$B96,0)</f>
        <v>0</v>
      </c>
      <c r="O97" s="151">
        <f>IFERROR(O95/$B96,0)</f>
        <v>0</v>
      </c>
      <c r="P97" s="148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</row>
    <row r="98" spans="1:35" ht="14.5" hidden="1" customHeight="1" x14ac:dyDescent="0.35">
      <c r="A98" s="362" t="s">
        <v>216</v>
      </c>
      <c r="B98" s="268"/>
      <c r="C98" s="278" t="s">
        <v>14</v>
      </c>
      <c r="D98" s="272">
        <f>B99</f>
        <v>190</v>
      </c>
      <c r="E98" s="134">
        <f>IFERROR(VLOOKUP($A98,TeamCompletion[#All],12,FALSE),0)</f>
        <v>0</v>
      </c>
      <c r="F98" s="134">
        <f>IFERROR(VLOOKUP($A98,TeamCompletion[#All],13,FALSE),0)</f>
        <v>0</v>
      </c>
      <c r="G98" s="149">
        <f>IFERROR(VLOOKUP($A98,TeamFieldCheckCompletion[#All],7,FALSE),0)</f>
        <v>0</v>
      </c>
      <c r="H98" s="132">
        <f>MAX(0,B99-E98)</f>
        <v>190</v>
      </c>
      <c r="I98" s="134">
        <f>IFERROR(VLOOKUP($A98,TeamCompletion[#All],14,FALSE),0)</f>
        <v>0</v>
      </c>
      <c r="J98" s="134">
        <f>IFERROR(VLOOKUP($A98,TeamCompletion[#All],15,FALSE),0)</f>
        <v>0</v>
      </c>
      <c r="K98" s="149">
        <f>IFERROR(VLOOKUP($A98,TeamFieldCheckCompletion[#All],8,FALSE),0)</f>
        <v>0</v>
      </c>
      <c r="L98" s="132">
        <f>B99</f>
        <v>190</v>
      </c>
      <c r="M98" s="135">
        <f>E98+I98</f>
        <v>0</v>
      </c>
      <c r="N98" s="135">
        <f>F98+J98</f>
        <v>0</v>
      </c>
      <c r="O98" s="136">
        <f>G98+K98</f>
        <v>0</v>
      </c>
      <c r="P98" s="138">
        <f ca="1">(M98+N98)/OverviewData!$B$6</f>
        <v>0</v>
      </c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</row>
    <row r="99" spans="1:35" ht="26.5" hidden="1" x14ac:dyDescent="0.35">
      <c r="A99" s="363"/>
      <c r="B99" s="269">
        <f>VLOOKUP(A98,TeamAssignment!A$6:G$52,7,FALSE)</f>
        <v>190</v>
      </c>
      <c r="C99" s="276" t="s">
        <v>83</v>
      </c>
      <c r="D99" s="148"/>
      <c r="E99" s="17">
        <f>IFERROR(E98/D98,0)</f>
        <v>0</v>
      </c>
      <c r="F99" s="17">
        <f>IFERROR(F98/E98,0)</f>
        <v>0</v>
      </c>
      <c r="G99" s="146"/>
      <c r="H99" s="114"/>
      <c r="I99" s="17">
        <f>IFERROR(I98/H98,0)</f>
        <v>0</v>
      </c>
      <c r="J99" s="17">
        <f>IFERROR(J98/I98,0)</f>
        <v>0</v>
      </c>
      <c r="K99" s="146"/>
      <c r="L99" s="114"/>
      <c r="M99" s="17">
        <f>IFERROR(M98/L98,0)</f>
        <v>0</v>
      </c>
      <c r="N99" s="17">
        <f>IFERROR(N98/M98,0)</f>
        <v>0</v>
      </c>
      <c r="O99" s="146"/>
      <c r="P99" s="148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</row>
    <row r="100" spans="1:35" ht="14.65" hidden="1" customHeight="1" thickBot="1" x14ac:dyDescent="0.4">
      <c r="A100" s="364"/>
      <c r="B100" s="270"/>
      <c r="C100" s="277" t="s">
        <v>248</v>
      </c>
      <c r="D100" s="37">
        <f>IFERROR(D98/B99,0)</f>
        <v>1</v>
      </c>
      <c r="E100" s="27">
        <f>IFERROR(VLOOKUP($A98,TeamCompletion[#All],12,FALSE)/B99,0)</f>
        <v>0</v>
      </c>
      <c r="F100" s="27">
        <f>IFERROR(VLOOKUP($A98,TeamCompletion[#All],13,FALSE)/B99,0)</f>
        <v>0</v>
      </c>
      <c r="G100" s="28">
        <f>IFERROR(VLOOKUP($A98,TeamFieldCheckCompletion[#All],7,FALSE)/B99,0)</f>
        <v>0</v>
      </c>
      <c r="H100" s="26">
        <f>IFERROR(H98/B99,0)</f>
        <v>1</v>
      </c>
      <c r="I100" s="27">
        <f>IFERROR(VLOOKUP($A98,TeamCompletion[#All],14,FALSE)/F99,0)</f>
        <v>0</v>
      </c>
      <c r="J100" s="27">
        <f>IFERROR(VLOOKUP($A98,TeamCompletion[#All],15,FALSE)/F99,0)</f>
        <v>0</v>
      </c>
      <c r="K100" s="28">
        <f>IFERROR(VLOOKUP($A98,TeamFieldCheckCompletion[#All],8,FALSE)/F99,0)</f>
        <v>0</v>
      </c>
      <c r="L100" s="26">
        <f>IFERROR(L98/$B99,0)</f>
        <v>1</v>
      </c>
      <c r="M100" s="26">
        <f>IFERROR(M98/$B99,0)</f>
        <v>0</v>
      </c>
      <c r="N100" s="26">
        <f>IFERROR(N98/$B99,0)</f>
        <v>0</v>
      </c>
      <c r="O100" s="151">
        <f>IFERROR(O98/$B99,0)</f>
        <v>0</v>
      </c>
      <c r="P100" s="148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</row>
    <row r="101" spans="1:35" ht="14.5" hidden="1" customHeight="1" x14ac:dyDescent="0.35">
      <c r="A101" s="362" t="s">
        <v>217</v>
      </c>
      <c r="B101" s="268"/>
      <c r="C101" s="275" t="s">
        <v>14</v>
      </c>
      <c r="D101" s="272">
        <f>B102</f>
        <v>3</v>
      </c>
      <c r="E101" s="134">
        <f>IFERROR(VLOOKUP($A101,TeamCompletion[#All],12,FALSE),0)</f>
        <v>0</v>
      </c>
      <c r="F101" s="134">
        <f>IFERROR(VLOOKUP($A101,TeamCompletion[#All],13,FALSE),0)</f>
        <v>0</v>
      </c>
      <c r="G101" s="149">
        <f>IFERROR(VLOOKUP($A101,TeamFieldCheckCompletion[#All],7,FALSE),0)</f>
        <v>0</v>
      </c>
      <c r="H101" s="132">
        <f>MAX(0,B102-E101)</f>
        <v>3</v>
      </c>
      <c r="I101" s="134">
        <f>IFERROR(VLOOKUP($A101,TeamCompletion[#All],14,FALSE),0)</f>
        <v>0</v>
      </c>
      <c r="J101" s="134">
        <f>IFERROR(VLOOKUP($A101,TeamCompletion[#All],15,FALSE),0)</f>
        <v>0</v>
      </c>
      <c r="K101" s="149">
        <f>IFERROR(VLOOKUP($A101,TeamFieldCheckCompletion[#All],8,FALSE),0)</f>
        <v>0</v>
      </c>
      <c r="L101" s="132">
        <f>B102</f>
        <v>3</v>
      </c>
      <c r="M101" s="135">
        <f>E101+I101</f>
        <v>0</v>
      </c>
      <c r="N101" s="135">
        <f>F101+J101</f>
        <v>0</v>
      </c>
      <c r="O101" s="136">
        <f>G101+K101</f>
        <v>0</v>
      </c>
      <c r="P101" s="138">
        <f ca="1">(M101+N101)/OverviewData!$B$6</f>
        <v>0</v>
      </c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</row>
    <row r="102" spans="1:35" ht="26.5" hidden="1" x14ac:dyDescent="0.35">
      <c r="A102" s="363"/>
      <c r="B102" s="269">
        <f>VLOOKUP(A101,TeamAssignment!A$6:G$52,7,FALSE)</f>
        <v>3</v>
      </c>
      <c r="C102" s="276" t="s">
        <v>83</v>
      </c>
      <c r="D102" s="148"/>
      <c r="E102" s="17">
        <f>IFERROR(E101/D101,0)</f>
        <v>0</v>
      </c>
      <c r="F102" s="17">
        <f>IFERROR(F101/E101,0)</f>
        <v>0</v>
      </c>
      <c r="G102" s="146"/>
      <c r="H102" s="114"/>
      <c r="I102" s="17">
        <f>IFERROR(I101/H101,0)</f>
        <v>0</v>
      </c>
      <c r="J102" s="17">
        <f>IFERROR(J101/I101,0)</f>
        <v>0</v>
      </c>
      <c r="K102" s="146"/>
      <c r="L102" s="114"/>
      <c r="M102" s="17">
        <f>IFERROR(M101/L101,0)</f>
        <v>0</v>
      </c>
      <c r="N102" s="17">
        <f>IFERROR(N101/M101,0)</f>
        <v>0</v>
      </c>
      <c r="O102" s="146"/>
      <c r="P102" s="148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</row>
    <row r="103" spans="1:35" ht="15" hidden="1" thickBot="1" x14ac:dyDescent="0.4">
      <c r="A103" s="364"/>
      <c r="B103" s="270"/>
      <c r="C103" s="277" t="s">
        <v>248</v>
      </c>
      <c r="D103" s="37">
        <f>IFERROR(D101/B102,0)</f>
        <v>1</v>
      </c>
      <c r="E103" s="27">
        <f>IFERROR(VLOOKUP($A101,TeamCompletion[#All],12,FALSE)/B102,0)</f>
        <v>0</v>
      </c>
      <c r="F103" s="27">
        <f>IFERROR(VLOOKUP($A101,TeamCompletion[#All],13,FALSE)/B102,0)</f>
        <v>0</v>
      </c>
      <c r="G103" s="28">
        <f>IFERROR(VLOOKUP($A101,TeamFieldCheckCompletion[#All],7,FALSE)/B102,0)</f>
        <v>0</v>
      </c>
      <c r="H103" s="26">
        <f>IFERROR(H101/B102,0)</f>
        <v>1</v>
      </c>
      <c r="I103" s="27">
        <f>IFERROR(VLOOKUP($A101,TeamCompletion[#All],14,FALSE)/F102,0)</f>
        <v>0</v>
      </c>
      <c r="J103" s="27">
        <f>IFERROR(VLOOKUP($A101,TeamCompletion[#All],15,FALSE)/F102,0)</f>
        <v>0</v>
      </c>
      <c r="K103" s="28">
        <f>IFERROR(VLOOKUP($A101,TeamFieldCheckCompletion[#All],8,FALSE)/F102,0)</f>
        <v>0</v>
      </c>
      <c r="L103" s="26">
        <f>IFERROR(L101/$B102,0)</f>
        <v>1</v>
      </c>
      <c r="M103" s="26">
        <f>IFERROR(M101/$B102,0)</f>
        <v>0</v>
      </c>
      <c r="N103" s="26">
        <f>IFERROR(N101/$B102,0)</f>
        <v>0</v>
      </c>
      <c r="O103" s="151">
        <f>IFERROR(O101/$B102,0)</f>
        <v>0</v>
      </c>
      <c r="P103" s="148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</row>
    <row r="104" spans="1:35" hidden="1" x14ac:dyDescent="0.35">
      <c r="A104" s="362" t="s">
        <v>218</v>
      </c>
      <c r="B104" s="268"/>
      <c r="C104" s="275" t="s">
        <v>14</v>
      </c>
      <c r="D104" s="272">
        <f>B105</f>
        <v>213</v>
      </c>
      <c r="E104" s="134">
        <f>IFERROR(VLOOKUP($A104,TeamCompletion[#All],12,FALSE),0)</f>
        <v>0</v>
      </c>
      <c r="F104" s="134">
        <f>IFERROR(VLOOKUP($A104,TeamCompletion[#All],13,FALSE),0)</f>
        <v>0</v>
      </c>
      <c r="G104" s="149">
        <f>IFERROR(VLOOKUP($A104,TeamFieldCheckCompletion[#All],7,FALSE),0)</f>
        <v>0</v>
      </c>
      <c r="H104" s="132">
        <f>MAX(0,B105-E104)</f>
        <v>213</v>
      </c>
      <c r="I104" s="134">
        <f>IFERROR(VLOOKUP($A104,TeamCompletion[#All],14,FALSE),0)</f>
        <v>0</v>
      </c>
      <c r="J104" s="134">
        <f>IFERROR(VLOOKUP($A104,TeamCompletion[#All],15,FALSE),0)</f>
        <v>0</v>
      </c>
      <c r="K104" s="149">
        <f>IFERROR(VLOOKUP($A104,TeamFieldCheckCompletion[#All],8,FALSE),0)</f>
        <v>0</v>
      </c>
      <c r="L104" s="132">
        <f>B105</f>
        <v>213</v>
      </c>
      <c r="M104" s="135">
        <f>E104+I104</f>
        <v>0</v>
      </c>
      <c r="N104" s="135">
        <f>F104+J104</f>
        <v>0</v>
      </c>
      <c r="O104" s="136">
        <f>G104+K104</f>
        <v>0</v>
      </c>
      <c r="P104" s="138">
        <f ca="1">(M104+N104)/OverviewData!$B$6</f>
        <v>0</v>
      </c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</row>
    <row r="105" spans="1:35" ht="26.5" hidden="1" x14ac:dyDescent="0.35">
      <c r="A105" s="363"/>
      <c r="B105" s="269">
        <f>VLOOKUP(A104,TeamAssignment!A$6:G$52,7,FALSE)</f>
        <v>213</v>
      </c>
      <c r="C105" s="276" t="s">
        <v>83</v>
      </c>
      <c r="D105" s="148"/>
      <c r="E105" s="17">
        <f>IFERROR(E104/D104,0)</f>
        <v>0</v>
      </c>
      <c r="F105" s="17">
        <f>IFERROR(F104/E104,0)</f>
        <v>0</v>
      </c>
      <c r="G105" s="146"/>
      <c r="H105" s="114"/>
      <c r="I105" s="17">
        <f>IFERROR(I104/H104,0)</f>
        <v>0</v>
      </c>
      <c r="J105" s="17">
        <f>IFERROR(J104/I104,0)</f>
        <v>0</v>
      </c>
      <c r="K105" s="146"/>
      <c r="L105" s="114"/>
      <c r="M105" s="17">
        <f>IFERROR(M104/L104,0)</f>
        <v>0</v>
      </c>
      <c r="N105" s="17">
        <f>IFERROR(N104/M104,0)</f>
        <v>0</v>
      </c>
      <c r="O105" s="146"/>
      <c r="P105" s="148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</row>
    <row r="106" spans="1:35" ht="15" hidden="1" thickBot="1" x14ac:dyDescent="0.4">
      <c r="A106" s="364"/>
      <c r="B106" s="270"/>
      <c r="C106" s="277" t="s">
        <v>248</v>
      </c>
      <c r="D106" s="37">
        <f>IFERROR(D104/B105,0)</f>
        <v>1</v>
      </c>
      <c r="E106" s="27">
        <f>IFERROR(VLOOKUP($A104,TeamCompletion[#All],12,FALSE)/B105,0)</f>
        <v>0</v>
      </c>
      <c r="F106" s="27">
        <f>IFERROR(VLOOKUP($A104,TeamCompletion[#All],13,FALSE)/B105,0)</f>
        <v>0</v>
      </c>
      <c r="G106" s="28">
        <f>IFERROR(VLOOKUP($A104,TeamFieldCheckCompletion[#All],7,FALSE)/B105,0)</f>
        <v>0</v>
      </c>
      <c r="H106" s="26">
        <f>IFERROR(H104/B105,0)</f>
        <v>1</v>
      </c>
      <c r="I106" s="27">
        <f>IFERROR(VLOOKUP($A104,TeamCompletion[#All],14,FALSE)/F105,0)</f>
        <v>0</v>
      </c>
      <c r="J106" s="27">
        <f>IFERROR(VLOOKUP($A104,TeamCompletion[#All],15,FALSE)/F105,0)</f>
        <v>0</v>
      </c>
      <c r="K106" s="28">
        <f>IFERROR(VLOOKUP($A104,TeamFieldCheckCompletion[#All],8,FALSE)/F105,0)</f>
        <v>0</v>
      </c>
      <c r="L106" s="26">
        <f>IFERROR(L104/$B105,0)</f>
        <v>1</v>
      </c>
      <c r="M106" s="26">
        <f>IFERROR(M104/$B105,0)</f>
        <v>0</v>
      </c>
      <c r="N106" s="26">
        <f>IFERROR(N104/$B105,0)</f>
        <v>0</v>
      </c>
      <c r="O106" s="151">
        <f>IFERROR(O104/$B105,0)</f>
        <v>0</v>
      </c>
      <c r="P106" s="148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</row>
    <row r="107" spans="1:35" ht="14.5" hidden="1" customHeight="1" x14ac:dyDescent="0.35">
      <c r="A107" s="362" t="s">
        <v>219</v>
      </c>
      <c r="B107" s="268"/>
      <c r="C107" s="278" t="s">
        <v>14</v>
      </c>
      <c r="D107" s="272">
        <f>B108</f>
        <v>71</v>
      </c>
      <c r="E107" s="134">
        <f>IFERROR(VLOOKUP($A107,TeamCompletion[#All],12,FALSE),0)</f>
        <v>0</v>
      </c>
      <c r="F107" s="134">
        <f>IFERROR(VLOOKUP($A107,TeamCompletion[#All],13,FALSE),0)</f>
        <v>0</v>
      </c>
      <c r="G107" s="149">
        <f>IFERROR(VLOOKUP($A107,TeamFieldCheckCompletion[#All],7,FALSE),0)</f>
        <v>0</v>
      </c>
      <c r="H107" s="132">
        <f>MAX(0,B108-E107)</f>
        <v>71</v>
      </c>
      <c r="I107" s="134">
        <f>IFERROR(VLOOKUP($A107,TeamCompletion[#All],14,FALSE),0)</f>
        <v>0</v>
      </c>
      <c r="J107" s="134">
        <f>IFERROR(VLOOKUP($A107,TeamCompletion[#All],15,FALSE),0)</f>
        <v>0</v>
      </c>
      <c r="K107" s="149">
        <f>IFERROR(VLOOKUP($A107,TeamFieldCheckCompletion[#All],8,FALSE),0)</f>
        <v>0</v>
      </c>
      <c r="L107" s="132">
        <f>B108</f>
        <v>71</v>
      </c>
      <c r="M107" s="135">
        <f>E107+I107</f>
        <v>0</v>
      </c>
      <c r="N107" s="135">
        <f>F107+J107</f>
        <v>0</v>
      </c>
      <c r="O107" s="136">
        <f>G107+K107</f>
        <v>0</v>
      </c>
      <c r="P107" s="138">
        <f ca="1">(M107+N107)/OverviewData!$B$6</f>
        <v>0</v>
      </c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</row>
    <row r="108" spans="1:35" ht="26.5" hidden="1" x14ac:dyDescent="0.35">
      <c r="A108" s="363"/>
      <c r="B108" s="269">
        <f>VLOOKUP(A107,TeamAssignment!A$6:G$52,7,FALSE)</f>
        <v>71</v>
      </c>
      <c r="C108" s="276" t="s">
        <v>83</v>
      </c>
      <c r="D108" s="148"/>
      <c r="E108" s="17">
        <f>IFERROR(E107/D107,0)</f>
        <v>0</v>
      </c>
      <c r="F108" s="17">
        <f>IFERROR(F107/E107,0)</f>
        <v>0</v>
      </c>
      <c r="G108" s="146"/>
      <c r="H108" s="114"/>
      <c r="I108" s="17">
        <f>IFERROR(I107/H107,0)</f>
        <v>0</v>
      </c>
      <c r="J108" s="17">
        <f>IFERROR(J107/I107,0)</f>
        <v>0</v>
      </c>
      <c r="K108" s="146"/>
      <c r="L108" s="114"/>
      <c r="M108" s="17">
        <f>IFERROR(M107/L107,0)</f>
        <v>0</v>
      </c>
      <c r="N108" s="17">
        <f>IFERROR(N107/M107,0)</f>
        <v>0</v>
      </c>
      <c r="O108" s="146"/>
      <c r="P108" s="148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</row>
    <row r="109" spans="1:35" ht="15" hidden="1" thickBot="1" x14ac:dyDescent="0.4">
      <c r="A109" s="364"/>
      <c r="B109" s="270"/>
      <c r="C109" s="277" t="s">
        <v>248</v>
      </c>
      <c r="D109" s="37">
        <f>IFERROR(D107/B108,0)</f>
        <v>1</v>
      </c>
      <c r="E109" s="27"/>
      <c r="F109" s="27"/>
      <c r="G109" s="28"/>
      <c r="H109" s="26">
        <f>IFERROR(H107/B108,0)</f>
        <v>1</v>
      </c>
      <c r="I109" s="27">
        <f>IFERROR(VLOOKUP($A107,TeamCompletion[#All],14,FALSE)/F108,0)</f>
        <v>0</v>
      </c>
      <c r="J109" s="27">
        <f>IFERROR(VLOOKUP($A107,TeamCompletion[#All],15,FALSE)/F108,0)</f>
        <v>0</v>
      </c>
      <c r="K109" s="28">
        <f>IFERROR(VLOOKUP($A107,TeamFieldCheckCompletion[#All],8,FALSE)/F108,0)</f>
        <v>0</v>
      </c>
      <c r="L109" s="26">
        <f>IFERROR(L107/$B108,0)</f>
        <v>1</v>
      </c>
      <c r="M109" s="26">
        <f>IFERROR(M107/$B108,0)</f>
        <v>0</v>
      </c>
      <c r="N109" s="26">
        <f>IFERROR(N107/$B108,0)</f>
        <v>0</v>
      </c>
      <c r="O109" s="151">
        <f>IFERROR(O107/$B108,0)</f>
        <v>0</v>
      </c>
      <c r="P109" s="148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5" hidden="1" customHeight="1" x14ac:dyDescent="0.35">
      <c r="A110" s="362" t="s">
        <v>220</v>
      </c>
      <c r="B110" s="268"/>
      <c r="C110" s="278" t="s">
        <v>14</v>
      </c>
      <c r="D110" s="272">
        <f>B111</f>
        <v>128</v>
      </c>
      <c r="E110" s="134">
        <f>IFERROR(VLOOKUP($A110,TeamCompletion[#All],12,FALSE),0)</f>
        <v>0</v>
      </c>
      <c r="F110" s="134">
        <f>IFERROR(VLOOKUP($A110,TeamCompletion[#All],13,FALSE),0)</f>
        <v>0</v>
      </c>
      <c r="G110" s="149">
        <f>IFERROR(VLOOKUP($A110,TeamFieldCheckCompletion[#All],7,FALSE),0)</f>
        <v>0</v>
      </c>
      <c r="H110" s="132">
        <f>MAX(0,B111-E110)</f>
        <v>128</v>
      </c>
      <c r="I110" s="134">
        <f>IFERROR(VLOOKUP($A110,TeamCompletion[#All],14,FALSE),0)</f>
        <v>0</v>
      </c>
      <c r="J110" s="134">
        <f>IFERROR(VLOOKUP($A110,TeamCompletion[#All],15,FALSE),0)</f>
        <v>0</v>
      </c>
      <c r="K110" s="149">
        <f>IFERROR(VLOOKUP($A110,TeamFieldCheckCompletion[#All],8,FALSE),0)</f>
        <v>0</v>
      </c>
      <c r="L110" s="132">
        <f>B111</f>
        <v>128</v>
      </c>
      <c r="M110" s="135">
        <f>E110+I110</f>
        <v>0</v>
      </c>
      <c r="N110" s="135">
        <f>F110+J110</f>
        <v>0</v>
      </c>
      <c r="O110" s="136">
        <f>G110+K110</f>
        <v>0</v>
      </c>
      <c r="P110" s="138">
        <f ca="1">(M110+N110)/OverviewData!$B$6</f>
        <v>0</v>
      </c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</row>
    <row r="111" spans="1:35" ht="26.5" hidden="1" x14ac:dyDescent="0.35">
      <c r="A111" s="363"/>
      <c r="B111" s="269">
        <f>VLOOKUP(A110,TeamAssignment!A$6:G$52,7,FALSE)</f>
        <v>128</v>
      </c>
      <c r="C111" s="276" t="s">
        <v>83</v>
      </c>
      <c r="D111" s="148"/>
      <c r="E111" s="17">
        <f>IFERROR(E110/D110,0)</f>
        <v>0</v>
      </c>
      <c r="F111" s="17">
        <f>IFERROR(F110/E110,0)</f>
        <v>0</v>
      </c>
      <c r="G111" s="146"/>
      <c r="H111" s="114"/>
      <c r="I111" s="17">
        <f>IFERROR(I110/H110,0)</f>
        <v>0</v>
      </c>
      <c r="J111" s="17">
        <f>IFERROR(J110/I110,0)</f>
        <v>0</v>
      </c>
      <c r="K111" s="146"/>
      <c r="L111" s="114"/>
      <c r="M111" s="17">
        <f>IFERROR(M110/L110,0)</f>
        <v>0</v>
      </c>
      <c r="N111" s="17">
        <f>IFERROR(N110/M110,0)</f>
        <v>0</v>
      </c>
      <c r="O111" s="146"/>
      <c r="P111" s="148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</row>
    <row r="112" spans="1:35" ht="15" hidden="1" thickBot="1" x14ac:dyDescent="0.4">
      <c r="A112" s="364"/>
      <c r="B112" s="270"/>
      <c r="C112" s="277" t="s">
        <v>248</v>
      </c>
      <c r="D112" s="37">
        <f>IFERROR(D110/B111,0)</f>
        <v>1</v>
      </c>
      <c r="E112" s="27">
        <f>IFERROR(VLOOKUP($A110,TeamCompletion[#All],12,FALSE)/B111,0)</f>
        <v>0</v>
      </c>
      <c r="F112" s="27">
        <f>IFERROR(VLOOKUP($A110,TeamCompletion[#All],13,FALSE)/B111,0)</f>
        <v>0</v>
      </c>
      <c r="G112" s="28">
        <f>IFERROR(VLOOKUP($A110,TeamFieldCheckCompletion[#All],7,FALSE)/B111,0)</f>
        <v>0</v>
      </c>
      <c r="H112" s="26">
        <f>IFERROR(H110/B111,0)</f>
        <v>1</v>
      </c>
      <c r="I112" s="27">
        <f>IFERROR(VLOOKUP($A110,TeamCompletion[#All],14,FALSE)/F111,0)</f>
        <v>0</v>
      </c>
      <c r="J112" s="27">
        <f>IFERROR(VLOOKUP($A110,TeamCompletion[#All],15,FALSE)/F111,0)</f>
        <v>0</v>
      </c>
      <c r="K112" s="28">
        <f>IFERROR(VLOOKUP($A110,TeamFieldCheckCompletion[#All],8,FALSE)/F111,0)</f>
        <v>0</v>
      </c>
      <c r="L112" s="26">
        <f>IFERROR(L110/$B111,0)</f>
        <v>1</v>
      </c>
      <c r="M112" s="26">
        <f>IFERROR(M110/$B111,0)</f>
        <v>0</v>
      </c>
      <c r="N112" s="26">
        <f>IFERROR(N110/$B111,0)</f>
        <v>0</v>
      </c>
      <c r="O112" s="151">
        <f>IFERROR(O110/$B111,0)</f>
        <v>0</v>
      </c>
      <c r="P112" s="148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</row>
    <row r="113" spans="1:35" ht="14.5" hidden="1" customHeight="1" x14ac:dyDescent="0.35">
      <c r="A113" s="362" t="s">
        <v>221</v>
      </c>
      <c r="B113" s="268"/>
      <c r="C113" s="278" t="s">
        <v>14</v>
      </c>
      <c r="D113" s="272">
        <f>B114</f>
        <v>63</v>
      </c>
      <c r="E113" s="134">
        <f>IFERROR(VLOOKUP($A113,TeamCompletion[#All],12,FALSE),0)</f>
        <v>0</v>
      </c>
      <c r="F113" s="134">
        <f>IFERROR(VLOOKUP($A113,TeamCompletion[#All],13,FALSE),0)</f>
        <v>0</v>
      </c>
      <c r="G113" s="149">
        <f>IFERROR(VLOOKUP($A113,TeamFieldCheckCompletion[#All],7,FALSE),0)</f>
        <v>0</v>
      </c>
      <c r="H113" s="132">
        <f>MAX(0,B114-E113)</f>
        <v>63</v>
      </c>
      <c r="I113" s="134">
        <f>IFERROR(VLOOKUP($A113,TeamCompletion[#All],14,FALSE),0)</f>
        <v>0</v>
      </c>
      <c r="J113" s="134">
        <f>IFERROR(VLOOKUP($A113,TeamCompletion[#All],15,FALSE),0)</f>
        <v>0</v>
      </c>
      <c r="K113" s="149">
        <f>IFERROR(VLOOKUP($A113,TeamFieldCheckCompletion[#All],8,FALSE),0)</f>
        <v>0</v>
      </c>
      <c r="L113" s="132">
        <f>B114</f>
        <v>63</v>
      </c>
      <c r="M113" s="135">
        <f>E113+I113</f>
        <v>0</v>
      </c>
      <c r="N113" s="135">
        <f>F113+J113</f>
        <v>0</v>
      </c>
      <c r="O113" s="136">
        <f>G113+K113</f>
        <v>0</v>
      </c>
      <c r="P113" s="138">
        <f ca="1">(M113+N113)/OverviewData!$B$6</f>
        <v>0</v>
      </c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</row>
    <row r="114" spans="1:35" ht="26.5" hidden="1" x14ac:dyDescent="0.35">
      <c r="A114" s="363"/>
      <c r="B114" s="269">
        <f>VLOOKUP(A113,TeamAssignment!A$6:G$52,7,FALSE)</f>
        <v>63</v>
      </c>
      <c r="C114" s="276" t="s">
        <v>83</v>
      </c>
      <c r="D114" s="148"/>
      <c r="E114" s="17">
        <f>IFERROR(E113/D113,0)</f>
        <v>0</v>
      </c>
      <c r="F114" s="17">
        <f>IFERROR(F113/E113,0)</f>
        <v>0</v>
      </c>
      <c r="G114" s="146"/>
      <c r="H114" s="114"/>
      <c r="I114" s="17">
        <f>IFERROR(I113/H113,0)</f>
        <v>0</v>
      </c>
      <c r="J114" s="17">
        <f>IFERROR(J113/I113,0)</f>
        <v>0</v>
      </c>
      <c r="K114" s="146"/>
      <c r="L114" s="114"/>
      <c r="M114" s="17">
        <f>IFERROR(M113/L113,0)</f>
        <v>0</v>
      </c>
      <c r="N114" s="17">
        <f>IFERROR(N113/M113,0)</f>
        <v>0</v>
      </c>
      <c r="O114" s="146"/>
      <c r="P114" s="148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</row>
    <row r="115" spans="1:35" ht="15" hidden="1" thickBot="1" x14ac:dyDescent="0.4">
      <c r="A115" s="364"/>
      <c r="B115" s="270"/>
      <c r="C115" s="277" t="s">
        <v>248</v>
      </c>
      <c r="D115" s="37">
        <f>IFERROR(D113/B114,0)</f>
        <v>1</v>
      </c>
      <c r="E115" s="27">
        <f>IFERROR(VLOOKUP($A113,TeamCompletion[#All],12,FALSE)/B114,0)</f>
        <v>0</v>
      </c>
      <c r="F115" s="27">
        <f>IFERROR(VLOOKUP($A113,TeamCompletion[#All],13,FALSE)/B114,0)</f>
        <v>0</v>
      </c>
      <c r="G115" s="28">
        <f>IFERROR(VLOOKUP($A113,TeamFieldCheckCompletion[#All],7,FALSE)/B114,0)</f>
        <v>0</v>
      </c>
      <c r="H115" s="26">
        <f>IFERROR(H113/B114,0)</f>
        <v>1</v>
      </c>
      <c r="I115" s="27">
        <f>IFERROR(VLOOKUP($A113,TeamCompletion[#All],14,FALSE)/F114,0)</f>
        <v>0</v>
      </c>
      <c r="J115" s="27">
        <f>IFERROR(VLOOKUP($A113,TeamCompletion[#All],15,FALSE)/F114,0)</f>
        <v>0</v>
      </c>
      <c r="K115" s="28">
        <f>IFERROR(VLOOKUP($A113,TeamFieldCheckCompletion[#All],8,FALSE)/F114,0)</f>
        <v>0</v>
      </c>
      <c r="L115" s="26">
        <f>IFERROR(L113/$B114,0)</f>
        <v>1</v>
      </c>
      <c r="M115" s="26">
        <f>IFERROR(M113/$B114,0)</f>
        <v>0</v>
      </c>
      <c r="N115" s="26">
        <f>IFERROR(N113/$B114,0)</f>
        <v>0</v>
      </c>
      <c r="O115" s="151">
        <f>IFERROR(O113/$B114,0)</f>
        <v>0</v>
      </c>
      <c r="P115" s="148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</row>
    <row r="116" spans="1:35" ht="14.5" hidden="1" customHeight="1" x14ac:dyDescent="0.35">
      <c r="A116" s="362" t="s">
        <v>222</v>
      </c>
      <c r="B116" s="268"/>
      <c r="C116" s="278" t="s">
        <v>14</v>
      </c>
      <c r="D116" s="272">
        <f>B117</f>
        <v>93</v>
      </c>
      <c r="E116" s="134">
        <f>IFERROR(VLOOKUP($A116,TeamCompletion[#All],12,FALSE),0)</f>
        <v>0</v>
      </c>
      <c r="F116" s="134">
        <f>IFERROR(VLOOKUP($A116,TeamCompletion[#All],13,FALSE),0)</f>
        <v>0</v>
      </c>
      <c r="G116" s="149">
        <f>IFERROR(VLOOKUP($A116,TeamFieldCheckCompletion[#All],7,FALSE),0)</f>
        <v>0</v>
      </c>
      <c r="H116" s="132">
        <f>MAX(0,B117-E116)</f>
        <v>93</v>
      </c>
      <c r="I116" s="134">
        <f>IFERROR(VLOOKUP($A116,TeamCompletion[#All],14,FALSE),0)</f>
        <v>0</v>
      </c>
      <c r="J116" s="134">
        <f>IFERROR(VLOOKUP($A116,TeamCompletion[#All],15,FALSE),0)</f>
        <v>0</v>
      </c>
      <c r="K116" s="149">
        <f>IFERROR(VLOOKUP($A116,TeamFieldCheckCompletion[#All],8,FALSE),0)</f>
        <v>0</v>
      </c>
      <c r="L116" s="132">
        <f>B117</f>
        <v>93</v>
      </c>
      <c r="M116" s="135">
        <f>E116+I116</f>
        <v>0</v>
      </c>
      <c r="N116" s="135">
        <f>F116+J116</f>
        <v>0</v>
      </c>
      <c r="O116" s="136">
        <f>G116+K116</f>
        <v>0</v>
      </c>
      <c r="P116" s="138">
        <f ca="1">(M116+N116)/OverviewData!$B$6</f>
        <v>0</v>
      </c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</row>
    <row r="117" spans="1:35" ht="26.5" hidden="1" x14ac:dyDescent="0.35">
      <c r="A117" s="363"/>
      <c r="B117" s="269">
        <f>VLOOKUP(A116,TeamAssignment!A$6:G$52,7,FALSE)</f>
        <v>93</v>
      </c>
      <c r="C117" s="276" t="s">
        <v>83</v>
      </c>
      <c r="D117" s="148"/>
      <c r="E117" s="17">
        <f>IFERROR(E116/D116,0)</f>
        <v>0</v>
      </c>
      <c r="F117" s="17">
        <f t="shared" ref="F117" si="12">IFERROR(F116/E116,0)</f>
        <v>0</v>
      </c>
      <c r="G117" s="146"/>
      <c r="H117" s="114"/>
      <c r="I117" s="17">
        <f>IFERROR(I116/H116,0)</f>
        <v>0</v>
      </c>
      <c r="J117" s="17">
        <f>IFERROR(J116/I116,0)</f>
        <v>0</v>
      </c>
      <c r="K117" s="146"/>
      <c r="L117" s="114"/>
      <c r="M117" s="17">
        <f>IFERROR(M116/L116,0)</f>
        <v>0</v>
      </c>
      <c r="N117" s="17">
        <f>IFERROR(N116/M116,0)</f>
        <v>0</v>
      </c>
      <c r="O117" s="146"/>
      <c r="P117" s="148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</row>
    <row r="118" spans="1:35" ht="15" hidden="1" thickBot="1" x14ac:dyDescent="0.4">
      <c r="A118" s="364"/>
      <c r="B118" s="270"/>
      <c r="C118" s="277" t="s">
        <v>248</v>
      </c>
      <c r="D118" s="37">
        <f>IFERROR(D116/B117,0)</f>
        <v>1</v>
      </c>
      <c r="E118" s="27">
        <f>IFERROR(VLOOKUP($A116,TeamCompletion[#All],12,FALSE)/B117,0)</f>
        <v>0</v>
      </c>
      <c r="F118" s="27">
        <f>IFERROR(VLOOKUP($A116,TeamCompletion[#All],13,FALSE)/B117,0)</f>
        <v>0</v>
      </c>
      <c r="G118" s="28">
        <f>IFERROR(VLOOKUP($A116,TeamFieldCheckCompletion[#All],7,FALSE)/B117,0)</f>
        <v>0</v>
      </c>
      <c r="H118" s="26">
        <f>IFERROR(H116/B117,0)</f>
        <v>1</v>
      </c>
      <c r="I118" s="27">
        <f>IFERROR(VLOOKUP($A116,TeamCompletion[#All],14,FALSE)/F117,0)</f>
        <v>0</v>
      </c>
      <c r="J118" s="27">
        <f>IFERROR(VLOOKUP($A116,TeamCompletion[#All],15,FALSE)/F117,0)</f>
        <v>0</v>
      </c>
      <c r="K118" s="28">
        <f>IFERROR(VLOOKUP($A116,TeamFieldCheckCompletion[#All],8,FALSE)/F117,0)</f>
        <v>0</v>
      </c>
      <c r="L118" s="26">
        <f>IFERROR(L116/$B117,0)</f>
        <v>1</v>
      </c>
      <c r="M118" s="26">
        <f>IFERROR(M116/$B117,0)</f>
        <v>0</v>
      </c>
      <c r="N118" s="26">
        <f>IFERROR(N116/$B117,0)</f>
        <v>0</v>
      </c>
      <c r="O118" s="151">
        <f>IFERROR(O116/$B117,0)</f>
        <v>0</v>
      </c>
      <c r="P118" s="148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</row>
    <row r="119" spans="1:35" ht="14.5" hidden="1" customHeight="1" x14ac:dyDescent="0.35">
      <c r="A119" s="362" t="s">
        <v>223</v>
      </c>
      <c r="B119" s="268"/>
      <c r="C119" s="278" t="s">
        <v>14</v>
      </c>
      <c r="D119" s="272">
        <f>B120</f>
        <v>135</v>
      </c>
      <c r="E119" s="134">
        <f>IFERROR(VLOOKUP($A119,TeamCompletion[#All],12,FALSE),0)</f>
        <v>0</v>
      </c>
      <c r="F119" s="134">
        <f>IFERROR(VLOOKUP($A119,TeamCompletion[#All],13,FALSE),0)</f>
        <v>0</v>
      </c>
      <c r="G119" s="149">
        <f>IFERROR(VLOOKUP($A119,TeamFieldCheckCompletion[#All],7,FALSE),0)</f>
        <v>0</v>
      </c>
      <c r="H119" s="132">
        <f>MAX(0,B120-E119)</f>
        <v>135</v>
      </c>
      <c r="I119" s="134">
        <f>IFERROR(VLOOKUP($A119,TeamCompletion[#All],14,FALSE),0)</f>
        <v>0</v>
      </c>
      <c r="J119" s="134">
        <f>IFERROR(VLOOKUP($A119,TeamCompletion[#All],15,FALSE),0)</f>
        <v>0</v>
      </c>
      <c r="K119" s="149">
        <f>IFERROR(VLOOKUP($A119,TeamFieldCheckCompletion[#All],8,FALSE),0)</f>
        <v>0</v>
      </c>
      <c r="L119" s="132">
        <f>B120</f>
        <v>135</v>
      </c>
      <c r="M119" s="135">
        <f>E119+I119</f>
        <v>0</v>
      </c>
      <c r="N119" s="135">
        <f>F119+J119</f>
        <v>0</v>
      </c>
      <c r="O119" s="136">
        <f>G119+K119</f>
        <v>0</v>
      </c>
      <c r="P119" s="138">
        <f ca="1">(M119+N119)/OverviewData!$B$6</f>
        <v>0</v>
      </c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</row>
    <row r="120" spans="1:35" ht="26.5" hidden="1" x14ac:dyDescent="0.35">
      <c r="A120" s="363"/>
      <c r="B120" s="269">
        <f>VLOOKUP(A119,TeamAssignment!A$6:G$52,7,FALSE)</f>
        <v>135</v>
      </c>
      <c r="C120" s="276" t="s">
        <v>83</v>
      </c>
      <c r="D120" s="148"/>
      <c r="E120" s="17">
        <f>IFERROR(E119/D119,0)</f>
        <v>0</v>
      </c>
      <c r="F120" s="17">
        <f t="shared" ref="F120" si="13">IFERROR(F119/E119,0)</f>
        <v>0</v>
      </c>
      <c r="G120" s="146"/>
      <c r="H120" s="114"/>
      <c r="I120" s="17">
        <f>IFERROR(I119/H119,0)</f>
        <v>0</v>
      </c>
      <c r="J120" s="17">
        <f>IFERROR(J119/I119,0)</f>
        <v>0</v>
      </c>
      <c r="K120" s="146"/>
      <c r="L120" s="114"/>
      <c r="M120" s="17">
        <f>IFERROR(M119/L119,0)</f>
        <v>0</v>
      </c>
      <c r="N120" s="17">
        <f>IFERROR(N119/M119,0)</f>
        <v>0</v>
      </c>
      <c r="O120" s="146"/>
      <c r="P120" s="148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</row>
    <row r="121" spans="1:35" ht="15" hidden="1" thickBot="1" x14ac:dyDescent="0.4">
      <c r="A121" s="364"/>
      <c r="B121" s="270"/>
      <c r="C121" s="277" t="s">
        <v>248</v>
      </c>
      <c r="D121" s="37">
        <f>IFERROR(D119/B120,0)</f>
        <v>1</v>
      </c>
      <c r="E121" s="27">
        <f>IFERROR(VLOOKUP($A119,TeamCompletion[#All],12,FALSE)/B120,0)</f>
        <v>0</v>
      </c>
      <c r="F121" s="27">
        <f>IFERROR(VLOOKUP($A119,TeamCompletion[#All],13,FALSE)/B120,0)</f>
        <v>0</v>
      </c>
      <c r="G121" s="28">
        <f>IFERROR(VLOOKUP($A119,TeamFieldCheckCompletion[#All],7,FALSE)/B120,0)</f>
        <v>0</v>
      </c>
      <c r="H121" s="26">
        <f>IFERROR(H119/B120,0)</f>
        <v>1</v>
      </c>
      <c r="I121" s="27">
        <f>IFERROR(VLOOKUP($A119,TeamCompletion[#All],14,FALSE)/F120,0)</f>
        <v>0</v>
      </c>
      <c r="J121" s="27">
        <f>IFERROR(VLOOKUP($A119,TeamCompletion[#All],15,FALSE)/F120,0)</f>
        <v>0</v>
      </c>
      <c r="K121" s="28">
        <f>IFERROR(VLOOKUP($A119,TeamFieldCheckCompletion[#All],8,FALSE)/F120,0)</f>
        <v>0</v>
      </c>
      <c r="L121" s="26">
        <f>IFERROR(L119/$B120,0)</f>
        <v>1</v>
      </c>
      <c r="M121" s="26">
        <f>IFERROR(M119/$B120,0)</f>
        <v>0</v>
      </c>
      <c r="N121" s="26">
        <f>IFERROR(N119/$B120,0)</f>
        <v>0</v>
      </c>
      <c r="O121" s="151">
        <f>IFERROR(O119/$B120,0)</f>
        <v>0</v>
      </c>
      <c r="P121" s="148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</row>
    <row r="122" spans="1:35" ht="14.5" hidden="1" customHeight="1" x14ac:dyDescent="0.35">
      <c r="A122" s="362" t="s">
        <v>224</v>
      </c>
      <c r="B122" s="268"/>
      <c r="C122" s="278" t="s">
        <v>14</v>
      </c>
      <c r="D122" s="272">
        <f>B123</f>
        <v>41</v>
      </c>
      <c r="E122" s="134">
        <f>IFERROR(VLOOKUP($A122,TeamCompletion[#All],12,FALSE),0)</f>
        <v>0</v>
      </c>
      <c r="F122" s="134">
        <f>IFERROR(VLOOKUP($A122,TeamCompletion[#All],13,FALSE),0)</f>
        <v>0</v>
      </c>
      <c r="G122" s="149">
        <f>IFERROR(VLOOKUP($A122,TeamFieldCheckCompletion[#All],7,FALSE),0)</f>
        <v>0</v>
      </c>
      <c r="H122" s="132">
        <f>MAX(0,B123-E122)</f>
        <v>41</v>
      </c>
      <c r="I122" s="134">
        <f>IFERROR(VLOOKUP($A122,TeamCompletion[#All],14,FALSE),0)</f>
        <v>0</v>
      </c>
      <c r="J122" s="134">
        <f>IFERROR(VLOOKUP($A122,TeamCompletion[#All],15,FALSE),0)</f>
        <v>0</v>
      </c>
      <c r="K122" s="149">
        <f>IFERROR(VLOOKUP($A122,TeamFieldCheckCompletion[#All],8,FALSE),0)</f>
        <v>0</v>
      </c>
      <c r="L122" s="132">
        <f>B123</f>
        <v>41</v>
      </c>
      <c r="M122" s="135">
        <f>E122+I122</f>
        <v>0</v>
      </c>
      <c r="N122" s="135">
        <f>F122+J122</f>
        <v>0</v>
      </c>
      <c r="O122" s="136">
        <f>G122+K122</f>
        <v>0</v>
      </c>
      <c r="P122" s="138">
        <f ca="1">(M122+N122)/OverviewData!$B$6</f>
        <v>0</v>
      </c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</row>
    <row r="123" spans="1:35" ht="26.5" hidden="1" x14ac:dyDescent="0.35">
      <c r="A123" s="363"/>
      <c r="B123" s="269">
        <f>VLOOKUP(A122,TeamAssignment!A$6:G$52,7,FALSE)</f>
        <v>41</v>
      </c>
      <c r="C123" s="276" t="s">
        <v>83</v>
      </c>
      <c r="D123" s="148"/>
      <c r="E123" s="17">
        <f>IFERROR(E122/D122,0)</f>
        <v>0</v>
      </c>
      <c r="F123" s="17">
        <f t="shared" ref="F123" si="14">IFERROR(F122/E122,0)</f>
        <v>0</v>
      </c>
      <c r="G123" s="146"/>
      <c r="H123" s="114"/>
      <c r="I123" s="17">
        <f>IFERROR(I122/H122,0)</f>
        <v>0</v>
      </c>
      <c r="J123" s="17">
        <f>IFERROR(J122/I122,0)</f>
        <v>0</v>
      </c>
      <c r="K123" s="146"/>
      <c r="L123" s="114"/>
      <c r="M123" s="17">
        <f>IFERROR(M122/L122,0)</f>
        <v>0</v>
      </c>
      <c r="N123" s="17">
        <f>IFERROR(N122/M122,0)</f>
        <v>0</v>
      </c>
      <c r="O123" s="146"/>
      <c r="P123" s="148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</row>
    <row r="124" spans="1:35" ht="14.65" hidden="1" customHeight="1" thickBot="1" x14ac:dyDescent="0.4">
      <c r="A124" s="364"/>
      <c r="B124" s="270"/>
      <c r="C124" s="277" t="s">
        <v>248</v>
      </c>
      <c r="D124" s="37">
        <f>IFERROR(D122/B123,0)</f>
        <v>1</v>
      </c>
      <c r="E124" s="27">
        <f>IFERROR(VLOOKUP($A122,TeamCompletion[#All],12,FALSE)/B123,0)</f>
        <v>0</v>
      </c>
      <c r="F124" s="27">
        <f>IFERROR(VLOOKUP($A122,TeamCompletion[#All],13,FALSE)/B123,0)</f>
        <v>0</v>
      </c>
      <c r="G124" s="28">
        <f>IFERROR(VLOOKUP($A122,TeamFieldCheckCompletion[#All],7,FALSE)/B123,0)</f>
        <v>0</v>
      </c>
      <c r="H124" s="26">
        <f>IFERROR(H122/B123,0)</f>
        <v>1</v>
      </c>
      <c r="I124" s="27">
        <f>IFERROR(VLOOKUP($A122,TeamCompletion[#All],14,FALSE)/F123,0)</f>
        <v>0</v>
      </c>
      <c r="J124" s="27">
        <f>IFERROR(VLOOKUP($A122,TeamCompletion[#All],15,FALSE)/F123,0)</f>
        <v>0</v>
      </c>
      <c r="K124" s="28">
        <f>IFERROR(VLOOKUP($A122,TeamFieldCheckCompletion[#All],8,FALSE)/F123,0)</f>
        <v>0</v>
      </c>
      <c r="L124" s="26">
        <f>IFERROR(L122/$B123,0)</f>
        <v>1</v>
      </c>
      <c r="M124" s="26">
        <f>IFERROR(M122/$B123,0)</f>
        <v>0</v>
      </c>
      <c r="N124" s="26">
        <f>IFERROR(N122/$B123,0)</f>
        <v>0</v>
      </c>
      <c r="O124" s="151">
        <f>IFERROR(O122/$B123,0)</f>
        <v>0</v>
      </c>
      <c r="P124" s="148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</row>
    <row r="125" spans="1:35" ht="14.65" customHeight="1" x14ac:dyDescent="0.35">
      <c r="A125" s="362" t="s">
        <v>256</v>
      </c>
      <c r="B125" s="268"/>
      <c r="C125" s="278" t="s">
        <v>14</v>
      </c>
      <c r="D125" s="271">
        <f t="shared" ref="D125:O125" si="15">D122+D119+D116+D113+D110+D107+D104+D101+D98+D95+D92+D89+D86+D83+D80+D77+D74+D71+D68+D65+D62+D59+D56+D53</f>
        <v>3223</v>
      </c>
      <c r="E125" s="264">
        <f t="shared" si="15"/>
        <v>551</v>
      </c>
      <c r="F125" s="264">
        <f t="shared" si="15"/>
        <v>365</v>
      </c>
      <c r="G125" s="264">
        <f t="shared" si="15"/>
        <v>0</v>
      </c>
      <c r="H125" s="264">
        <f t="shared" si="15"/>
        <v>2884</v>
      </c>
      <c r="I125" s="264">
        <f t="shared" si="15"/>
        <v>0</v>
      </c>
      <c r="J125" s="264">
        <f t="shared" si="15"/>
        <v>0</v>
      </c>
      <c r="K125" s="264">
        <f t="shared" si="15"/>
        <v>0</v>
      </c>
      <c r="L125" s="264">
        <f t="shared" si="15"/>
        <v>3237</v>
      </c>
      <c r="M125" s="264">
        <f t="shared" si="15"/>
        <v>551</v>
      </c>
      <c r="N125" s="264">
        <f t="shared" si="15"/>
        <v>365</v>
      </c>
      <c r="O125" s="264">
        <f t="shared" si="15"/>
        <v>0</v>
      </c>
      <c r="P125" s="138">
        <f ca="1">(M125+N125)/OverviewData!$B$6</f>
        <v>13.27536231884058</v>
      </c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</row>
    <row r="126" spans="1:35" ht="28.5" customHeight="1" x14ac:dyDescent="0.35">
      <c r="A126" s="363"/>
      <c r="B126" s="269">
        <f>SUM(B51:B124)</f>
        <v>4758</v>
      </c>
      <c r="C126" s="276" t="s">
        <v>83</v>
      </c>
      <c r="D126" s="148"/>
      <c r="E126" s="17">
        <f>IFERROR(E125/D125,0)</f>
        <v>0.17095873409866583</v>
      </c>
      <c r="F126" s="17">
        <f t="shared" ref="F126" si="16">IFERROR(F125/E125,0)</f>
        <v>0.66243194192377497</v>
      </c>
      <c r="G126" s="133"/>
      <c r="H126" s="133"/>
      <c r="I126" s="17">
        <f>IFERROR(I125/H125,0)</f>
        <v>0</v>
      </c>
      <c r="J126" s="17">
        <f t="shared" ref="J126" si="17">IFERROR(J125/I125,0)</f>
        <v>0</v>
      </c>
      <c r="K126" s="133"/>
      <c r="L126" s="133"/>
      <c r="M126" s="17">
        <f>IFERROR(M125/L125,0)</f>
        <v>0.1702193388940377</v>
      </c>
      <c r="N126" s="17">
        <f t="shared" ref="N126" si="18">IFERROR(N125/M125,0)</f>
        <v>0.66243194192377497</v>
      </c>
      <c r="O126" s="133"/>
      <c r="P126" s="266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</row>
    <row r="127" spans="1:35" ht="14.65" customHeight="1" thickBot="1" x14ac:dyDescent="0.4">
      <c r="A127" s="364"/>
      <c r="B127" s="270"/>
      <c r="C127" s="277" t="s">
        <v>248</v>
      </c>
      <c r="D127" s="37">
        <f t="shared" ref="D127:O127" si="19">IFERROR(D125/$B126,0)</f>
        <v>0.67738545607398071</v>
      </c>
      <c r="E127" s="26">
        <f t="shared" si="19"/>
        <v>0.11580496006725514</v>
      </c>
      <c r="F127" s="26">
        <f t="shared" si="19"/>
        <v>7.6712904581757044E-2</v>
      </c>
      <c r="G127" s="26">
        <f t="shared" si="19"/>
        <v>0</v>
      </c>
      <c r="H127" s="26">
        <f t="shared" si="19"/>
        <v>0.6061370323665406</v>
      </c>
      <c r="I127" s="26">
        <f t="shared" si="19"/>
        <v>0</v>
      </c>
      <c r="J127" s="26">
        <f t="shared" si="19"/>
        <v>0</v>
      </c>
      <c r="K127" s="26">
        <f t="shared" si="19"/>
        <v>0</v>
      </c>
      <c r="L127" s="26">
        <f t="shared" si="19"/>
        <v>0.68032786885245899</v>
      </c>
      <c r="M127" s="26">
        <f t="shared" si="19"/>
        <v>0.11580496006725514</v>
      </c>
      <c r="N127" s="26">
        <f t="shared" si="19"/>
        <v>7.6712904581757044E-2</v>
      </c>
      <c r="O127" s="26">
        <f t="shared" si="19"/>
        <v>0</v>
      </c>
      <c r="P127" s="267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</row>
    <row r="128" spans="1:35" ht="14.65" hidden="1" customHeight="1" x14ac:dyDescent="0.35">
      <c r="A128" s="362" t="s">
        <v>133</v>
      </c>
      <c r="B128" s="268"/>
      <c r="C128" s="275" t="s">
        <v>14</v>
      </c>
      <c r="D128" s="272">
        <v>113</v>
      </c>
      <c r="E128" s="134">
        <f>IFERROR(VLOOKUP($A128,TeamCompletion[#All],12,FALSE),0)</f>
        <v>0</v>
      </c>
      <c r="F128" s="134">
        <f>IFERROR(VLOOKUP($A128,TeamCompletion[#All],13,FALSE),0)</f>
        <v>0</v>
      </c>
      <c r="G128" s="149">
        <f>IFERROR(VLOOKUP($A128,TeamFieldCheckCompletion[#All],7,FALSE),0)</f>
        <v>0</v>
      </c>
      <c r="H128" s="132">
        <f>MAX(0,B129-E128)</f>
        <v>113</v>
      </c>
      <c r="I128" s="134">
        <f>IFERROR(VLOOKUP($A128,TeamCompletion[#All],14,FALSE),0)</f>
        <v>0</v>
      </c>
      <c r="J128" s="134">
        <f>IFERROR(VLOOKUP($A128,TeamCompletion[#All],15,FALSE),0)</f>
        <v>0</v>
      </c>
      <c r="K128" s="149">
        <f>IFERROR(VLOOKUP($A128,TeamFieldCheckCompletion[#All],8,FALSE),0)</f>
        <v>0</v>
      </c>
      <c r="L128" s="132">
        <f>B129</f>
        <v>113</v>
      </c>
      <c r="M128" s="135">
        <f>E128+I128</f>
        <v>0</v>
      </c>
      <c r="N128" s="135">
        <f>F128+J128</f>
        <v>0</v>
      </c>
      <c r="O128" s="136">
        <f>G128+K128</f>
        <v>0</v>
      </c>
      <c r="P128" s="138">
        <f ca="1">(M128+N128)/OverviewData!$B$6</f>
        <v>0</v>
      </c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</row>
    <row r="129" spans="1:35" ht="14.65" hidden="1" customHeight="1" x14ac:dyDescent="0.35">
      <c r="A129" s="363"/>
      <c r="B129" s="269">
        <f>VLOOKUP(A128,TeamAssignment!A$6:G$52,7,FALSE)</f>
        <v>113</v>
      </c>
      <c r="C129" s="276" t="s">
        <v>83</v>
      </c>
      <c r="D129" s="148"/>
      <c r="E129" s="17">
        <f>IFERROR(E128/D128,0)</f>
        <v>0</v>
      </c>
      <c r="F129" s="17">
        <f t="shared" ref="F129" si="20">IFERROR(F128/E128,0)</f>
        <v>0</v>
      </c>
      <c r="G129" s="146"/>
      <c r="H129" s="114"/>
      <c r="I129" s="17">
        <f>IFERROR(I128/H128,0)</f>
        <v>0</v>
      </c>
      <c r="J129" s="17">
        <f>IFERROR(J128/I128,0)</f>
        <v>0</v>
      </c>
      <c r="K129" s="146"/>
      <c r="L129" s="114"/>
      <c r="M129" s="17">
        <f>M128/L128</f>
        <v>0</v>
      </c>
      <c r="N129" s="17">
        <f>IFERROR(N128/M128,0)</f>
        <v>0</v>
      </c>
      <c r="O129" s="146"/>
      <c r="P129" s="148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</row>
    <row r="130" spans="1:35" ht="14.65" hidden="1" customHeight="1" thickBot="1" x14ac:dyDescent="0.4">
      <c r="A130" s="364"/>
      <c r="B130" s="270"/>
      <c r="C130" s="277" t="s">
        <v>248</v>
      </c>
      <c r="D130" s="37">
        <f>D128/B129</f>
        <v>1</v>
      </c>
      <c r="E130" s="27">
        <f>IFERROR(VLOOKUP($A128,TeamCompletion[#All],12,FALSE)/B129,0)</f>
        <v>0</v>
      </c>
      <c r="F130" s="27">
        <f>IFERROR(VLOOKUP($A128,TeamCompletion[#All],13,FALSE)/B129,0)</f>
        <v>0</v>
      </c>
      <c r="G130" s="28">
        <f>IFERROR(VLOOKUP($A128,TeamFieldCheckCompletion[#All],7,FALSE)/B129,0)</f>
        <v>0</v>
      </c>
      <c r="H130" s="26">
        <f>H128/B129</f>
        <v>1</v>
      </c>
      <c r="I130" s="27">
        <f>IFERROR(VLOOKUP($A128,TeamCompletion[#All],14,FALSE)/F129,0)</f>
        <v>0</v>
      </c>
      <c r="J130" s="27">
        <f>IFERROR(VLOOKUP($A128,TeamCompletion[#All],15,FALSE)/F129,0)</f>
        <v>0</v>
      </c>
      <c r="K130" s="28">
        <f>IFERROR(VLOOKUP($A128,TeamFieldCheckCompletion[#All],8,FALSE)/F129,0)</f>
        <v>0</v>
      </c>
      <c r="L130" s="26">
        <f>IFERROR(L128/$B129,0)</f>
        <v>1</v>
      </c>
      <c r="M130" s="26">
        <f>IFERROR(M128/$B129,0)</f>
        <v>0</v>
      </c>
      <c r="N130" s="26">
        <f>IFERROR(N128/$B129,0)</f>
        <v>0</v>
      </c>
      <c r="O130" s="151">
        <f>IFERROR(O128/$B129,0)</f>
        <v>0</v>
      </c>
      <c r="P130" s="148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</row>
    <row r="131" spans="1:35" ht="14.65" hidden="1" customHeight="1" x14ac:dyDescent="0.35">
      <c r="A131" s="362" t="s">
        <v>134</v>
      </c>
      <c r="B131" s="268"/>
      <c r="C131" s="278" t="s">
        <v>14</v>
      </c>
      <c r="D131" s="272">
        <v>128</v>
      </c>
      <c r="E131" s="134">
        <f>IFERROR(VLOOKUP($A131,TeamCompletion[#All],12,FALSE),0)</f>
        <v>0</v>
      </c>
      <c r="F131" s="134">
        <f>IFERROR(VLOOKUP($A131,TeamCompletion[#All],13,FALSE),0)</f>
        <v>0</v>
      </c>
      <c r="G131" s="149">
        <f>IFERROR(VLOOKUP($A131,TeamFieldCheckCompletion[#All],7,FALSE),0)</f>
        <v>0</v>
      </c>
      <c r="H131" s="132">
        <f>MAX(0,B132-E131)</f>
        <v>128</v>
      </c>
      <c r="I131" s="134">
        <f>IFERROR(VLOOKUP($A131,TeamCompletion[#All],14,FALSE),0)</f>
        <v>0</v>
      </c>
      <c r="J131" s="134">
        <f>IFERROR(VLOOKUP($A131,TeamCompletion[#All],15,FALSE),0)</f>
        <v>0</v>
      </c>
      <c r="K131" s="149">
        <f>IFERROR(VLOOKUP($A131,TeamFieldCheckCompletion[#All],8,FALSE),0)</f>
        <v>0</v>
      </c>
      <c r="L131" s="132">
        <f>B132</f>
        <v>128</v>
      </c>
      <c r="M131" s="135">
        <f>E131+I131</f>
        <v>0</v>
      </c>
      <c r="N131" s="135">
        <f>F131+J131</f>
        <v>0</v>
      </c>
      <c r="O131" s="136">
        <f>G131+K131</f>
        <v>0</v>
      </c>
      <c r="P131" s="138">
        <f ca="1">(M131+N131)/OverviewData!$B$6</f>
        <v>0</v>
      </c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4.65" hidden="1" customHeight="1" x14ac:dyDescent="0.35">
      <c r="A132" s="363"/>
      <c r="B132" s="269">
        <f>VLOOKUP(A131,TeamAssignment!A$6:G$52,7,FALSE)</f>
        <v>128</v>
      </c>
      <c r="C132" s="276" t="s">
        <v>83</v>
      </c>
      <c r="D132" s="148"/>
      <c r="E132" s="17">
        <f>IFERROR(E131/D131,0)</f>
        <v>0</v>
      </c>
      <c r="F132" s="17">
        <f t="shared" ref="F132" si="21">IFERROR(F131/E131,0)</f>
        <v>0</v>
      </c>
      <c r="G132" s="146"/>
      <c r="H132" s="114"/>
      <c r="I132" s="17">
        <f>IFERROR(I131/H131,0)</f>
        <v>0</v>
      </c>
      <c r="J132" s="17">
        <f>IFERROR(J131/I131,0)</f>
        <v>0</v>
      </c>
      <c r="K132" s="146"/>
      <c r="L132" s="114"/>
      <c r="M132" s="17">
        <f>M131/L131</f>
        <v>0</v>
      </c>
      <c r="N132" s="17">
        <f>IFERROR(N131/M131,0)</f>
        <v>0</v>
      </c>
      <c r="O132" s="146"/>
      <c r="P132" s="148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</row>
    <row r="133" spans="1:35" ht="14.65" hidden="1" customHeight="1" thickBot="1" x14ac:dyDescent="0.4">
      <c r="A133" s="364"/>
      <c r="B133" s="270"/>
      <c r="C133" s="277" t="s">
        <v>248</v>
      </c>
      <c r="D133" s="37">
        <f>D131/B132</f>
        <v>1</v>
      </c>
      <c r="E133" s="27">
        <f>IFERROR(VLOOKUP($A131,TeamCompletion[#All],12,FALSE)/B132,0)</f>
        <v>0</v>
      </c>
      <c r="F133" s="27">
        <f>IFERROR(VLOOKUP($A131,TeamCompletion[#All],13,FALSE)/B132,0)</f>
        <v>0</v>
      </c>
      <c r="G133" s="28">
        <f>IFERROR(VLOOKUP($A131,TeamFieldCheckCompletion[#All],7,FALSE)/B132,0)</f>
        <v>0</v>
      </c>
      <c r="H133" s="26">
        <f>H131/B132</f>
        <v>1</v>
      </c>
      <c r="I133" s="27">
        <f>IFERROR(VLOOKUP($A131,TeamCompletion[#All],14,FALSE)/F132,0)</f>
        <v>0</v>
      </c>
      <c r="J133" s="27">
        <f>IFERROR(VLOOKUP($A131,TeamCompletion[#All],15,FALSE)/F132,0)</f>
        <v>0</v>
      </c>
      <c r="K133" s="28">
        <f>IFERROR(VLOOKUP($A131,TeamFieldCheckCompletion[#All],8,FALSE)/F132,0)</f>
        <v>0</v>
      </c>
      <c r="L133" s="26">
        <f>IFERROR(L131/$B132,0)</f>
        <v>1</v>
      </c>
      <c r="M133" s="26">
        <f>IFERROR(M131/$B132,0)</f>
        <v>0</v>
      </c>
      <c r="N133" s="26">
        <f>IFERROR(N131/$B132,0)</f>
        <v>0</v>
      </c>
      <c r="O133" s="151">
        <f>IFERROR(O131/$B132,0)</f>
        <v>0</v>
      </c>
      <c r="P133" s="148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</row>
    <row r="134" spans="1:35" ht="14.65" hidden="1" customHeight="1" x14ac:dyDescent="0.35">
      <c r="A134" s="362" t="s">
        <v>135</v>
      </c>
      <c r="B134" s="268"/>
      <c r="C134" s="278" t="s">
        <v>14</v>
      </c>
      <c r="D134" s="272">
        <v>54</v>
      </c>
      <c r="E134" s="134">
        <f>IFERROR(VLOOKUP($A134,TeamCompletion[#All],12,FALSE),0)</f>
        <v>0</v>
      </c>
      <c r="F134" s="134">
        <f>IFERROR(VLOOKUP($A134,TeamCompletion[#All],13,FALSE),0)</f>
        <v>0</v>
      </c>
      <c r="G134" s="149">
        <f>IFERROR(VLOOKUP($A134,TeamFieldCheckCompletion[#All],7,FALSE),0)</f>
        <v>0</v>
      </c>
      <c r="H134" s="132">
        <f>MAX(0,B135-E134)</f>
        <v>54</v>
      </c>
      <c r="I134" s="134">
        <f>IFERROR(VLOOKUP($A134,TeamCompletion[#All],14,FALSE),0)</f>
        <v>0</v>
      </c>
      <c r="J134" s="134">
        <f>IFERROR(VLOOKUP($A134,TeamCompletion[#All],15,FALSE),0)</f>
        <v>0</v>
      </c>
      <c r="K134" s="149">
        <f>IFERROR(VLOOKUP($A134,TeamFieldCheckCompletion[#All],8,FALSE),0)</f>
        <v>0</v>
      </c>
      <c r="L134" s="132">
        <f>B135</f>
        <v>54</v>
      </c>
      <c r="M134" s="135">
        <f>E134+I134</f>
        <v>0</v>
      </c>
      <c r="N134" s="135">
        <f>F134+J134</f>
        <v>0</v>
      </c>
      <c r="O134" s="136">
        <f>G134+K134</f>
        <v>0</v>
      </c>
      <c r="P134" s="138">
        <f ca="1">(M134+N134)/OverviewData!$B$6</f>
        <v>0</v>
      </c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 ht="14.65" hidden="1" customHeight="1" x14ac:dyDescent="0.35">
      <c r="A135" s="363"/>
      <c r="B135" s="269">
        <f>VLOOKUP(A134,TeamAssignment!A$6:G$52,7,FALSE)</f>
        <v>54</v>
      </c>
      <c r="C135" s="276" t="s">
        <v>83</v>
      </c>
      <c r="D135" s="148"/>
      <c r="E135" s="17">
        <f>IFERROR(E134/D134,0)</f>
        <v>0</v>
      </c>
      <c r="F135" s="17">
        <f t="shared" ref="F135" si="22">IFERROR(F134/E134,0)</f>
        <v>0</v>
      </c>
      <c r="G135" s="146"/>
      <c r="H135" s="114"/>
      <c r="I135" s="17">
        <f>IFERROR(I134/H134,0)</f>
        <v>0</v>
      </c>
      <c r="J135" s="17">
        <f>IFERROR(J134/I134,0)</f>
        <v>0</v>
      </c>
      <c r="K135" s="146"/>
      <c r="L135" s="114"/>
      <c r="M135" s="17">
        <f>M134/L134</f>
        <v>0</v>
      </c>
      <c r="N135" s="17">
        <f>IFERROR(N134/M134,0)</f>
        <v>0</v>
      </c>
      <c r="O135" s="146"/>
      <c r="P135" s="148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</row>
    <row r="136" spans="1:35" ht="14.65" hidden="1" customHeight="1" thickBot="1" x14ac:dyDescent="0.4">
      <c r="A136" s="364"/>
      <c r="B136" s="270"/>
      <c r="C136" s="277" t="s">
        <v>248</v>
      </c>
      <c r="D136" s="37">
        <f>D134/B135</f>
        <v>1</v>
      </c>
      <c r="E136" s="27">
        <f>IFERROR(VLOOKUP($A134,TeamCompletion[#All],12,FALSE)/B135,0)</f>
        <v>0</v>
      </c>
      <c r="F136" s="27">
        <f>IFERROR(VLOOKUP($A134,TeamCompletion[#All],13,FALSE)/B135,0)</f>
        <v>0</v>
      </c>
      <c r="G136" s="28">
        <f>IFERROR(VLOOKUP($A134,TeamFieldCheckCompletion[#All],7,FALSE)/B135,0)</f>
        <v>0</v>
      </c>
      <c r="H136" s="26">
        <f>H134/B135</f>
        <v>1</v>
      </c>
      <c r="I136" s="27">
        <f>IFERROR(VLOOKUP($A134,TeamCompletion[#All],14,FALSE)/F135,0)</f>
        <v>0</v>
      </c>
      <c r="J136" s="27">
        <f>IFERROR(VLOOKUP($A134,TeamCompletion[#All],15,FALSE)/F135,0)</f>
        <v>0</v>
      </c>
      <c r="K136" s="28">
        <f>IFERROR(VLOOKUP($A134,TeamFieldCheckCompletion[#All],8,FALSE)/F135,0)</f>
        <v>0</v>
      </c>
      <c r="L136" s="26">
        <f>IFERROR(L134/$B135,0)</f>
        <v>1</v>
      </c>
      <c r="M136" s="26">
        <f>IFERROR(M134/$B135,0)</f>
        <v>0</v>
      </c>
      <c r="N136" s="26">
        <f>IFERROR(N134/$B135,0)</f>
        <v>0</v>
      </c>
      <c r="O136" s="151">
        <f>IFERROR(O134/$B135,0)</f>
        <v>0</v>
      </c>
      <c r="P136" s="148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</row>
    <row r="137" spans="1:35" ht="14.65" hidden="1" customHeight="1" x14ac:dyDescent="0.35">
      <c r="A137" s="362" t="s">
        <v>136</v>
      </c>
      <c r="B137" s="268"/>
      <c r="C137" s="278" t="s">
        <v>14</v>
      </c>
      <c r="D137" s="272">
        <v>139</v>
      </c>
      <c r="E137" s="134">
        <f>IFERROR(VLOOKUP($A137,TeamCompletion[#All],12,FALSE),0)</f>
        <v>0</v>
      </c>
      <c r="F137" s="134">
        <f>IFERROR(VLOOKUP($A137,TeamCompletion[#All],13,FALSE),0)</f>
        <v>0</v>
      </c>
      <c r="G137" s="149">
        <f>IFERROR(VLOOKUP($A137,TeamFieldCheckCompletion[#All],7,FALSE),0)</f>
        <v>0</v>
      </c>
      <c r="H137" s="132">
        <f>MAX(0,B138-E137)</f>
        <v>139</v>
      </c>
      <c r="I137" s="134">
        <f>IFERROR(VLOOKUP($A137,TeamCompletion[#All],14,FALSE),0)</f>
        <v>0</v>
      </c>
      <c r="J137" s="134">
        <f>IFERROR(VLOOKUP($A137,TeamCompletion[#All],15,FALSE),0)</f>
        <v>0</v>
      </c>
      <c r="K137" s="149">
        <f>IFERROR(VLOOKUP($A137,TeamFieldCheckCompletion[#All],8,FALSE),0)</f>
        <v>0</v>
      </c>
      <c r="L137" s="132">
        <f>B138</f>
        <v>139</v>
      </c>
      <c r="M137" s="135">
        <f>E137+I137</f>
        <v>0</v>
      </c>
      <c r="N137" s="135">
        <f>F137+J137</f>
        <v>0</v>
      </c>
      <c r="O137" s="136">
        <f>G137+K137</f>
        <v>0</v>
      </c>
      <c r="P137" s="138">
        <f ca="1">(M137+N137)/OverviewData!$B$6</f>
        <v>0</v>
      </c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</row>
    <row r="138" spans="1:35" ht="14.65" hidden="1" customHeight="1" x14ac:dyDescent="0.35">
      <c r="A138" s="363"/>
      <c r="B138" s="269">
        <f>VLOOKUP(A137,TeamAssignment!A$6:G$52,7,FALSE)</f>
        <v>139</v>
      </c>
      <c r="C138" s="276" t="s">
        <v>83</v>
      </c>
      <c r="D138" s="148"/>
      <c r="E138" s="17">
        <f>IFERROR(E137/D137,0)</f>
        <v>0</v>
      </c>
      <c r="F138" s="17">
        <f t="shared" ref="F138" si="23">IFERROR(F137/E137,0)</f>
        <v>0</v>
      </c>
      <c r="G138" s="146"/>
      <c r="H138" s="114"/>
      <c r="I138" s="17">
        <f>IFERROR(I137/H137,0)</f>
        <v>0</v>
      </c>
      <c r="J138" s="17">
        <f>IFERROR(J137/I137,0)</f>
        <v>0</v>
      </c>
      <c r="K138" s="146"/>
      <c r="L138" s="114"/>
      <c r="M138" s="17">
        <f>M137/L137</f>
        <v>0</v>
      </c>
      <c r="N138" s="17">
        <f>IFERROR(N137/M137,0)</f>
        <v>0</v>
      </c>
      <c r="O138" s="146"/>
      <c r="P138" s="148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ht="14.65" hidden="1" customHeight="1" thickBot="1" x14ac:dyDescent="0.4">
      <c r="A139" s="364"/>
      <c r="B139" s="270"/>
      <c r="C139" s="277" t="s">
        <v>248</v>
      </c>
      <c r="D139" s="37">
        <f>D137/B138</f>
        <v>1</v>
      </c>
      <c r="E139" s="27">
        <f>IFERROR(VLOOKUP($A137,TeamCompletion[#All],12,FALSE)/B138,0)</f>
        <v>0</v>
      </c>
      <c r="F139" s="27">
        <f>IFERROR(VLOOKUP($A137,TeamCompletion[#All],13,FALSE)/B138,0)</f>
        <v>0</v>
      </c>
      <c r="G139" s="28">
        <f>IFERROR(VLOOKUP($A137,TeamFieldCheckCompletion[#All],7,FALSE)/B138,0)</f>
        <v>0</v>
      </c>
      <c r="H139" s="26">
        <f>H137/B138</f>
        <v>1</v>
      </c>
      <c r="I139" s="27">
        <f>IFERROR(VLOOKUP($A137,TeamCompletion[#All],14,FALSE)/F138,0)</f>
        <v>0</v>
      </c>
      <c r="J139" s="27">
        <f>IFERROR(VLOOKUP($A137,TeamCompletion[#All],15,FALSE)/F138,0)</f>
        <v>0</v>
      </c>
      <c r="K139" s="28">
        <f>IFERROR(VLOOKUP($A137,TeamFieldCheckCompletion[#All],8,FALSE)/F138,0)</f>
        <v>0</v>
      </c>
      <c r="L139" s="26">
        <f>IFERROR(L137/$B138,0)</f>
        <v>1</v>
      </c>
      <c r="M139" s="26">
        <f>IFERROR(M137/$B138,0)</f>
        <v>0</v>
      </c>
      <c r="N139" s="26">
        <f>IFERROR(N137/$B138,0)</f>
        <v>0</v>
      </c>
      <c r="O139" s="151">
        <f>IFERROR(O137/$B138,0)</f>
        <v>0</v>
      </c>
      <c r="P139" s="148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</row>
    <row r="140" spans="1:35" ht="14.65" hidden="1" customHeight="1" x14ac:dyDescent="0.35">
      <c r="A140" s="362" t="s">
        <v>137</v>
      </c>
      <c r="B140" s="268"/>
      <c r="C140" s="278" t="s">
        <v>14</v>
      </c>
      <c r="D140" s="272">
        <v>48</v>
      </c>
      <c r="E140" s="134">
        <f>IFERROR(VLOOKUP($A140,TeamCompletion[#All],12,FALSE),0)</f>
        <v>0</v>
      </c>
      <c r="F140" s="134">
        <f>IFERROR(VLOOKUP($A140,TeamCompletion[#All],13,FALSE),0)</f>
        <v>0</v>
      </c>
      <c r="G140" s="149">
        <f>IFERROR(VLOOKUP($A140,TeamFieldCheckCompletion[#All],7,FALSE),0)</f>
        <v>0</v>
      </c>
      <c r="H140" s="132">
        <f>MAX(0,B141-E140)</f>
        <v>48</v>
      </c>
      <c r="I140" s="134">
        <f>IFERROR(VLOOKUP($A140,TeamCompletion[#All],14,FALSE),0)</f>
        <v>0</v>
      </c>
      <c r="J140" s="134">
        <f>IFERROR(VLOOKUP($A140,TeamCompletion[#All],15,FALSE),0)</f>
        <v>0</v>
      </c>
      <c r="K140" s="149">
        <f>IFERROR(VLOOKUP($A140,TeamFieldCheckCompletion[#All],8,FALSE),0)</f>
        <v>0</v>
      </c>
      <c r="L140" s="132">
        <f>B141</f>
        <v>48</v>
      </c>
      <c r="M140" s="135">
        <f>E140+I140</f>
        <v>0</v>
      </c>
      <c r="N140" s="135">
        <f>F140+J140</f>
        <v>0</v>
      </c>
      <c r="O140" s="136">
        <f>G140+K140</f>
        <v>0</v>
      </c>
      <c r="P140" s="138">
        <f ca="1">(M140+N140)/OverviewData!$B$6</f>
        <v>0</v>
      </c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</row>
    <row r="141" spans="1:35" ht="14.65" hidden="1" customHeight="1" x14ac:dyDescent="0.35">
      <c r="A141" s="363"/>
      <c r="B141" s="269">
        <f>VLOOKUP(A140,TeamAssignment!A$6:G$52,7,FALSE)</f>
        <v>48</v>
      </c>
      <c r="C141" s="276" t="s">
        <v>83</v>
      </c>
      <c r="D141" s="148"/>
      <c r="E141" s="17">
        <f>IFERROR(E140/D140,0)</f>
        <v>0</v>
      </c>
      <c r="F141" s="17">
        <f t="shared" ref="F141" si="24">IFERROR(F140/E140,0)</f>
        <v>0</v>
      </c>
      <c r="G141" s="146"/>
      <c r="H141" s="114"/>
      <c r="I141" s="17">
        <f>IFERROR(I140/H140,0)</f>
        <v>0</v>
      </c>
      <c r="J141" s="17">
        <f>IFERROR(J140/I140,0)</f>
        <v>0</v>
      </c>
      <c r="K141" s="146"/>
      <c r="L141" s="114"/>
      <c r="M141" s="17">
        <f>M140/L140</f>
        <v>0</v>
      </c>
      <c r="N141" s="17">
        <f>IFERROR(N140/M140,0)</f>
        <v>0</v>
      </c>
      <c r="O141" s="146"/>
      <c r="P141" s="148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</row>
    <row r="142" spans="1:35" ht="14.65" hidden="1" customHeight="1" thickBot="1" x14ac:dyDescent="0.4">
      <c r="A142" s="364"/>
      <c r="B142" s="270"/>
      <c r="C142" s="277" t="s">
        <v>248</v>
      </c>
      <c r="D142" s="37">
        <f>D140/B141</f>
        <v>1</v>
      </c>
      <c r="E142" s="27">
        <f>IFERROR(VLOOKUP($A140,TeamCompletion[#All],12,FALSE)/B141,0)</f>
        <v>0</v>
      </c>
      <c r="F142" s="27">
        <f>IFERROR(VLOOKUP($A140,TeamCompletion[#All],13,FALSE)/B141,0)</f>
        <v>0</v>
      </c>
      <c r="G142" s="28">
        <f>IFERROR(VLOOKUP($A140,TeamFieldCheckCompletion[#All],7,FALSE)/B141,0)</f>
        <v>0</v>
      </c>
      <c r="H142" s="26">
        <f>H140/B141</f>
        <v>1</v>
      </c>
      <c r="I142" s="27">
        <f>IFERROR(VLOOKUP($A140,TeamCompletion[#All],14,FALSE)/F141,0)</f>
        <v>0</v>
      </c>
      <c r="J142" s="27">
        <f>IFERROR(VLOOKUP($A140,TeamCompletion[#All],15,FALSE)/F141,0)</f>
        <v>0</v>
      </c>
      <c r="K142" s="28">
        <f>IFERROR(VLOOKUP($A140,TeamFieldCheckCompletion[#All],8,FALSE)/F141,0)</f>
        <v>0</v>
      </c>
      <c r="L142" s="26">
        <f>IFERROR(L140/$B141,0)</f>
        <v>1</v>
      </c>
      <c r="M142" s="26">
        <f>IFERROR(M140/$B141,0)</f>
        <v>0</v>
      </c>
      <c r="N142" s="26">
        <f>IFERROR(N140/$B141,0)</f>
        <v>0</v>
      </c>
      <c r="O142" s="151">
        <f>IFERROR(O140/$B141,0)</f>
        <v>0</v>
      </c>
      <c r="P142" s="148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</row>
    <row r="143" spans="1:35" ht="14.65" hidden="1" customHeight="1" x14ac:dyDescent="0.35">
      <c r="A143" s="362" t="s">
        <v>138</v>
      </c>
      <c r="B143" s="268"/>
      <c r="C143" s="278" t="s">
        <v>14</v>
      </c>
      <c r="D143" s="272">
        <v>62</v>
      </c>
      <c r="E143" s="134">
        <f>IFERROR(VLOOKUP($A143,TeamCompletion[#All],12,FALSE),0)</f>
        <v>0</v>
      </c>
      <c r="F143" s="134">
        <f>IFERROR(VLOOKUP($A143,TeamCompletion[#All],13,FALSE),0)</f>
        <v>0</v>
      </c>
      <c r="G143" s="149">
        <f>IFERROR(VLOOKUP($A143,TeamFieldCheckCompletion[#All],7,FALSE),0)</f>
        <v>0</v>
      </c>
      <c r="H143" s="132">
        <f>MAX(0,B144-E143)</f>
        <v>62</v>
      </c>
      <c r="I143" s="134">
        <f>IFERROR(VLOOKUP($A143,TeamCompletion[#All],14,FALSE),0)</f>
        <v>0</v>
      </c>
      <c r="J143" s="134">
        <f>IFERROR(VLOOKUP($A143,TeamCompletion[#All],15,FALSE),0)</f>
        <v>0</v>
      </c>
      <c r="K143" s="149">
        <f>IFERROR(VLOOKUP($A143,TeamFieldCheckCompletion[#All],8,FALSE),0)</f>
        <v>0</v>
      </c>
      <c r="L143" s="132">
        <f>B144</f>
        <v>62</v>
      </c>
      <c r="M143" s="135">
        <f>E143+I143</f>
        <v>0</v>
      </c>
      <c r="N143" s="135">
        <f>F143+J143</f>
        <v>0</v>
      </c>
      <c r="O143" s="136">
        <f>G143+K143</f>
        <v>0</v>
      </c>
      <c r="P143" s="138">
        <f ca="1">(M143+N143)/OverviewData!$B$6</f>
        <v>0</v>
      </c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</row>
    <row r="144" spans="1:35" ht="14.65" hidden="1" customHeight="1" x14ac:dyDescent="0.35">
      <c r="A144" s="363"/>
      <c r="B144" s="269">
        <f>VLOOKUP(A143,TeamAssignment!A$6:G$52,7,FALSE)</f>
        <v>62</v>
      </c>
      <c r="C144" s="276" t="s">
        <v>83</v>
      </c>
      <c r="D144" s="148"/>
      <c r="E144" s="17">
        <f>IFERROR(E143/D143,0)</f>
        <v>0</v>
      </c>
      <c r="F144" s="17">
        <f t="shared" ref="F144" si="25">IFERROR(F143/E143,0)</f>
        <v>0</v>
      </c>
      <c r="G144" s="146"/>
      <c r="H144" s="114"/>
      <c r="I144" s="17">
        <f>IFERROR(I143/H143,0)</f>
        <v>0</v>
      </c>
      <c r="J144" s="17">
        <f>IFERROR(J143/I143,0)</f>
        <v>0</v>
      </c>
      <c r="K144" s="146"/>
      <c r="L144" s="114"/>
      <c r="M144" s="17">
        <f>M143/L143</f>
        <v>0</v>
      </c>
      <c r="N144" s="17">
        <f>IFERROR(N143/M143,0)</f>
        <v>0</v>
      </c>
      <c r="O144" s="146"/>
      <c r="P144" s="148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</row>
    <row r="145" spans="1:35" ht="14.65" hidden="1" customHeight="1" thickBot="1" x14ac:dyDescent="0.4">
      <c r="A145" s="364"/>
      <c r="B145" s="270"/>
      <c r="C145" s="277" t="s">
        <v>248</v>
      </c>
      <c r="D145" s="37">
        <f>D143/B144</f>
        <v>1</v>
      </c>
      <c r="E145" s="27">
        <f>IFERROR(VLOOKUP($A143,TeamCompletion[#All],12,FALSE)/B144,0)</f>
        <v>0</v>
      </c>
      <c r="F145" s="27">
        <f>IFERROR(VLOOKUP($A143,TeamCompletion[#All],13,FALSE)/B144,0)</f>
        <v>0</v>
      </c>
      <c r="G145" s="28">
        <f>IFERROR(VLOOKUP($A143,TeamFieldCheckCompletion[#All],7,FALSE)/B144,0)</f>
        <v>0</v>
      </c>
      <c r="H145" s="26">
        <f>H143/B144</f>
        <v>1</v>
      </c>
      <c r="I145" s="27">
        <f>IFERROR(VLOOKUP($A143,TeamCompletion[#All],14,FALSE)/F144,0)</f>
        <v>0</v>
      </c>
      <c r="J145" s="27">
        <f>IFERROR(VLOOKUP($A143,TeamCompletion[#All],15,FALSE)/F144,0)</f>
        <v>0</v>
      </c>
      <c r="K145" s="28">
        <f>IFERROR(VLOOKUP($A143,TeamFieldCheckCompletion[#All],8,FALSE)/F144,0)</f>
        <v>0</v>
      </c>
      <c r="L145" s="26">
        <f>IFERROR(L143/$B144,0)</f>
        <v>1</v>
      </c>
      <c r="M145" s="26">
        <f>IFERROR(M143/$B144,0)</f>
        <v>0</v>
      </c>
      <c r="N145" s="26">
        <f>IFERROR(N143/$B144,0)</f>
        <v>0</v>
      </c>
      <c r="O145" s="151">
        <f>IFERROR(O143/$B144,0)</f>
        <v>0</v>
      </c>
      <c r="P145" s="148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</row>
    <row r="146" spans="1:35" ht="14.65" customHeight="1" x14ac:dyDescent="0.35">
      <c r="A146" s="362" t="s">
        <v>257</v>
      </c>
      <c r="B146" s="269"/>
      <c r="C146" s="278" t="s">
        <v>14</v>
      </c>
      <c r="D146" s="263">
        <f t="shared" ref="D146:O146" si="26">D128+D131+D134+D137+D140+D143</f>
        <v>544</v>
      </c>
      <c r="E146" s="263">
        <f t="shared" si="26"/>
        <v>0</v>
      </c>
      <c r="F146" s="263">
        <f t="shared" si="26"/>
        <v>0</v>
      </c>
      <c r="G146" s="263">
        <f t="shared" si="26"/>
        <v>0</v>
      </c>
      <c r="H146" s="263">
        <f t="shared" si="26"/>
        <v>544</v>
      </c>
      <c r="I146" s="263">
        <f t="shared" si="26"/>
        <v>0</v>
      </c>
      <c r="J146" s="263">
        <f t="shared" si="26"/>
        <v>0</v>
      </c>
      <c r="K146" s="263">
        <f t="shared" si="26"/>
        <v>0</v>
      </c>
      <c r="L146" s="263">
        <f t="shared" si="26"/>
        <v>544</v>
      </c>
      <c r="M146" s="263">
        <f t="shared" si="26"/>
        <v>0</v>
      </c>
      <c r="N146" s="263">
        <f t="shared" si="26"/>
        <v>0</v>
      </c>
      <c r="O146" s="263">
        <f t="shared" si="26"/>
        <v>0</v>
      </c>
      <c r="P146" s="138">
        <f ca="1">(M146+N146)/OverviewData!$B$6</f>
        <v>0</v>
      </c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</row>
    <row r="147" spans="1:35" ht="28.5" customHeight="1" x14ac:dyDescent="0.35">
      <c r="A147" s="363"/>
      <c r="B147" s="269">
        <f>SUM(B51:B144)</f>
        <v>10060</v>
      </c>
      <c r="C147" s="276" t="s">
        <v>83</v>
      </c>
      <c r="D147" s="148"/>
      <c r="E147" s="17">
        <f>IFERROR(E146/D146,0)</f>
        <v>0</v>
      </c>
      <c r="F147" s="17">
        <f t="shared" ref="F147" si="27">IFERROR(F146/E146,0)</f>
        <v>0</v>
      </c>
      <c r="G147" s="133"/>
      <c r="H147" s="133"/>
      <c r="I147" s="17">
        <f>IFERROR(I146/H146,0)</f>
        <v>0</v>
      </c>
      <c r="J147" s="17">
        <f t="shared" ref="J147" si="28">IFERROR(J146/I146,0)</f>
        <v>0</v>
      </c>
      <c r="K147" s="133"/>
      <c r="L147" s="133"/>
      <c r="M147" s="17">
        <f>IFERROR(M146/L146,0)</f>
        <v>0</v>
      </c>
      <c r="N147" s="17">
        <f t="shared" ref="N147" si="29">IFERROR(N146/M146,0)</f>
        <v>0</v>
      </c>
      <c r="O147" s="133"/>
      <c r="P147" s="255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</row>
    <row r="148" spans="1:35" ht="14.65" customHeight="1" thickBot="1" x14ac:dyDescent="0.4">
      <c r="A148" s="364"/>
      <c r="B148" s="269"/>
      <c r="C148" s="277" t="s">
        <v>248</v>
      </c>
      <c r="D148" s="37">
        <f t="shared" ref="D148:O148" si="30">D146/$B147</f>
        <v>5.4075546719681906E-2</v>
      </c>
      <c r="E148" s="26">
        <f t="shared" si="30"/>
        <v>0</v>
      </c>
      <c r="F148" s="26">
        <f t="shared" si="30"/>
        <v>0</v>
      </c>
      <c r="G148" s="26">
        <f t="shared" si="30"/>
        <v>0</v>
      </c>
      <c r="H148" s="26">
        <f t="shared" si="30"/>
        <v>5.4075546719681906E-2</v>
      </c>
      <c r="I148" s="26">
        <f t="shared" si="30"/>
        <v>0</v>
      </c>
      <c r="J148" s="26">
        <f t="shared" si="30"/>
        <v>0</v>
      </c>
      <c r="K148" s="26">
        <f t="shared" si="30"/>
        <v>0</v>
      </c>
      <c r="L148" s="26">
        <f t="shared" si="30"/>
        <v>5.4075546719681906E-2</v>
      </c>
      <c r="M148" s="26">
        <f t="shared" si="30"/>
        <v>0</v>
      </c>
      <c r="N148" s="26">
        <f t="shared" si="30"/>
        <v>0</v>
      </c>
      <c r="O148" s="26">
        <f t="shared" si="30"/>
        <v>0</v>
      </c>
      <c r="P148" s="255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</row>
    <row r="149" spans="1:35" ht="14.4" customHeight="1" x14ac:dyDescent="0.35">
      <c r="A149" s="368" t="s">
        <v>239</v>
      </c>
      <c r="B149" s="429">
        <f>SUM(B6:B124)</f>
        <v>6279</v>
      </c>
      <c r="C149" s="278" t="s">
        <v>14</v>
      </c>
      <c r="D149" s="273">
        <f t="shared" ref="D149:K149" si="31">D5+D8+D11+D14+D17+D20+D23+D26+D29+D32+D35+D38+D41+D44+D47+D128+D131+D134+D137+D140+D143+D53+D56+D59+D62+D65+D68+D71+D74+D77+D80+D83+D86+D89+D92+D95+D98+D101+D104+D107+D110+D113+D116+D119+D122</f>
        <v>5288</v>
      </c>
      <c r="E149" s="134">
        <f t="shared" si="31"/>
        <v>1504</v>
      </c>
      <c r="F149" s="134">
        <f t="shared" si="31"/>
        <v>842</v>
      </c>
      <c r="G149" s="134">
        <f t="shared" si="31"/>
        <v>0</v>
      </c>
      <c r="H149" s="134">
        <f t="shared" si="31"/>
        <v>4283</v>
      </c>
      <c r="I149" s="134">
        <f t="shared" si="31"/>
        <v>0</v>
      </c>
      <c r="J149" s="134">
        <f t="shared" si="31"/>
        <v>0</v>
      </c>
      <c r="K149" s="134">
        <f t="shared" si="31"/>
        <v>0</v>
      </c>
      <c r="L149" s="132">
        <f>B149</f>
        <v>6279</v>
      </c>
      <c r="M149" s="135">
        <f>E149+I149</f>
        <v>1504</v>
      </c>
      <c r="N149" s="135">
        <f>F149+J149</f>
        <v>842</v>
      </c>
      <c r="O149" s="136">
        <f>G149+K149</f>
        <v>0</v>
      </c>
      <c r="P149" s="138">
        <f ca="1">(M149+N149)/OverviewData!$B$6</f>
        <v>34</v>
      </c>
    </row>
    <row r="150" spans="1:35" ht="26.5" x14ac:dyDescent="0.35">
      <c r="A150" s="369"/>
      <c r="B150" s="430"/>
      <c r="C150" s="276" t="s">
        <v>83</v>
      </c>
      <c r="D150" s="148"/>
      <c r="E150" s="17">
        <f>IFERROR(E149/D149,0)</f>
        <v>0.28441754916792739</v>
      </c>
      <c r="F150" s="17">
        <f t="shared" ref="F150" si="32">IFERROR(F149/E149,0)</f>
        <v>0.55984042553191493</v>
      </c>
      <c r="G150" s="146"/>
      <c r="H150" s="114"/>
      <c r="I150" s="17">
        <f>IFERROR(I149/H149,0)</f>
        <v>0</v>
      </c>
      <c r="J150" s="17">
        <f>IFERROR(J149/I149,0)</f>
        <v>0</v>
      </c>
      <c r="K150" s="146"/>
      <c r="L150" s="114"/>
      <c r="M150" s="17">
        <f>M149/L149</f>
        <v>0.2395285873546743</v>
      </c>
      <c r="N150" s="17">
        <f>IFERROR(N149/M149,0)</f>
        <v>0.55984042553191493</v>
      </c>
      <c r="O150" s="146"/>
      <c r="P150" s="148"/>
    </row>
    <row r="151" spans="1:35" ht="15" thickBot="1" x14ac:dyDescent="0.4">
      <c r="A151" s="370"/>
      <c r="B151" s="431"/>
      <c r="C151" s="277" t="s">
        <v>248</v>
      </c>
      <c r="D151" s="37">
        <f>D149/B149</f>
        <v>0.84217232043319001</v>
      </c>
      <c r="E151" s="27">
        <f>IFERROR(VLOOKUP($A149,TeamCompletion[#All],12,FALSE)/B150,0)</f>
        <v>0</v>
      </c>
      <c r="F151" s="27">
        <f>IFERROR(VLOOKUP($A149,TeamCompletion[#All],13,FALSE)/B150,0)</f>
        <v>0</v>
      </c>
      <c r="G151" s="28">
        <f>IFERROR(VLOOKUP($A149,TeamFieldCheckCompletion[#All],7,FALSE)/B150,0)</f>
        <v>0</v>
      </c>
      <c r="H151" s="26">
        <f>H149/B149</f>
        <v>0.68211498646281254</v>
      </c>
      <c r="I151" s="27">
        <f>IFERROR(VLOOKUP($A149,TeamCompletion[#All],14,FALSE)/F150,0)</f>
        <v>0</v>
      </c>
      <c r="J151" s="27">
        <f>IFERROR(VLOOKUP($A149,TeamCompletion[#All],15,FALSE)/F150,0)</f>
        <v>0</v>
      </c>
      <c r="K151" s="28">
        <f>IFERROR(VLOOKUP($A149,TeamFieldCheckCompletion[#All],8,FALSE)/F150,0)</f>
        <v>0</v>
      </c>
      <c r="L151" s="26">
        <f>IFERROR(L149/$B149,0)</f>
        <v>1</v>
      </c>
      <c r="M151" s="26">
        <f>IFERROR(M149/$B149,0)</f>
        <v>0.2395285873546743</v>
      </c>
      <c r="N151" s="26">
        <f>IFERROR(N149/$B149,0)</f>
        <v>0.13409778627169933</v>
      </c>
      <c r="O151" s="151">
        <f>IFERROR(O149/$B149,0)</f>
        <v>0</v>
      </c>
      <c r="P151" s="148"/>
    </row>
    <row r="152" spans="1:35" ht="14.4" customHeight="1" x14ac:dyDescent="0.35">
      <c r="A152" s="368" t="s">
        <v>240</v>
      </c>
      <c r="B152" s="429">
        <f>B149+'CBO Completion Week 1-5'!B17</f>
        <v>37318</v>
      </c>
      <c r="C152" s="278" t="s">
        <v>14</v>
      </c>
      <c r="D152" s="274">
        <f>D149</f>
        <v>5288</v>
      </c>
      <c r="E152" s="131">
        <f t="shared" ref="E152:K152" si="33">E149</f>
        <v>1504</v>
      </c>
      <c r="F152" s="131">
        <f t="shared" si="33"/>
        <v>842</v>
      </c>
      <c r="G152" s="150">
        <f t="shared" si="33"/>
        <v>0</v>
      </c>
      <c r="H152" s="131">
        <f t="shared" si="33"/>
        <v>4283</v>
      </c>
      <c r="I152" s="131">
        <f t="shared" si="33"/>
        <v>0</v>
      </c>
      <c r="J152" s="131">
        <f t="shared" si="33"/>
        <v>0</v>
      </c>
      <c r="K152" s="150">
        <f t="shared" si="33"/>
        <v>0</v>
      </c>
      <c r="L152" s="131">
        <f>B152</f>
        <v>37318</v>
      </c>
      <c r="M152" s="131">
        <f>M149+'CBO Completion Week 1-5'!AE17</f>
        <v>18371</v>
      </c>
      <c r="N152" s="131">
        <f>N149+'CBO Completion Week 1-5'!AF17</f>
        <v>1142</v>
      </c>
      <c r="O152" s="150">
        <f>O149+'CBO Completion Week 1-5'!AG17</f>
        <v>253</v>
      </c>
      <c r="P152" s="285" t="s">
        <v>259</v>
      </c>
    </row>
    <row r="153" spans="1:35" ht="26.5" x14ac:dyDescent="0.35">
      <c r="A153" s="369"/>
      <c r="B153" s="430"/>
      <c r="C153" s="276" t="s">
        <v>83</v>
      </c>
      <c r="D153" s="148"/>
      <c r="E153" s="17">
        <f>IFERROR(E152/D152,0)</f>
        <v>0.28441754916792739</v>
      </c>
      <c r="F153" s="17">
        <f t="shared" ref="F153" si="34">IFERROR(F152/E152,0)</f>
        <v>0.55984042553191493</v>
      </c>
      <c r="G153" s="146"/>
      <c r="H153" s="114"/>
      <c r="I153" s="17">
        <f>IFERROR(I152/H152,0)</f>
        <v>0</v>
      </c>
      <c r="J153" s="17">
        <f>IFERROR(J152/I152,0)</f>
        <v>0</v>
      </c>
      <c r="K153" s="146"/>
      <c r="L153" s="114"/>
      <c r="M153" s="17">
        <f>M152/L152</f>
        <v>0.49228254461653892</v>
      </c>
      <c r="N153" s="17">
        <f>IFERROR(N152/M152,0)</f>
        <v>6.21631919873714E-2</v>
      </c>
      <c r="O153" s="146"/>
      <c r="P153" s="147"/>
    </row>
    <row r="154" spans="1:35" ht="15" thickBot="1" x14ac:dyDescent="0.4">
      <c r="A154" s="370"/>
      <c r="B154" s="431"/>
      <c r="C154" s="277" t="s">
        <v>248</v>
      </c>
      <c r="D154" s="37">
        <f>D152/B152</f>
        <v>0.14170105579077122</v>
      </c>
      <c r="E154" s="27">
        <f>IFERROR(VLOOKUP($A152,TeamCompletion[#All],12,FALSE)/B153,0)</f>
        <v>0</v>
      </c>
      <c r="F154" s="27">
        <f>IFERROR(VLOOKUP($A152,TeamCompletion[#All],13,FALSE)/B153,0)</f>
        <v>0</v>
      </c>
      <c r="G154" s="28">
        <f>IFERROR(VLOOKUP($A152,TeamFieldCheckCompletion[#All],7,FALSE)/B153,0)</f>
        <v>0</v>
      </c>
      <c r="H154" s="26">
        <f>H152/B152</f>
        <v>0.11477035210890187</v>
      </c>
      <c r="I154" s="27">
        <f>IFERROR(VLOOKUP($A152,TeamCompletion[#All],14,FALSE)/F153,0)</f>
        <v>0</v>
      </c>
      <c r="J154" s="27">
        <f>IFERROR(VLOOKUP($A152,TeamCompletion[#All],15,FALSE)/F153,0)</f>
        <v>0</v>
      </c>
      <c r="K154" s="28">
        <f>IFERROR(VLOOKUP($A152,TeamFieldCheckCompletion[#All],8,FALSE)/F153,0)</f>
        <v>0</v>
      </c>
      <c r="L154" s="26">
        <f>IFERROR(L152/$B152,0)</f>
        <v>1</v>
      </c>
      <c r="M154" s="26">
        <f>IFERROR(M152/$B152,0)</f>
        <v>0.49228254461653892</v>
      </c>
      <c r="N154" s="26">
        <f>IFERROR(N152/$B152,0)</f>
        <v>3.0601854333029636E-2</v>
      </c>
      <c r="O154" s="151">
        <f>IFERROR(O152/$B152,0)</f>
        <v>6.7795701806098937E-3</v>
      </c>
      <c r="P154" s="147"/>
    </row>
    <row r="156" spans="1:35" x14ac:dyDescent="0.35">
      <c r="D156" s="145"/>
    </row>
  </sheetData>
  <mergeCells count="62">
    <mergeCell ref="A50:A52"/>
    <mergeCell ref="A125:A127"/>
    <mergeCell ref="A152:A154"/>
    <mergeCell ref="B152:B154"/>
    <mergeCell ref="A29:A31"/>
    <mergeCell ref="A149:A151"/>
    <mergeCell ref="B149:B151"/>
    <mergeCell ref="A32:A34"/>
    <mergeCell ref="A35:A37"/>
    <mergeCell ref="A38:A40"/>
    <mergeCell ref="A41:A43"/>
    <mergeCell ref="A44:A46"/>
    <mergeCell ref="A47:A49"/>
    <mergeCell ref="A128:A130"/>
    <mergeCell ref="A131:A133"/>
    <mergeCell ref="A134:A136"/>
    <mergeCell ref="A26:A28"/>
    <mergeCell ref="L2:O3"/>
    <mergeCell ref="P2:P4"/>
    <mergeCell ref="D3:G3"/>
    <mergeCell ref="H3:K3"/>
    <mergeCell ref="A5:A7"/>
    <mergeCell ref="A8:A10"/>
    <mergeCell ref="A11:A13"/>
    <mergeCell ref="A14:A16"/>
    <mergeCell ref="A17:A19"/>
    <mergeCell ref="A20:A22"/>
    <mergeCell ref="A23:A25"/>
    <mergeCell ref="A1:I1"/>
    <mergeCell ref="A2:A4"/>
    <mergeCell ref="B2:B4"/>
    <mergeCell ref="C2:C4"/>
    <mergeCell ref="D2:G2"/>
    <mergeCell ref="H2:K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46:A148"/>
    <mergeCell ref="A113:A115"/>
    <mergeCell ref="A116:A118"/>
    <mergeCell ref="A119:A121"/>
    <mergeCell ref="A122:A124"/>
    <mergeCell ref="A143:A145"/>
    <mergeCell ref="A137:A139"/>
    <mergeCell ref="A140:A142"/>
  </mergeCells>
  <pageMargins left="0.7" right="0.7" top="0.75" bottom="0.75" header="0.3" footer="0.3"/>
  <pageSetup scale="5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53"/>
  <sheetViews>
    <sheetView topLeftCell="A19" zoomScale="60" zoomScaleNormal="60" workbookViewId="0">
      <selection activeCell="X43" sqref="X43:X46"/>
    </sheetView>
  </sheetViews>
  <sheetFormatPr defaultRowHeight="14.5" x14ac:dyDescent="0.35"/>
  <cols>
    <col min="3" max="3" width="1.7265625" style="16" hidden="1" customWidth="1"/>
    <col min="4" max="4" width="17.54296875" style="16" bestFit="1" customWidth="1"/>
    <col min="5" max="5" width="8.7265625" customWidth="1"/>
    <col min="6" max="6" width="7.7265625" customWidth="1"/>
    <col min="7" max="7" width="9.6328125" style="16" customWidth="1"/>
    <col min="8" max="8" width="7.90625" customWidth="1"/>
    <col min="9" max="9" width="7.81640625" customWidth="1"/>
    <col min="10" max="10" width="9" style="16" customWidth="1"/>
    <col min="11" max="11" width="8.7265625" customWidth="1"/>
    <col min="12" max="12" width="8.08984375" customWidth="1"/>
    <col min="13" max="13" width="8.26953125" style="16" customWidth="1"/>
    <col min="14" max="14" width="9.90625" customWidth="1"/>
    <col min="15" max="15" width="10.26953125" customWidth="1"/>
    <col min="16" max="16" width="9" style="16" customWidth="1"/>
    <col min="17" max="17" width="7.1796875" bestFit="1" customWidth="1"/>
    <col min="18" max="18" width="6.54296875" customWidth="1"/>
    <col min="19" max="19" width="8.453125" style="16" customWidth="1"/>
    <col min="20" max="20" width="7.1796875" bestFit="1" customWidth="1"/>
    <col min="21" max="21" width="6.1796875" customWidth="1"/>
    <col min="22" max="22" width="8.1796875" customWidth="1"/>
    <col min="24" max="24" width="10" customWidth="1"/>
  </cols>
  <sheetData>
    <row r="1" spans="1:24" ht="20" thickBot="1" x14ac:dyDescent="0.5">
      <c r="A1" s="396" t="s">
        <v>187</v>
      </c>
      <c r="B1" s="396"/>
      <c r="C1" s="396"/>
      <c r="D1" s="396"/>
      <c r="E1" s="396"/>
      <c r="F1" s="396"/>
      <c r="G1" s="39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6"/>
      <c r="V1" s="16"/>
      <c r="W1" s="16"/>
      <c r="X1" s="16"/>
    </row>
    <row r="2" spans="1:24" x14ac:dyDescent="0.35">
      <c r="A2" s="336" t="s">
        <v>34</v>
      </c>
      <c r="B2" s="441"/>
      <c r="C2" s="446"/>
      <c r="D2" s="448" t="s">
        <v>69</v>
      </c>
      <c r="E2" s="435" t="s">
        <v>3</v>
      </c>
      <c r="F2" s="436"/>
      <c r="G2" s="437"/>
      <c r="H2" s="435" t="s">
        <v>4</v>
      </c>
      <c r="I2" s="436"/>
      <c r="J2" s="437"/>
      <c r="K2" s="435" t="s">
        <v>5</v>
      </c>
      <c r="L2" s="436"/>
      <c r="M2" s="437"/>
      <c r="N2" s="435" t="s">
        <v>6</v>
      </c>
      <c r="O2" s="436"/>
      <c r="P2" s="437"/>
      <c r="Q2" s="435" t="s">
        <v>7</v>
      </c>
      <c r="R2" s="436"/>
      <c r="S2" s="437"/>
      <c r="T2" s="354" t="s">
        <v>252</v>
      </c>
      <c r="U2" s="355"/>
      <c r="V2" s="355"/>
      <c r="W2" s="355"/>
      <c r="X2" s="356"/>
    </row>
    <row r="3" spans="1:24" ht="15" thickBot="1" x14ac:dyDescent="0.4">
      <c r="A3" s="442"/>
      <c r="B3" s="443"/>
      <c r="C3" s="447"/>
      <c r="D3" s="449"/>
      <c r="E3" s="438" t="s">
        <v>9</v>
      </c>
      <c r="F3" s="439"/>
      <c r="G3" s="440"/>
      <c r="H3" s="438" t="s">
        <v>10</v>
      </c>
      <c r="I3" s="439"/>
      <c r="J3" s="440"/>
      <c r="K3" s="438" t="s">
        <v>11</v>
      </c>
      <c r="L3" s="439"/>
      <c r="M3" s="440"/>
      <c r="N3" s="438" t="s">
        <v>12</v>
      </c>
      <c r="O3" s="439"/>
      <c r="P3" s="440"/>
      <c r="Q3" s="438" t="s">
        <v>13</v>
      </c>
      <c r="R3" s="439"/>
      <c r="S3" s="440"/>
      <c r="T3" s="357"/>
      <c r="U3" s="358"/>
      <c r="V3" s="358"/>
      <c r="W3" s="358"/>
      <c r="X3" s="359"/>
    </row>
    <row r="4" spans="1:24" ht="52.5" thickBot="1" x14ac:dyDescent="0.4">
      <c r="A4" s="444"/>
      <c r="B4" s="445"/>
      <c r="C4" s="447"/>
      <c r="D4" s="450"/>
      <c r="E4" s="89" t="s">
        <v>23</v>
      </c>
      <c r="F4" s="90" t="s">
        <v>102</v>
      </c>
      <c r="G4" s="153" t="s">
        <v>100</v>
      </c>
      <c r="H4" s="89" t="s">
        <v>23</v>
      </c>
      <c r="I4" s="90" t="s">
        <v>102</v>
      </c>
      <c r="J4" s="153" t="s">
        <v>100</v>
      </c>
      <c r="K4" s="89" t="s">
        <v>23</v>
      </c>
      <c r="L4" s="90" t="s">
        <v>102</v>
      </c>
      <c r="M4" s="153" t="s">
        <v>100</v>
      </c>
      <c r="N4" s="89" t="s">
        <v>23</v>
      </c>
      <c r="O4" s="90" t="s">
        <v>102</v>
      </c>
      <c r="P4" s="153" t="s">
        <v>100</v>
      </c>
      <c r="Q4" s="89" t="s">
        <v>23</v>
      </c>
      <c r="R4" s="90" t="s">
        <v>102</v>
      </c>
      <c r="S4" s="153" t="s">
        <v>100</v>
      </c>
      <c r="T4" s="89" t="s">
        <v>23</v>
      </c>
      <c r="U4" s="90" t="s">
        <v>102</v>
      </c>
      <c r="V4" s="90" t="s">
        <v>104</v>
      </c>
      <c r="W4" s="153" t="s">
        <v>100</v>
      </c>
      <c r="X4" s="154" t="s">
        <v>103</v>
      </c>
    </row>
    <row r="5" spans="1:24" x14ac:dyDescent="0.35">
      <c r="A5" s="59" t="s">
        <v>155</v>
      </c>
      <c r="B5" s="60"/>
      <c r="C5" s="60"/>
      <c r="D5" s="61" t="s">
        <v>139</v>
      </c>
      <c r="E5" s="62">
        <v>183</v>
      </c>
      <c r="F5" s="63">
        <v>7</v>
      </c>
      <c r="G5" s="179">
        <v>0</v>
      </c>
      <c r="H5" s="62">
        <v>328</v>
      </c>
      <c r="I5" s="63">
        <v>4</v>
      </c>
      <c r="J5" s="179">
        <v>0</v>
      </c>
      <c r="K5" s="62">
        <v>283</v>
      </c>
      <c r="L5" s="63">
        <v>9</v>
      </c>
      <c r="M5" s="179">
        <v>0</v>
      </c>
      <c r="N5" s="62">
        <v>0</v>
      </c>
      <c r="O5" s="63">
        <v>0</v>
      </c>
      <c r="P5" s="179">
        <v>0</v>
      </c>
      <c r="Q5" s="62">
        <v>0</v>
      </c>
      <c r="R5" s="63">
        <v>0</v>
      </c>
      <c r="S5" s="179">
        <v>0</v>
      </c>
      <c r="T5" s="62">
        <v>794</v>
      </c>
      <c r="U5" s="63">
        <v>20</v>
      </c>
      <c r="V5" s="201">
        <v>2.5188916876574308E-2</v>
      </c>
      <c r="W5" s="63">
        <v>0</v>
      </c>
      <c r="X5" s="202">
        <v>29.407407407407408</v>
      </c>
    </row>
    <row r="6" spans="1:24" x14ac:dyDescent="0.35">
      <c r="A6" s="162" t="s">
        <v>184</v>
      </c>
      <c r="B6" s="158"/>
      <c r="C6" s="158"/>
      <c r="D6" s="50" t="s">
        <v>139</v>
      </c>
      <c r="E6" s="51">
        <v>0</v>
      </c>
      <c r="F6" s="52">
        <v>0</v>
      </c>
      <c r="G6" s="163">
        <v>0</v>
      </c>
      <c r="H6" s="51">
        <v>489</v>
      </c>
      <c r="I6" s="52">
        <v>7</v>
      </c>
      <c r="J6" s="163">
        <v>0</v>
      </c>
      <c r="K6" s="51">
        <v>253</v>
      </c>
      <c r="L6" s="52">
        <v>1</v>
      </c>
      <c r="M6" s="163">
        <v>15</v>
      </c>
      <c r="N6" s="51">
        <v>1</v>
      </c>
      <c r="O6" s="52">
        <v>0</v>
      </c>
      <c r="P6" s="163">
        <v>0</v>
      </c>
      <c r="Q6" s="51">
        <v>0</v>
      </c>
      <c r="R6" s="52">
        <v>0</v>
      </c>
      <c r="S6" s="163">
        <v>0</v>
      </c>
      <c r="T6" s="51">
        <v>743</v>
      </c>
      <c r="U6" s="52">
        <v>8</v>
      </c>
      <c r="V6" s="53">
        <v>1.0767160161507403E-2</v>
      </c>
      <c r="W6" s="52">
        <v>15</v>
      </c>
      <c r="X6" s="203">
        <v>28.074074074074073</v>
      </c>
    </row>
    <row r="7" spans="1:24" x14ac:dyDescent="0.35">
      <c r="A7" s="162" t="s">
        <v>145</v>
      </c>
      <c r="B7" s="158"/>
      <c r="C7" s="158"/>
      <c r="D7" s="50" t="s">
        <v>139</v>
      </c>
      <c r="E7" s="51">
        <v>298</v>
      </c>
      <c r="F7" s="52">
        <v>3</v>
      </c>
      <c r="G7" s="163">
        <v>1</v>
      </c>
      <c r="H7" s="51">
        <v>173</v>
      </c>
      <c r="I7" s="126">
        <v>4</v>
      </c>
      <c r="J7" s="163">
        <v>0</v>
      </c>
      <c r="K7" s="190">
        <v>116</v>
      </c>
      <c r="L7" s="156">
        <v>0</v>
      </c>
      <c r="M7" s="163">
        <v>0</v>
      </c>
      <c r="N7" s="51">
        <v>0</v>
      </c>
      <c r="O7" s="52">
        <v>0</v>
      </c>
      <c r="P7" s="163">
        <v>0</v>
      </c>
      <c r="Q7" s="190">
        <v>0</v>
      </c>
      <c r="R7" s="126">
        <v>0</v>
      </c>
      <c r="S7" s="163">
        <v>0</v>
      </c>
      <c r="T7" s="189">
        <v>587</v>
      </c>
      <c r="U7" s="52">
        <v>7</v>
      </c>
      <c r="V7" s="53">
        <v>1.192504258943782E-2</v>
      </c>
      <c r="W7" s="52">
        <v>1</v>
      </c>
      <c r="X7" s="203">
        <v>21.777777777777779</v>
      </c>
    </row>
    <row r="8" spans="1:24" x14ac:dyDescent="0.35">
      <c r="A8" s="162" t="s">
        <v>150</v>
      </c>
      <c r="B8" s="158"/>
      <c r="C8" s="158"/>
      <c r="D8" s="50" t="s">
        <v>139</v>
      </c>
      <c r="E8" s="51">
        <v>0</v>
      </c>
      <c r="F8" s="52">
        <v>0</v>
      </c>
      <c r="G8" s="163">
        <v>0</v>
      </c>
      <c r="H8" s="51">
        <v>231</v>
      </c>
      <c r="I8" s="52">
        <v>2</v>
      </c>
      <c r="J8" s="163">
        <v>7</v>
      </c>
      <c r="K8" s="51">
        <v>286</v>
      </c>
      <c r="L8" s="52">
        <v>1</v>
      </c>
      <c r="M8" s="163">
        <v>7</v>
      </c>
      <c r="N8" s="51">
        <v>0</v>
      </c>
      <c r="O8" s="52">
        <v>0</v>
      </c>
      <c r="P8" s="163">
        <v>0</v>
      </c>
      <c r="Q8" s="51">
        <v>0</v>
      </c>
      <c r="R8" s="52">
        <v>0</v>
      </c>
      <c r="S8" s="163">
        <v>0</v>
      </c>
      <c r="T8" s="51">
        <v>517</v>
      </c>
      <c r="U8" s="52">
        <v>3</v>
      </c>
      <c r="V8" s="53">
        <v>5.8027079303675051E-3</v>
      </c>
      <c r="W8" s="52">
        <v>14</v>
      </c>
      <c r="X8" s="203">
        <v>19.666666666666668</v>
      </c>
    </row>
    <row r="9" spans="1:24" x14ac:dyDescent="0.35">
      <c r="A9" s="162" t="s">
        <v>168</v>
      </c>
      <c r="B9" s="158"/>
      <c r="C9" s="158"/>
      <c r="D9" s="50" t="s">
        <v>139</v>
      </c>
      <c r="E9" s="51">
        <v>59</v>
      </c>
      <c r="F9" s="52">
        <v>2</v>
      </c>
      <c r="G9" s="163">
        <v>1</v>
      </c>
      <c r="H9" s="51">
        <v>327</v>
      </c>
      <c r="I9" s="126">
        <v>1</v>
      </c>
      <c r="J9" s="163">
        <v>0</v>
      </c>
      <c r="K9" s="190">
        <v>125</v>
      </c>
      <c r="L9" s="156">
        <v>0</v>
      </c>
      <c r="M9" s="163">
        <v>6</v>
      </c>
      <c r="N9" s="51">
        <v>0</v>
      </c>
      <c r="O9" s="52">
        <v>0</v>
      </c>
      <c r="P9" s="163">
        <v>0</v>
      </c>
      <c r="Q9" s="190">
        <v>0</v>
      </c>
      <c r="R9" s="126">
        <v>0</v>
      </c>
      <c r="S9" s="163">
        <v>0</v>
      </c>
      <c r="T9" s="189">
        <v>511</v>
      </c>
      <c r="U9" s="52">
        <v>3</v>
      </c>
      <c r="V9" s="53">
        <v>5.8708414872798431E-3</v>
      </c>
      <c r="W9" s="52">
        <v>7</v>
      </c>
      <c r="X9" s="203">
        <v>19.185185185185187</v>
      </c>
    </row>
    <row r="10" spans="1:24" x14ac:dyDescent="0.35">
      <c r="A10" s="162" t="s">
        <v>177</v>
      </c>
      <c r="B10" s="158"/>
      <c r="C10" s="159"/>
      <c r="D10" s="92" t="s">
        <v>139</v>
      </c>
      <c r="E10" s="189">
        <v>102</v>
      </c>
      <c r="F10" s="52">
        <v>0</v>
      </c>
      <c r="G10" s="163">
        <v>0</v>
      </c>
      <c r="H10" s="51">
        <v>270</v>
      </c>
      <c r="I10" s="156">
        <v>1</v>
      </c>
      <c r="J10" s="163">
        <v>3</v>
      </c>
      <c r="K10" s="51">
        <v>31</v>
      </c>
      <c r="L10" s="52">
        <v>0</v>
      </c>
      <c r="M10" s="163">
        <v>0</v>
      </c>
      <c r="N10" s="51">
        <v>59</v>
      </c>
      <c r="O10" s="52">
        <v>0</v>
      </c>
      <c r="P10" s="163">
        <v>0</v>
      </c>
      <c r="Q10" s="189">
        <v>0</v>
      </c>
      <c r="R10" s="52">
        <v>0</v>
      </c>
      <c r="S10" s="163">
        <v>0</v>
      </c>
      <c r="T10" s="51">
        <v>462</v>
      </c>
      <c r="U10" s="156">
        <v>1</v>
      </c>
      <c r="V10" s="53">
        <v>2.1645021645021645E-3</v>
      </c>
      <c r="W10" s="52">
        <v>3</v>
      </c>
      <c r="X10" s="203">
        <v>17.222222222222221</v>
      </c>
    </row>
    <row r="11" spans="1:24" x14ac:dyDescent="0.35">
      <c r="A11" s="162" t="s">
        <v>151</v>
      </c>
      <c r="B11" s="158"/>
      <c r="C11" s="158"/>
      <c r="D11" s="50" t="s">
        <v>139</v>
      </c>
      <c r="E11" s="51">
        <v>62</v>
      </c>
      <c r="F11" s="52">
        <v>7</v>
      </c>
      <c r="G11" s="163">
        <v>0</v>
      </c>
      <c r="H11" s="51">
        <v>168</v>
      </c>
      <c r="I11" s="126">
        <v>6</v>
      </c>
      <c r="J11" s="163">
        <v>0</v>
      </c>
      <c r="K11" s="190">
        <v>136</v>
      </c>
      <c r="L11" s="156">
        <v>2</v>
      </c>
      <c r="M11" s="163">
        <v>5</v>
      </c>
      <c r="N11" s="51">
        <v>76</v>
      </c>
      <c r="O11" s="52">
        <v>0</v>
      </c>
      <c r="P11" s="163">
        <v>0</v>
      </c>
      <c r="Q11" s="190">
        <v>0</v>
      </c>
      <c r="R11" s="126">
        <v>0</v>
      </c>
      <c r="S11" s="163">
        <v>0</v>
      </c>
      <c r="T11" s="189">
        <v>442</v>
      </c>
      <c r="U11" s="52">
        <v>15</v>
      </c>
      <c r="V11" s="53">
        <v>3.3936651583710405E-2</v>
      </c>
      <c r="W11" s="52">
        <v>5</v>
      </c>
      <c r="X11" s="203">
        <v>16.555555555555557</v>
      </c>
    </row>
    <row r="12" spans="1:24" x14ac:dyDescent="0.35">
      <c r="A12" s="162" t="s">
        <v>174</v>
      </c>
      <c r="B12" s="158"/>
      <c r="C12" s="158"/>
      <c r="D12" s="50" t="s">
        <v>139</v>
      </c>
      <c r="E12" s="51">
        <v>68</v>
      </c>
      <c r="F12" s="52">
        <v>0</v>
      </c>
      <c r="G12" s="163">
        <v>0</v>
      </c>
      <c r="H12" s="51">
        <v>118</v>
      </c>
      <c r="I12" s="52">
        <v>0</v>
      </c>
      <c r="J12" s="163">
        <v>0</v>
      </c>
      <c r="K12" s="51">
        <v>139</v>
      </c>
      <c r="L12" s="52">
        <v>0</v>
      </c>
      <c r="M12" s="163">
        <v>3</v>
      </c>
      <c r="N12" s="51">
        <v>29</v>
      </c>
      <c r="O12" s="52">
        <v>0</v>
      </c>
      <c r="P12" s="163">
        <v>0</v>
      </c>
      <c r="Q12" s="51">
        <v>0</v>
      </c>
      <c r="R12" s="52">
        <v>0</v>
      </c>
      <c r="S12" s="163">
        <v>0</v>
      </c>
      <c r="T12" s="51">
        <v>354</v>
      </c>
      <c r="U12" s="52">
        <v>0</v>
      </c>
      <c r="V12" s="53">
        <v>0</v>
      </c>
      <c r="W12" s="52">
        <v>3</v>
      </c>
      <c r="X12" s="203">
        <v>13.222222222222221</v>
      </c>
    </row>
    <row r="13" spans="1:24" x14ac:dyDescent="0.35">
      <c r="A13" s="162" t="s">
        <v>183</v>
      </c>
      <c r="B13" s="158"/>
      <c r="C13" s="158"/>
      <c r="D13" s="50" t="s">
        <v>139</v>
      </c>
      <c r="E13" s="51">
        <v>62</v>
      </c>
      <c r="F13" s="52">
        <v>1</v>
      </c>
      <c r="G13" s="163">
        <v>0</v>
      </c>
      <c r="H13" s="51">
        <v>127</v>
      </c>
      <c r="I13" s="52">
        <v>1</v>
      </c>
      <c r="J13" s="163">
        <v>0</v>
      </c>
      <c r="K13" s="51">
        <v>85</v>
      </c>
      <c r="L13" s="52">
        <v>3</v>
      </c>
      <c r="M13" s="163">
        <v>39</v>
      </c>
      <c r="N13" s="51">
        <v>19</v>
      </c>
      <c r="O13" s="52">
        <v>0</v>
      </c>
      <c r="P13" s="163">
        <v>0</v>
      </c>
      <c r="Q13" s="51">
        <v>0</v>
      </c>
      <c r="R13" s="52">
        <v>0</v>
      </c>
      <c r="S13" s="163">
        <v>0</v>
      </c>
      <c r="T13" s="51">
        <v>293</v>
      </c>
      <c r="U13" s="52">
        <v>5</v>
      </c>
      <c r="V13" s="53">
        <v>1.7064846416382253E-2</v>
      </c>
      <c r="W13" s="52">
        <v>39</v>
      </c>
      <c r="X13" s="203">
        <v>12.296296296296296</v>
      </c>
    </row>
    <row r="14" spans="1:24" x14ac:dyDescent="0.35">
      <c r="A14" s="162" t="s">
        <v>156</v>
      </c>
      <c r="B14" s="158"/>
      <c r="C14" s="158"/>
      <c r="D14" s="50" t="s">
        <v>139</v>
      </c>
      <c r="E14" s="51">
        <v>193</v>
      </c>
      <c r="F14" s="52">
        <v>9</v>
      </c>
      <c r="G14" s="163">
        <v>0</v>
      </c>
      <c r="H14" s="51">
        <v>32</v>
      </c>
      <c r="I14" s="126">
        <v>2</v>
      </c>
      <c r="J14" s="163">
        <v>2</v>
      </c>
      <c r="K14" s="190">
        <v>0</v>
      </c>
      <c r="L14" s="156">
        <v>0</v>
      </c>
      <c r="M14" s="163">
        <v>17</v>
      </c>
      <c r="N14" s="51">
        <v>0</v>
      </c>
      <c r="O14" s="52">
        <v>0</v>
      </c>
      <c r="P14" s="163">
        <v>30</v>
      </c>
      <c r="Q14" s="190">
        <v>0</v>
      </c>
      <c r="R14" s="126">
        <v>0</v>
      </c>
      <c r="S14" s="163">
        <v>0</v>
      </c>
      <c r="T14" s="189">
        <v>225</v>
      </c>
      <c r="U14" s="52">
        <v>11</v>
      </c>
      <c r="V14" s="53">
        <v>4.8888888888888891E-2</v>
      </c>
      <c r="W14" s="52">
        <v>49</v>
      </c>
      <c r="X14" s="203">
        <v>10.148148148148149</v>
      </c>
    </row>
    <row r="15" spans="1:24" x14ac:dyDescent="0.35">
      <c r="A15" s="162" t="s">
        <v>178</v>
      </c>
      <c r="B15" s="158"/>
      <c r="C15" s="158"/>
      <c r="D15" s="50" t="s">
        <v>139</v>
      </c>
      <c r="E15" s="51">
        <v>0</v>
      </c>
      <c r="F15" s="52">
        <v>0</v>
      </c>
      <c r="G15" s="163">
        <v>0</v>
      </c>
      <c r="H15" s="51">
        <v>47</v>
      </c>
      <c r="I15" s="52">
        <v>1</v>
      </c>
      <c r="J15" s="163">
        <v>0</v>
      </c>
      <c r="K15" s="51">
        <v>171</v>
      </c>
      <c r="L15" s="52">
        <v>4</v>
      </c>
      <c r="M15" s="163">
        <v>8</v>
      </c>
      <c r="N15" s="51">
        <v>26</v>
      </c>
      <c r="O15" s="52">
        <v>0</v>
      </c>
      <c r="P15" s="163">
        <v>0</v>
      </c>
      <c r="Q15" s="51">
        <v>0</v>
      </c>
      <c r="R15" s="52">
        <v>0</v>
      </c>
      <c r="S15" s="163">
        <v>0</v>
      </c>
      <c r="T15" s="51">
        <v>244</v>
      </c>
      <c r="U15" s="52">
        <v>5</v>
      </c>
      <c r="V15" s="53">
        <v>2.0491803278688523E-2</v>
      </c>
      <c r="W15" s="52">
        <v>8</v>
      </c>
      <c r="X15" s="203">
        <v>9.3333333333333339</v>
      </c>
    </row>
    <row r="16" spans="1:24" x14ac:dyDescent="0.35">
      <c r="A16" s="162" t="s">
        <v>161</v>
      </c>
      <c r="B16" s="158"/>
      <c r="C16" s="158"/>
      <c r="D16" s="50" t="s">
        <v>139</v>
      </c>
      <c r="E16" s="51">
        <v>65</v>
      </c>
      <c r="F16" s="52">
        <v>0</v>
      </c>
      <c r="G16" s="163">
        <v>0</v>
      </c>
      <c r="H16" s="51">
        <v>0</v>
      </c>
      <c r="I16" s="52">
        <v>0</v>
      </c>
      <c r="J16" s="163">
        <v>0</v>
      </c>
      <c r="K16" s="51">
        <v>21</v>
      </c>
      <c r="L16" s="52">
        <v>0</v>
      </c>
      <c r="M16" s="163">
        <v>0</v>
      </c>
      <c r="N16" s="51">
        <v>0</v>
      </c>
      <c r="O16" s="52">
        <v>0</v>
      </c>
      <c r="P16" s="163">
        <v>0</v>
      </c>
      <c r="Q16" s="51">
        <v>0</v>
      </c>
      <c r="R16" s="52">
        <v>0</v>
      </c>
      <c r="S16" s="163">
        <v>0</v>
      </c>
      <c r="T16" s="51">
        <v>86</v>
      </c>
      <c r="U16" s="52">
        <v>0</v>
      </c>
      <c r="V16" s="53">
        <v>0</v>
      </c>
      <c r="W16" s="52">
        <v>0</v>
      </c>
      <c r="X16" s="203">
        <v>3.1851851851851851</v>
      </c>
    </row>
    <row r="17" spans="1:24" ht="15" thickBot="1" x14ac:dyDescent="0.4">
      <c r="A17" s="216" t="s">
        <v>170</v>
      </c>
      <c r="B17" s="217"/>
      <c r="C17" s="168"/>
      <c r="D17" s="182" t="s">
        <v>139</v>
      </c>
      <c r="E17" s="221">
        <v>0</v>
      </c>
      <c r="F17" s="69">
        <v>0</v>
      </c>
      <c r="G17" s="169">
        <v>0</v>
      </c>
      <c r="H17" s="68">
        <v>68</v>
      </c>
      <c r="I17" s="125">
        <v>1</v>
      </c>
      <c r="J17" s="169">
        <v>0</v>
      </c>
      <c r="K17" s="68">
        <v>0</v>
      </c>
      <c r="L17" s="69">
        <v>0</v>
      </c>
      <c r="M17" s="169">
        <v>0</v>
      </c>
      <c r="N17" s="68">
        <v>0</v>
      </c>
      <c r="O17" s="69">
        <v>0</v>
      </c>
      <c r="P17" s="169">
        <v>0</v>
      </c>
      <c r="Q17" s="221">
        <v>0</v>
      </c>
      <c r="R17" s="69">
        <v>0</v>
      </c>
      <c r="S17" s="169">
        <v>0</v>
      </c>
      <c r="T17" s="68">
        <v>68</v>
      </c>
      <c r="U17" s="125">
        <v>1</v>
      </c>
      <c r="V17" s="222">
        <v>1.4705882352941176E-2</v>
      </c>
      <c r="W17" s="69">
        <v>0</v>
      </c>
      <c r="X17" s="223">
        <v>2.5185185185185186</v>
      </c>
    </row>
    <row r="18" spans="1:24" s="16" customFormat="1" ht="15" thickBot="1" x14ac:dyDescent="0.4">
      <c r="A18" s="226" t="s">
        <v>249</v>
      </c>
      <c r="B18" s="227"/>
      <c r="C18" s="228"/>
      <c r="D18" s="228"/>
      <c r="E18" s="209">
        <f t="shared" ref="E18:U18" si="0">SUM(E5:E17)</f>
        <v>1092</v>
      </c>
      <c r="F18" s="208">
        <f t="shared" si="0"/>
        <v>29</v>
      </c>
      <c r="G18" s="231">
        <f t="shared" si="0"/>
        <v>2</v>
      </c>
      <c r="H18" s="209">
        <f t="shared" si="0"/>
        <v>2378</v>
      </c>
      <c r="I18" s="208">
        <f t="shared" si="0"/>
        <v>30</v>
      </c>
      <c r="J18" s="231">
        <f t="shared" si="0"/>
        <v>12</v>
      </c>
      <c r="K18" s="229">
        <f t="shared" si="0"/>
        <v>1646</v>
      </c>
      <c r="L18" s="208">
        <f t="shared" si="0"/>
        <v>20</v>
      </c>
      <c r="M18" s="230">
        <f t="shared" si="0"/>
        <v>100</v>
      </c>
      <c r="N18" s="209">
        <f t="shared" si="0"/>
        <v>210</v>
      </c>
      <c r="O18" s="208">
        <f t="shared" si="0"/>
        <v>0</v>
      </c>
      <c r="P18" s="231">
        <f t="shared" si="0"/>
        <v>30</v>
      </c>
      <c r="Q18" s="209">
        <f t="shared" si="0"/>
        <v>0</v>
      </c>
      <c r="R18" s="208">
        <f t="shared" si="0"/>
        <v>0</v>
      </c>
      <c r="S18" s="231">
        <f t="shared" si="0"/>
        <v>0</v>
      </c>
      <c r="T18" s="229">
        <f t="shared" si="0"/>
        <v>5326</v>
      </c>
      <c r="U18" s="208">
        <f t="shared" si="0"/>
        <v>79</v>
      </c>
      <c r="V18" s="232">
        <f>U18/T18</f>
        <v>1.4832895230942547E-2</v>
      </c>
      <c r="W18" s="208">
        <v>142</v>
      </c>
      <c r="X18" s="211">
        <f>SUM(X5:X17)</f>
        <v>202.59259259259264</v>
      </c>
    </row>
    <row r="19" spans="1:24" x14ac:dyDescent="0.35">
      <c r="A19" s="218" t="s">
        <v>147</v>
      </c>
      <c r="B19" s="219"/>
      <c r="C19" s="171"/>
      <c r="D19" s="220" t="s">
        <v>140</v>
      </c>
      <c r="E19" s="185">
        <v>96</v>
      </c>
      <c r="F19" s="95">
        <v>1</v>
      </c>
      <c r="G19" s="186">
        <v>0</v>
      </c>
      <c r="H19" s="85">
        <v>356</v>
      </c>
      <c r="I19" s="224">
        <v>1</v>
      </c>
      <c r="J19" s="220">
        <v>4</v>
      </c>
      <c r="K19" s="171">
        <v>196</v>
      </c>
      <c r="L19" s="95">
        <v>0</v>
      </c>
      <c r="M19" s="186">
        <v>1</v>
      </c>
      <c r="N19" s="85">
        <v>422</v>
      </c>
      <c r="O19" s="95">
        <v>0</v>
      </c>
      <c r="P19" s="220">
        <v>0</v>
      </c>
      <c r="Q19" s="185">
        <v>0</v>
      </c>
      <c r="R19" s="95">
        <v>0</v>
      </c>
      <c r="S19" s="186">
        <v>0</v>
      </c>
      <c r="T19" s="85">
        <v>1070</v>
      </c>
      <c r="U19" s="224">
        <v>2</v>
      </c>
      <c r="V19" s="97">
        <v>1.869158878504673E-3</v>
      </c>
      <c r="W19" s="95">
        <v>5</v>
      </c>
      <c r="X19" s="225">
        <v>39.814814814814817</v>
      </c>
    </row>
    <row r="20" spans="1:24" x14ac:dyDescent="0.35">
      <c r="A20" s="164" t="s">
        <v>172</v>
      </c>
      <c r="B20" s="155"/>
      <c r="C20" s="160"/>
      <c r="D20" s="165" t="s">
        <v>140</v>
      </c>
      <c r="E20" s="161">
        <v>267</v>
      </c>
      <c r="F20" s="57">
        <v>6</v>
      </c>
      <c r="G20" s="181">
        <v>0</v>
      </c>
      <c r="H20" s="56">
        <v>204</v>
      </c>
      <c r="I20" s="157">
        <v>1</v>
      </c>
      <c r="J20" s="165">
        <v>0</v>
      </c>
      <c r="K20" s="160">
        <v>146</v>
      </c>
      <c r="L20" s="57">
        <v>3</v>
      </c>
      <c r="M20" s="181">
        <v>0</v>
      </c>
      <c r="N20" s="56">
        <v>64</v>
      </c>
      <c r="O20" s="57">
        <v>2</v>
      </c>
      <c r="P20" s="165">
        <v>0</v>
      </c>
      <c r="Q20" s="161">
        <v>0</v>
      </c>
      <c r="R20" s="57">
        <v>0</v>
      </c>
      <c r="S20" s="181">
        <v>0</v>
      </c>
      <c r="T20" s="56">
        <v>681</v>
      </c>
      <c r="U20" s="157">
        <v>12</v>
      </c>
      <c r="V20" s="58">
        <v>1.7621145374449341E-2</v>
      </c>
      <c r="W20" s="57">
        <v>0</v>
      </c>
      <c r="X20" s="197">
        <v>25.222222222222221</v>
      </c>
    </row>
    <row r="21" spans="1:24" x14ac:dyDescent="0.35">
      <c r="A21" s="164" t="s">
        <v>171</v>
      </c>
      <c r="B21" s="155"/>
      <c r="C21" s="160"/>
      <c r="D21" s="165" t="s">
        <v>140</v>
      </c>
      <c r="E21" s="161">
        <v>49</v>
      </c>
      <c r="F21" s="57">
        <v>2</v>
      </c>
      <c r="G21" s="181">
        <v>0</v>
      </c>
      <c r="H21" s="56">
        <v>169</v>
      </c>
      <c r="I21" s="157">
        <v>9</v>
      </c>
      <c r="J21" s="165">
        <v>3</v>
      </c>
      <c r="K21" s="160">
        <v>213</v>
      </c>
      <c r="L21" s="57">
        <v>3</v>
      </c>
      <c r="M21" s="181">
        <v>0</v>
      </c>
      <c r="N21" s="56">
        <v>217</v>
      </c>
      <c r="O21" s="57">
        <v>2</v>
      </c>
      <c r="P21" s="165">
        <v>0</v>
      </c>
      <c r="Q21" s="161">
        <v>0</v>
      </c>
      <c r="R21" s="57">
        <v>0</v>
      </c>
      <c r="S21" s="181">
        <v>0</v>
      </c>
      <c r="T21" s="56">
        <v>648</v>
      </c>
      <c r="U21" s="157">
        <v>16</v>
      </c>
      <c r="V21" s="58">
        <v>2.4691358024691357E-2</v>
      </c>
      <c r="W21" s="57">
        <v>3</v>
      </c>
      <c r="X21" s="197">
        <v>24.111111111111111</v>
      </c>
    </row>
    <row r="22" spans="1:24" x14ac:dyDescent="0.35">
      <c r="A22" s="164" t="s">
        <v>148</v>
      </c>
      <c r="B22" s="155"/>
      <c r="C22" s="160"/>
      <c r="D22" s="165" t="s">
        <v>140</v>
      </c>
      <c r="E22" s="161">
        <v>28</v>
      </c>
      <c r="F22" s="57">
        <v>4</v>
      </c>
      <c r="G22" s="181">
        <v>0</v>
      </c>
      <c r="H22" s="56">
        <v>167</v>
      </c>
      <c r="I22" s="157">
        <v>4</v>
      </c>
      <c r="J22" s="165">
        <v>0</v>
      </c>
      <c r="K22" s="160">
        <v>98</v>
      </c>
      <c r="L22" s="57">
        <v>1</v>
      </c>
      <c r="M22" s="181">
        <v>0</v>
      </c>
      <c r="N22" s="56">
        <v>339</v>
      </c>
      <c r="O22" s="57">
        <v>6</v>
      </c>
      <c r="P22" s="165">
        <v>0</v>
      </c>
      <c r="Q22" s="161">
        <v>0</v>
      </c>
      <c r="R22" s="57">
        <v>0</v>
      </c>
      <c r="S22" s="181">
        <v>0</v>
      </c>
      <c r="T22" s="56">
        <v>632</v>
      </c>
      <c r="U22" s="157">
        <v>15</v>
      </c>
      <c r="V22" s="58">
        <v>2.3734177215189875E-2</v>
      </c>
      <c r="W22" s="57">
        <v>0</v>
      </c>
      <c r="X22" s="197">
        <v>23.407407407407408</v>
      </c>
    </row>
    <row r="23" spans="1:24" x14ac:dyDescent="0.35">
      <c r="A23" s="164" t="s">
        <v>162</v>
      </c>
      <c r="B23" s="155"/>
      <c r="C23" s="160"/>
      <c r="D23" s="165" t="s">
        <v>140</v>
      </c>
      <c r="E23" s="161">
        <v>98</v>
      </c>
      <c r="F23" s="57">
        <v>3</v>
      </c>
      <c r="G23" s="181">
        <v>0</v>
      </c>
      <c r="H23" s="56">
        <v>72</v>
      </c>
      <c r="I23" s="157">
        <v>1</v>
      </c>
      <c r="J23" s="165">
        <v>0</v>
      </c>
      <c r="K23" s="160">
        <v>237</v>
      </c>
      <c r="L23" s="57">
        <v>0</v>
      </c>
      <c r="M23" s="181">
        <v>0</v>
      </c>
      <c r="N23" s="56">
        <v>133</v>
      </c>
      <c r="O23" s="57">
        <v>0</v>
      </c>
      <c r="P23" s="165">
        <v>0</v>
      </c>
      <c r="Q23" s="161">
        <v>0</v>
      </c>
      <c r="R23" s="57">
        <v>0</v>
      </c>
      <c r="S23" s="181">
        <v>0</v>
      </c>
      <c r="T23" s="56">
        <v>540</v>
      </c>
      <c r="U23" s="157">
        <v>4</v>
      </c>
      <c r="V23" s="58">
        <v>7.4074074074074077E-3</v>
      </c>
      <c r="W23" s="57">
        <v>0</v>
      </c>
      <c r="X23" s="197">
        <v>20</v>
      </c>
    </row>
    <row r="24" spans="1:24" x14ac:dyDescent="0.35">
      <c r="A24" s="164" t="s">
        <v>176</v>
      </c>
      <c r="B24" s="155"/>
      <c r="C24" s="160"/>
      <c r="D24" s="165" t="s">
        <v>140</v>
      </c>
      <c r="E24" s="161">
        <v>143</v>
      </c>
      <c r="F24" s="57">
        <v>3</v>
      </c>
      <c r="G24" s="181">
        <v>0</v>
      </c>
      <c r="H24" s="56">
        <v>75</v>
      </c>
      <c r="I24" s="157">
        <v>0</v>
      </c>
      <c r="J24" s="165">
        <v>0</v>
      </c>
      <c r="K24" s="160">
        <v>173</v>
      </c>
      <c r="L24" s="57">
        <v>3</v>
      </c>
      <c r="M24" s="181">
        <v>10</v>
      </c>
      <c r="N24" s="56">
        <v>63</v>
      </c>
      <c r="O24" s="57">
        <v>1</v>
      </c>
      <c r="P24" s="165">
        <v>36</v>
      </c>
      <c r="Q24" s="161">
        <v>0</v>
      </c>
      <c r="R24" s="57">
        <v>0</v>
      </c>
      <c r="S24" s="181">
        <v>0</v>
      </c>
      <c r="T24" s="56">
        <v>454</v>
      </c>
      <c r="U24" s="157">
        <v>7</v>
      </c>
      <c r="V24" s="58">
        <v>1.5418502202643172E-2</v>
      </c>
      <c r="W24" s="57">
        <v>46</v>
      </c>
      <c r="X24" s="197">
        <v>18.518518518518519</v>
      </c>
    </row>
    <row r="25" spans="1:24" x14ac:dyDescent="0.35">
      <c r="A25" s="164" t="s">
        <v>149</v>
      </c>
      <c r="B25" s="155"/>
      <c r="C25" s="160"/>
      <c r="D25" s="165" t="s">
        <v>140</v>
      </c>
      <c r="E25" s="161">
        <v>98</v>
      </c>
      <c r="F25" s="57">
        <v>4</v>
      </c>
      <c r="G25" s="181">
        <v>0</v>
      </c>
      <c r="H25" s="56">
        <v>99</v>
      </c>
      <c r="I25" s="157">
        <v>1</v>
      </c>
      <c r="J25" s="165">
        <v>0</v>
      </c>
      <c r="K25" s="160">
        <v>184</v>
      </c>
      <c r="L25" s="57">
        <v>3</v>
      </c>
      <c r="M25" s="181">
        <v>0</v>
      </c>
      <c r="N25" s="56">
        <v>45</v>
      </c>
      <c r="O25" s="57">
        <v>0</v>
      </c>
      <c r="P25" s="165">
        <v>0</v>
      </c>
      <c r="Q25" s="161">
        <v>0</v>
      </c>
      <c r="R25" s="57">
        <v>0</v>
      </c>
      <c r="S25" s="181">
        <v>0</v>
      </c>
      <c r="T25" s="56">
        <v>426</v>
      </c>
      <c r="U25" s="157">
        <v>8</v>
      </c>
      <c r="V25" s="58">
        <v>1.8779342723004695E-2</v>
      </c>
      <c r="W25" s="57">
        <v>0</v>
      </c>
      <c r="X25" s="197">
        <v>15.777777777777779</v>
      </c>
    </row>
    <row r="26" spans="1:24" x14ac:dyDescent="0.35">
      <c r="A26" s="164" t="s">
        <v>181</v>
      </c>
      <c r="B26" s="155"/>
      <c r="C26" s="160"/>
      <c r="D26" s="165" t="s">
        <v>140</v>
      </c>
      <c r="E26" s="161">
        <v>79</v>
      </c>
      <c r="F26" s="57">
        <v>1</v>
      </c>
      <c r="G26" s="181">
        <v>0</v>
      </c>
      <c r="H26" s="56">
        <v>57</v>
      </c>
      <c r="I26" s="157">
        <v>2</v>
      </c>
      <c r="J26" s="165">
        <v>4</v>
      </c>
      <c r="K26" s="160">
        <v>52</v>
      </c>
      <c r="L26" s="57">
        <v>0</v>
      </c>
      <c r="M26" s="181">
        <v>8</v>
      </c>
      <c r="N26" s="56">
        <v>230</v>
      </c>
      <c r="O26" s="57">
        <v>2</v>
      </c>
      <c r="P26" s="165">
        <v>0</v>
      </c>
      <c r="Q26" s="161">
        <v>0</v>
      </c>
      <c r="R26" s="57">
        <v>0</v>
      </c>
      <c r="S26" s="181">
        <v>0</v>
      </c>
      <c r="T26" s="56">
        <v>418</v>
      </c>
      <c r="U26" s="157">
        <v>5</v>
      </c>
      <c r="V26" s="58">
        <v>1.1961722488038277E-2</v>
      </c>
      <c r="W26" s="57">
        <v>12</v>
      </c>
      <c r="X26" s="197">
        <v>15.925925925925926</v>
      </c>
    </row>
    <row r="27" spans="1:24" x14ac:dyDescent="0.35">
      <c r="A27" s="164" t="s">
        <v>157</v>
      </c>
      <c r="B27" s="155"/>
      <c r="C27" s="160"/>
      <c r="D27" s="165" t="s">
        <v>140</v>
      </c>
      <c r="E27" s="161">
        <v>103</v>
      </c>
      <c r="F27" s="57">
        <v>0</v>
      </c>
      <c r="G27" s="181">
        <v>0</v>
      </c>
      <c r="H27" s="56">
        <v>34</v>
      </c>
      <c r="I27" s="157">
        <v>1</v>
      </c>
      <c r="J27" s="165">
        <v>0</v>
      </c>
      <c r="K27" s="160">
        <v>68</v>
      </c>
      <c r="L27" s="57">
        <v>0</v>
      </c>
      <c r="M27" s="181">
        <v>0</v>
      </c>
      <c r="N27" s="56">
        <v>134</v>
      </c>
      <c r="O27" s="57">
        <v>6</v>
      </c>
      <c r="P27" s="165">
        <v>0</v>
      </c>
      <c r="Q27" s="161">
        <v>0</v>
      </c>
      <c r="R27" s="57">
        <v>0</v>
      </c>
      <c r="S27" s="181">
        <v>0</v>
      </c>
      <c r="T27" s="56">
        <v>339</v>
      </c>
      <c r="U27" s="157">
        <v>7</v>
      </c>
      <c r="V27" s="58">
        <v>2.0648967551622419E-2</v>
      </c>
      <c r="W27" s="57">
        <v>0</v>
      </c>
      <c r="X27" s="197">
        <v>12.555555555555555</v>
      </c>
    </row>
    <row r="28" spans="1:24" ht="15" thickBot="1" x14ac:dyDescent="0.4">
      <c r="A28" s="233" t="s">
        <v>165</v>
      </c>
      <c r="B28" s="234"/>
      <c r="C28" s="170"/>
      <c r="D28" s="235" t="s">
        <v>140</v>
      </c>
      <c r="E28" s="183">
        <v>81</v>
      </c>
      <c r="F28" s="152">
        <v>2</v>
      </c>
      <c r="G28" s="184">
        <v>0</v>
      </c>
      <c r="H28" s="192">
        <v>93</v>
      </c>
      <c r="I28" s="193">
        <v>1</v>
      </c>
      <c r="J28" s="167">
        <v>13</v>
      </c>
      <c r="K28" s="170">
        <v>139</v>
      </c>
      <c r="L28" s="152">
        <v>3</v>
      </c>
      <c r="M28" s="184">
        <v>0</v>
      </c>
      <c r="N28" s="192">
        <v>21</v>
      </c>
      <c r="O28" s="194">
        <v>0</v>
      </c>
      <c r="P28" s="167">
        <v>0</v>
      </c>
      <c r="Q28" s="183">
        <v>0</v>
      </c>
      <c r="R28" s="152">
        <v>0</v>
      </c>
      <c r="S28" s="184">
        <v>0</v>
      </c>
      <c r="T28" s="243">
        <v>334</v>
      </c>
      <c r="U28" s="244">
        <v>6</v>
      </c>
      <c r="V28" s="245">
        <v>1.7964071856287425E-2</v>
      </c>
      <c r="W28" s="152">
        <v>13</v>
      </c>
      <c r="X28" s="246">
        <v>12.851851851851851</v>
      </c>
    </row>
    <row r="29" spans="1:24" s="16" customFormat="1" ht="15" thickBot="1" x14ac:dyDescent="0.4">
      <c r="A29" s="238" t="s">
        <v>250</v>
      </c>
      <c r="B29" s="239"/>
      <c r="C29" s="240"/>
      <c r="D29" s="241"/>
      <c r="E29" s="73">
        <f t="shared" ref="E29:U29" si="1">SUM(E19:E28)</f>
        <v>1042</v>
      </c>
      <c r="F29" s="74">
        <f t="shared" si="1"/>
        <v>26</v>
      </c>
      <c r="G29" s="200">
        <f t="shared" si="1"/>
        <v>0</v>
      </c>
      <c r="H29" s="73">
        <f t="shared" si="1"/>
        <v>1326</v>
      </c>
      <c r="I29" s="74">
        <f t="shared" si="1"/>
        <v>21</v>
      </c>
      <c r="J29" s="200">
        <f t="shared" si="1"/>
        <v>24</v>
      </c>
      <c r="K29" s="73">
        <f t="shared" si="1"/>
        <v>1506</v>
      </c>
      <c r="L29" s="74">
        <f t="shared" si="1"/>
        <v>16</v>
      </c>
      <c r="M29" s="200">
        <f t="shared" si="1"/>
        <v>19</v>
      </c>
      <c r="N29" s="73">
        <f t="shared" si="1"/>
        <v>1668</v>
      </c>
      <c r="O29" s="74">
        <f t="shared" si="1"/>
        <v>19</v>
      </c>
      <c r="P29" s="200">
        <f t="shared" si="1"/>
        <v>36</v>
      </c>
      <c r="Q29" s="73">
        <f t="shared" si="1"/>
        <v>0</v>
      </c>
      <c r="R29" s="74">
        <f t="shared" si="1"/>
        <v>0</v>
      </c>
      <c r="S29" s="242">
        <f t="shared" si="1"/>
        <v>0</v>
      </c>
      <c r="T29" s="73">
        <f t="shared" si="1"/>
        <v>5542</v>
      </c>
      <c r="U29" s="74">
        <f t="shared" si="1"/>
        <v>82</v>
      </c>
      <c r="V29" s="250">
        <f>U29/T29</f>
        <v>1.4796102490075786E-2</v>
      </c>
      <c r="W29" s="74">
        <f>SUM(W19:W28)</f>
        <v>79</v>
      </c>
      <c r="X29" s="75">
        <f>SUM(X19:X28)</f>
        <v>208.18518518518516</v>
      </c>
    </row>
    <row r="30" spans="1:24" x14ac:dyDescent="0.35">
      <c r="A30" s="236" t="s">
        <v>169</v>
      </c>
      <c r="B30" s="237"/>
      <c r="C30" s="172"/>
      <c r="D30" s="188" t="s">
        <v>141</v>
      </c>
      <c r="E30" s="124">
        <v>40</v>
      </c>
      <c r="F30" s="63">
        <v>1</v>
      </c>
      <c r="G30" s="179">
        <v>0</v>
      </c>
      <c r="H30" s="172">
        <v>261</v>
      </c>
      <c r="I30" s="187">
        <v>10</v>
      </c>
      <c r="J30" s="188">
        <v>0</v>
      </c>
      <c r="K30" s="62">
        <v>226</v>
      </c>
      <c r="L30" s="63">
        <v>5</v>
      </c>
      <c r="M30" s="179">
        <v>0</v>
      </c>
      <c r="N30" s="172">
        <v>346</v>
      </c>
      <c r="O30" s="93">
        <v>1</v>
      </c>
      <c r="P30" s="188">
        <v>0</v>
      </c>
      <c r="Q30" s="124">
        <v>0</v>
      </c>
      <c r="R30" s="63">
        <v>0</v>
      </c>
      <c r="S30" s="179">
        <v>0</v>
      </c>
      <c r="T30" s="247">
        <v>873</v>
      </c>
      <c r="U30" s="187">
        <v>17</v>
      </c>
      <c r="V30" s="248">
        <v>1.9473081328751432E-2</v>
      </c>
      <c r="W30" s="93">
        <v>0</v>
      </c>
      <c r="X30" s="249">
        <v>32.333333333333336</v>
      </c>
    </row>
    <row r="31" spans="1:24" x14ac:dyDescent="0.35">
      <c r="A31" s="162" t="s">
        <v>180</v>
      </c>
      <c r="B31" s="158"/>
      <c r="C31" s="159"/>
      <c r="D31" s="92" t="s">
        <v>141</v>
      </c>
      <c r="E31" s="189">
        <v>93</v>
      </c>
      <c r="F31" s="52">
        <v>2</v>
      </c>
      <c r="G31" s="163">
        <v>0</v>
      </c>
      <c r="H31" s="159">
        <v>106</v>
      </c>
      <c r="I31" s="156">
        <v>3</v>
      </c>
      <c r="J31" s="92">
        <v>0</v>
      </c>
      <c r="K31" s="51">
        <v>133</v>
      </c>
      <c r="L31" s="52">
        <v>0</v>
      </c>
      <c r="M31" s="163">
        <v>0</v>
      </c>
      <c r="N31" s="159">
        <v>124</v>
      </c>
      <c r="O31" s="52">
        <v>0</v>
      </c>
      <c r="P31" s="92">
        <v>0</v>
      </c>
      <c r="Q31" s="189">
        <v>0</v>
      </c>
      <c r="R31" s="52">
        <v>0</v>
      </c>
      <c r="S31" s="163">
        <v>0</v>
      </c>
      <c r="T31" s="51">
        <v>456</v>
      </c>
      <c r="U31" s="156">
        <v>5</v>
      </c>
      <c r="V31" s="53">
        <v>1.0964912280701754E-2</v>
      </c>
      <c r="W31" s="52">
        <v>0</v>
      </c>
      <c r="X31" s="203">
        <v>16.888888888888889</v>
      </c>
    </row>
    <row r="32" spans="1:24" x14ac:dyDescent="0.35">
      <c r="A32" s="162" t="s">
        <v>160</v>
      </c>
      <c r="B32" s="158"/>
      <c r="C32" s="159"/>
      <c r="D32" s="92" t="s">
        <v>141</v>
      </c>
      <c r="E32" s="189">
        <v>49</v>
      </c>
      <c r="F32" s="52">
        <v>1</v>
      </c>
      <c r="G32" s="163">
        <v>0</v>
      </c>
      <c r="H32" s="159">
        <v>152</v>
      </c>
      <c r="I32" s="156">
        <v>8</v>
      </c>
      <c r="J32" s="92">
        <v>0</v>
      </c>
      <c r="K32" s="51">
        <v>66</v>
      </c>
      <c r="L32" s="52">
        <v>2</v>
      </c>
      <c r="M32" s="163">
        <v>0</v>
      </c>
      <c r="N32" s="159">
        <v>184</v>
      </c>
      <c r="O32" s="52">
        <v>0</v>
      </c>
      <c r="P32" s="92">
        <v>0</v>
      </c>
      <c r="Q32" s="189">
        <v>0</v>
      </c>
      <c r="R32" s="52">
        <v>0</v>
      </c>
      <c r="S32" s="163">
        <v>0</v>
      </c>
      <c r="T32" s="51">
        <v>451</v>
      </c>
      <c r="U32" s="156">
        <v>11</v>
      </c>
      <c r="V32" s="53">
        <v>2.4390243902439025E-2</v>
      </c>
      <c r="W32" s="52">
        <v>0</v>
      </c>
      <c r="X32" s="203">
        <v>16.703703703703702</v>
      </c>
    </row>
    <row r="33" spans="1:24" x14ac:dyDescent="0.35">
      <c r="A33" s="162" t="s">
        <v>164</v>
      </c>
      <c r="B33" s="158"/>
      <c r="C33" s="159"/>
      <c r="D33" s="92" t="s">
        <v>141</v>
      </c>
      <c r="E33" s="189">
        <v>114</v>
      </c>
      <c r="F33" s="52">
        <v>16</v>
      </c>
      <c r="G33" s="163">
        <v>0</v>
      </c>
      <c r="H33" s="159">
        <v>54</v>
      </c>
      <c r="I33" s="156">
        <v>0</v>
      </c>
      <c r="J33" s="92">
        <v>0</v>
      </c>
      <c r="K33" s="51">
        <v>47</v>
      </c>
      <c r="L33" s="52">
        <v>1</v>
      </c>
      <c r="M33" s="163">
        <v>0</v>
      </c>
      <c r="N33" s="159">
        <v>172</v>
      </c>
      <c r="O33" s="52">
        <v>3</v>
      </c>
      <c r="P33" s="92">
        <v>0</v>
      </c>
      <c r="Q33" s="189">
        <v>0</v>
      </c>
      <c r="R33" s="52">
        <v>0</v>
      </c>
      <c r="S33" s="163">
        <v>0</v>
      </c>
      <c r="T33" s="51">
        <v>387</v>
      </c>
      <c r="U33" s="156">
        <v>20</v>
      </c>
      <c r="V33" s="53">
        <v>5.1679586563307491E-2</v>
      </c>
      <c r="W33" s="52">
        <v>0</v>
      </c>
      <c r="X33" s="203">
        <v>14.333333333333334</v>
      </c>
    </row>
    <row r="34" spans="1:24" x14ac:dyDescent="0.35">
      <c r="A34" s="162" t="s">
        <v>166</v>
      </c>
      <c r="B34" s="158"/>
      <c r="C34" s="159"/>
      <c r="D34" s="92" t="s">
        <v>141</v>
      </c>
      <c r="E34" s="189">
        <v>0</v>
      </c>
      <c r="F34" s="52">
        <v>0</v>
      </c>
      <c r="G34" s="163">
        <v>0</v>
      </c>
      <c r="H34" s="159">
        <v>165</v>
      </c>
      <c r="I34" s="156">
        <v>0</v>
      </c>
      <c r="J34" s="92">
        <v>0</v>
      </c>
      <c r="K34" s="51">
        <v>91</v>
      </c>
      <c r="L34" s="52">
        <v>1</v>
      </c>
      <c r="M34" s="163">
        <v>0</v>
      </c>
      <c r="N34" s="159">
        <v>127</v>
      </c>
      <c r="O34" s="52">
        <v>0</v>
      </c>
      <c r="P34" s="92">
        <v>0</v>
      </c>
      <c r="Q34" s="189">
        <v>0</v>
      </c>
      <c r="R34" s="52">
        <v>0</v>
      </c>
      <c r="S34" s="163">
        <v>0</v>
      </c>
      <c r="T34" s="51">
        <v>383</v>
      </c>
      <c r="U34" s="156">
        <v>1</v>
      </c>
      <c r="V34" s="53">
        <v>2.6109660574412533E-3</v>
      </c>
      <c r="W34" s="52">
        <v>0</v>
      </c>
      <c r="X34" s="203">
        <v>14.185185185185185</v>
      </c>
    </row>
    <row r="35" spans="1:24" x14ac:dyDescent="0.35">
      <c r="A35" s="162" t="s">
        <v>153</v>
      </c>
      <c r="B35" s="158"/>
      <c r="C35" s="159"/>
      <c r="D35" s="92" t="s">
        <v>141</v>
      </c>
      <c r="E35" s="189">
        <v>28</v>
      </c>
      <c r="F35" s="52">
        <v>1</v>
      </c>
      <c r="G35" s="163">
        <v>0</v>
      </c>
      <c r="H35" s="159">
        <v>113</v>
      </c>
      <c r="I35" s="156">
        <v>0</v>
      </c>
      <c r="J35" s="92">
        <v>0</v>
      </c>
      <c r="K35" s="51">
        <v>74</v>
      </c>
      <c r="L35" s="52">
        <v>4</v>
      </c>
      <c r="M35" s="163">
        <v>15</v>
      </c>
      <c r="N35" s="159">
        <v>136</v>
      </c>
      <c r="O35" s="52">
        <v>0</v>
      </c>
      <c r="P35" s="92">
        <v>0</v>
      </c>
      <c r="Q35" s="189">
        <v>0</v>
      </c>
      <c r="R35" s="52">
        <v>0</v>
      </c>
      <c r="S35" s="163">
        <v>0</v>
      </c>
      <c r="T35" s="51">
        <v>351</v>
      </c>
      <c r="U35" s="156">
        <v>5</v>
      </c>
      <c r="V35" s="53">
        <v>1.4245014245014245E-2</v>
      </c>
      <c r="W35" s="52">
        <v>15</v>
      </c>
      <c r="X35" s="203">
        <v>13.555555555555555</v>
      </c>
    </row>
    <row r="36" spans="1:24" x14ac:dyDescent="0.35">
      <c r="A36" s="162" t="s">
        <v>144</v>
      </c>
      <c r="B36" s="158"/>
      <c r="C36" s="159"/>
      <c r="D36" s="92" t="s">
        <v>141</v>
      </c>
      <c r="E36" s="189">
        <v>77</v>
      </c>
      <c r="F36" s="52">
        <v>8</v>
      </c>
      <c r="G36" s="163">
        <v>0</v>
      </c>
      <c r="H36" s="159">
        <v>89</v>
      </c>
      <c r="I36" s="156">
        <v>1</v>
      </c>
      <c r="J36" s="92">
        <v>0</v>
      </c>
      <c r="K36" s="51">
        <v>171</v>
      </c>
      <c r="L36" s="52">
        <v>9</v>
      </c>
      <c r="M36" s="163">
        <v>0</v>
      </c>
      <c r="N36" s="159">
        <v>5</v>
      </c>
      <c r="O36" s="52">
        <v>0</v>
      </c>
      <c r="P36" s="92">
        <v>0</v>
      </c>
      <c r="Q36" s="189">
        <v>0</v>
      </c>
      <c r="R36" s="52">
        <v>0</v>
      </c>
      <c r="S36" s="163">
        <v>0</v>
      </c>
      <c r="T36" s="51">
        <v>342</v>
      </c>
      <c r="U36" s="156">
        <v>18</v>
      </c>
      <c r="V36" s="53">
        <v>5.2631578947368418E-2</v>
      </c>
      <c r="W36" s="52">
        <v>2</v>
      </c>
      <c r="X36" s="203">
        <v>12.74074074074074</v>
      </c>
    </row>
    <row r="37" spans="1:24" x14ac:dyDescent="0.35">
      <c r="A37" s="162" t="s">
        <v>152</v>
      </c>
      <c r="B37" s="158"/>
      <c r="C37" s="159"/>
      <c r="D37" s="92" t="s">
        <v>141</v>
      </c>
      <c r="E37" s="189">
        <v>29</v>
      </c>
      <c r="F37" s="52">
        <v>1</v>
      </c>
      <c r="G37" s="163">
        <v>0</v>
      </c>
      <c r="H37" s="159">
        <v>48</v>
      </c>
      <c r="I37" s="156">
        <v>2</v>
      </c>
      <c r="J37" s="92">
        <v>0</v>
      </c>
      <c r="K37" s="51">
        <v>195</v>
      </c>
      <c r="L37" s="52">
        <v>5</v>
      </c>
      <c r="M37" s="163">
        <v>10</v>
      </c>
      <c r="N37" s="159">
        <v>0</v>
      </c>
      <c r="O37" s="52">
        <v>0</v>
      </c>
      <c r="P37" s="92">
        <v>0</v>
      </c>
      <c r="Q37" s="189">
        <v>0</v>
      </c>
      <c r="R37" s="52">
        <v>0</v>
      </c>
      <c r="S37" s="163">
        <v>0</v>
      </c>
      <c r="T37" s="51">
        <v>272</v>
      </c>
      <c r="U37" s="156">
        <v>8</v>
      </c>
      <c r="V37" s="53">
        <v>2.9411764705882353E-2</v>
      </c>
      <c r="W37" s="52">
        <v>10</v>
      </c>
      <c r="X37" s="203">
        <v>10.444444444444445</v>
      </c>
    </row>
    <row r="38" spans="1:24" x14ac:dyDescent="0.35">
      <c r="A38" s="162" t="s">
        <v>154</v>
      </c>
      <c r="B38" s="158"/>
      <c r="C38" s="159"/>
      <c r="D38" s="92" t="s">
        <v>141</v>
      </c>
      <c r="E38" s="189">
        <v>58</v>
      </c>
      <c r="F38" s="52">
        <v>1</v>
      </c>
      <c r="G38" s="163">
        <v>0</v>
      </c>
      <c r="H38" s="159">
        <v>73</v>
      </c>
      <c r="I38" s="156">
        <v>4</v>
      </c>
      <c r="J38" s="92">
        <v>0</v>
      </c>
      <c r="K38" s="51">
        <v>73</v>
      </c>
      <c r="L38" s="52">
        <v>0</v>
      </c>
      <c r="M38" s="163">
        <v>0</v>
      </c>
      <c r="N38" s="159">
        <v>48</v>
      </c>
      <c r="O38" s="52">
        <v>0</v>
      </c>
      <c r="P38" s="92">
        <v>0</v>
      </c>
      <c r="Q38" s="189">
        <v>0</v>
      </c>
      <c r="R38" s="52">
        <v>0</v>
      </c>
      <c r="S38" s="163">
        <v>0</v>
      </c>
      <c r="T38" s="51">
        <v>252</v>
      </c>
      <c r="U38" s="156">
        <v>5</v>
      </c>
      <c r="V38" s="53">
        <v>1.984126984126984E-2</v>
      </c>
      <c r="W38" s="52">
        <v>0</v>
      </c>
      <c r="X38" s="203">
        <v>9.3333333333333339</v>
      </c>
    </row>
    <row r="39" spans="1:24" x14ac:dyDescent="0.35">
      <c r="A39" s="162" t="s">
        <v>179</v>
      </c>
      <c r="B39" s="158"/>
      <c r="C39" s="159"/>
      <c r="D39" s="92" t="s">
        <v>141</v>
      </c>
      <c r="E39" s="189">
        <v>103</v>
      </c>
      <c r="F39" s="52">
        <v>3</v>
      </c>
      <c r="G39" s="163">
        <v>0</v>
      </c>
      <c r="H39" s="159">
        <v>54</v>
      </c>
      <c r="I39" s="156">
        <v>1</v>
      </c>
      <c r="J39" s="92">
        <v>0</v>
      </c>
      <c r="K39" s="51">
        <v>48</v>
      </c>
      <c r="L39" s="52">
        <v>0</v>
      </c>
      <c r="M39" s="163">
        <v>0</v>
      </c>
      <c r="N39" s="159">
        <v>12</v>
      </c>
      <c r="O39" s="52">
        <v>0</v>
      </c>
      <c r="P39" s="92">
        <v>0</v>
      </c>
      <c r="Q39" s="189">
        <v>0</v>
      </c>
      <c r="R39" s="52">
        <v>0</v>
      </c>
      <c r="S39" s="163">
        <v>0</v>
      </c>
      <c r="T39" s="51">
        <v>217</v>
      </c>
      <c r="U39" s="156">
        <v>4</v>
      </c>
      <c r="V39" s="53">
        <v>1.8433179723502304E-2</v>
      </c>
      <c r="W39" s="52">
        <v>0</v>
      </c>
      <c r="X39" s="203">
        <v>8.0370370370370363</v>
      </c>
    </row>
    <row r="40" spans="1:24" x14ac:dyDescent="0.35">
      <c r="A40" s="162" t="s">
        <v>175</v>
      </c>
      <c r="B40" s="158"/>
      <c r="C40" s="159"/>
      <c r="D40" s="92" t="s">
        <v>141</v>
      </c>
      <c r="E40" s="189">
        <v>0</v>
      </c>
      <c r="F40" s="52">
        <v>0</v>
      </c>
      <c r="G40" s="163">
        <v>0</v>
      </c>
      <c r="H40" s="159">
        <v>41</v>
      </c>
      <c r="I40" s="156">
        <v>0</v>
      </c>
      <c r="J40" s="92">
        <v>0</v>
      </c>
      <c r="K40" s="51">
        <v>113</v>
      </c>
      <c r="L40" s="52">
        <v>0</v>
      </c>
      <c r="M40" s="163">
        <v>5</v>
      </c>
      <c r="N40" s="159">
        <v>45</v>
      </c>
      <c r="O40" s="52">
        <v>0</v>
      </c>
      <c r="P40" s="92">
        <v>0</v>
      </c>
      <c r="Q40" s="189">
        <v>0</v>
      </c>
      <c r="R40" s="52">
        <v>0</v>
      </c>
      <c r="S40" s="163">
        <v>0</v>
      </c>
      <c r="T40" s="51">
        <v>199</v>
      </c>
      <c r="U40" s="156">
        <v>0</v>
      </c>
      <c r="V40" s="53">
        <v>0</v>
      </c>
      <c r="W40" s="52">
        <v>5</v>
      </c>
      <c r="X40" s="203">
        <v>7.5555555555555554</v>
      </c>
    </row>
    <row r="41" spans="1:24" ht="15" thickBot="1" x14ac:dyDescent="0.4">
      <c r="A41" s="64" t="s">
        <v>182</v>
      </c>
      <c r="B41" s="65"/>
      <c r="C41" s="173"/>
      <c r="D41" s="180" t="s">
        <v>141</v>
      </c>
      <c r="E41" s="123">
        <v>0</v>
      </c>
      <c r="F41" s="67">
        <v>0</v>
      </c>
      <c r="G41" s="174">
        <v>0</v>
      </c>
      <c r="H41" s="168">
        <v>0</v>
      </c>
      <c r="I41" s="125">
        <v>0</v>
      </c>
      <c r="J41" s="182">
        <v>0</v>
      </c>
      <c r="K41" s="66">
        <v>0</v>
      </c>
      <c r="L41" s="67">
        <v>0</v>
      </c>
      <c r="M41" s="174">
        <v>0</v>
      </c>
      <c r="N41" s="168">
        <v>0</v>
      </c>
      <c r="O41" s="69">
        <v>0</v>
      </c>
      <c r="P41" s="182">
        <v>0</v>
      </c>
      <c r="Q41" s="123">
        <v>0</v>
      </c>
      <c r="R41" s="67">
        <v>0</v>
      </c>
      <c r="S41" s="174">
        <v>0</v>
      </c>
      <c r="T41" s="66">
        <v>0</v>
      </c>
      <c r="U41" s="122">
        <v>0</v>
      </c>
      <c r="V41" s="204">
        <v>0</v>
      </c>
      <c r="W41" s="67">
        <v>0</v>
      </c>
      <c r="X41" s="205">
        <v>0</v>
      </c>
    </row>
    <row r="42" spans="1:24" s="16" customFormat="1" ht="15" thickBot="1" x14ac:dyDescent="0.4">
      <c r="A42" s="226" t="s">
        <v>249</v>
      </c>
      <c r="B42" s="227"/>
      <c r="C42" s="228"/>
      <c r="D42" s="228"/>
      <c r="E42" s="209">
        <f t="shared" ref="E42:U42" si="2">SUM(E30:E41)</f>
        <v>591</v>
      </c>
      <c r="F42" s="208">
        <f t="shared" si="2"/>
        <v>34</v>
      </c>
      <c r="G42" s="231">
        <f t="shared" si="2"/>
        <v>0</v>
      </c>
      <c r="H42" s="209">
        <f t="shared" si="2"/>
        <v>1156</v>
      </c>
      <c r="I42" s="208">
        <f t="shared" si="2"/>
        <v>29</v>
      </c>
      <c r="J42" s="231">
        <f t="shared" si="2"/>
        <v>0</v>
      </c>
      <c r="K42" s="209">
        <f t="shared" si="2"/>
        <v>1237</v>
      </c>
      <c r="L42" s="208">
        <f t="shared" si="2"/>
        <v>27</v>
      </c>
      <c r="M42" s="231">
        <f t="shared" si="2"/>
        <v>30</v>
      </c>
      <c r="N42" s="209">
        <f t="shared" si="2"/>
        <v>1199</v>
      </c>
      <c r="O42" s="208">
        <f t="shared" si="2"/>
        <v>4</v>
      </c>
      <c r="P42" s="231">
        <f t="shared" si="2"/>
        <v>0</v>
      </c>
      <c r="Q42" s="209">
        <f t="shared" si="2"/>
        <v>0</v>
      </c>
      <c r="R42" s="208">
        <f t="shared" si="2"/>
        <v>0</v>
      </c>
      <c r="S42" s="231">
        <f t="shared" si="2"/>
        <v>0</v>
      </c>
      <c r="T42" s="229">
        <f t="shared" si="2"/>
        <v>4183</v>
      </c>
      <c r="U42" s="208">
        <f t="shared" si="2"/>
        <v>94</v>
      </c>
      <c r="V42" s="232">
        <f>U42/T42</f>
        <v>2.247191011235955E-2</v>
      </c>
      <c r="W42" s="208">
        <f>SUM(W30:W41)</f>
        <v>32</v>
      </c>
      <c r="X42" s="211">
        <f>SUM(X30:X41)</f>
        <v>156.11111111111111</v>
      </c>
    </row>
    <row r="43" spans="1:24" x14ac:dyDescent="0.35">
      <c r="A43" s="175" t="s">
        <v>146</v>
      </c>
      <c r="B43" s="176"/>
      <c r="C43" s="177"/>
      <c r="D43" s="178" t="s">
        <v>142</v>
      </c>
      <c r="E43" s="185">
        <v>82</v>
      </c>
      <c r="F43" s="95">
        <v>2</v>
      </c>
      <c r="G43" s="186">
        <v>0</v>
      </c>
      <c r="H43" s="54">
        <v>104</v>
      </c>
      <c r="I43" s="191">
        <v>2</v>
      </c>
      <c r="J43" s="178">
        <v>0</v>
      </c>
      <c r="K43" s="171">
        <v>198</v>
      </c>
      <c r="L43" s="95">
        <v>6</v>
      </c>
      <c r="M43" s="186">
        <v>0</v>
      </c>
      <c r="N43" s="54">
        <v>195</v>
      </c>
      <c r="O43" s="55">
        <v>1</v>
      </c>
      <c r="P43" s="178">
        <v>0</v>
      </c>
      <c r="Q43" s="185">
        <v>0</v>
      </c>
      <c r="R43" s="95">
        <v>0</v>
      </c>
      <c r="S43" s="186">
        <v>0</v>
      </c>
      <c r="T43" s="54">
        <v>579</v>
      </c>
      <c r="U43" s="191">
        <v>11</v>
      </c>
      <c r="V43" s="195">
        <v>1.8998272884283247E-2</v>
      </c>
      <c r="W43" s="55">
        <v>0</v>
      </c>
      <c r="X43" s="196">
        <v>21.444444444444443</v>
      </c>
    </row>
    <row r="44" spans="1:24" x14ac:dyDescent="0.35">
      <c r="A44" s="164" t="s">
        <v>163</v>
      </c>
      <c r="B44" s="155"/>
      <c r="C44" s="160"/>
      <c r="D44" s="165" t="s">
        <v>142</v>
      </c>
      <c r="E44" s="161">
        <v>118</v>
      </c>
      <c r="F44" s="57">
        <v>7</v>
      </c>
      <c r="G44" s="181">
        <v>0</v>
      </c>
      <c r="H44" s="56">
        <v>245</v>
      </c>
      <c r="I44" s="157">
        <v>8</v>
      </c>
      <c r="J44" s="165">
        <v>0</v>
      </c>
      <c r="K44" s="160">
        <v>105</v>
      </c>
      <c r="L44" s="57">
        <v>0</v>
      </c>
      <c r="M44" s="181">
        <v>0</v>
      </c>
      <c r="N44" s="56">
        <v>98</v>
      </c>
      <c r="O44" s="57">
        <v>5</v>
      </c>
      <c r="P44" s="165">
        <v>0</v>
      </c>
      <c r="Q44" s="161">
        <v>0</v>
      </c>
      <c r="R44" s="57">
        <v>0</v>
      </c>
      <c r="S44" s="181">
        <v>0</v>
      </c>
      <c r="T44" s="56">
        <v>566</v>
      </c>
      <c r="U44" s="157">
        <v>20</v>
      </c>
      <c r="V44" s="58">
        <v>3.5335689045936397E-2</v>
      </c>
      <c r="W44" s="57">
        <v>0</v>
      </c>
      <c r="X44" s="197">
        <v>20.962962962962962</v>
      </c>
    </row>
    <row r="45" spans="1:24" x14ac:dyDescent="0.35">
      <c r="A45" s="164" t="s">
        <v>159</v>
      </c>
      <c r="B45" s="155"/>
      <c r="C45" s="160"/>
      <c r="D45" s="165" t="s">
        <v>142</v>
      </c>
      <c r="E45" s="161">
        <v>102</v>
      </c>
      <c r="F45" s="57">
        <v>4</v>
      </c>
      <c r="G45" s="181">
        <v>0</v>
      </c>
      <c r="H45" s="56">
        <v>99</v>
      </c>
      <c r="I45" s="157">
        <v>2</v>
      </c>
      <c r="J45" s="165">
        <v>0</v>
      </c>
      <c r="K45" s="160">
        <v>62</v>
      </c>
      <c r="L45" s="57">
        <v>0</v>
      </c>
      <c r="M45" s="181">
        <v>0</v>
      </c>
      <c r="N45" s="56">
        <v>135</v>
      </c>
      <c r="O45" s="57">
        <v>0</v>
      </c>
      <c r="P45" s="165">
        <v>0</v>
      </c>
      <c r="Q45" s="161">
        <v>0</v>
      </c>
      <c r="R45" s="57">
        <v>0</v>
      </c>
      <c r="S45" s="181">
        <v>0</v>
      </c>
      <c r="T45" s="56">
        <v>398</v>
      </c>
      <c r="U45" s="157">
        <v>6</v>
      </c>
      <c r="V45" s="58">
        <v>1.507537688442211E-2</v>
      </c>
      <c r="W45" s="57">
        <v>0</v>
      </c>
      <c r="X45" s="197">
        <v>14.74074074074074</v>
      </c>
    </row>
    <row r="46" spans="1:24" x14ac:dyDescent="0.35">
      <c r="A46" s="164" t="s">
        <v>158</v>
      </c>
      <c r="B46" s="155"/>
      <c r="C46" s="160"/>
      <c r="D46" s="165" t="s">
        <v>142</v>
      </c>
      <c r="E46" s="161">
        <v>24</v>
      </c>
      <c r="F46" s="57">
        <v>1</v>
      </c>
      <c r="G46" s="181">
        <v>0</v>
      </c>
      <c r="H46" s="56">
        <v>46</v>
      </c>
      <c r="I46" s="157">
        <v>1</v>
      </c>
      <c r="J46" s="165">
        <v>0</v>
      </c>
      <c r="K46" s="160">
        <v>155</v>
      </c>
      <c r="L46" s="57">
        <v>6</v>
      </c>
      <c r="M46" s="181">
        <v>0</v>
      </c>
      <c r="N46" s="56">
        <v>48</v>
      </c>
      <c r="O46" s="57">
        <v>0</v>
      </c>
      <c r="P46" s="165">
        <v>0</v>
      </c>
      <c r="Q46" s="161">
        <v>0</v>
      </c>
      <c r="R46" s="57">
        <v>0</v>
      </c>
      <c r="S46" s="181">
        <v>0</v>
      </c>
      <c r="T46" s="56">
        <v>273</v>
      </c>
      <c r="U46" s="157">
        <v>8</v>
      </c>
      <c r="V46" s="58">
        <v>2.9304029304029304E-2</v>
      </c>
      <c r="W46" s="57">
        <v>0</v>
      </c>
      <c r="X46" s="197">
        <v>10.111111111111111</v>
      </c>
    </row>
    <row r="47" spans="1:24" x14ac:dyDescent="0.35">
      <c r="A47" s="164" t="s">
        <v>143</v>
      </c>
      <c r="B47" s="155"/>
      <c r="C47" s="160"/>
      <c r="D47" s="165" t="s">
        <v>142</v>
      </c>
      <c r="E47" s="161">
        <v>0</v>
      </c>
      <c r="F47" s="57">
        <v>0</v>
      </c>
      <c r="G47" s="181">
        <v>0</v>
      </c>
      <c r="H47" s="56">
        <v>0</v>
      </c>
      <c r="I47" s="157">
        <v>0</v>
      </c>
      <c r="J47" s="165">
        <v>0</v>
      </c>
      <c r="K47" s="160">
        <v>0</v>
      </c>
      <c r="L47" s="57">
        <v>0</v>
      </c>
      <c r="M47" s="181">
        <v>0</v>
      </c>
      <c r="N47" s="56">
        <v>0</v>
      </c>
      <c r="O47" s="57">
        <v>0</v>
      </c>
      <c r="P47" s="165">
        <v>0</v>
      </c>
      <c r="Q47" s="161">
        <v>0</v>
      </c>
      <c r="R47" s="57">
        <v>0</v>
      </c>
      <c r="S47" s="181">
        <v>0</v>
      </c>
      <c r="T47" s="56">
        <v>0</v>
      </c>
      <c r="U47" s="157">
        <v>0</v>
      </c>
      <c r="V47" s="58">
        <v>0</v>
      </c>
      <c r="W47" s="57">
        <v>0</v>
      </c>
      <c r="X47" s="197">
        <v>0</v>
      </c>
    </row>
    <row r="48" spans="1:24" x14ac:dyDescent="0.35">
      <c r="A48" s="164" t="s">
        <v>167</v>
      </c>
      <c r="B48" s="155"/>
      <c r="C48" s="160"/>
      <c r="D48" s="165" t="s">
        <v>142</v>
      </c>
      <c r="E48" s="161">
        <v>0</v>
      </c>
      <c r="F48" s="57">
        <v>0</v>
      </c>
      <c r="G48" s="181">
        <v>0</v>
      </c>
      <c r="H48" s="56">
        <v>0</v>
      </c>
      <c r="I48" s="157">
        <v>0</v>
      </c>
      <c r="J48" s="165">
        <v>0</v>
      </c>
      <c r="K48" s="160">
        <v>0</v>
      </c>
      <c r="L48" s="57">
        <v>0</v>
      </c>
      <c r="M48" s="181">
        <v>0</v>
      </c>
      <c r="N48" s="56">
        <v>0</v>
      </c>
      <c r="O48" s="57">
        <v>0</v>
      </c>
      <c r="P48" s="165">
        <v>0</v>
      </c>
      <c r="Q48" s="161">
        <v>0</v>
      </c>
      <c r="R48" s="57">
        <v>0</v>
      </c>
      <c r="S48" s="181">
        <v>0</v>
      </c>
      <c r="T48" s="56">
        <v>0</v>
      </c>
      <c r="U48" s="157">
        <v>0</v>
      </c>
      <c r="V48" s="58">
        <v>0</v>
      </c>
      <c r="W48" s="57">
        <v>0</v>
      </c>
      <c r="X48" s="197">
        <v>0</v>
      </c>
    </row>
    <row r="49" spans="1:24" ht="15" thickBot="1" x14ac:dyDescent="0.4">
      <c r="A49" s="46" t="s">
        <v>173</v>
      </c>
      <c r="B49" s="47"/>
      <c r="C49" s="166"/>
      <c r="D49" s="167" t="s">
        <v>142</v>
      </c>
      <c r="E49" s="183">
        <v>0</v>
      </c>
      <c r="F49" s="152">
        <v>0</v>
      </c>
      <c r="G49" s="184">
        <v>0</v>
      </c>
      <c r="H49" s="192">
        <v>0</v>
      </c>
      <c r="I49" s="193">
        <v>0</v>
      </c>
      <c r="J49" s="167">
        <v>0</v>
      </c>
      <c r="K49" s="170">
        <v>0</v>
      </c>
      <c r="L49" s="152">
        <v>0</v>
      </c>
      <c r="M49" s="184">
        <v>0</v>
      </c>
      <c r="N49" s="192">
        <v>0</v>
      </c>
      <c r="O49" s="194">
        <v>0</v>
      </c>
      <c r="P49" s="167">
        <v>0</v>
      </c>
      <c r="Q49" s="183">
        <v>0</v>
      </c>
      <c r="R49" s="152">
        <v>0</v>
      </c>
      <c r="S49" s="184">
        <v>0</v>
      </c>
      <c r="T49" s="192">
        <v>0</v>
      </c>
      <c r="U49" s="193">
        <v>0</v>
      </c>
      <c r="V49" s="198">
        <v>0</v>
      </c>
      <c r="W49" s="194">
        <v>0</v>
      </c>
      <c r="X49" s="199">
        <v>0</v>
      </c>
    </row>
    <row r="50" spans="1:24" s="16" customFormat="1" ht="15" thickBot="1" x14ac:dyDescent="0.4">
      <c r="A50" s="238" t="s">
        <v>251</v>
      </c>
      <c r="B50" s="239"/>
      <c r="C50" s="240"/>
      <c r="D50" s="241"/>
      <c r="E50" s="280">
        <f t="shared" ref="E50:U50" si="3">SUM(E43:E49)</f>
        <v>326</v>
      </c>
      <c r="F50" s="281">
        <f t="shared" si="3"/>
        <v>14</v>
      </c>
      <c r="G50" s="282">
        <f t="shared" si="3"/>
        <v>0</v>
      </c>
      <c r="H50" s="280">
        <f t="shared" si="3"/>
        <v>494</v>
      </c>
      <c r="I50" s="281">
        <f t="shared" si="3"/>
        <v>13</v>
      </c>
      <c r="J50" s="282">
        <f t="shared" si="3"/>
        <v>0</v>
      </c>
      <c r="K50" s="280">
        <f t="shared" si="3"/>
        <v>520</v>
      </c>
      <c r="L50" s="281">
        <f t="shared" si="3"/>
        <v>12</v>
      </c>
      <c r="M50" s="282">
        <f t="shared" si="3"/>
        <v>0</v>
      </c>
      <c r="N50" s="280">
        <f t="shared" si="3"/>
        <v>476</v>
      </c>
      <c r="O50" s="281">
        <f t="shared" si="3"/>
        <v>6</v>
      </c>
      <c r="P50" s="282">
        <f t="shared" si="3"/>
        <v>0</v>
      </c>
      <c r="Q50" s="280">
        <f t="shared" si="3"/>
        <v>0</v>
      </c>
      <c r="R50" s="281">
        <f t="shared" si="3"/>
        <v>0</v>
      </c>
      <c r="S50" s="282">
        <f t="shared" si="3"/>
        <v>0</v>
      </c>
      <c r="T50" s="280">
        <f t="shared" si="3"/>
        <v>1816</v>
      </c>
      <c r="U50" s="281">
        <f t="shared" si="3"/>
        <v>45</v>
      </c>
      <c r="V50" s="283">
        <f>U50/T50</f>
        <v>2.4779735682819382E-2</v>
      </c>
      <c r="W50" s="281">
        <f>SUM(W43:W49)</f>
        <v>0</v>
      </c>
      <c r="X50" s="284">
        <f>SUM(X43:X49)</f>
        <v>67.259259259259252</v>
      </c>
    </row>
    <row r="51" spans="1:24" ht="15" thickBot="1" x14ac:dyDescent="0.4">
      <c r="A51" s="432" t="s">
        <v>253</v>
      </c>
      <c r="B51" s="433"/>
      <c r="C51" s="434"/>
      <c r="D51" s="434"/>
      <c r="E51" s="73">
        <f t="shared" ref="E51:S51" si="4">E18+E29+E42+E50</f>
        <v>3051</v>
      </c>
      <c r="F51" s="74">
        <f t="shared" si="4"/>
        <v>103</v>
      </c>
      <c r="G51" s="242">
        <f t="shared" si="4"/>
        <v>2</v>
      </c>
      <c r="H51" s="73">
        <f t="shared" si="4"/>
        <v>5354</v>
      </c>
      <c r="I51" s="74">
        <f t="shared" si="4"/>
        <v>93</v>
      </c>
      <c r="J51" s="242">
        <f t="shared" si="4"/>
        <v>36</v>
      </c>
      <c r="K51" s="73">
        <f t="shared" si="4"/>
        <v>4909</v>
      </c>
      <c r="L51" s="74">
        <f t="shared" si="4"/>
        <v>75</v>
      </c>
      <c r="M51" s="242">
        <f t="shared" si="4"/>
        <v>149</v>
      </c>
      <c r="N51" s="73">
        <f t="shared" si="4"/>
        <v>3553</v>
      </c>
      <c r="O51" s="74">
        <f t="shared" si="4"/>
        <v>29</v>
      </c>
      <c r="P51" s="242">
        <f t="shared" si="4"/>
        <v>66</v>
      </c>
      <c r="Q51" s="73">
        <f t="shared" si="4"/>
        <v>0</v>
      </c>
      <c r="R51" s="74">
        <f t="shared" si="4"/>
        <v>0</v>
      </c>
      <c r="S51" s="242">
        <f t="shared" si="4"/>
        <v>0</v>
      </c>
      <c r="T51" s="73">
        <v>16867</v>
      </c>
      <c r="U51" s="74">
        <v>300</v>
      </c>
      <c r="V51" s="20">
        <v>1.7786209758700423E-2</v>
      </c>
      <c r="W51" s="115">
        <f>W18+W29+W42+W50</f>
        <v>253</v>
      </c>
      <c r="X51" s="75">
        <v>15.098765432098766</v>
      </c>
    </row>
    <row r="52" spans="1:24" x14ac:dyDescent="0.35">
      <c r="T52" s="7"/>
      <c r="W52" s="7"/>
    </row>
    <row r="53" spans="1:24" x14ac:dyDescent="0.35">
      <c r="T53" s="7"/>
      <c r="U53" s="7"/>
      <c r="W53" s="7"/>
      <c r="X53" s="7"/>
    </row>
  </sheetData>
  <sortState ref="A43:X49">
    <sortCondition descending="1" ref="X43:X49"/>
  </sortState>
  <mergeCells count="16">
    <mergeCell ref="A1:G1"/>
    <mergeCell ref="A2:B4"/>
    <mergeCell ref="C2:C4"/>
    <mergeCell ref="D2:D4"/>
    <mergeCell ref="E2:G2"/>
    <mergeCell ref="E3:G3"/>
    <mergeCell ref="T2:X3"/>
    <mergeCell ref="H3:J3"/>
    <mergeCell ref="K3:M3"/>
    <mergeCell ref="N3:P3"/>
    <mergeCell ref="Q3:S3"/>
    <mergeCell ref="A51:D51"/>
    <mergeCell ref="H2:J2"/>
    <mergeCell ref="K2:M2"/>
    <mergeCell ref="N2:P2"/>
    <mergeCell ref="Q2:S2"/>
  </mergeCells>
  <pageMargins left="0.25" right="0.25" top="0.75" bottom="0.75" header="0.3" footer="0.3"/>
  <pageSetup scale="64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6"/>
  <sheetViews>
    <sheetView zoomScale="90" zoomScaleNormal="90" workbookViewId="0">
      <selection activeCell="D23" sqref="D23"/>
    </sheetView>
  </sheetViews>
  <sheetFormatPr defaultColWidth="8.7265625" defaultRowHeight="14.5" x14ac:dyDescent="0.35"/>
  <cols>
    <col min="1" max="2" width="8.7265625" style="16"/>
    <col min="3" max="3" width="1.7265625" style="16" customWidth="1"/>
    <col min="4" max="4" width="17.54296875" style="16" bestFit="1" customWidth="1"/>
    <col min="5" max="5" width="8.7265625" style="16" customWidth="1"/>
    <col min="6" max="6" width="7.7265625" style="16" customWidth="1"/>
    <col min="7" max="7" width="9.6328125" style="16" customWidth="1"/>
    <col min="8" max="8" width="7.90625" style="16" customWidth="1"/>
    <col min="9" max="9" width="7.81640625" style="16" customWidth="1"/>
    <col min="10" max="10" width="9" style="16" customWidth="1"/>
    <col min="11" max="11" width="8.7265625" style="16" customWidth="1"/>
    <col min="12" max="12" width="8.08984375" style="16" customWidth="1"/>
    <col min="13" max="13" width="8.26953125" style="16" customWidth="1"/>
    <col min="14" max="14" width="9.90625" style="16" customWidth="1"/>
    <col min="15" max="15" width="10.26953125" style="16" customWidth="1"/>
    <col min="16" max="16" width="9" style="16" customWidth="1"/>
    <col min="17" max="17" width="7.1796875" style="16" bestFit="1" customWidth="1"/>
    <col min="18" max="18" width="6.54296875" style="16" customWidth="1"/>
    <col min="19" max="19" width="8.453125" style="16" customWidth="1"/>
    <col min="20" max="20" width="7.1796875" style="16" bestFit="1" customWidth="1"/>
    <col min="21" max="21" width="6.1796875" style="16" customWidth="1"/>
    <col min="22" max="22" width="8.1796875" style="16" customWidth="1"/>
    <col min="23" max="23" width="8.7265625" style="16"/>
    <col min="24" max="24" width="10" style="16" customWidth="1"/>
    <col min="25" max="16384" width="8.7265625" style="16"/>
  </cols>
  <sheetData>
    <row r="1" spans="1:24" ht="20" thickBot="1" x14ac:dyDescent="0.5">
      <c r="A1" s="396" t="s">
        <v>188</v>
      </c>
      <c r="B1" s="396"/>
      <c r="C1" s="396"/>
      <c r="D1" s="396"/>
      <c r="E1" s="396"/>
      <c r="F1" s="396"/>
      <c r="G1" s="396"/>
      <c r="H1" s="6"/>
      <c r="I1" s="6"/>
      <c r="J1" s="6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  <c r="X1" s="72"/>
    </row>
    <row r="2" spans="1:24" ht="15" customHeight="1" x14ac:dyDescent="0.35">
      <c r="A2" s="354" t="s">
        <v>34</v>
      </c>
      <c r="B2" s="355"/>
      <c r="C2" s="355"/>
      <c r="D2" s="356"/>
      <c r="E2" s="435" t="s">
        <v>85</v>
      </c>
      <c r="F2" s="436"/>
      <c r="G2" s="437"/>
      <c r="H2" s="435" t="s">
        <v>86</v>
      </c>
      <c r="I2" s="436"/>
      <c r="J2" s="437"/>
      <c r="K2" s="354" t="s">
        <v>84</v>
      </c>
      <c r="L2" s="355"/>
      <c r="M2" s="355"/>
      <c r="N2" s="355"/>
      <c r="O2" s="356"/>
      <c r="P2" s="130"/>
      <c r="Q2" s="70"/>
      <c r="R2" s="70"/>
      <c r="S2" s="70"/>
      <c r="T2" s="70"/>
      <c r="U2" s="70"/>
      <c r="V2" s="71"/>
      <c r="X2" s="72"/>
    </row>
    <row r="3" spans="1:24" ht="15.75" customHeight="1" thickBot="1" x14ac:dyDescent="0.4">
      <c r="A3" s="357"/>
      <c r="B3" s="358"/>
      <c r="C3" s="358"/>
      <c r="D3" s="359"/>
      <c r="E3" s="438" t="s">
        <v>87</v>
      </c>
      <c r="F3" s="439"/>
      <c r="G3" s="440"/>
      <c r="H3" s="438" t="s">
        <v>88</v>
      </c>
      <c r="I3" s="439"/>
      <c r="J3" s="440"/>
      <c r="K3" s="454"/>
      <c r="L3" s="455"/>
      <c r="M3" s="455"/>
      <c r="N3" s="455"/>
      <c r="O3" s="422"/>
      <c r="P3" s="130"/>
      <c r="Q3" s="70"/>
      <c r="R3" s="70"/>
      <c r="S3" s="70"/>
      <c r="T3" s="70"/>
      <c r="U3" s="70"/>
      <c r="V3" s="71"/>
      <c r="X3" s="72"/>
    </row>
    <row r="4" spans="1:24" ht="68.5" customHeight="1" thickBot="1" x14ac:dyDescent="0.4">
      <c r="A4" s="357"/>
      <c r="B4" s="358"/>
      <c r="C4" s="358"/>
      <c r="D4" s="359"/>
      <c r="E4" s="86" t="s">
        <v>23</v>
      </c>
      <c r="F4" s="87" t="s">
        <v>102</v>
      </c>
      <c r="G4" s="88" t="s">
        <v>100</v>
      </c>
      <c r="H4" s="86" t="s">
        <v>23</v>
      </c>
      <c r="I4" s="87" t="s">
        <v>102</v>
      </c>
      <c r="J4" s="88" t="s">
        <v>100</v>
      </c>
      <c r="K4" s="86" t="s">
        <v>23</v>
      </c>
      <c r="L4" s="87" t="s">
        <v>101</v>
      </c>
      <c r="M4" s="87" t="s">
        <v>104</v>
      </c>
      <c r="N4" s="88" t="s">
        <v>100</v>
      </c>
      <c r="O4" s="96" t="s">
        <v>103</v>
      </c>
      <c r="P4" s="91"/>
      <c r="Q4" s="70"/>
      <c r="R4" s="70"/>
      <c r="S4" s="70"/>
      <c r="T4" s="70"/>
      <c r="U4" s="70"/>
      <c r="V4" s="71"/>
      <c r="X4" s="72"/>
    </row>
    <row r="5" spans="1:24" x14ac:dyDescent="0.35">
      <c r="A5" s="175" t="s">
        <v>232</v>
      </c>
      <c r="B5" s="48"/>
      <c r="C5" s="48"/>
      <c r="D5" s="139"/>
      <c r="E5" s="177">
        <f>IFERROR(VLOOKUP($A5,FCCompletion[#All],13,FALSE),0)</f>
        <v>207</v>
      </c>
      <c r="F5" s="55">
        <f>IFERROR(VLOOKUP($A5,FCCompletion[#All],14,FALSE),0)</f>
        <v>75</v>
      </c>
      <c r="G5" s="94">
        <f>IFERROR(VLOOKUP($A5,FCFieldCheckCompletion[[#All],[UserName]:[checked7]],6,FALSE),0)</f>
        <v>0</v>
      </c>
      <c r="H5" s="54">
        <f>IFERROR(VLOOKUP($A5,FCFieldCheckCompletion[#All],14,FALSE),0)</f>
        <v>0</v>
      </c>
      <c r="I5" s="55">
        <f>IFERROR(VLOOKUP($A5,FCCompletion[#All],15,FALSE),0)</f>
        <v>0</v>
      </c>
      <c r="J5" s="94">
        <f>IFERROR(VLOOKUP($A5,FCFieldCheckCompletion[[#All],[UserName]:[checked7]],8,FALSE),0)</f>
        <v>0</v>
      </c>
      <c r="K5" s="54">
        <f>IFERROR(E5+H5,0)</f>
        <v>207</v>
      </c>
      <c r="L5" s="55">
        <f>IFERROR(F5+I5,0)</f>
        <v>75</v>
      </c>
      <c r="M5" s="195">
        <f>IFERROR(L5/K5,0)</f>
        <v>0.36231884057971014</v>
      </c>
      <c r="N5" s="55">
        <f>IFERROR(G5+J5,0)</f>
        <v>0</v>
      </c>
      <c r="O5" s="178">
        <f ca="1">(K5+N5)/OverviewData!B$6</f>
        <v>3</v>
      </c>
      <c r="P5" s="76"/>
      <c r="Q5" s="76"/>
      <c r="R5" s="76"/>
      <c r="S5" s="76"/>
      <c r="T5" s="76"/>
      <c r="U5" s="76"/>
      <c r="V5" s="77"/>
      <c r="X5" s="78"/>
    </row>
    <row r="6" spans="1:24" x14ac:dyDescent="0.35">
      <c r="A6" s="162" t="s">
        <v>235</v>
      </c>
      <c r="B6" s="49"/>
      <c r="C6" s="49"/>
      <c r="D6" s="140"/>
      <c r="E6" s="159">
        <f>IFERROR(VLOOKUP($A6,FCCompletion[#All],13,FALSE),0)</f>
        <v>100</v>
      </c>
      <c r="F6" s="52">
        <f>IFERROR(VLOOKUP($A6,FCCompletion[#All],14,FALSE),0)</f>
        <v>38</v>
      </c>
      <c r="G6" s="92">
        <f>IFERROR(VLOOKUP($A6,FCFieldCheckCompletion[[#All],[UserName]:[checked7]],6,FALSE),0)</f>
        <v>0</v>
      </c>
      <c r="H6" s="51">
        <f>IFERROR(VLOOKUP($A6,FCFieldCheckCompletion[#All],14,FALSE),0)</f>
        <v>0</v>
      </c>
      <c r="I6" s="52">
        <f>IFERROR(VLOOKUP($A6,FCCompletion[#All],15,FALSE),0)</f>
        <v>0</v>
      </c>
      <c r="J6" s="92">
        <f>IFERROR(VLOOKUP($A6,FCFieldCheckCompletion[[#All],[UserName]:[checked7]],8,FALSE),0)</f>
        <v>0</v>
      </c>
      <c r="K6" s="51">
        <f t="shared" ref="K6:K17" si="0">IFERROR(E6+H6,0)</f>
        <v>100</v>
      </c>
      <c r="L6" s="52">
        <f t="shared" ref="L6:L17" si="1">IFERROR(F6+I6,0)</f>
        <v>38</v>
      </c>
      <c r="M6" s="53">
        <f t="shared" ref="M6:M17" si="2">IFERROR(L6/K6,0)</f>
        <v>0.38</v>
      </c>
      <c r="N6" s="52">
        <f t="shared" ref="N6:N17" si="3">IFERROR(G6+J6,0)</f>
        <v>0</v>
      </c>
      <c r="O6" s="163">
        <f ca="1">(K6+N6)/OverviewData!B$6</f>
        <v>1.4492753623188406</v>
      </c>
      <c r="P6" s="76"/>
      <c r="Q6" s="76"/>
      <c r="R6" s="76"/>
      <c r="S6" s="76"/>
      <c r="T6" s="76"/>
      <c r="U6" s="76"/>
      <c r="V6" s="77"/>
      <c r="X6" s="78"/>
    </row>
    <row r="7" spans="1:24" x14ac:dyDescent="0.35">
      <c r="A7" s="164" t="s">
        <v>227</v>
      </c>
      <c r="B7" s="45"/>
      <c r="C7" s="45"/>
      <c r="D7" s="207"/>
      <c r="E7" s="206">
        <f>IFERROR(VLOOKUP($A7,FCCompletion[#All],13,FALSE),0)</f>
        <v>39</v>
      </c>
      <c r="F7" s="9">
        <f>IFERROR(VLOOKUP($A7,FCCompletion[#All],14,FALSE),0)</f>
        <v>14</v>
      </c>
      <c r="G7" s="79">
        <f>IFERROR(VLOOKUP($A7,FCFieldCheckCompletion[[#All],[UserName]:[checked7]],6,FALSE),0)</f>
        <v>0</v>
      </c>
      <c r="H7" s="23">
        <f>IFERROR(VLOOKUP($A7,FCFieldCheckCompletion[#All],14,FALSE),0)</f>
        <v>0</v>
      </c>
      <c r="I7" s="9">
        <f>IFERROR(VLOOKUP($A7,FCCompletion[#All],15,FALSE),0)</f>
        <v>0</v>
      </c>
      <c r="J7" s="79">
        <f>IFERROR(VLOOKUP($A7,FCFieldCheckCompletion[[#All],[UserName]:[checked7]],8,FALSE),0)</f>
        <v>0</v>
      </c>
      <c r="K7" s="23">
        <f t="shared" si="0"/>
        <v>39</v>
      </c>
      <c r="L7" s="9">
        <f t="shared" si="1"/>
        <v>14</v>
      </c>
      <c r="M7" s="137">
        <f t="shared" si="2"/>
        <v>0.35897435897435898</v>
      </c>
      <c r="N7" s="9">
        <f t="shared" si="3"/>
        <v>0</v>
      </c>
      <c r="O7" s="220">
        <f ca="1">(K7+N7)/OverviewData!B$6</f>
        <v>0.56521739130434778</v>
      </c>
      <c r="P7" s="76"/>
      <c r="Q7" s="76"/>
      <c r="R7" s="76"/>
      <c r="S7" s="76"/>
      <c r="T7" s="76"/>
      <c r="U7" s="76"/>
      <c r="V7" s="77"/>
      <c r="X7" s="78"/>
    </row>
    <row r="8" spans="1:24" x14ac:dyDescent="0.35">
      <c r="A8" s="162" t="s">
        <v>229</v>
      </c>
      <c r="B8" s="49"/>
      <c r="C8" s="49"/>
      <c r="D8" s="140"/>
      <c r="E8" s="159">
        <f>IFERROR(VLOOKUP($A8,FCCompletion[#All],13,FALSE),0)</f>
        <v>209</v>
      </c>
      <c r="F8" s="52">
        <f>IFERROR(VLOOKUP($A8,FCCompletion[#All],14,FALSE),0)</f>
        <v>128</v>
      </c>
      <c r="G8" s="92">
        <f>IFERROR(VLOOKUP($A8,FCFieldCheckCompletion[[#All],[UserName]:[checked7]],6,FALSE),0)</f>
        <v>0</v>
      </c>
      <c r="H8" s="51">
        <f>IFERROR(VLOOKUP($A8,FCFieldCheckCompletion[#All],14,FALSE),0)</f>
        <v>0</v>
      </c>
      <c r="I8" s="52">
        <f>IFERROR(VLOOKUP($A8,FCCompletion[#All],15,FALSE),0)</f>
        <v>0</v>
      </c>
      <c r="J8" s="92">
        <f>IFERROR(VLOOKUP($A8,FCFieldCheckCompletion[[#All],[UserName]:[checked7]],8,FALSE),0)</f>
        <v>0</v>
      </c>
      <c r="K8" s="51">
        <f t="shared" si="0"/>
        <v>209</v>
      </c>
      <c r="L8" s="52">
        <f t="shared" si="1"/>
        <v>128</v>
      </c>
      <c r="M8" s="53">
        <f t="shared" si="2"/>
        <v>0.61244019138755978</v>
      </c>
      <c r="N8" s="52">
        <f t="shared" si="3"/>
        <v>0</v>
      </c>
      <c r="O8" s="163">
        <f ca="1">(K8+N8)/OverviewData!B$6</f>
        <v>3.0289855072463769</v>
      </c>
      <c r="P8" s="76"/>
      <c r="Q8" s="76"/>
      <c r="R8" s="76"/>
      <c r="S8" s="76"/>
      <c r="T8" s="76"/>
      <c r="U8" s="76"/>
      <c r="V8" s="77"/>
      <c r="X8" s="78"/>
    </row>
    <row r="9" spans="1:24" x14ac:dyDescent="0.35">
      <c r="A9" s="164" t="s">
        <v>226</v>
      </c>
      <c r="B9" s="45"/>
      <c r="C9" s="45"/>
      <c r="D9" s="207"/>
      <c r="E9" s="206">
        <f>IFERROR(VLOOKUP($A9,FCCompletion[#All],13,FALSE),0)</f>
        <v>205</v>
      </c>
      <c r="F9" s="9">
        <f>IFERROR(VLOOKUP($A9,FCCompletion[#All],14,FALSE),0)</f>
        <v>119</v>
      </c>
      <c r="G9" s="79">
        <f>IFERROR(VLOOKUP($A9,FCFieldCheckCompletion[[#All],[UserName]:[checked7]],6,FALSE),0)</f>
        <v>0</v>
      </c>
      <c r="H9" s="23">
        <f>IFERROR(VLOOKUP($A9,FCFieldCheckCompletion[#All],14,FALSE),0)</f>
        <v>0</v>
      </c>
      <c r="I9" s="9">
        <f>IFERROR(VLOOKUP($A9,FCCompletion[#All],15,FALSE),0)</f>
        <v>0</v>
      </c>
      <c r="J9" s="79">
        <f>IFERROR(VLOOKUP($A9,FCFieldCheckCompletion[[#All],[UserName]:[checked7]],8,FALSE),0)</f>
        <v>0</v>
      </c>
      <c r="K9" s="23">
        <f t="shared" si="0"/>
        <v>205</v>
      </c>
      <c r="L9" s="9">
        <f t="shared" si="1"/>
        <v>119</v>
      </c>
      <c r="M9" s="137">
        <f t="shared" si="2"/>
        <v>0.58048780487804874</v>
      </c>
      <c r="N9" s="9">
        <f t="shared" si="3"/>
        <v>0</v>
      </c>
      <c r="O9" s="220">
        <f ca="1">(K9+N9)/OverviewData!B$6</f>
        <v>2.9710144927536231</v>
      </c>
      <c r="P9" s="76"/>
      <c r="Q9" s="76"/>
      <c r="R9" s="76"/>
      <c r="S9" s="76"/>
      <c r="T9" s="76"/>
      <c r="U9" s="76"/>
      <c r="V9" s="77"/>
      <c r="X9" s="78"/>
    </row>
    <row r="10" spans="1:24" x14ac:dyDescent="0.35">
      <c r="A10" s="162" t="s">
        <v>228</v>
      </c>
      <c r="B10" s="49"/>
      <c r="C10" s="49"/>
      <c r="D10" s="140"/>
      <c r="E10" s="159">
        <f>IFERROR(VLOOKUP($A10,FCCompletion[#All],13,FALSE),0)</f>
        <v>108</v>
      </c>
      <c r="F10" s="52">
        <f>IFERROR(VLOOKUP($A10,FCCompletion[#All],14,FALSE),0)</f>
        <v>86</v>
      </c>
      <c r="G10" s="92">
        <f>IFERROR(VLOOKUP($A10,FCFieldCheckCompletion[[#All],[UserName]:[checked7]],6,FALSE),0)</f>
        <v>0</v>
      </c>
      <c r="H10" s="51">
        <f>IFERROR(VLOOKUP($A10,FCFieldCheckCompletion[#All],14,FALSE),0)</f>
        <v>0</v>
      </c>
      <c r="I10" s="52">
        <f>IFERROR(VLOOKUP($A10,FCCompletion[#All],15,FALSE),0)</f>
        <v>0</v>
      </c>
      <c r="J10" s="92">
        <f>IFERROR(VLOOKUP($A10,FCFieldCheckCompletion[[#All],[UserName]:[checked7]],8,FALSE),0)</f>
        <v>0</v>
      </c>
      <c r="K10" s="51">
        <f t="shared" si="0"/>
        <v>108</v>
      </c>
      <c r="L10" s="52">
        <f t="shared" si="1"/>
        <v>86</v>
      </c>
      <c r="M10" s="53">
        <f t="shared" si="2"/>
        <v>0.79629629629629628</v>
      </c>
      <c r="N10" s="52">
        <f t="shared" si="3"/>
        <v>0</v>
      </c>
      <c r="O10" s="163">
        <f ca="1">(K10+N10)/OverviewData!B$6</f>
        <v>1.5652173913043479</v>
      </c>
    </row>
    <row r="11" spans="1:24" x14ac:dyDescent="0.35">
      <c r="A11" s="164" t="s">
        <v>230</v>
      </c>
      <c r="B11" s="45"/>
      <c r="C11" s="45"/>
      <c r="D11" s="207"/>
      <c r="E11" s="206">
        <f>IFERROR(VLOOKUP($A11,FCCompletion[#All],13,FALSE),0)</f>
        <v>183</v>
      </c>
      <c r="F11" s="9">
        <f>IFERROR(VLOOKUP($A11,FCCompletion[#All],14,FALSE),0)</f>
        <v>110</v>
      </c>
      <c r="G11" s="79">
        <f>IFERROR(VLOOKUP($A11,FCFieldCheckCompletion[[#All],[UserName]:[checked7]],6,FALSE),0)</f>
        <v>0</v>
      </c>
      <c r="H11" s="23">
        <f>IFERROR(VLOOKUP($A11,FCFieldCheckCompletion[#All],14,FALSE),0)</f>
        <v>0</v>
      </c>
      <c r="I11" s="9">
        <f>IFERROR(VLOOKUP($A11,FCCompletion[#All],15,FALSE),0)</f>
        <v>0</v>
      </c>
      <c r="J11" s="79">
        <f>IFERROR(VLOOKUP($A11,FCFieldCheckCompletion[[#All],[UserName]:[checked7]],8,FALSE),0)</f>
        <v>0</v>
      </c>
      <c r="K11" s="23">
        <f t="shared" si="0"/>
        <v>183</v>
      </c>
      <c r="L11" s="9">
        <f t="shared" si="1"/>
        <v>110</v>
      </c>
      <c r="M11" s="137">
        <f t="shared" si="2"/>
        <v>0.60109289617486339</v>
      </c>
      <c r="N11" s="9">
        <f t="shared" si="3"/>
        <v>0</v>
      </c>
      <c r="O11" s="220">
        <f ca="1">(K11+N11)/OverviewData!B$6</f>
        <v>2.652173913043478</v>
      </c>
    </row>
    <row r="12" spans="1:24" x14ac:dyDescent="0.35">
      <c r="A12" s="162" t="s">
        <v>225</v>
      </c>
      <c r="B12" s="49"/>
      <c r="C12" s="49"/>
      <c r="D12" s="140"/>
      <c r="E12" s="159">
        <f>IFERROR(VLOOKUP($A12,FCCompletion[#All],13,FALSE),0)</f>
        <v>204</v>
      </c>
      <c r="F12" s="52">
        <f>IFERROR(VLOOKUP($A12,FCCompletion[#All],14,FALSE),0)</f>
        <v>121</v>
      </c>
      <c r="G12" s="92">
        <f>IFERROR(VLOOKUP($A12,FCFieldCheckCompletion[[#All],[UserName]:[checked7]],6,FALSE),0)</f>
        <v>0</v>
      </c>
      <c r="H12" s="51">
        <f>IFERROR(VLOOKUP($A12,FCFieldCheckCompletion[#All],14,FALSE),0)</f>
        <v>0</v>
      </c>
      <c r="I12" s="52">
        <f>IFERROR(VLOOKUP($A12,FCCompletion[#All],15,FALSE),0)</f>
        <v>0</v>
      </c>
      <c r="J12" s="92">
        <f>IFERROR(VLOOKUP($A12,FCFieldCheckCompletion[[#All],[UserName]:[checked7]],8,FALSE),0)</f>
        <v>0</v>
      </c>
      <c r="K12" s="51">
        <f t="shared" si="0"/>
        <v>204</v>
      </c>
      <c r="L12" s="52">
        <f t="shared" si="1"/>
        <v>121</v>
      </c>
      <c r="M12" s="53">
        <f t="shared" si="2"/>
        <v>0.59313725490196079</v>
      </c>
      <c r="N12" s="52">
        <f t="shared" si="3"/>
        <v>0</v>
      </c>
      <c r="O12" s="163">
        <f ca="1">(K12+N12)/OverviewData!B$6</f>
        <v>2.9565217391304346</v>
      </c>
    </row>
    <row r="13" spans="1:24" x14ac:dyDescent="0.35">
      <c r="A13" s="164" t="s">
        <v>254</v>
      </c>
      <c r="B13" s="45"/>
      <c r="C13" s="45"/>
      <c r="D13" s="207"/>
      <c r="E13" s="160">
        <f>IFERROR(VLOOKUP($A13,FCCompletion[#All],13,FALSE),0)</f>
        <v>164</v>
      </c>
      <c r="F13" s="57">
        <f>IFERROR(VLOOKUP($A13,FCCompletion[#All],14,FALSE),0)</f>
        <v>134</v>
      </c>
      <c r="G13" s="181">
        <f>IFERROR(VLOOKUP($A13,FCFieldCheckCompletion[[#All],[UserName]:[checked7]],6,FALSE),0)</f>
        <v>0</v>
      </c>
      <c r="H13" s="56">
        <f>IFERROR(VLOOKUP($A13,FCFieldCheckCompletion[#All],14,FALSE),0)</f>
        <v>0</v>
      </c>
      <c r="I13" s="57">
        <f>IFERROR(VLOOKUP($A13,FCCompletion[#All],15,FALSE),0)</f>
        <v>0</v>
      </c>
      <c r="J13" s="181">
        <f>IFERROR(VLOOKUP($A13,FCFieldCheckCompletion[[#All],[UserName]:[checked7]],8,FALSE),0)</f>
        <v>0</v>
      </c>
      <c r="K13" s="56">
        <f t="shared" ref="K13" si="4">IFERROR(E13+H13,0)</f>
        <v>164</v>
      </c>
      <c r="L13" s="57">
        <f t="shared" ref="L13" si="5">IFERROR(F13+I13,0)</f>
        <v>134</v>
      </c>
      <c r="M13" s="58">
        <f t="shared" ref="M13" si="6">IFERROR(L13/K13,0)</f>
        <v>0.81707317073170727</v>
      </c>
      <c r="N13" s="57">
        <f t="shared" ref="N13" si="7">IFERROR(G13+J13,0)</f>
        <v>0</v>
      </c>
      <c r="O13" s="165">
        <f ca="1">(K13+N13)/OverviewData!B$6</f>
        <v>2.3768115942028984</v>
      </c>
    </row>
    <row r="14" spans="1:24" x14ac:dyDescent="0.35">
      <c r="A14" s="162" t="s">
        <v>231</v>
      </c>
      <c r="B14" s="49"/>
      <c r="C14" s="49"/>
      <c r="D14" s="140"/>
      <c r="E14" s="159">
        <f>IFERROR(VLOOKUP($A14,FCCompletion[#All],13,FALSE),0)</f>
        <v>36</v>
      </c>
      <c r="F14" s="52">
        <f>IFERROR(VLOOKUP($A14,FCCompletion[#All],14,FALSE),0)</f>
        <v>7</v>
      </c>
      <c r="G14" s="92">
        <f>IFERROR(VLOOKUP($A14,FCFieldCheckCompletion[[#All],[UserName]:[checked7]],6,FALSE),0)</f>
        <v>0</v>
      </c>
      <c r="H14" s="51">
        <f>IFERROR(VLOOKUP($A14,FCFieldCheckCompletion[#All],14,FALSE),0)</f>
        <v>0</v>
      </c>
      <c r="I14" s="52">
        <f>IFERROR(VLOOKUP($A14,FCCompletion[#All],15,FALSE),0)</f>
        <v>0</v>
      </c>
      <c r="J14" s="92">
        <f>IFERROR(VLOOKUP($A14,FCFieldCheckCompletion[[#All],[UserName]:[checked7]],8,FALSE),0)</f>
        <v>0</v>
      </c>
      <c r="K14" s="51">
        <f t="shared" si="0"/>
        <v>36</v>
      </c>
      <c r="L14" s="52">
        <f t="shared" si="1"/>
        <v>7</v>
      </c>
      <c r="M14" s="53">
        <f t="shared" si="2"/>
        <v>0.19444444444444445</v>
      </c>
      <c r="N14" s="52">
        <f t="shared" si="3"/>
        <v>0</v>
      </c>
      <c r="O14" s="252">
        <f ca="1">(K14+N14)/OverviewData!B$6</f>
        <v>0.52173913043478259</v>
      </c>
    </row>
    <row r="15" spans="1:24" x14ac:dyDescent="0.35">
      <c r="A15" s="164" t="s">
        <v>234</v>
      </c>
      <c r="B15" s="45"/>
      <c r="C15" s="45"/>
      <c r="D15" s="207"/>
      <c r="E15" s="160">
        <f>IFERROR(VLOOKUP($A15,FCCompletion[#All],13,FALSE),0)</f>
        <v>14</v>
      </c>
      <c r="F15" s="57">
        <f>IFERROR(VLOOKUP($A15,FCCompletion[#All],14,FALSE),0)</f>
        <v>1</v>
      </c>
      <c r="G15" s="181">
        <f>IFERROR(VLOOKUP($A15,FCFieldCheckCompletion[[#All],[UserName]:[checked7]],6,FALSE),0)</f>
        <v>0</v>
      </c>
      <c r="H15" s="56">
        <f>IFERROR(VLOOKUP($A15,FCFieldCheckCompletion[#All],14,FALSE),0)</f>
        <v>0</v>
      </c>
      <c r="I15" s="57">
        <f>IFERROR(VLOOKUP($A15,FCCompletion[#All],15,FALSE),0)</f>
        <v>0</v>
      </c>
      <c r="J15" s="181">
        <f>IFERROR(VLOOKUP($A15,FCFieldCheckCompletion[[#All],[UserName]:[checked7]],8,FALSE),0)</f>
        <v>0</v>
      </c>
      <c r="K15" s="56">
        <f t="shared" si="0"/>
        <v>14</v>
      </c>
      <c r="L15" s="57">
        <f t="shared" si="1"/>
        <v>1</v>
      </c>
      <c r="M15" s="58">
        <f t="shared" si="2"/>
        <v>7.1428571428571425E-2</v>
      </c>
      <c r="N15" s="57">
        <f t="shared" si="3"/>
        <v>0</v>
      </c>
      <c r="O15" s="165">
        <f ca="1">(K15+N15)/OverviewData!B$6</f>
        <v>0.20289855072463769</v>
      </c>
    </row>
    <row r="16" spans="1:24" x14ac:dyDescent="0.35">
      <c r="A16" s="162" t="s">
        <v>236</v>
      </c>
      <c r="B16" s="49"/>
      <c r="C16" s="49"/>
      <c r="D16" s="140"/>
      <c r="E16" s="159">
        <f>IFERROR(VLOOKUP($A16,FCCompletion[#All],13,FALSE),0)</f>
        <v>35</v>
      </c>
      <c r="F16" s="52">
        <f>IFERROR(VLOOKUP($A16,FCCompletion[#All],14,FALSE),0)</f>
        <v>9</v>
      </c>
      <c r="G16" s="92">
        <f>IFERROR(VLOOKUP($A16,FCFieldCheckCompletion[[#All],[UserName]:[checked7]],6,FALSE),0)</f>
        <v>0</v>
      </c>
      <c r="H16" s="51">
        <f>IFERROR(VLOOKUP($A16,FCFieldCheckCompletion[#All],14,FALSE),0)</f>
        <v>0</v>
      </c>
      <c r="I16" s="52">
        <f>IFERROR(VLOOKUP($A16,FCCompletion[#All],15,FALSE),0)</f>
        <v>0</v>
      </c>
      <c r="J16" s="92">
        <f>IFERROR(VLOOKUP($A16,FCFieldCheckCompletion[[#All],[UserName]:[checked7]],8,FALSE),0)</f>
        <v>0</v>
      </c>
      <c r="K16" s="51">
        <f t="shared" si="0"/>
        <v>35</v>
      </c>
      <c r="L16" s="52">
        <f t="shared" si="1"/>
        <v>9</v>
      </c>
      <c r="M16" s="53">
        <f t="shared" si="2"/>
        <v>0.25714285714285712</v>
      </c>
      <c r="N16" s="52">
        <f t="shared" si="3"/>
        <v>0</v>
      </c>
      <c r="O16" s="252">
        <f ca="1">(K16+N16)/OverviewData!B$6</f>
        <v>0.50724637681159424</v>
      </c>
    </row>
    <row r="17" spans="1:15" ht="15" thickBot="1" x14ac:dyDescent="0.4">
      <c r="A17" s="46" t="s">
        <v>233</v>
      </c>
      <c r="B17" s="253"/>
      <c r="C17" s="253"/>
      <c r="D17" s="254"/>
      <c r="E17" s="160">
        <f>IFERROR(VLOOKUP($A17,FCCompletion[#All],13,FALSE),0)</f>
        <v>0</v>
      </c>
      <c r="F17" s="57">
        <f>IFERROR(VLOOKUP($A17,FCCompletion[#All],14,FALSE),0)</f>
        <v>0</v>
      </c>
      <c r="G17" s="181">
        <f>IFERROR(VLOOKUP($A17,FCFieldCheckCompletion[[#All],[UserName]:[checked7]],6,FALSE),0)</f>
        <v>0</v>
      </c>
      <c r="H17" s="56">
        <f>IFERROR(VLOOKUP($A17,FCFieldCheckCompletion[#All],14,FALSE),0)</f>
        <v>0</v>
      </c>
      <c r="I17" s="57">
        <f>IFERROR(VLOOKUP($A17,FCCompletion[#All],15,FALSE),0)</f>
        <v>0</v>
      </c>
      <c r="J17" s="181">
        <f>IFERROR(VLOOKUP($A17,FCFieldCheckCompletion[[#All],[UserName]:[checked7]],8,FALSE),0)</f>
        <v>0</v>
      </c>
      <c r="K17" s="56">
        <f t="shared" si="0"/>
        <v>0</v>
      </c>
      <c r="L17" s="57">
        <f t="shared" si="1"/>
        <v>0</v>
      </c>
      <c r="M17" s="58">
        <f t="shared" si="2"/>
        <v>0</v>
      </c>
      <c r="N17" s="57">
        <f t="shared" si="3"/>
        <v>0</v>
      </c>
      <c r="O17" s="165">
        <f ca="1">(K17+N17)/OverviewData!B$6</f>
        <v>0</v>
      </c>
    </row>
    <row r="18" spans="1:15" ht="15" thickBot="1" x14ac:dyDescent="0.4">
      <c r="A18" s="456" t="s">
        <v>243</v>
      </c>
      <c r="B18" s="457"/>
      <c r="C18" s="458"/>
      <c r="D18" s="458"/>
      <c r="E18" s="209">
        <f t="shared" ref="E18:L18" si="8">SUM(E5:E17)</f>
        <v>1504</v>
      </c>
      <c r="F18" s="208">
        <f t="shared" si="8"/>
        <v>842</v>
      </c>
      <c r="G18" s="231">
        <f t="shared" si="8"/>
        <v>0</v>
      </c>
      <c r="H18" s="229">
        <f t="shared" si="8"/>
        <v>0</v>
      </c>
      <c r="I18" s="208">
        <f t="shared" si="8"/>
        <v>0</v>
      </c>
      <c r="J18" s="208">
        <f t="shared" si="8"/>
        <v>0</v>
      </c>
      <c r="K18" s="209">
        <f t="shared" si="8"/>
        <v>1504</v>
      </c>
      <c r="L18" s="208">
        <f t="shared" si="8"/>
        <v>842</v>
      </c>
      <c r="M18" s="210">
        <f>IFERROR(L18/K18,0)</f>
        <v>0.55984042553191493</v>
      </c>
      <c r="N18" s="208">
        <f>SUM(N5:N17)</f>
        <v>0</v>
      </c>
      <c r="O18" s="211">
        <f ca="1">AVERAGE(O5:O17)</f>
        <v>1.67670011148272</v>
      </c>
    </row>
    <row r="19" spans="1:15" ht="15" thickBot="1" x14ac:dyDescent="0.4">
      <c r="A19" s="451" t="s">
        <v>244</v>
      </c>
      <c r="B19" s="452"/>
      <c r="C19" s="453"/>
      <c r="D19" s="453"/>
      <c r="E19" s="73">
        <f>E18+'FC Weekly Mapping Week 1-5'!T51</f>
        <v>18371</v>
      </c>
      <c r="F19" s="74">
        <f>F18+'FC Weekly Mapping Week 1-5'!U51</f>
        <v>1142</v>
      </c>
      <c r="G19" s="200">
        <f t="shared" ref="G19:J19" si="9">G18</f>
        <v>0</v>
      </c>
      <c r="H19" s="251">
        <f t="shared" si="9"/>
        <v>0</v>
      </c>
      <c r="I19" s="74">
        <f t="shared" si="9"/>
        <v>0</v>
      </c>
      <c r="J19" s="74">
        <f t="shared" si="9"/>
        <v>0</v>
      </c>
      <c r="K19" s="73">
        <f>K18+'FC Weekly Mapping Week 1-5'!T51</f>
        <v>18371</v>
      </c>
      <c r="L19" s="74">
        <f>SUM(L6:L18)+'FC Weekly Mapping Week 1-5'!U51</f>
        <v>1909</v>
      </c>
      <c r="M19" s="20">
        <f>IFERROR(L19/K19,0)</f>
        <v>0.10391377714876708</v>
      </c>
      <c r="N19" s="74">
        <f>SUM(N6:N18)+'FC Weekly Mapping Week 1-5'!W51</f>
        <v>253</v>
      </c>
      <c r="O19" s="75">
        <f ca="1">AVERAGE('FC Weekly Mapping Week 6-7'!O5:O18)</f>
        <v>1.67670011148272</v>
      </c>
    </row>
    <row r="26" spans="1:15" x14ac:dyDescent="0.35">
      <c r="O26" s="19"/>
    </row>
  </sheetData>
  <mergeCells count="9">
    <mergeCell ref="K2:O3"/>
    <mergeCell ref="E3:G3"/>
    <mergeCell ref="H3:J3"/>
    <mergeCell ref="A18:D18"/>
    <mergeCell ref="A1:G1"/>
    <mergeCell ref="A2:D4"/>
    <mergeCell ref="E2:G2"/>
    <mergeCell ref="H2:J2"/>
    <mergeCell ref="A19:D19"/>
  </mergeCells>
  <pageMargins left="0.25" right="0.25" top="0.75" bottom="0.75" header="0.3" footer="0.3"/>
  <pageSetup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1"/>
  <sheetViews>
    <sheetView workbookViewId="0">
      <selection activeCell="G1" sqref="G1:I28"/>
    </sheetView>
  </sheetViews>
  <sheetFormatPr defaultRowHeight="14.5" x14ac:dyDescent="0.35"/>
  <cols>
    <col min="1" max="1" width="31.54296875" customWidth="1"/>
    <col min="2" max="2" width="20.1796875" customWidth="1"/>
    <col min="3" max="3" width="20.1796875" style="16" customWidth="1"/>
    <col min="7" max="7" width="8" customWidth="1"/>
    <col min="8" max="8" width="15.54296875" customWidth="1"/>
    <col min="9" max="9" width="16.36328125" style="16" customWidth="1"/>
  </cols>
  <sheetData>
    <row r="1" spans="1:12" x14ac:dyDescent="0.35">
      <c r="B1" t="s">
        <v>0</v>
      </c>
      <c r="D1" t="s">
        <v>8</v>
      </c>
      <c r="G1" s="1" t="s">
        <v>0</v>
      </c>
      <c r="H1" s="1" t="s">
        <v>81</v>
      </c>
      <c r="I1" s="1" t="s">
        <v>82</v>
      </c>
    </row>
    <row r="2" spans="1:12" x14ac:dyDescent="0.35">
      <c r="A2" s="16">
        <v>11233</v>
      </c>
      <c r="B2" s="16" t="s">
        <v>142</v>
      </c>
      <c r="C2" s="16">
        <f>COUNTIF(FCCompletion[TeamName],'CBO Community Assignments'!B2)</f>
        <v>6</v>
      </c>
      <c r="D2" s="16">
        <f>IFERROR(VLOOKUP($A2,$G$2:$H$75,2,FALSE),0)</f>
        <v>1267</v>
      </c>
      <c r="E2" s="16">
        <f>SUM(D$2:D$4)</f>
        <v>4681</v>
      </c>
      <c r="G2" s="1">
        <v>10002</v>
      </c>
      <c r="H2" s="1">
        <v>3039</v>
      </c>
      <c r="I2" s="1">
        <v>1428</v>
      </c>
    </row>
    <row r="3" spans="1:12" x14ac:dyDescent="0.35">
      <c r="A3" s="16">
        <v>11212</v>
      </c>
      <c r="B3" s="16" t="s">
        <v>142</v>
      </c>
      <c r="C3" s="16">
        <f>COUNTIF(FCCompletion[TeamName],'CBO Community Assignments'!B3)</f>
        <v>6</v>
      </c>
      <c r="D3" s="16">
        <f t="shared" ref="D3:D31" si="0">IFERROR(VLOOKUP($A3,$G$2:$H$75,2,FALSE),0)</f>
        <v>1488</v>
      </c>
      <c r="E3" s="16">
        <f t="shared" ref="E3:E4" si="1">SUM(D$2:D$4)</f>
        <v>4681</v>
      </c>
      <c r="G3" s="1">
        <v>10013</v>
      </c>
      <c r="H3" s="1">
        <v>5514</v>
      </c>
      <c r="I3" s="1">
        <v>760</v>
      </c>
    </row>
    <row r="4" spans="1:12" x14ac:dyDescent="0.35">
      <c r="A4" s="16">
        <v>11207</v>
      </c>
      <c r="B4" s="16" t="s">
        <v>142</v>
      </c>
      <c r="C4" s="16">
        <f>COUNTIF(FCCompletion[TeamName],'CBO Community Assignments'!B4)</f>
        <v>6</v>
      </c>
      <c r="D4" s="16">
        <f t="shared" si="0"/>
        <v>1926</v>
      </c>
      <c r="E4" s="16">
        <f t="shared" si="1"/>
        <v>4681</v>
      </c>
      <c r="G4" s="1">
        <v>10025</v>
      </c>
      <c r="H4" s="1">
        <v>1144</v>
      </c>
      <c r="I4" s="1">
        <v>256</v>
      </c>
      <c r="L4" s="16"/>
    </row>
    <row r="5" spans="1:12" x14ac:dyDescent="0.35">
      <c r="A5" s="16"/>
      <c r="B5" s="16"/>
      <c r="D5" s="16"/>
      <c r="E5" s="16"/>
      <c r="G5" s="1">
        <v>10026</v>
      </c>
      <c r="H5" s="1">
        <v>439</v>
      </c>
      <c r="I5" s="1">
        <v>76</v>
      </c>
      <c r="L5" s="16"/>
    </row>
    <row r="6" spans="1:12" x14ac:dyDescent="0.35">
      <c r="A6" s="16">
        <v>10002</v>
      </c>
      <c r="B6" s="16" t="s">
        <v>141</v>
      </c>
      <c r="C6" s="16">
        <f>COUNTIF(FCCompletion[TeamName],'CBO Community Assignments'!B6)</f>
        <v>10</v>
      </c>
      <c r="D6" s="16">
        <f t="shared" si="0"/>
        <v>3039</v>
      </c>
      <c r="E6" s="16">
        <f>SUM(D$6:D$8)</f>
        <v>10911</v>
      </c>
      <c r="G6" s="1">
        <v>10027</v>
      </c>
      <c r="H6" s="1">
        <v>1040</v>
      </c>
      <c r="I6" s="1">
        <v>124</v>
      </c>
      <c r="L6" s="16"/>
    </row>
    <row r="7" spans="1:12" x14ac:dyDescent="0.35">
      <c r="A7" s="16">
        <v>10038</v>
      </c>
      <c r="B7" s="16" t="s">
        <v>141</v>
      </c>
      <c r="C7" s="16">
        <f>COUNTIF(FCCompletion[TeamName],'CBO Community Assignments'!B7)</f>
        <v>10</v>
      </c>
      <c r="D7" s="16">
        <f t="shared" si="0"/>
        <v>2358</v>
      </c>
      <c r="E7" s="16">
        <f t="shared" ref="E7:E8" si="2">SUM(D$6:D$8)</f>
        <v>10911</v>
      </c>
      <c r="G7" s="1">
        <v>10029</v>
      </c>
      <c r="H7" s="1">
        <v>1406</v>
      </c>
      <c r="I7" s="1">
        <v>267</v>
      </c>
      <c r="L7" s="16"/>
    </row>
    <row r="8" spans="1:12" x14ac:dyDescent="0.35">
      <c r="A8" s="16">
        <v>10013</v>
      </c>
      <c r="B8" s="16" t="s">
        <v>141</v>
      </c>
      <c r="C8" s="16">
        <f>COUNTIF(FCCompletion[TeamName],'CBO Community Assignments'!B8)</f>
        <v>10</v>
      </c>
      <c r="D8" s="16">
        <f t="shared" si="0"/>
        <v>5514</v>
      </c>
      <c r="E8" s="16">
        <f t="shared" si="2"/>
        <v>10911</v>
      </c>
      <c r="G8" s="1">
        <v>10030</v>
      </c>
      <c r="H8" s="1">
        <v>288</v>
      </c>
      <c r="I8" s="1">
        <v>91</v>
      </c>
      <c r="L8" s="16"/>
    </row>
    <row r="9" spans="1:12" x14ac:dyDescent="0.35">
      <c r="A9" s="16"/>
      <c r="B9" s="16"/>
      <c r="D9" s="16"/>
      <c r="E9" s="16"/>
      <c r="G9" s="1">
        <v>10031</v>
      </c>
      <c r="H9" s="1">
        <v>663</v>
      </c>
      <c r="I9" s="1">
        <v>175</v>
      </c>
      <c r="L9" s="16"/>
    </row>
    <row r="10" spans="1:12" x14ac:dyDescent="0.35">
      <c r="A10" s="16">
        <v>10025</v>
      </c>
      <c r="B10" s="16" t="s">
        <v>139</v>
      </c>
      <c r="C10" s="16">
        <f>COUNTIF(FCCompletion[TeamName],'CBO Community Assignments'!B10)</f>
        <v>11</v>
      </c>
      <c r="D10" s="16">
        <f t="shared" si="0"/>
        <v>1144</v>
      </c>
      <c r="E10" s="16">
        <f>SUM(D$10:D$20)</f>
        <v>8036</v>
      </c>
      <c r="G10" s="1">
        <v>10032</v>
      </c>
      <c r="H10" s="1">
        <v>716</v>
      </c>
      <c r="I10" s="1">
        <v>157</v>
      </c>
      <c r="L10" s="16"/>
    </row>
    <row r="11" spans="1:12" x14ac:dyDescent="0.35">
      <c r="A11" s="16">
        <v>10026</v>
      </c>
      <c r="B11" s="16" t="s">
        <v>139</v>
      </c>
      <c r="C11" s="16">
        <f>COUNTIF(FCCompletion[TeamName],'CBO Community Assignments'!B11)</f>
        <v>11</v>
      </c>
      <c r="D11" s="16">
        <f t="shared" si="0"/>
        <v>439</v>
      </c>
      <c r="E11" s="16">
        <f t="shared" ref="E11:E20" si="3">SUM(D$10:D$20)</f>
        <v>8036</v>
      </c>
      <c r="G11" s="1">
        <v>10033</v>
      </c>
      <c r="H11" s="1">
        <v>1225</v>
      </c>
      <c r="I11" s="1">
        <v>300</v>
      </c>
      <c r="L11" s="16"/>
    </row>
    <row r="12" spans="1:12" x14ac:dyDescent="0.35">
      <c r="A12" s="16">
        <v>10027</v>
      </c>
      <c r="B12" s="16" t="s">
        <v>139</v>
      </c>
      <c r="C12" s="16">
        <f>COUNTIF(FCCompletion[TeamName],'CBO Community Assignments'!B12)</f>
        <v>11</v>
      </c>
      <c r="D12" s="16">
        <f t="shared" si="0"/>
        <v>1040</v>
      </c>
      <c r="E12" s="16">
        <f t="shared" si="3"/>
        <v>8036</v>
      </c>
      <c r="G12" s="1">
        <v>10035</v>
      </c>
      <c r="H12" s="1">
        <v>582</v>
      </c>
      <c r="I12" s="1">
        <v>230</v>
      </c>
      <c r="L12" s="16"/>
    </row>
    <row r="13" spans="1:12" x14ac:dyDescent="0.35">
      <c r="A13" s="16">
        <v>10029</v>
      </c>
      <c r="B13" s="16" t="s">
        <v>139</v>
      </c>
      <c r="C13" s="16">
        <f>COUNTIF(FCCompletion[TeamName],'CBO Community Assignments'!B13)</f>
        <v>11</v>
      </c>
      <c r="D13" s="16">
        <f t="shared" si="0"/>
        <v>1406</v>
      </c>
      <c r="E13" s="16">
        <f t="shared" si="3"/>
        <v>8036</v>
      </c>
      <c r="G13" s="1">
        <v>10037</v>
      </c>
      <c r="H13" s="1">
        <v>205</v>
      </c>
      <c r="I13" s="1">
        <v>47</v>
      </c>
    </row>
    <row r="14" spans="1:12" x14ac:dyDescent="0.35">
      <c r="A14" s="16">
        <v>10030</v>
      </c>
      <c r="B14" s="16" t="s">
        <v>139</v>
      </c>
      <c r="C14" s="16">
        <f>COUNTIF(FCCompletion[TeamName],'CBO Community Assignments'!B14)</f>
        <v>11</v>
      </c>
      <c r="D14" s="16">
        <f t="shared" si="0"/>
        <v>288</v>
      </c>
      <c r="E14" s="16">
        <f t="shared" si="3"/>
        <v>8036</v>
      </c>
      <c r="G14" s="1">
        <v>10038</v>
      </c>
      <c r="H14" s="1">
        <v>2358</v>
      </c>
      <c r="I14" s="1">
        <v>0</v>
      </c>
    </row>
    <row r="15" spans="1:12" x14ac:dyDescent="0.35">
      <c r="A15" s="16">
        <v>10035</v>
      </c>
      <c r="B15" s="16" t="s">
        <v>139</v>
      </c>
      <c r="C15" s="16">
        <f>COUNTIF(FCCompletion[TeamName],'CBO Community Assignments'!B15)</f>
        <v>11</v>
      </c>
      <c r="D15" s="16">
        <f t="shared" si="0"/>
        <v>582</v>
      </c>
      <c r="E15" s="16">
        <f t="shared" si="3"/>
        <v>8036</v>
      </c>
      <c r="G15" s="1">
        <v>10039</v>
      </c>
      <c r="H15" s="1">
        <v>328</v>
      </c>
      <c r="I15" s="1">
        <v>151</v>
      </c>
    </row>
    <row r="16" spans="1:12" x14ac:dyDescent="0.35">
      <c r="A16" s="16">
        <v>10037</v>
      </c>
      <c r="B16" s="16" t="s">
        <v>139</v>
      </c>
      <c r="C16" s="16">
        <f>COUNTIF(FCCompletion[TeamName],'CBO Community Assignments'!B16)</f>
        <v>11</v>
      </c>
      <c r="D16" s="16">
        <f t="shared" si="0"/>
        <v>205</v>
      </c>
      <c r="E16" s="16">
        <f t="shared" si="3"/>
        <v>8036</v>
      </c>
      <c r="G16" s="1">
        <v>10451</v>
      </c>
      <c r="H16" s="1">
        <v>1013</v>
      </c>
      <c r="I16" s="1">
        <v>209</v>
      </c>
    </row>
    <row r="17" spans="1:9" x14ac:dyDescent="0.35">
      <c r="A17" s="16">
        <v>10039</v>
      </c>
      <c r="B17" s="16" t="s">
        <v>139</v>
      </c>
      <c r="C17" s="16">
        <f>COUNTIF(FCCompletion[TeamName],'CBO Community Assignments'!B17)</f>
        <v>11</v>
      </c>
      <c r="D17" s="16">
        <f t="shared" si="0"/>
        <v>328</v>
      </c>
      <c r="E17" s="16">
        <f t="shared" si="3"/>
        <v>8036</v>
      </c>
      <c r="G17" s="1">
        <v>10452</v>
      </c>
      <c r="H17" s="1">
        <v>1089</v>
      </c>
      <c r="I17" s="1">
        <v>290</v>
      </c>
    </row>
    <row r="18" spans="1:9" x14ac:dyDescent="0.35">
      <c r="A18" s="16">
        <v>10031</v>
      </c>
      <c r="B18" s="16" t="s">
        <v>139</v>
      </c>
      <c r="C18" s="16">
        <f>COUNTIF(FCCompletion[TeamName],'CBO Community Assignments'!B18)</f>
        <v>11</v>
      </c>
      <c r="D18" s="16">
        <f t="shared" si="0"/>
        <v>663</v>
      </c>
      <c r="E18" s="16">
        <f t="shared" si="3"/>
        <v>8036</v>
      </c>
      <c r="G18" s="1">
        <v>10453</v>
      </c>
      <c r="H18" s="1">
        <v>1051</v>
      </c>
      <c r="I18" s="1">
        <v>245</v>
      </c>
    </row>
    <row r="19" spans="1:9" x14ac:dyDescent="0.35">
      <c r="A19" s="16">
        <v>10032</v>
      </c>
      <c r="B19" s="16" t="s">
        <v>139</v>
      </c>
      <c r="C19" s="16">
        <f>COUNTIF(FCCompletion[TeamName],'CBO Community Assignments'!B19)</f>
        <v>11</v>
      </c>
      <c r="D19" s="16">
        <f t="shared" si="0"/>
        <v>716</v>
      </c>
      <c r="E19" s="16">
        <f t="shared" si="3"/>
        <v>8036</v>
      </c>
      <c r="G19" s="1">
        <v>10454</v>
      </c>
      <c r="H19" s="1">
        <v>691</v>
      </c>
      <c r="I19" s="1">
        <v>102</v>
      </c>
    </row>
    <row r="20" spans="1:9" x14ac:dyDescent="0.35">
      <c r="A20" s="16">
        <v>10033</v>
      </c>
      <c r="B20" s="16" t="s">
        <v>139</v>
      </c>
      <c r="C20" s="16">
        <f>COUNTIF(FCCompletion[TeamName],'CBO Community Assignments'!B20)</f>
        <v>11</v>
      </c>
      <c r="D20" s="16">
        <f t="shared" si="0"/>
        <v>1225</v>
      </c>
      <c r="E20" s="16">
        <f t="shared" si="3"/>
        <v>8036</v>
      </c>
      <c r="G20" s="1">
        <v>10455</v>
      </c>
      <c r="H20" s="1">
        <v>902</v>
      </c>
      <c r="I20" s="1">
        <v>190</v>
      </c>
    </row>
    <row r="21" spans="1:9" x14ac:dyDescent="0.35">
      <c r="A21" s="16"/>
      <c r="B21" s="16"/>
      <c r="D21" s="16"/>
      <c r="E21" s="16"/>
      <c r="G21" s="1">
        <v>10456</v>
      </c>
      <c r="H21" s="1">
        <v>954</v>
      </c>
      <c r="I21" s="1">
        <v>324</v>
      </c>
    </row>
    <row r="22" spans="1:9" x14ac:dyDescent="0.35">
      <c r="A22" s="16">
        <v>10451</v>
      </c>
      <c r="B22" s="16" t="s">
        <v>140</v>
      </c>
      <c r="C22" s="16">
        <f>COUNTIF(FCCompletion[TeamName],'CBO Community Assignments'!B22)</f>
        <v>5</v>
      </c>
      <c r="D22" s="16">
        <f t="shared" si="0"/>
        <v>1013</v>
      </c>
      <c r="E22" s="16">
        <f>SUM(D$22:D$31)</f>
        <v>7411</v>
      </c>
      <c r="G22" s="1">
        <v>10457</v>
      </c>
      <c r="H22" s="1">
        <v>140</v>
      </c>
      <c r="I22" s="1">
        <v>162</v>
      </c>
    </row>
    <row r="23" spans="1:9" x14ac:dyDescent="0.35">
      <c r="A23" s="16">
        <v>10454</v>
      </c>
      <c r="B23" s="16" t="s">
        <v>140</v>
      </c>
      <c r="C23" s="16">
        <f>COUNTIF(FCCompletion[TeamName],'CBO Community Assignments'!B23)</f>
        <v>5</v>
      </c>
      <c r="D23" s="16">
        <f t="shared" si="0"/>
        <v>691</v>
      </c>
      <c r="E23" s="16">
        <f t="shared" ref="E23:E31" si="4">SUM(D$22:D$31)</f>
        <v>7411</v>
      </c>
      <c r="G23" s="1">
        <v>10459</v>
      </c>
      <c r="H23" s="1">
        <v>96</v>
      </c>
      <c r="I23" s="1">
        <v>311</v>
      </c>
    </row>
    <row r="24" spans="1:9" x14ac:dyDescent="0.35">
      <c r="A24" s="16">
        <v>10455</v>
      </c>
      <c r="B24" s="16" t="s">
        <v>140</v>
      </c>
      <c r="C24" s="16">
        <f>COUNTIF(FCCompletion[TeamName],'CBO Community Assignments'!B24)</f>
        <v>5</v>
      </c>
      <c r="D24" s="16">
        <f t="shared" si="0"/>
        <v>902</v>
      </c>
      <c r="E24" s="16">
        <f t="shared" si="4"/>
        <v>7411</v>
      </c>
      <c r="G24" s="1">
        <v>10460</v>
      </c>
      <c r="H24" s="1">
        <v>869</v>
      </c>
      <c r="I24" s="1">
        <v>0</v>
      </c>
    </row>
    <row r="25" spans="1:9" x14ac:dyDescent="0.35">
      <c r="A25" s="16">
        <v>10452</v>
      </c>
      <c r="B25" s="16" t="s">
        <v>140</v>
      </c>
      <c r="C25" s="16">
        <f>COUNTIF(FCCompletion[TeamName],'CBO Community Assignments'!B25)</f>
        <v>5</v>
      </c>
      <c r="D25" s="16">
        <f t="shared" si="0"/>
        <v>1089</v>
      </c>
      <c r="E25" s="16">
        <f t="shared" si="4"/>
        <v>7411</v>
      </c>
      <c r="G25" s="1">
        <v>10474</v>
      </c>
      <c r="H25" s="1">
        <v>606</v>
      </c>
      <c r="I25" s="1">
        <v>139</v>
      </c>
    </row>
    <row r="26" spans="1:9" x14ac:dyDescent="0.35">
      <c r="A26" s="16">
        <v>10453</v>
      </c>
      <c r="B26" s="16" t="s">
        <v>140</v>
      </c>
      <c r="C26" s="16">
        <f>COUNTIF(FCCompletion[TeamName],'CBO Community Assignments'!B26)</f>
        <v>5</v>
      </c>
      <c r="D26" s="16">
        <f t="shared" si="0"/>
        <v>1051</v>
      </c>
      <c r="E26" s="16">
        <f t="shared" si="4"/>
        <v>7411</v>
      </c>
      <c r="G26" s="1">
        <v>11207</v>
      </c>
      <c r="H26" s="1">
        <v>1926</v>
      </c>
      <c r="I26" s="1">
        <v>377</v>
      </c>
    </row>
    <row r="27" spans="1:9" x14ac:dyDescent="0.35">
      <c r="A27" s="16">
        <v>10456</v>
      </c>
      <c r="B27" s="16" t="s">
        <v>140</v>
      </c>
      <c r="C27" s="16">
        <f>COUNTIF(FCCompletion[TeamName],'CBO Community Assignments'!B27)</f>
        <v>5</v>
      </c>
      <c r="D27" s="16">
        <f t="shared" si="0"/>
        <v>954</v>
      </c>
      <c r="E27" s="16">
        <f t="shared" si="4"/>
        <v>7411</v>
      </c>
      <c r="G27" s="1">
        <v>11212</v>
      </c>
      <c r="H27" s="1">
        <v>1488</v>
      </c>
      <c r="I27" s="1">
        <v>0</v>
      </c>
    </row>
    <row r="28" spans="1:9" x14ac:dyDescent="0.35">
      <c r="A28" s="16">
        <v>10457</v>
      </c>
      <c r="B28" s="16" t="s">
        <v>140</v>
      </c>
      <c r="C28" s="16">
        <f>COUNTIF(FCCompletion[TeamName],'CBO Community Assignments'!B28)</f>
        <v>5</v>
      </c>
      <c r="D28" s="16">
        <f t="shared" si="0"/>
        <v>140</v>
      </c>
      <c r="E28" s="16">
        <f t="shared" si="4"/>
        <v>7411</v>
      </c>
      <c r="G28" s="1">
        <v>11233</v>
      </c>
      <c r="H28" s="1">
        <v>1267</v>
      </c>
      <c r="I28" s="1">
        <v>0</v>
      </c>
    </row>
    <row r="29" spans="1:9" x14ac:dyDescent="0.35">
      <c r="A29" s="16">
        <v>10459</v>
      </c>
      <c r="B29" s="16" t="s">
        <v>140</v>
      </c>
      <c r="C29" s="16">
        <f>COUNTIF(FCCompletion[TeamName],'CBO Community Assignments'!B29)</f>
        <v>5</v>
      </c>
      <c r="D29" s="16">
        <f t="shared" si="0"/>
        <v>96</v>
      </c>
      <c r="E29" s="16">
        <f t="shared" si="4"/>
        <v>7411</v>
      </c>
    </row>
    <row r="30" spans="1:9" x14ac:dyDescent="0.35">
      <c r="A30" s="16">
        <v>10474</v>
      </c>
      <c r="B30" s="16" t="s">
        <v>140</v>
      </c>
      <c r="C30" s="16">
        <f>COUNTIF(FCCompletion[TeamName],'CBO Community Assignments'!B30)</f>
        <v>5</v>
      </c>
      <c r="D30" s="16">
        <f t="shared" si="0"/>
        <v>606</v>
      </c>
      <c r="E30" s="16">
        <f t="shared" si="4"/>
        <v>7411</v>
      </c>
    </row>
    <row r="31" spans="1:9" x14ac:dyDescent="0.35">
      <c r="A31" s="16">
        <v>10460</v>
      </c>
      <c r="B31" s="16" t="s">
        <v>140</v>
      </c>
      <c r="C31" s="16">
        <f>COUNTIF(FCCompletion[TeamName],'CBO Community Assignments'!B31)</f>
        <v>5</v>
      </c>
      <c r="D31" s="16">
        <f t="shared" si="0"/>
        <v>869</v>
      </c>
      <c r="E31" s="16">
        <f t="shared" si="4"/>
        <v>7411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8"/>
  <sheetViews>
    <sheetView topLeftCell="A10" workbookViewId="0">
      <selection sqref="A1:B4"/>
    </sheetView>
  </sheetViews>
  <sheetFormatPr defaultRowHeight="14.5" x14ac:dyDescent="0.35"/>
  <cols>
    <col min="1" max="1" width="13" customWidth="1"/>
    <col min="2" max="2" width="12.26953125" customWidth="1"/>
    <col min="3" max="3" width="10.08984375" customWidth="1"/>
    <col min="4" max="4" width="12" customWidth="1"/>
    <col min="5" max="5" width="12.453125" style="16" customWidth="1"/>
    <col min="6" max="6" width="10.1796875" style="16" customWidth="1"/>
    <col min="7" max="7" width="14.36328125" style="16" customWidth="1"/>
    <col min="8" max="8" width="18.453125" style="16" customWidth="1"/>
    <col min="9" max="11" width="16.90625" customWidth="1"/>
    <col min="12" max="12" width="10.54296875" customWidth="1"/>
    <col min="13" max="13" width="10.08984375" customWidth="1"/>
    <col min="14" max="14" width="12" customWidth="1"/>
  </cols>
  <sheetData>
    <row r="1" spans="1:14" x14ac:dyDescent="0.35">
      <c r="A1" s="1" t="s">
        <v>18</v>
      </c>
      <c r="B1" s="1" t="s">
        <v>19</v>
      </c>
      <c r="D1" s="1" t="s">
        <v>20</v>
      </c>
      <c r="E1" s="1" t="s">
        <v>21</v>
      </c>
      <c r="F1" s="1" t="s">
        <v>22</v>
      </c>
      <c r="G1" s="1"/>
      <c r="H1" s="1"/>
      <c r="I1" s="1"/>
      <c r="J1" s="1"/>
      <c r="L1" s="1" t="s">
        <v>29</v>
      </c>
      <c r="M1" s="1" t="s">
        <v>23</v>
      </c>
      <c r="N1" s="1" t="s">
        <v>24</v>
      </c>
    </row>
    <row r="2" spans="1:14" x14ac:dyDescent="0.35">
      <c r="A2" s="1">
        <v>17608</v>
      </c>
      <c r="B2" s="1">
        <v>763</v>
      </c>
      <c r="D2" s="1">
        <v>6063</v>
      </c>
      <c r="E2" s="1">
        <v>6042</v>
      </c>
      <c r="F2" s="1">
        <v>18</v>
      </c>
      <c r="G2" s="1"/>
      <c r="H2" s="1"/>
      <c r="I2" s="1"/>
      <c r="J2" s="1"/>
      <c r="L2" s="1">
        <v>37450</v>
      </c>
      <c r="M2" s="1">
        <v>18371</v>
      </c>
      <c r="N2" s="1">
        <v>1993</v>
      </c>
    </row>
    <row r="3" spans="1:14" x14ac:dyDescent="0.35">
      <c r="A3" s="1">
        <v>36687</v>
      </c>
      <c r="B3" s="1">
        <v>763</v>
      </c>
    </row>
    <row r="4" spans="1:14" x14ac:dyDescent="0.35">
      <c r="A4" t="s">
        <v>8</v>
      </c>
      <c r="B4">
        <f>SUBTOTAL(103,ResidentialStatusMapped[Residential])</f>
        <v>2</v>
      </c>
      <c r="L4">
        <f>Overall_Mapping[Column1]-5982</f>
        <v>31468</v>
      </c>
    </row>
    <row r="5" spans="1:14" x14ac:dyDescent="0.35">
      <c r="A5" s="10">
        <f ca="1">TODAY()</f>
        <v>42691</v>
      </c>
    </row>
    <row r="6" spans="1:14" x14ac:dyDescent="0.35">
      <c r="A6">
        <f ca="1">NETWORKDAYS("7/11/2016",A5)</f>
        <v>94</v>
      </c>
      <c r="B6" s="16">
        <f ca="1">NETWORKDAYS("8/15/2016",A5)</f>
        <v>69</v>
      </c>
    </row>
    <row r="8" spans="1:14" x14ac:dyDescent="0.35">
      <c r="A8">
        <f>A3-5982</f>
        <v>30705</v>
      </c>
      <c r="B8">
        <f>B3</f>
        <v>763</v>
      </c>
    </row>
    <row r="10" spans="1:14" x14ac:dyDescent="0.35">
      <c r="A10" s="1" t="s">
        <v>35</v>
      </c>
      <c r="B10" s="1" t="s">
        <v>8</v>
      </c>
      <c r="C10" s="1" t="s">
        <v>23</v>
      </c>
      <c r="D10" s="1" t="s">
        <v>24</v>
      </c>
      <c r="E10" s="1" t="s">
        <v>92</v>
      </c>
      <c r="F10" s="1" t="s">
        <v>100</v>
      </c>
      <c r="G10" s="116" t="s">
        <v>42</v>
      </c>
      <c r="H10" s="116" t="s">
        <v>80</v>
      </c>
      <c r="I10" s="117" t="s">
        <v>78</v>
      </c>
    </row>
    <row r="11" spans="1:14" x14ac:dyDescent="0.35">
      <c r="A11" s="1" t="s">
        <v>27</v>
      </c>
      <c r="B11" s="7">
        <v>39962</v>
      </c>
      <c r="C11" s="7">
        <v>39637</v>
      </c>
      <c r="D11" s="7">
        <v>3490</v>
      </c>
      <c r="E11" s="7">
        <v>2359</v>
      </c>
      <c r="F11" s="1">
        <v>2417</v>
      </c>
      <c r="G11" s="118">
        <f ca="1">(CItyStats[[#This Row],[Mapped]]+CItyStats[[#This Row],[Checked]])/A$6</f>
        <v>447.38297872340428</v>
      </c>
      <c r="H11" s="118">
        <f ca="1">CItyStats[[#This Row],[Daily Average]]/VLOOKUP(CItyStats[[#This Row],[name]],A$25:C$31,3,FALSE)</f>
        <v>44.738297872340425</v>
      </c>
      <c r="I11" s="119">
        <f ca="1">CItyStats[[#This Row],[Daily Average]]/VLOOKUP(CItyStats[[#This Row],[name]],A$25:B$31,2,FALSE)</f>
        <v>13.158322903629537</v>
      </c>
    </row>
    <row r="12" spans="1:14" hidden="1" x14ac:dyDescent="0.35">
      <c r="A12" s="1" t="s">
        <v>41</v>
      </c>
      <c r="B12" s="7">
        <v>83</v>
      </c>
      <c r="C12" s="7">
        <v>0</v>
      </c>
      <c r="D12" s="7">
        <v>0</v>
      </c>
      <c r="E12" s="7">
        <v>0</v>
      </c>
      <c r="F12" s="1">
        <v>0</v>
      </c>
      <c r="G12" s="118">
        <f ca="1">(CItyStats[[#This Row],[Mapped]]+CItyStats[[#This Row],[Checked]])/A$6</f>
        <v>0</v>
      </c>
      <c r="H12" s="118">
        <f ca="1">CItyStats[[#This Row],[Daily Average]]/VLOOKUP(CItyStats[[#This Row],[name]],A$25:C$31,3,FALSE)</f>
        <v>0</v>
      </c>
      <c r="I12" s="119">
        <f ca="1">CItyStats[[#This Row],[Daily Average]]/VLOOKUP(CItyStats[[#This Row],[name]],A$25:B$31,2,FALSE)</f>
        <v>0</v>
      </c>
    </row>
    <row r="13" spans="1:14" x14ac:dyDescent="0.35">
      <c r="A13" s="1" t="s">
        <v>37</v>
      </c>
      <c r="B13" s="7">
        <v>37450</v>
      </c>
      <c r="C13" s="7">
        <v>18371</v>
      </c>
      <c r="D13" s="7">
        <v>1993</v>
      </c>
      <c r="E13" s="7">
        <v>6411</v>
      </c>
      <c r="F13" s="1">
        <v>253</v>
      </c>
      <c r="G13" s="118">
        <f ca="1">(CItyStats[[#This Row],[Mapped]]+CItyStats[[#This Row],[Checked]])/A$6</f>
        <v>198.12765957446808</v>
      </c>
      <c r="H13" s="118">
        <f ca="1">CItyStats[[#This Row],[Daily Average]]/VLOOKUP(CItyStats[[#This Row],[name]],A$25:C$31,3,FALSE)</f>
        <v>49.531914893617021</v>
      </c>
      <c r="I13" s="119">
        <f ca="1">CItyStats[[#This Row],[Daily Average]]/VLOOKUP(CItyStats[[#This Row],[name]],A$25:B$31,2,FALSE)</f>
        <v>4.717325227963526</v>
      </c>
    </row>
    <row r="14" spans="1:14" x14ac:dyDescent="0.35">
      <c r="A14" s="1" t="s">
        <v>36</v>
      </c>
      <c r="B14" s="7">
        <v>2852</v>
      </c>
      <c r="C14" s="7">
        <v>2771</v>
      </c>
      <c r="D14" s="7">
        <v>21</v>
      </c>
      <c r="E14" s="7">
        <v>496</v>
      </c>
      <c r="F14" s="1">
        <v>19</v>
      </c>
      <c r="G14" s="120">
        <f ca="1">(CItyStats[[#This Row],[Mapped]]+CItyStats[[#This Row],[Checked]])/A$6</f>
        <v>29.680851063829788</v>
      </c>
      <c r="H14" s="118">
        <f ca="1">CItyStats[[#This Row],[Daily Average]]/VLOOKUP(CItyStats[[#This Row],[name]],A$25:C$31,3,FALSE)</f>
        <v>29.680851063829788</v>
      </c>
      <c r="I14" s="119">
        <f ca="1">CItyStats[[#This Row],[Daily Average]]/VLOOKUP(CItyStats[[#This Row],[name]],A$25:B$31,2,FALSE)</f>
        <v>5.9361702127659575</v>
      </c>
    </row>
    <row r="15" spans="1:14" hidden="1" x14ac:dyDescent="0.35">
      <c r="A15" s="1" t="s">
        <v>39</v>
      </c>
      <c r="B15" s="7">
        <v>5</v>
      </c>
      <c r="C15" s="7">
        <v>0</v>
      </c>
      <c r="D15" s="7">
        <v>0</v>
      </c>
      <c r="E15" s="7">
        <v>0</v>
      </c>
      <c r="F15" s="1">
        <v>0</v>
      </c>
      <c r="G15" s="118">
        <f ca="1">(CItyStats[[#This Row],[Mapped]]+CItyStats[[#This Row],[Checked]])/A$6</f>
        <v>0</v>
      </c>
      <c r="H15" s="118">
        <f ca="1">CItyStats[[#This Row],[Daily Average]]/VLOOKUP(CItyStats[[#This Row],[name]],A$25:C$31,3,FALSE)</f>
        <v>0</v>
      </c>
      <c r="I15" s="119">
        <f ca="1">CItyStats[[#This Row],[Daily Average]]/VLOOKUP(CItyStats[[#This Row],[name]],A$25:B$31,2,FALSE)</f>
        <v>0</v>
      </c>
    </row>
    <row r="16" spans="1:14" hidden="1" x14ac:dyDescent="0.35">
      <c r="A16" s="1" t="s">
        <v>38</v>
      </c>
      <c r="B16" s="7">
        <v>2489</v>
      </c>
      <c r="C16" s="7">
        <v>1672</v>
      </c>
      <c r="D16" s="7">
        <v>9</v>
      </c>
      <c r="E16" s="7">
        <v>229</v>
      </c>
      <c r="F16" s="1">
        <v>2</v>
      </c>
      <c r="G16" s="120">
        <f ca="1">(CItyStats[[#This Row],[Mapped]]+CItyStats[[#This Row],[Checked]])/A$6</f>
        <v>17.808510638297872</v>
      </c>
      <c r="H16" s="118">
        <f ca="1">CItyStats[[#This Row],[Daily Average]]/VLOOKUP(CItyStats[[#This Row],[name]],A$25:C$31,3,FALSE)</f>
        <v>17.808510638297872</v>
      </c>
      <c r="I16" s="119">
        <f ca="1">CItyStats[[#This Row],[Daily Average]]/VLOOKUP(CItyStats[[#This Row],[name]],A$25:B$31,2,FALSE)</f>
        <v>17.808510638297872</v>
      </c>
    </row>
    <row r="17" spans="1:14" hidden="1" x14ac:dyDescent="0.35">
      <c r="A17" s="1" t="s">
        <v>40</v>
      </c>
      <c r="B17" s="7">
        <v>79</v>
      </c>
      <c r="C17" s="7">
        <v>0</v>
      </c>
      <c r="D17" s="7">
        <v>0</v>
      </c>
      <c r="E17" s="7">
        <v>0</v>
      </c>
      <c r="F17" s="1">
        <v>0</v>
      </c>
      <c r="G17" s="120">
        <f ca="1">(CItyStats[[#This Row],[Mapped]]+CItyStats[[#This Row],[Checked]])/A$6</f>
        <v>0</v>
      </c>
      <c r="H17" s="118">
        <f ca="1">CItyStats[[#This Row],[Daily Average]]/VLOOKUP(CItyStats[[#This Row],[name]],A$25:C$31,3,FALSE)</f>
        <v>0</v>
      </c>
      <c r="I17" s="119">
        <f ca="1">CItyStats[[#This Row],[Daily Average]]/VLOOKUP(CItyStats[[#This Row],[name]],A$25:B$31,2,FALSE)</f>
        <v>0</v>
      </c>
    </row>
    <row r="19" spans="1:14" x14ac:dyDescent="0.35">
      <c r="A19" t="s">
        <v>79</v>
      </c>
      <c r="B19" t="s">
        <v>23</v>
      </c>
      <c r="C19" t="s">
        <v>28</v>
      </c>
    </row>
    <row r="20" spans="1:14" x14ac:dyDescent="0.35">
      <c r="A20" t="s">
        <v>27</v>
      </c>
      <c r="B20" s="18">
        <f>VLOOKUP(A20,CItyStats[[name]:[FieldCheck]],3,FALSE)/VLOOKUP(A20,CItyStats[[name]:[FieldCheck]],2,FALSE)</f>
        <v>0.99186727391021468</v>
      </c>
      <c r="C20" s="18">
        <f>VLOOKUP(A20,CItyStats[[name]:[FieldCheck]],4,FALSE)/VLOOKUP(A20,CItyStats[[name]:[FieldCheck]],3,FALSE)</f>
        <v>8.8049045084138564E-2</v>
      </c>
      <c r="D20" s="2"/>
      <c r="E20" s="2"/>
      <c r="F20" s="2"/>
      <c r="G20" s="2"/>
      <c r="H20" s="2"/>
      <c r="N20" s="10"/>
    </row>
    <row r="21" spans="1:14" s="16" customFormat="1" x14ac:dyDescent="0.35">
      <c r="A21" t="s">
        <v>37</v>
      </c>
      <c r="B21" s="18">
        <f>VLOOKUP(A21,CItyStats[[name]:[FieldCheck]],3,FALSE)/VLOOKUP(A21,CItyStats[[name]:[FieldCheck]],2,FALSE)</f>
        <v>0.49054739652870494</v>
      </c>
      <c r="C21" s="18">
        <f>VLOOKUP(A21,CItyStats[[name]:[FieldCheck]],4,FALSE)/VLOOKUP(A21,CItyStats[[name]:[FieldCheck]],3,FALSE)</f>
        <v>0.10848620107778564</v>
      </c>
      <c r="D21" s="2"/>
      <c r="E21" s="2"/>
      <c r="F21" s="2"/>
      <c r="G21" s="2"/>
      <c r="H21" s="2"/>
      <c r="N21" s="10"/>
    </row>
    <row r="22" spans="1:14" x14ac:dyDescent="0.35">
      <c r="A22" s="16" t="s">
        <v>36</v>
      </c>
      <c r="B22" s="18">
        <f>VLOOKUP(A22,CItyStats[[name]:[FieldCheck]],3,FALSE)/VLOOKUP(A22,CItyStats[[name]:[FieldCheck]],2,FALSE)</f>
        <v>0.97159887798036471</v>
      </c>
      <c r="C22" s="18">
        <f>VLOOKUP(A22,CItyStats[[name]:[FieldCheck]],4,FALSE)/VLOOKUP(A22,CItyStats[[name]:[FieldCheck]],3,FALSE)</f>
        <v>7.5784915193071092E-3</v>
      </c>
      <c r="D22" s="2"/>
      <c r="E22" s="2"/>
      <c r="F22" s="2"/>
      <c r="G22" s="2"/>
      <c r="H22" s="2"/>
    </row>
    <row r="24" spans="1:14" x14ac:dyDescent="0.35">
      <c r="A24" s="16"/>
      <c r="B24" s="7"/>
      <c r="C24" s="2"/>
      <c r="D24" s="2"/>
      <c r="E24" s="2"/>
      <c r="F24" s="2"/>
      <c r="G24" s="2"/>
      <c r="H24" s="2"/>
    </row>
    <row r="25" spans="1:14" x14ac:dyDescent="0.35">
      <c r="A25" s="16" t="s">
        <v>36</v>
      </c>
      <c r="B25" s="7">
        <v>5</v>
      </c>
      <c r="C25" s="19">
        <v>1</v>
      </c>
      <c r="D25" s="2"/>
      <c r="E25" s="2"/>
      <c r="F25" s="2"/>
      <c r="G25" s="2"/>
      <c r="H25" s="2"/>
    </row>
    <row r="26" spans="1:14" x14ac:dyDescent="0.35">
      <c r="A26" s="16" t="s">
        <v>37</v>
      </c>
      <c r="B26" s="7">
        <v>42</v>
      </c>
      <c r="C26" s="19">
        <v>4</v>
      </c>
      <c r="D26" s="2"/>
      <c r="E26" s="2"/>
      <c r="F26" s="2"/>
      <c r="G26" s="2"/>
      <c r="H26" s="2"/>
    </row>
    <row r="27" spans="1:14" x14ac:dyDescent="0.35">
      <c r="A27" s="16" t="s">
        <v>38</v>
      </c>
      <c r="B27" s="7">
        <v>1</v>
      </c>
      <c r="C27" s="19">
        <v>1</v>
      </c>
      <c r="D27" s="2"/>
      <c r="E27" s="2"/>
      <c r="F27" s="2"/>
      <c r="G27" s="2"/>
      <c r="H27" s="2"/>
    </row>
    <row r="28" spans="1:14" x14ac:dyDescent="0.35">
      <c r="A28" s="16" t="s">
        <v>39</v>
      </c>
      <c r="B28" s="7">
        <v>1</v>
      </c>
      <c r="C28" s="19">
        <v>1</v>
      </c>
      <c r="D28" s="2"/>
      <c r="E28" s="2"/>
      <c r="F28" s="2"/>
      <c r="G28" s="2"/>
      <c r="H28" s="2"/>
    </row>
    <row r="29" spans="1:14" x14ac:dyDescent="0.35">
      <c r="A29" s="16" t="s">
        <v>40</v>
      </c>
      <c r="B29" s="19">
        <v>1</v>
      </c>
      <c r="C29" s="19">
        <v>1</v>
      </c>
    </row>
    <row r="30" spans="1:14" x14ac:dyDescent="0.35">
      <c r="A30" s="16" t="s">
        <v>41</v>
      </c>
      <c r="B30" s="7">
        <v>1</v>
      </c>
      <c r="C30" s="19">
        <v>1</v>
      </c>
    </row>
    <row r="31" spans="1:14" x14ac:dyDescent="0.35">
      <c r="A31" s="16" t="s">
        <v>27</v>
      </c>
      <c r="B31" s="7">
        <v>34</v>
      </c>
      <c r="C31" s="19">
        <v>10</v>
      </c>
    </row>
    <row r="34" spans="1:3" x14ac:dyDescent="0.35">
      <c r="A34" t="str">
        <f>CItyStats[[#Headers],[name]]</f>
        <v>name</v>
      </c>
      <c r="B34" t="str">
        <f>CItyStats[[#Headers],[Total]]</f>
        <v>Total</v>
      </c>
    </row>
    <row r="35" spans="1:3" x14ac:dyDescent="0.35">
      <c r="A35" t="str">
        <f>A11</f>
        <v>Chicago</v>
      </c>
      <c r="B35" s="7">
        <f>B11-265</f>
        <v>39697</v>
      </c>
      <c r="C35" s="144">
        <f>C11/B35</f>
        <v>0.99848855077209864</v>
      </c>
    </row>
    <row r="36" spans="1:3" hidden="1" x14ac:dyDescent="0.35">
      <c r="A36" s="16" t="str">
        <f>A12</f>
        <v>Nashville</v>
      </c>
      <c r="B36" s="7">
        <f>B12</f>
        <v>83</v>
      </c>
      <c r="C36" s="144">
        <f>C12/B36</f>
        <v>0</v>
      </c>
    </row>
    <row r="37" spans="1:3" x14ac:dyDescent="0.35">
      <c r="A37" s="16" t="str">
        <f>A13</f>
        <v>New York</v>
      </c>
      <c r="B37" s="7">
        <f>B13-5982</f>
        <v>31468</v>
      </c>
      <c r="C37" s="144">
        <f>C13/B37</f>
        <v>0.58379941527901358</v>
      </c>
    </row>
    <row r="38" spans="1:3" x14ac:dyDescent="0.35">
      <c r="A38" s="16" t="str">
        <f>A14</f>
        <v>Niagara Falls</v>
      </c>
      <c r="B38" s="7">
        <f>B14</f>
        <v>2852</v>
      </c>
      <c r="C38" s="144">
        <f>C14/B38</f>
        <v>0.97159887798036471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53"/>
  <sheetViews>
    <sheetView topLeftCell="A28" workbookViewId="0">
      <selection sqref="A1:O53"/>
    </sheetView>
  </sheetViews>
  <sheetFormatPr defaultRowHeight="14.5" x14ac:dyDescent="0.35"/>
  <cols>
    <col min="1" max="1" width="18.08984375" bestFit="1" customWidth="1"/>
    <col min="2" max="2" width="10.08984375" bestFit="1" customWidth="1"/>
    <col min="3" max="3" width="12" bestFit="1" customWidth="1"/>
    <col min="4" max="4" width="11.08984375" bestFit="1" customWidth="1"/>
    <col min="5" max="5" width="12.7265625" bestFit="1" customWidth="1"/>
    <col min="6" max="6" width="11.08984375" bestFit="1" customWidth="1"/>
    <col min="7" max="7" width="13" bestFit="1" customWidth="1"/>
    <col min="8" max="8" width="11.08984375" bestFit="1" customWidth="1"/>
    <col min="9" max="9" width="13" bestFit="1" customWidth="1"/>
    <col min="10" max="10" width="11.08984375" bestFit="1" customWidth="1"/>
    <col min="11" max="11" width="13" bestFit="1" customWidth="1"/>
    <col min="12" max="12" width="11.08984375" style="16" bestFit="1" customWidth="1"/>
    <col min="13" max="13" width="13" style="16" bestFit="1" customWidth="1"/>
    <col min="14" max="14" width="11.08984375" style="16" bestFit="1" customWidth="1"/>
    <col min="15" max="15" width="13" style="16" bestFit="1" customWidth="1"/>
    <col min="17" max="17" width="18.08984375" customWidth="1"/>
    <col min="18" max="18" width="10.1796875" bestFit="1" customWidth="1"/>
    <col min="19" max="22" width="11.1796875" bestFit="1" customWidth="1"/>
    <col min="23" max="24" width="11.1796875" style="16" bestFit="1" customWidth="1"/>
  </cols>
  <sheetData>
    <row r="1" spans="1:24" x14ac:dyDescent="0.35">
      <c r="A1" s="1" t="s">
        <v>30</v>
      </c>
      <c r="B1" s="1" t="s">
        <v>23</v>
      </c>
      <c r="C1" s="1" t="s">
        <v>24</v>
      </c>
      <c r="D1" s="1" t="s">
        <v>62</v>
      </c>
      <c r="E1" s="1" t="s">
        <v>63</v>
      </c>
      <c r="F1" s="1" t="s">
        <v>64</v>
      </c>
      <c r="G1" s="1" t="s">
        <v>57</v>
      </c>
      <c r="H1" s="1" t="s">
        <v>65</v>
      </c>
      <c r="I1" s="1" t="s">
        <v>59</v>
      </c>
      <c r="J1" s="1" t="s">
        <v>66</v>
      </c>
      <c r="K1" s="1" t="s">
        <v>61</v>
      </c>
      <c r="L1" s="1" t="s">
        <v>194</v>
      </c>
      <c r="M1" s="1" t="s">
        <v>70</v>
      </c>
      <c r="N1" s="1" t="s">
        <v>195</v>
      </c>
      <c r="O1" s="1" t="s">
        <v>191</v>
      </c>
      <c r="Q1" s="1" t="s">
        <v>30</v>
      </c>
      <c r="R1" s="1" t="s">
        <v>100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196</v>
      </c>
      <c r="X1" s="1" t="s">
        <v>197</v>
      </c>
    </row>
    <row r="2" spans="1:24" x14ac:dyDescent="0.35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v>14</v>
      </c>
      <c r="M2" s="1">
        <v>1</v>
      </c>
      <c r="N2" s="1"/>
      <c r="O2" s="1"/>
      <c r="Q2" s="1" t="s">
        <v>118</v>
      </c>
      <c r="R2" s="1"/>
      <c r="S2" s="1"/>
      <c r="T2" s="1"/>
      <c r="U2" s="1"/>
      <c r="V2" s="1"/>
      <c r="W2" s="1"/>
      <c r="X2" s="1"/>
    </row>
    <row r="3" spans="1:24" x14ac:dyDescent="0.35">
      <c r="A3" s="1" t="s">
        <v>119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 t="s">
        <v>119</v>
      </c>
      <c r="R3" s="1"/>
      <c r="S3" s="1"/>
      <c r="T3" s="1"/>
      <c r="U3" s="1"/>
      <c r="V3" s="1"/>
      <c r="W3" s="1"/>
      <c r="X3" s="1"/>
    </row>
    <row r="4" spans="1:24" x14ac:dyDescent="0.35">
      <c r="A4" s="1" t="s">
        <v>120</v>
      </c>
      <c r="B4" s="1">
        <v>81</v>
      </c>
      <c r="C4" s="1">
        <v>2</v>
      </c>
      <c r="D4" s="1">
        <v>140</v>
      </c>
      <c r="E4" s="1">
        <v>2</v>
      </c>
      <c r="F4" s="1">
        <v>310</v>
      </c>
      <c r="G4" s="1">
        <v>14</v>
      </c>
      <c r="H4" s="1">
        <v>47</v>
      </c>
      <c r="I4" s="1">
        <v>2</v>
      </c>
      <c r="J4" s="1"/>
      <c r="K4" s="1"/>
      <c r="L4" s="1">
        <v>307</v>
      </c>
      <c r="M4" s="1">
        <v>113</v>
      </c>
      <c r="N4" s="1"/>
      <c r="O4" s="1"/>
      <c r="Q4" s="1" t="s">
        <v>120</v>
      </c>
      <c r="R4" s="1"/>
      <c r="S4" s="1">
        <v>13</v>
      </c>
      <c r="T4" s="1">
        <v>8</v>
      </c>
      <c r="U4" s="1"/>
      <c r="V4" s="1"/>
      <c r="W4" s="1"/>
      <c r="X4" s="1"/>
    </row>
    <row r="5" spans="1:24" x14ac:dyDescent="0.35">
      <c r="A5" s="1" t="s">
        <v>121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Q5" s="1" t="s">
        <v>121</v>
      </c>
      <c r="R5" s="1"/>
      <c r="S5" s="1"/>
      <c r="T5" s="1"/>
      <c r="U5" s="1"/>
      <c r="V5" s="1"/>
      <c r="W5" s="1"/>
      <c r="X5" s="1"/>
    </row>
    <row r="6" spans="1:24" x14ac:dyDescent="0.35">
      <c r="A6" s="1" t="s">
        <v>122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1" t="s">
        <v>122</v>
      </c>
      <c r="R6" s="1"/>
      <c r="S6" s="1"/>
      <c r="T6" s="1"/>
      <c r="U6" s="1"/>
      <c r="V6" s="1"/>
      <c r="W6" s="1"/>
      <c r="X6" s="1"/>
    </row>
    <row r="7" spans="1:24" x14ac:dyDescent="0.35">
      <c r="A7" s="1" t="s">
        <v>123</v>
      </c>
      <c r="B7" s="1">
        <v>28</v>
      </c>
      <c r="C7" s="1">
        <v>4</v>
      </c>
      <c r="D7" s="1">
        <v>167</v>
      </c>
      <c r="E7" s="1">
        <v>4</v>
      </c>
      <c r="F7" s="1">
        <v>98</v>
      </c>
      <c r="G7" s="1">
        <v>2</v>
      </c>
      <c r="H7" s="1">
        <v>339</v>
      </c>
      <c r="I7" s="1">
        <v>29</v>
      </c>
      <c r="J7" s="1"/>
      <c r="K7" s="1"/>
      <c r="L7" s="1">
        <v>108</v>
      </c>
      <c r="M7" s="1">
        <v>86</v>
      </c>
      <c r="N7" s="1"/>
      <c r="O7" s="1"/>
      <c r="Q7" s="1" t="s">
        <v>123</v>
      </c>
      <c r="R7" s="1"/>
      <c r="S7" s="1"/>
      <c r="T7" s="1"/>
      <c r="U7" s="1"/>
      <c r="V7" s="1"/>
      <c r="W7" s="1"/>
      <c r="X7" s="1"/>
    </row>
    <row r="8" spans="1:24" x14ac:dyDescent="0.35">
      <c r="A8" s="1" t="s">
        <v>124</v>
      </c>
      <c r="B8" s="1"/>
      <c r="C8" s="1"/>
      <c r="D8" s="1"/>
      <c r="E8" s="1"/>
      <c r="F8" s="1"/>
      <c r="G8" s="1"/>
      <c r="H8" s="1"/>
      <c r="I8" s="1"/>
      <c r="J8" s="1"/>
      <c r="K8" s="1"/>
      <c r="L8" s="1">
        <v>36</v>
      </c>
      <c r="M8" s="1">
        <v>7</v>
      </c>
      <c r="N8" s="1"/>
      <c r="O8" s="1"/>
      <c r="Q8" s="1" t="s">
        <v>124</v>
      </c>
      <c r="R8" s="1"/>
      <c r="S8" s="1"/>
      <c r="T8" s="1"/>
      <c r="U8" s="1"/>
      <c r="V8" s="1"/>
      <c r="W8" s="1"/>
      <c r="X8" s="1"/>
    </row>
    <row r="9" spans="1:24" x14ac:dyDescent="0.35">
      <c r="A9" s="1" t="s">
        <v>125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v>35</v>
      </c>
      <c r="M9" s="1">
        <v>9</v>
      </c>
      <c r="N9" s="1"/>
      <c r="O9" s="1"/>
      <c r="Q9" s="1" t="s">
        <v>125</v>
      </c>
      <c r="R9" s="1"/>
      <c r="S9" s="1"/>
      <c r="T9" s="1"/>
      <c r="U9" s="1"/>
      <c r="V9" s="1"/>
      <c r="W9" s="1"/>
      <c r="X9" s="1"/>
    </row>
    <row r="10" spans="1:24" x14ac:dyDescent="0.35">
      <c r="A10" s="1" t="s">
        <v>126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Q10" s="1" t="s">
        <v>126</v>
      </c>
      <c r="R10" s="1"/>
      <c r="S10" s="1"/>
      <c r="T10" s="1"/>
      <c r="U10" s="1"/>
      <c r="V10" s="1"/>
      <c r="W10" s="1"/>
      <c r="X10" s="1"/>
    </row>
    <row r="11" spans="1:24" x14ac:dyDescent="0.35">
      <c r="A11" s="5" t="s">
        <v>127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Q11" s="1" t="s">
        <v>127</v>
      </c>
      <c r="R11" s="1"/>
      <c r="S11" s="1"/>
      <c r="T11" s="1"/>
      <c r="U11" s="1"/>
      <c r="V11" s="1"/>
      <c r="W11" s="1"/>
      <c r="X11" s="1"/>
    </row>
    <row r="12" spans="1:24" x14ac:dyDescent="0.35">
      <c r="A12" s="16" t="s">
        <v>128</v>
      </c>
      <c r="B12" s="16">
        <v>96</v>
      </c>
      <c r="C12" s="16">
        <v>1</v>
      </c>
      <c r="D12" s="16">
        <v>356</v>
      </c>
      <c r="E12" s="16">
        <v>1</v>
      </c>
      <c r="F12" s="16">
        <v>196</v>
      </c>
      <c r="G12" s="16">
        <v>3</v>
      </c>
      <c r="H12" s="16">
        <v>422</v>
      </c>
      <c r="I12" s="16">
        <v>32</v>
      </c>
      <c r="J12" s="16"/>
      <c r="K12" s="16"/>
      <c r="L12" s="1">
        <v>39</v>
      </c>
      <c r="M12" s="1">
        <v>14</v>
      </c>
      <c r="N12" s="1"/>
      <c r="O12" s="1"/>
      <c r="Q12" s="1" t="s">
        <v>128</v>
      </c>
      <c r="R12" s="1"/>
      <c r="S12" s="1">
        <v>4</v>
      </c>
      <c r="T12" s="1">
        <v>1</v>
      </c>
      <c r="U12" s="1"/>
      <c r="V12" s="1"/>
      <c r="W12" s="1"/>
      <c r="X12" s="1"/>
    </row>
    <row r="13" spans="1:24" x14ac:dyDescent="0.35">
      <c r="A13" s="16" t="s">
        <v>129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"/>
      <c r="M13" s="1"/>
      <c r="N13" s="1"/>
      <c r="O13" s="1"/>
      <c r="Q13" s="1" t="s">
        <v>129</v>
      </c>
      <c r="R13" s="1"/>
      <c r="S13" s="1"/>
      <c r="T13" s="1"/>
      <c r="U13" s="1"/>
      <c r="V13" s="1"/>
      <c r="W13" s="1"/>
      <c r="X13" s="1"/>
    </row>
    <row r="14" spans="1:24" x14ac:dyDescent="0.35">
      <c r="A14" s="16" t="s">
        <v>130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"/>
      <c r="M14" s="1"/>
      <c r="N14" s="1"/>
      <c r="O14" s="1"/>
      <c r="Q14" s="1" t="s">
        <v>130</v>
      </c>
      <c r="R14" s="1"/>
      <c r="S14" s="1"/>
      <c r="T14" s="1"/>
      <c r="U14" s="1"/>
      <c r="V14" s="1"/>
      <c r="W14" s="1"/>
      <c r="X14" s="1"/>
    </row>
    <row r="15" spans="1:24" x14ac:dyDescent="0.35">
      <c r="A15" s="16" t="s">
        <v>131</v>
      </c>
      <c r="B15" s="16">
        <v>98</v>
      </c>
      <c r="C15" s="16">
        <v>4</v>
      </c>
      <c r="D15" s="16">
        <v>99</v>
      </c>
      <c r="E15" s="16">
        <v>1</v>
      </c>
      <c r="F15" s="16">
        <v>184</v>
      </c>
      <c r="G15" s="16">
        <v>3</v>
      </c>
      <c r="H15" s="16">
        <v>45</v>
      </c>
      <c r="I15" s="16">
        <v>0</v>
      </c>
      <c r="J15" s="16"/>
      <c r="K15" s="16"/>
      <c r="L15" s="1">
        <v>209</v>
      </c>
      <c r="M15" s="1">
        <v>128</v>
      </c>
      <c r="N15" s="1"/>
      <c r="O15" s="1"/>
      <c r="Q15" s="1" t="s">
        <v>131</v>
      </c>
      <c r="R15" s="1"/>
      <c r="S15" s="1"/>
      <c r="T15" s="1"/>
      <c r="U15" s="1"/>
      <c r="V15" s="1"/>
      <c r="W15" s="1"/>
      <c r="X15" s="1"/>
    </row>
    <row r="16" spans="1:24" x14ac:dyDescent="0.35">
      <c r="A16" s="16" t="s">
        <v>132</v>
      </c>
      <c r="B16" s="16">
        <v>298</v>
      </c>
      <c r="C16" s="16">
        <v>29</v>
      </c>
      <c r="D16" s="16">
        <v>173</v>
      </c>
      <c r="E16" s="16">
        <v>4</v>
      </c>
      <c r="F16" s="16">
        <v>116</v>
      </c>
      <c r="G16" s="16">
        <v>16</v>
      </c>
      <c r="H16" s="16"/>
      <c r="I16" s="16"/>
      <c r="J16" s="16"/>
      <c r="K16" s="16"/>
      <c r="L16" s="1">
        <v>205</v>
      </c>
      <c r="M16" s="1">
        <v>119</v>
      </c>
      <c r="N16" s="1"/>
      <c r="O16" s="1"/>
      <c r="Q16" s="1" t="s">
        <v>132</v>
      </c>
      <c r="R16" s="1">
        <v>1</v>
      </c>
      <c r="S16" s="1"/>
      <c r="T16" s="1"/>
      <c r="U16" s="1"/>
      <c r="V16" s="1"/>
      <c r="W16" s="1"/>
      <c r="X16" s="1"/>
    </row>
    <row r="17" spans="1:24" x14ac:dyDescent="0.35">
      <c r="A17" s="16" t="s">
        <v>201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">
        <v>204</v>
      </c>
      <c r="M17" s="1">
        <v>121</v>
      </c>
      <c r="N17" s="1"/>
      <c r="O17" s="1"/>
      <c r="Q17" s="1" t="s">
        <v>201</v>
      </c>
      <c r="R17" s="1"/>
      <c r="S17" s="1"/>
      <c r="T17" s="1"/>
      <c r="U17" s="1"/>
      <c r="V17" s="1"/>
      <c r="W17" s="1"/>
      <c r="X17" s="1"/>
    </row>
    <row r="18" spans="1:24" x14ac:dyDescent="0.35">
      <c r="A18" s="16" t="s">
        <v>202</v>
      </c>
      <c r="B18" s="16">
        <v>98</v>
      </c>
      <c r="C18" s="16">
        <v>3</v>
      </c>
      <c r="D18" s="16">
        <v>72</v>
      </c>
      <c r="E18" s="16">
        <v>1</v>
      </c>
      <c r="F18" s="16">
        <v>237</v>
      </c>
      <c r="G18" s="16">
        <v>0</v>
      </c>
      <c r="H18" s="16">
        <v>133</v>
      </c>
      <c r="I18" s="16">
        <v>0</v>
      </c>
      <c r="J18" s="16"/>
      <c r="K18" s="16"/>
      <c r="L18" s="1">
        <v>183</v>
      </c>
      <c r="M18" s="1">
        <v>110</v>
      </c>
      <c r="N18" s="1"/>
      <c r="O18" s="1"/>
      <c r="Q18" s="1" t="s">
        <v>202</v>
      </c>
      <c r="R18" s="1"/>
      <c r="S18" s="1"/>
      <c r="T18" s="1"/>
      <c r="U18" s="1"/>
      <c r="V18" s="1"/>
      <c r="W18" s="1"/>
      <c r="X18" s="1"/>
    </row>
    <row r="19" spans="1:24" x14ac:dyDescent="0.35">
      <c r="A19" s="16" t="s">
        <v>203</v>
      </c>
      <c r="B19" s="16">
        <v>114</v>
      </c>
      <c r="C19" s="16">
        <v>40</v>
      </c>
      <c r="D19" s="16">
        <v>54</v>
      </c>
      <c r="E19" s="16">
        <v>0</v>
      </c>
      <c r="F19" s="16">
        <v>47</v>
      </c>
      <c r="G19" s="16">
        <v>1</v>
      </c>
      <c r="H19" s="16">
        <v>172</v>
      </c>
      <c r="I19" s="16">
        <v>23</v>
      </c>
      <c r="J19" s="16"/>
      <c r="K19" s="16"/>
      <c r="L19" s="1">
        <v>164</v>
      </c>
      <c r="M19" s="1">
        <v>134</v>
      </c>
      <c r="N19" s="1"/>
      <c r="O19" s="1"/>
      <c r="Q19" s="1" t="s">
        <v>203</v>
      </c>
      <c r="R19" s="1"/>
      <c r="S19" s="1"/>
      <c r="T19" s="1"/>
      <c r="U19" s="1"/>
      <c r="V19" s="1"/>
      <c r="W19" s="1"/>
      <c r="X19" s="1"/>
    </row>
    <row r="20" spans="1:24" x14ac:dyDescent="0.35">
      <c r="A20" s="16" t="s">
        <v>204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"/>
      <c r="M20" s="1"/>
      <c r="N20" s="1"/>
      <c r="O20" s="1"/>
      <c r="Q20" s="1" t="s">
        <v>204</v>
      </c>
      <c r="R20" s="1"/>
      <c r="S20" s="1"/>
      <c r="T20" s="1"/>
      <c r="U20" s="1"/>
      <c r="V20" s="1"/>
      <c r="W20" s="1"/>
      <c r="X20" s="1"/>
    </row>
    <row r="21" spans="1:24" x14ac:dyDescent="0.35">
      <c r="A21" s="16" t="s">
        <v>205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"/>
      <c r="M21" s="1"/>
      <c r="N21" s="1"/>
      <c r="O21" s="1"/>
      <c r="Q21" s="16" t="s">
        <v>205</v>
      </c>
      <c r="R21" s="16"/>
      <c r="S21" s="16"/>
      <c r="T21" s="16"/>
      <c r="U21" s="16"/>
      <c r="V21" s="16"/>
      <c r="W21" s="1"/>
      <c r="X21" s="1"/>
    </row>
    <row r="22" spans="1:24" x14ac:dyDescent="0.35">
      <c r="A22" s="16" t="s">
        <v>206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"/>
      <c r="M22" s="1"/>
      <c r="N22" s="1"/>
      <c r="O22" s="1"/>
      <c r="Q22" s="16" t="s">
        <v>206</v>
      </c>
      <c r="R22" s="16"/>
      <c r="S22" s="16"/>
      <c r="T22" s="16"/>
      <c r="U22" s="16"/>
      <c r="V22" s="16"/>
      <c r="W22" s="1"/>
      <c r="X22" s="1"/>
    </row>
    <row r="23" spans="1:24" x14ac:dyDescent="0.35">
      <c r="A23" s="16" t="s">
        <v>207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"/>
      <c r="M23" s="1"/>
      <c r="N23" s="1"/>
      <c r="O23" s="1"/>
      <c r="Q23" s="16" t="s">
        <v>207</v>
      </c>
      <c r="R23" s="16"/>
      <c r="S23" s="16"/>
      <c r="T23" s="16"/>
      <c r="U23" s="16"/>
      <c r="V23" s="16"/>
      <c r="W23" s="1"/>
      <c r="X23" s="1"/>
    </row>
    <row r="24" spans="1:24" x14ac:dyDescent="0.35">
      <c r="A24" s="16" t="s">
        <v>208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"/>
      <c r="M24" s="1"/>
      <c r="N24" s="1"/>
      <c r="O24" s="1"/>
      <c r="Q24" s="16" t="s">
        <v>208</v>
      </c>
      <c r="R24" s="16"/>
      <c r="S24" s="16"/>
      <c r="T24" s="16"/>
      <c r="U24" s="16"/>
      <c r="V24" s="16"/>
      <c r="W24" s="1"/>
      <c r="X24" s="1"/>
    </row>
    <row r="25" spans="1:24" x14ac:dyDescent="0.35">
      <c r="A25" s="16" t="s">
        <v>209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"/>
      <c r="M25" s="1"/>
      <c r="N25" s="1"/>
      <c r="O25" s="1"/>
      <c r="Q25" s="16" t="s">
        <v>209</v>
      </c>
      <c r="R25" s="16"/>
      <c r="S25" s="16"/>
      <c r="T25" s="16"/>
      <c r="U25" s="16"/>
      <c r="V25" s="16"/>
      <c r="W25" s="1"/>
      <c r="X25" s="1"/>
    </row>
    <row r="26" spans="1:24" x14ac:dyDescent="0.35">
      <c r="A26" s="16" t="s">
        <v>210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"/>
      <c r="M26" s="1"/>
      <c r="N26" s="1"/>
      <c r="O26" s="1"/>
      <c r="Q26" s="16" t="s">
        <v>210</v>
      </c>
      <c r="R26" s="16"/>
      <c r="S26" s="16"/>
      <c r="T26" s="16"/>
      <c r="U26" s="16"/>
      <c r="V26" s="16"/>
      <c r="W26" s="1"/>
      <c r="X26" s="1"/>
    </row>
    <row r="27" spans="1:24" x14ac:dyDescent="0.35">
      <c r="A27" s="16" t="s">
        <v>211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Q27" s="16" t="s">
        <v>211</v>
      </c>
      <c r="R27" s="16"/>
      <c r="S27" s="16"/>
      <c r="T27" s="16"/>
      <c r="U27" s="16"/>
      <c r="V27" s="16"/>
    </row>
    <row r="28" spans="1:24" x14ac:dyDescent="0.35">
      <c r="A28" s="16" t="s">
        <v>212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Q28" s="16" t="s">
        <v>212</v>
      </c>
      <c r="R28" s="16"/>
      <c r="S28" s="16"/>
      <c r="T28" s="16"/>
      <c r="U28" s="16"/>
      <c r="V28" s="16"/>
    </row>
    <row r="29" spans="1:24" x14ac:dyDescent="0.35">
      <c r="A29" s="16" t="s">
        <v>213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Q29" s="16" t="s">
        <v>213</v>
      </c>
      <c r="R29" s="16"/>
      <c r="S29" s="16"/>
      <c r="T29" s="16"/>
      <c r="U29" s="16"/>
      <c r="V29" s="16"/>
    </row>
    <row r="30" spans="1:24" x14ac:dyDescent="0.35">
      <c r="A30" s="16" t="s">
        <v>214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Q30" s="16" t="s">
        <v>214</v>
      </c>
      <c r="R30" s="16"/>
      <c r="S30" s="16"/>
      <c r="T30" s="16"/>
      <c r="U30" s="16"/>
      <c r="V30" s="16"/>
    </row>
    <row r="31" spans="1:24" x14ac:dyDescent="0.35">
      <c r="A31" s="16" t="s">
        <v>215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Q31" s="16" t="s">
        <v>215</v>
      </c>
      <c r="R31" s="16"/>
      <c r="S31" s="16"/>
      <c r="T31" s="16"/>
      <c r="U31" s="16"/>
      <c r="V31" s="16"/>
    </row>
    <row r="32" spans="1:24" x14ac:dyDescent="0.35">
      <c r="A32" s="16" t="s">
        <v>216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Q32" s="16" t="s">
        <v>216</v>
      </c>
      <c r="R32" s="16"/>
      <c r="S32" s="16"/>
      <c r="T32" s="16"/>
      <c r="U32" s="16"/>
      <c r="V32" s="16"/>
    </row>
    <row r="33" spans="1:22" x14ac:dyDescent="0.35">
      <c r="A33" s="16" t="s">
        <v>217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Q33" s="16" t="s">
        <v>217</v>
      </c>
      <c r="R33" s="16"/>
      <c r="S33" s="16"/>
      <c r="T33" s="16"/>
      <c r="U33" s="16"/>
      <c r="V33" s="16"/>
    </row>
    <row r="34" spans="1:22" x14ac:dyDescent="0.35">
      <c r="A34" s="16" t="s">
        <v>218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Q34" s="16" t="s">
        <v>218</v>
      </c>
      <c r="R34" s="16"/>
      <c r="S34" s="16"/>
      <c r="T34" s="16"/>
      <c r="U34" s="16"/>
      <c r="V34" s="16"/>
    </row>
    <row r="35" spans="1:22" x14ac:dyDescent="0.35">
      <c r="A35" s="16" t="s">
        <v>219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Q35" s="16" t="s">
        <v>219</v>
      </c>
      <c r="R35" s="16"/>
      <c r="S35" s="16"/>
      <c r="T35" s="16"/>
      <c r="U35" s="16"/>
      <c r="V35" s="16"/>
    </row>
    <row r="36" spans="1:22" x14ac:dyDescent="0.35">
      <c r="A36" s="16" t="s">
        <v>220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Q36" s="16" t="s">
        <v>220</v>
      </c>
      <c r="R36" s="16"/>
      <c r="S36" s="16"/>
      <c r="T36" s="16"/>
      <c r="U36" s="16"/>
      <c r="V36" s="16"/>
    </row>
    <row r="37" spans="1:22" x14ac:dyDescent="0.35">
      <c r="A37" s="16" t="s">
        <v>221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Q37" s="16" t="s">
        <v>221</v>
      </c>
      <c r="R37" s="16"/>
      <c r="S37" s="16"/>
      <c r="T37" s="16"/>
      <c r="U37" s="16"/>
      <c r="V37" s="16"/>
    </row>
    <row r="38" spans="1:22" x14ac:dyDescent="0.35">
      <c r="A38" s="16" t="s">
        <v>222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Q38" s="16" t="s">
        <v>222</v>
      </c>
      <c r="R38" s="16"/>
      <c r="S38" s="16"/>
      <c r="T38" s="16"/>
      <c r="U38" s="16"/>
      <c r="V38" s="16"/>
    </row>
    <row r="39" spans="1:22" x14ac:dyDescent="0.35">
      <c r="A39" s="16" t="s">
        <v>223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Q39" s="16" t="s">
        <v>223</v>
      </c>
      <c r="R39" s="16"/>
      <c r="S39" s="16"/>
      <c r="T39" s="16"/>
      <c r="U39" s="16"/>
      <c r="V39" s="16"/>
    </row>
    <row r="40" spans="1:22" x14ac:dyDescent="0.35">
      <c r="A40" s="16" t="s">
        <v>224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Q40" s="16" t="s">
        <v>224</v>
      </c>
      <c r="R40" s="16"/>
      <c r="S40" s="16"/>
      <c r="T40" s="16"/>
      <c r="U40" s="16"/>
      <c r="V40" s="16"/>
    </row>
    <row r="41" spans="1:22" x14ac:dyDescent="0.35">
      <c r="A41" s="16" t="s">
        <v>241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Q41" s="16" t="s">
        <v>241</v>
      </c>
      <c r="R41" s="16"/>
      <c r="S41" s="16"/>
      <c r="T41" s="16"/>
      <c r="U41" s="16"/>
      <c r="V41" s="16"/>
    </row>
    <row r="42" spans="1:22" x14ac:dyDescent="0.35">
      <c r="A42" s="16" t="s">
        <v>242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Q42" s="16" t="s">
        <v>242</v>
      </c>
      <c r="R42" s="16"/>
      <c r="S42" s="16"/>
      <c r="T42" s="16"/>
      <c r="U42" s="16"/>
      <c r="V42" s="16"/>
    </row>
    <row r="43" spans="1:22" x14ac:dyDescent="0.35">
      <c r="A43" s="16" t="s">
        <v>133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Q43" s="16" t="s">
        <v>133</v>
      </c>
      <c r="R43" s="16"/>
      <c r="S43" s="16"/>
      <c r="T43" s="16"/>
      <c r="U43" s="16"/>
      <c r="V43" s="16"/>
    </row>
    <row r="44" spans="1:22" x14ac:dyDescent="0.35">
      <c r="A44" s="16" t="s">
        <v>134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Q44" s="16" t="s">
        <v>134</v>
      </c>
      <c r="R44" s="16"/>
      <c r="S44" s="16"/>
      <c r="T44" s="16"/>
      <c r="U44" s="16"/>
      <c r="V44" s="16"/>
    </row>
    <row r="45" spans="1:22" x14ac:dyDescent="0.35">
      <c r="A45" s="16" t="s">
        <v>135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Q45" s="16" t="s">
        <v>135</v>
      </c>
      <c r="R45" s="16"/>
      <c r="S45" s="16"/>
      <c r="T45" s="16"/>
      <c r="U45" s="16"/>
      <c r="V45" s="16"/>
    </row>
    <row r="46" spans="1:22" x14ac:dyDescent="0.35">
      <c r="A46" s="16" t="s">
        <v>136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Q46" s="16" t="s">
        <v>136</v>
      </c>
      <c r="R46" s="16"/>
      <c r="S46" s="16"/>
      <c r="T46" s="16"/>
      <c r="U46" s="16"/>
      <c r="V46" s="16"/>
    </row>
    <row r="47" spans="1:22" x14ac:dyDescent="0.35">
      <c r="A47" s="16" t="s">
        <v>137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Q47" s="16" t="s">
        <v>137</v>
      </c>
      <c r="R47" s="16"/>
      <c r="S47" s="16"/>
      <c r="T47" s="16"/>
      <c r="U47" s="16"/>
      <c r="V47" s="16"/>
    </row>
    <row r="48" spans="1:22" x14ac:dyDescent="0.35">
      <c r="A48" s="16" t="s">
        <v>138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Q48" s="16" t="s">
        <v>138</v>
      </c>
      <c r="R48" s="16"/>
      <c r="S48" s="16"/>
      <c r="T48" s="16"/>
      <c r="U48" s="16"/>
      <c r="V48" s="16"/>
    </row>
    <row r="49" spans="1:22" x14ac:dyDescent="0.35">
      <c r="A49" s="16" t="s">
        <v>139</v>
      </c>
      <c r="B49" s="16">
        <v>794</v>
      </c>
      <c r="C49" s="16">
        <v>26</v>
      </c>
      <c r="D49" s="16">
        <v>2158</v>
      </c>
      <c r="E49" s="16">
        <v>25</v>
      </c>
      <c r="F49" s="16">
        <v>1359</v>
      </c>
      <c r="G49" s="16">
        <v>36</v>
      </c>
      <c r="H49" s="16">
        <v>184</v>
      </c>
      <c r="I49" s="16">
        <v>7</v>
      </c>
      <c r="J49" s="16"/>
      <c r="K49" s="16"/>
      <c r="Q49" s="16" t="s">
        <v>139</v>
      </c>
      <c r="R49" s="16">
        <v>1</v>
      </c>
      <c r="S49" s="16">
        <v>12</v>
      </c>
      <c r="T49" s="16">
        <v>92</v>
      </c>
      <c r="U49" s="16">
        <v>30</v>
      </c>
      <c r="V49" s="16"/>
    </row>
    <row r="50" spans="1:22" x14ac:dyDescent="0.35">
      <c r="A50" s="16" t="s">
        <v>140</v>
      </c>
      <c r="B50" s="16">
        <v>641</v>
      </c>
      <c r="C50" s="16">
        <v>12</v>
      </c>
      <c r="D50" s="16">
        <v>539</v>
      </c>
      <c r="E50" s="16">
        <v>13</v>
      </c>
      <c r="F50" s="16">
        <v>652</v>
      </c>
      <c r="G50" s="16">
        <v>55</v>
      </c>
      <c r="H50" s="16">
        <v>708</v>
      </c>
      <c r="I50" s="16">
        <v>95</v>
      </c>
      <c r="J50" s="16"/>
      <c r="K50" s="16"/>
      <c r="Q50" s="16" t="s">
        <v>140</v>
      </c>
      <c r="R50" s="16"/>
      <c r="S50" s="16">
        <v>7</v>
      </c>
      <c r="T50" s="16">
        <v>18</v>
      </c>
      <c r="U50" s="16">
        <v>36</v>
      </c>
      <c r="V50" s="16"/>
    </row>
    <row r="51" spans="1:22" x14ac:dyDescent="0.35">
      <c r="A51" s="16" t="s">
        <v>141</v>
      </c>
      <c r="B51" s="16">
        <v>400</v>
      </c>
      <c r="C51" s="16">
        <v>36</v>
      </c>
      <c r="D51" s="16">
        <v>1013</v>
      </c>
      <c r="E51" s="16">
        <v>44</v>
      </c>
      <c r="F51" s="16">
        <v>1019</v>
      </c>
      <c r="G51" s="16">
        <v>175</v>
      </c>
      <c r="H51" s="16">
        <v>1022</v>
      </c>
      <c r="I51" s="16">
        <v>154</v>
      </c>
      <c r="J51" s="16"/>
      <c r="K51" s="16"/>
      <c r="Q51" s="16" t="s">
        <v>141</v>
      </c>
      <c r="R51" s="16"/>
      <c r="S51" s="16"/>
      <c r="T51" s="16">
        <v>30</v>
      </c>
      <c r="U51" s="16"/>
      <c r="V51" s="16"/>
    </row>
    <row r="52" spans="1:22" x14ac:dyDescent="0.35">
      <c r="A52" s="16" t="s">
        <v>142</v>
      </c>
      <c r="B52" s="16">
        <v>326</v>
      </c>
      <c r="C52" s="16">
        <v>14</v>
      </c>
      <c r="D52" s="16">
        <v>494</v>
      </c>
      <c r="E52" s="16">
        <v>24</v>
      </c>
      <c r="F52" s="16">
        <v>520</v>
      </c>
      <c r="G52" s="16">
        <v>32</v>
      </c>
      <c r="H52" s="16">
        <v>476</v>
      </c>
      <c r="I52" s="16">
        <v>106</v>
      </c>
      <c r="J52" s="16"/>
      <c r="K52" s="16"/>
      <c r="Q52" s="16" t="s">
        <v>142</v>
      </c>
      <c r="R52" s="16"/>
      <c r="S52" s="16"/>
      <c r="T52" s="16"/>
      <c r="U52" s="16"/>
      <c r="V52" s="16"/>
    </row>
    <row r="53" spans="1:22" x14ac:dyDescent="0.35">
      <c r="A53" t="s">
        <v>200</v>
      </c>
      <c r="B53" s="16">
        <f>SUM(TeamCompletion[Mapped])</f>
        <v>2974</v>
      </c>
      <c r="C53" s="16">
        <f>SUM(TeamCompletion[FieldCheck])</f>
        <v>171</v>
      </c>
      <c r="D53" s="16">
        <f>SUM(TeamCompletion[Mapped2])</f>
        <v>5265</v>
      </c>
      <c r="E53" s="16">
        <f>SUM(TeamCompletion[Fieldcheck2])</f>
        <v>119</v>
      </c>
      <c r="F53" s="16">
        <f>SUM(TeamCompletion[Mapped3])</f>
        <v>4738</v>
      </c>
      <c r="G53" s="16">
        <f>SUM(TeamCompletion[FieldCheck3])</f>
        <v>337</v>
      </c>
      <c r="H53" s="16">
        <f>SUM(TeamCompletion[Mapped4])</f>
        <v>3548</v>
      </c>
      <c r="I53" s="16">
        <f>SUM(TeamCompletion[FieldCheck4])</f>
        <v>448</v>
      </c>
      <c r="J53" s="16">
        <f>SUM(TeamCompletion[Mapped5])</f>
        <v>0</v>
      </c>
      <c r="K53" s="16">
        <f>SUM(TeamCompletion[FieldCheck5])</f>
        <v>0</v>
      </c>
      <c r="L53" s="16">
        <f>SUM(TeamCompletion[Mapped6])</f>
        <v>1504</v>
      </c>
      <c r="M53" s="16">
        <f>SUM(TeamCompletion[FieldCheck6])</f>
        <v>842</v>
      </c>
      <c r="N53" s="16">
        <f>SUM(TeamCompletion[Mapped7])</f>
        <v>0</v>
      </c>
      <c r="O53" s="16">
        <f>SUM(TeamCompletion[FieldCheck7])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4 5 f a 9 a - 8 7 2 f - 4 1 9 e - 9 3 7 7 - 8 a b 3 b 6 9 e b b d 2 "   x m l n s = " h t t p : / / s c h e m a s . m i c r o s o f t . c o m / D a t a M a s h u p " > A A A A A A M G A A B Q S w M E F A A C A A g A U 3 c f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U 3 c f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3 H 0 m D A I l B + g I A A H 4 P A A A T A B w A R m 9 y b X V s Y X M v U 2 V j d G l v b j E u b S C i G A A o o B Q A A A A A A A A A A A A A A A A A A A A A A A A A A A D F V 9 t u 2 k A Q f U f i H 1 a b F 5 A S S y G 3 h z a V I j d E k X p J Y 6 p W i v K w 2 B O w s l 4 T r 1 0 a o f x 7 x / Y C C 8 y 6 U i 6 E F 8 S O z 5 y z 4 9 k 5 i 4 Y w j 1 P F g v p 7 / 0 O 7 1 W 7 p s c g g Y h e Q n m U g B m k u 5 J U U I W h 2 y i T k L Y a f I C 2 y E H A h e J D e Z 5 G L o d D Q 4 Y m Y 6 D D N J n v 6 Q e 5 N s j T y I h P z p r G K 0 q n 2 F O R 8 l / G v + K S P T + r q M V y 5 + V F A 9 n j K z / 9 C y K J h 6 h H 8 P X 7 b 3 W 1 X A n a 4 P x Z q h D o H j x P g q G Q g h h K 8 Q S a U v k u z x E 9 l k a g y q D u 1 2 t 3 Z j H 8 T C S D Z p c q P D 7 0 y + P T U b c W K S m n X 4 h p 0 H I H K Y y G D X O S F R v k T X H + T g l y t F g T m B X G J 6 O 1 0 5 F 0 X S z P f S K 3 F 1 h 9 M I E Q Y Z h 5 l I q l l t 1 9 H 9 / z J j R e 5 0 L 1 K j j r b K L T t U L r D v / + B T E j J y t 3 F a s R f s 8 h O s e e / z / 1 K r G E 3 5 F X H u c s 6 A I F 9 l k x Q X 3 m K t t E N C 6 F r 3 N X R M G 1 8 k a V F 2 R j X m H B 5 M q r V + V F g M 1 4 m q I 7 D E / 6 a 8 b q Z k A l E O G Z f Y p 1 7 Q Z F 0 b p J q H Z O z H E 8 F U 0 U y h K y E 8 H 4 M M v L H E N 5 v o p Y x C l l z 9 V x k P S d b W G Y k c E s 6 E l v z H b j 4 D p p 3 R + C s o J v v 0 M V 3 2 M x H 4 K y g m + / I x X f U z E f g r K C b 7 9 j F d 9 z M R + C s o J v v x M V 3 0 s x H 4 K z g O t b 2 g 5 W D R H j j 2 5 z 9 / w + p T f q X O 6 P J + Q x z 7 P v v V Y c V 5 o U N z s d g P 5 Y 5 Z B t z M A C J t 5 1 y b T E M q + 7 o 3 P z U k J U T 8 Z Z 9 / I T t I G X X 2 v 5 q N n v / / m X + W B q y 3 o 6 v V r v 3 Y 8 N p v / d r U K g e B V U v 2 N p y H T D L 9 m 0 I p v X N y k 8 L V b H i C q u X O L 7 8 p V F v J l / 3 w T O t 4 5 F K 8 H 6 y v R 5 Y 4 3 2 x B 9 a 5 f g H c 7 2 / O D C t I z Z t l m P A n K 9 i M J b z G C j Z j C d + w g s 1 Y w g O s 4 L N m Z F n b 5 Z x 9 j x H h V P D i R q k S U r e l s A 5 Q x T Y Y o j s M i G w N g y L 6 w q D I p j A o o i M M i m w H g y J 6 w a D I y 4 B B E a 5 u U K S l G x T h z Q b 1 P G P u + + 6 W 2 8 p g d g j o U X 9 7 / g F Q S w E C L Q A U A A I A C A B T d x 9 J E u M a v 6 c A A A D 4 A A A A E g A A A A A A A A A A A A A A A A A A A A A A Q 2 9 u Z m l n L 1 B h Y 2 t h Z 2 U u e G 1 s U E s B A i 0 A F A A C A A g A U 3 c f S Q / K 6 a u k A A A A 6 Q A A A B M A A A A A A A A A A A A A A A A A 8 w A A A F t D b 2 5 0 Z W 5 0 X 1 R 5 c G V z X S 5 4 b W x Q S w E C L Q A U A A I A C A B T d x 9 J g w C J Q f o C A A B + D w A A E w A A A A A A A A A A A A A A A A D k A Q A A R m 9 y b X V s Y X M v U 2 V j d G l v b j E u b V B L B Q Y A A A A A A w A D A M I A A A A r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e w A A A A A A A H t 7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9 B c m V h V G 9 0 Y W x Q b G F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T k i I C 8 + P E V u d H J 5 I F R 5 c G U 9 I l J l Y 2 9 2 Z X J 5 V G F y Z 2 V 0 U 2 h l Z X Q i I F Z h b H V l P S J z Q 0 J P I E N v b W 1 1 b m l 0 e S B B c 3 N p Z 2 5 t Z W 5 0 c y I g L z 4 8 R W 5 0 c n k g V H l w Z T 0 i T m F t Z V V w Z G F 0 Z W R B Z n R l c k Z p b G w i I F Z h b H V l P S J s M C I g L z 4 8 R W 5 0 c n k g V H l w Z T 0 i U X V l c n l J R C I g V m F s d W U 9 I n N k Y m N k Z G I x O S 1 i Z D g w L T Q z Z m U t O D U 1 O S 0 1 M 2 V k M D Q 1 Z G Q 4 Z j I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R v d G F s T 2 x k U G x h Y 2 V z J n F 1 b 3 Q 7 L C Z x d W 9 0 O 1 R v d G F s T m V 3 U G x h Y 2 V z J n F 1 b 3 Q 7 X S I g L z 4 8 R W 5 0 c n k g V H l w Z T 0 i R m l s b E N v b H V t b l R 5 c G V z I i B W Y W x 1 Z T 0 i c 0 F 3 S U M i I C 8 + P E V u d H J 5 I F R 5 c G U 9 I k Z p b G x F c n J v c k N v d W 5 0 I i B W Y W x 1 Z T 0 i b D A i I C 8 + P E V u d H J 5 I F R 5 c G U 9 I k Z p b G x D b 3 V u d C I g V m F s d W U 9 I m w y N y I g L z 4 8 R W 5 0 c n k g V H l w Z T 0 i R m l s b F N 0 Y X R 1 c y I g V m F s d W U 9 I n N D b 2 1 w b G V 0 Z S I g L z 4 8 R W 5 0 c n k g V H l w Z T 0 i R m l s b E x h c 3 R V c G R h d G V k I i B W Y W x 1 Z T 0 i Z D I w M T Y t M D g t M z F U M T k 6 N D c 6 N T c u M z E 5 N T E 1 M V o i I C 8 + P E V u d H J 5 I F R 5 c G U 9 I k Z p b G x U Y X J n Z X Q i I F Z h b H V l P S J z R 2 V v Q X J l Y V R v d G F s U G x h Y 2 V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9 B c m V h V G 9 0 Y W x Q b G F j Z X M v Q 2 h h b m d l Z C B U e X B l L n t O Y W 1 l L D B 9 J n F 1 b 3 Q 7 L C Z x d W 9 0 O 1 N l Y 3 R p b 2 4 x L 0 d l b 0 F y Z W F U b 3 R h b F B s Y W N l c y 9 T b 3 V y Y 2 U u e 1 R v d G F s T 2 x k U G x h Y 2 V z L D F 9 J n F 1 b 3 Q 7 L C Z x d W 9 0 O 1 N l Y 3 R p b 2 4 x L 0 d l b 0 F y Z W F U b 3 R h b F B s Y W N l c y 9 T b 3 V y Y 2 U u e 1 R v d G F s T m V 3 U G x h Y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l b 0 F y Z W F U b 3 R h b F B s Y W N l c y 9 D a G F u Z 2 V k I F R 5 c G U u e 0 5 h b W U s M H 0 m c X V v d D s s J n F 1 b 3 Q 7 U 2 V j d G l v b j E v R 2 V v Q X J l Y V R v d G F s U G x h Y 2 V z L 1 N v d X J j Z S 5 7 V G 9 0 Y W x P b G R Q b G F j Z X M s M X 0 m c X V v d D s s J n F 1 b 3 Q 7 U 2 V j d G l v b j E v R 2 V v Q X J l Y V R v d G F s U G x h Y 2 V z L 1 N v d X J j Z S 5 7 V G 9 0 Y W x O Z X d Q b G F j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0 F y Z W F U b 3 R h b F B s Y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Z G V u d G l h b F N 0 Y X R 1 c 0 1 h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l k Z W 5 0 a W F s U 3 R h d H V z T W F w c G V k L 1 N v d X J j Z S 5 7 Q 2 9 t b W V y Y 2 l h b C w w f S Z x d W 9 0 O y w m c X V v d D t T Z W N 0 a W 9 u M S 9 S Z X N p Z G V u d G l h b F N 0 Y X R 1 c 0 1 h c H B l Z C 9 T b 3 V y Y 2 U u e 1 J l c 2 l k Z W 5 0 a W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2 l k Z W 5 0 a W F s U 3 R h d H V z T W F w c G V k L 1 N v d X J j Z S 5 7 Q 2 9 t b W V y Y 2 l h b C w w f S Z x d W 9 0 O y w m c X V v d D t T Z W N 0 a W 9 u M S 9 S Z X N p Z G V u d G l h b F N 0 Y X R 1 c 0 1 h c H B l Z C 9 T b 3 V y Y 2 U u e 1 J l c 2 l k Z W 5 0 a W F s L D F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T 3 Z l c n Z p Z X d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T m F t Z U N 1 c 3 R v b W l 6 Z W Q i I F Z h b H V l P S J s M S I g L z 4 8 R W 5 0 c n k g V H l w Z T 0 i U X V l c n l J R C I g V m F s d W U 9 I n N h Y m J j O D Y 5 Z i 0 x N m M 1 L T R k Y m Q t Y T d m N S 0 x M G N m Z T R k N T U 0 Z m M i I C 8 + P E V u d H J 5 I F R 5 c G U 9 I k Z p b G x M Y X N 0 V X B k Y X R l Z C I g V m F s d W U 9 I m Q y M D E 2 L T A 4 L T M x V D E 5 O j Q 3 O j U 5 L j E 3 M z Q 4 O D V a I i A v P j x F b n R y e S B U e X B l P S J G a W x s V G F y Z 2 V 0 I i B W Y W x 1 Z T 0 i c 1 J l c 2 l k Z W 5 0 a W F s U 3 R h d H V z T W F w c G V k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Q 2 9 s d W 1 u V H l w Z X M i I F Z h b H V l P S J z Q W d J P S I g L z 4 8 R W 5 0 c n k g V H l w Z T 0 i R m l s b E N v b H V t b k 5 h b W V z I i B W Y W x 1 Z T 0 i c 1 s m c X V v d D t D b 2 1 t Z X J j a W F s J n F 1 b 3 Q 7 L C Z x d W 9 0 O 1 J l c 2 l k Z W 5 0 a W F s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N p Z G V u d G l h b F N 0 Y X R 1 c 0 1 h c H B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U H J v Z 3 J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Y W x Q c m 9 n c m F t L 1 N v d X J j Z S 5 7 V G 9 0 Y W x M Y W 5 k Q m F u a y w w f S Z x d W 9 0 O y w m c X V v d D t T Z W N 0 a W 9 u M S 9 T c G V j a W F s U H J v Z 3 J h b S 9 T b 3 V y Y 2 U u e 0 1 h c H B l Z E x h b m R C Y W 5 r L D F 9 J n F 1 b 3 Q 7 L C Z x d W 9 0 O 1 N l Y 3 R p b 2 4 x L 1 N w Z W N p Y W x Q c m 9 n c m F t L 1 N v d X J j Z S 5 7 S G 9 t Z W x l c 3 N D T 0 9 Q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Z W N p Y W x Q c m 9 n c m F t L 1 N v d X J j Z S 5 7 V G 9 0 Y W x M Y W 5 k Q m F u a y w w f S Z x d W 9 0 O y w m c X V v d D t T Z W N 0 a W 9 u M S 9 T c G V j a W F s U H J v Z 3 J h b S 9 T b 3 V y Y 2 U u e 0 1 h c H B l Z E x h b m R C Y W 5 r L D F 9 J n F 1 b 3 Q 7 L C Z x d W 9 0 O 1 N l Y 3 R p b 2 4 x L 1 N w Z W N p Y W x Q c m 9 n c m F t L 1 N v d X J j Z S 5 7 S G 9 t Z W x l c 3 N D T 0 9 Q L D J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T 3 Z l c n Z p Z X d E Y X R h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T m F t Z U N 1 c 3 R v b W l 6 Z W Q i I F Z h b H V l P S J s M S I g L z 4 8 R W 5 0 c n k g V H l w Z T 0 i U X V l c n l J R C I g V m F s d W U 9 I n M 2 N T g 5 N j Y z M i 1 m Y z B h L T R l M D E t O G Y 3 Y y 0 4 O T c w Y z R j M D c w O D k i I C 8 + P E V u d H J 5 I F R 5 c G U 9 I k Z p b G x F c n J v c k N v Z G U i I F Z h b H V l P S J z V W 5 r b m 9 3 b i I g L z 4 8 R W 5 0 c n k g V H l w Z T 0 i R m l s b E N v d W 5 0 I i B W Y W x 1 Z T 0 i b D E i I C 8 + P E V u d H J 5 I F R 5 c G U 9 I k Z p b G x M Y X N 0 V X B k Y X R l Z C I g V m F s d W U 9 I m Q y M D E 2 L T A 4 L T M x V D E 5 O j Q 3 O j U 4 L j U 1 M z g 4 N z N a I i A v P j x F b n R y e S B U e X B l P S J G a W x s V G F y Z 2 V 0 I i B W Y W x 1 Z T 0 i c 1 N w Z W N p Y W x Q c m 9 n c m F t I i A v P j x F b n R y e S B U e X B l P S J G a W x s Q 2 9 s d W 1 u V H l w Z X M i I F Z h b H V l P S J z Q W d J Q y I g L z 4 8 R W 5 0 c n k g V H l w Z T 0 i R m l s b E N v b H V t b k 5 h b W V z I i B W Y W x 1 Z T 0 i c 1 s m c X V v d D t U b 3 R h b E x h b m R C Y W 5 r J n F 1 b 3 Q 7 L C Z x d W 9 0 O 0 1 h c H B l Z E x h b m R C Y W 5 r J n F 1 b 3 Q 7 L C Z x d W 9 0 O 0 h v b W V s Z X N z Q 0 9 P U C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Y 2 l h b F B y b 2 d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U y M E 1 h c H B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P d m V y d m l l d 0 R h d G E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R O Y W 1 l Q 3 V z d G 9 t a X p l Z C I g V m F s d W U 9 I m w x I i A v P j x F b n R y e S B U e X B l P S J R d W V y e U l E I i B W Y W x 1 Z T 0 i c z Q 1 N z I 1 M D I z L T V h N m M t N D M 4 M C 0 4 M G M y L W Y z Y j E 4 M m Q w N j M y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C B N Y X B w a W 5 n L 1 N v d X J j Z S 5 7 L D B 9 J n F 1 b 3 Q 7 L C Z x d W 9 0 O 1 N l Y 3 R p b 2 4 x L 0 9 2 Z X J h b G w g T W F w c G l u Z y 9 T b 3 V y Y 2 U u e 0 1 h c H B l Z C w x f S Z x d W 9 0 O y w m c X V v d D t T Z W N 0 a W 9 u M S 9 P d m V y Y W x s I E 1 h c H B p b m c v U 2 9 1 c m N l L n t G a W V s Z E N o Z W N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2 Z X J h b G w g T W F w c G l u Z y 9 T b 3 V y Y 2 U u e y w w f S Z x d W 9 0 O y w m c X V v d D t T Z W N 0 a W 9 u M S 9 P d m V y Y W x s I E 1 h c H B p b m c v U 2 9 1 c m N l L n t N Y X B w Z W Q s M X 0 m c X V v d D s s J n F 1 b 3 Q 7 U 2 V j d G l v b j E v T 3 Z l c m F s b C B N Y X B w a W 5 n L 1 N v d X J j Z S 5 7 R m l l b G R D a G V j a y w y f S Z x d W 9 0 O 1 0 s J n F 1 b 3 Q 7 U m V s Y X R p b 2 5 z a G l w S W 5 m b y Z x d W 9 0 O z p b X X 0 i I C 8 + P E V u d H J 5 I F R 5 c G U 9 I k Z p b G x U Y X J n Z X Q i I F Z h b H V l P S J z T 3 Z l c m F s b F 9 N Y X B w a W 5 n I i A v P j x F b n R y e S B U e X B l P S J G a W x s T G F z d F V w Z G F 0 Z W Q i I F Z h b H V l P S J k M j A x N i 0 w O C 0 z M V Q x O T o 0 N z o 1 O C 4 3 O T I z N T g 1 W i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N v b H V t b l R 5 c G V z I i B W Y W x 1 Z T 0 i c 0 F n S U M i I C 8 + P E V u d H J 5 I F R 5 c G U 9 I k Z p b G x D b 2 x 1 b W 5 O Y W 1 l c y I g V m F s d W U 9 I n N b J n F 1 b 3 Q 7 Q 2 9 s d W 1 u M S Z x d W 9 0 O y w m c X V v d D t N Y X B w Z W Q m c X V v d D s s J n F 1 b 3 Q 7 R m l l b G R D a G V j a y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3 Z l c m F s b C U y M E 1 h c H B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Q X J l Y U N v b X B s Z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R O Y W 1 l Q 3 V z d G 9 t a X p l Z C I g V m F s d W U 9 I m w x I i A v P j x F b n R y e S B U e X B l P S J R d W V y e U l E I i B W Y W x 1 Z T 0 i c z I w Z W J m Y m R l L T h m N 2 Y t N G U x M C 0 5 Y 2 I 2 L T J j N T I y M 2 V l N T V i N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V G F y Z 2 V 0 I i B W Y W x 1 Z T 0 i c 0 d l b 0 F y Z W F D b 2 1 w b G V 0 a W 9 u I i A v P j x F b n R y e S B U e X B l P S J G a W x s Q 2 9 s d W 1 u V H l w Z X M i I F Z h b H V l P S J z Q X d J Q 0 F n S U N B Z 0 l D Q W d J Q 0 F n S U M i I C 8 + P E V u d H J 5 I F R 5 c G U 9 I k Z p b G x M Y X N 0 V X B k Y X R l Z C I g V m F s d W U 9 I m Q y M D E 2 L T A 4 L T M x V D E 5 O j Q 4 O j A z L j Q 1 N D I 0 M j V a I i A v P j x F b n R y e S B U e X B l P S J G a W x s Q 2 9 1 b n Q i I F Z h b H V l P S J s M j c i I C 8 + P E V u d H J 5 I F R 5 c G U 9 I k Z p b G x F c n J v c k N v d W 5 0 I i B W Y W x 1 Z T 0 i b D A i I C 8 + P E V u d H J 5 I F R 5 c G U 9 I k Z p b G x D b 2 x 1 b W 5 O Y W 1 l c y I g V m F s d W U 9 I n N b J n F 1 b 3 Q 7 R 2 V v Q X J l Y S Z x d W 9 0 O y w m c X V v d D t t Y X B w Z W Q m c X V v d D s s J n F 1 b 3 Q 7 R m l l b G R D a G V j a y Z x d W 9 0 O y w m c X V v d D t t Y X B w Z W Q y J n F 1 b 3 Q 7 L C Z x d W 9 0 O 0 Z p Z W x k Q 2 h l Y 2 s y J n F 1 b 3 Q 7 L C Z x d W 9 0 O 2 1 h c H B l Z D M m c X V v d D s s J n F 1 b 3 Q 7 R m l l b G R D a G V j a z M m c X V v d D s s J n F 1 b 3 Q 7 b W F w c G V k N C Z x d W 9 0 O y w m c X V v d D t G a W V s Z E N o Z W N r N C Z x d W 9 0 O y w m c X V v d D t t Y X B w Z W Q 1 J n F 1 b 3 Q 7 L C Z x d W 9 0 O 0 Z p Z W x k Q 2 h l Y 2 s 1 J n F 1 b 3 Q 7 L C Z x d W 9 0 O 2 1 h c H B l Z D Y m c X V v d D s s J n F 1 b 3 Q 7 R m l l b G R D a G V j a z Y m c X V v d D s s J n F 1 b 3 Q 7 b W F w c G V k N y Z x d W 9 0 O y w m c X V v d D t G a W V s Z E N o Z W N r N y Z x d W 9 0 O 1 0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9 B c m V h Q 2 9 t c G x l d G l v b i 9 D a G F u Z 2 V k I F R 5 c G U u e 0 d l b 0 F y Z W E s M H 0 m c X V v d D s s J n F 1 b 3 Q 7 U 2 V j d G l v b j E v R 2 V v Q X J l Y U N v b X B s Z X R p b 2 4 v U 2 9 1 c m N l L n t t Y X B w Z W Q s M X 0 m c X V v d D s s J n F 1 b 3 Q 7 U 2 V j d G l v b j E v R 2 V v Q X J l Y U N v b X B s Z X R p b 2 4 v U 2 9 1 c m N l L n t G a W V s Z E N o Z W N r L D J 9 J n F 1 b 3 Q 7 L C Z x d W 9 0 O 1 N l Y 3 R p b 2 4 x L 0 d l b 0 F y Z W F D b 2 1 w b G V 0 a W 9 u L 1 N v d X J j Z S 5 7 b W F w c G V k M i w z f S Z x d W 9 0 O y w m c X V v d D t T Z W N 0 a W 9 u M S 9 H Z W 9 B c m V h Q 2 9 t c G x l d G l v b i 9 T b 3 V y Y 2 U u e 0 Z p Z W x k Q 2 h l Y 2 s y L D R 9 J n F 1 b 3 Q 7 L C Z x d W 9 0 O 1 N l Y 3 R p b 2 4 x L 0 d l b 0 F y Z W F D b 2 1 w b G V 0 a W 9 u L 1 N v d X J j Z S 5 7 b W F w c G V k M y w 1 f S Z x d W 9 0 O y w m c X V v d D t T Z W N 0 a W 9 u M S 9 H Z W 9 B c m V h Q 2 9 t c G x l d G l v b i 9 T b 3 V y Y 2 U u e 0 Z p Z W x k Q 2 h l Y 2 s z L D Z 9 J n F 1 b 3 Q 7 L C Z x d W 9 0 O 1 N l Y 3 R p b 2 4 x L 0 d l b 0 F y Z W F D b 2 1 w b G V 0 a W 9 u L 1 N v d X J j Z S 5 7 b W F w c G V k N C w 3 f S Z x d W 9 0 O y w m c X V v d D t T Z W N 0 a W 9 u M S 9 H Z W 9 B c m V h Q 2 9 t c G x l d G l v b i 9 T b 3 V y Y 2 U u e 0 Z p Z W x k Q 2 h l Y 2 s 0 L D h 9 J n F 1 b 3 Q 7 L C Z x d W 9 0 O 1 N l Y 3 R p b 2 4 x L 0 d l b 0 F y Z W F D b 2 1 w b G V 0 a W 9 u L 1 N v d X J j Z S 5 7 b W F w c G V k N S w 5 f S Z x d W 9 0 O y w m c X V v d D t T Z W N 0 a W 9 u M S 9 H Z W 9 B c m V h Q 2 9 t c G x l d G l v b i 9 T b 3 V y Y 2 U u e 0 Z p Z W x k Q 2 h l Y 2 s 1 L D E w f S Z x d W 9 0 O y w m c X V v d D t T Z W N 0 a W 9 u M S 9 H Z W 9 B c m V h Q 2 9 t c G x l d G l v b i 9 T b 3 V y Y 2 U u e 2 1 h c H B l Z D Y s M T F 9 J n F 1 b 3 Q 7 L C Z x d W 9 0 O 1 N l Y 3 R p b 2 4 x L 0 d l b 0 F y Z W F D b 2 1 w b G V 0 a W 9 u L 1 N v d X J j Z S 5 7 R m l l b G R D a G V j a z Y s M T J 9 J n F 1 b 3 Q 7 L C Z x d W 9 0 O 1 N l Y 3 R p b 2 4 x L 0 d l b 0 F y Z W F D b 2 1 w b G V 0 a W 9 u L 1 N v d X J j Z S 5 7 b W F w c G V k N y w x M 3 0 m c X V v d D s s J n F 1 b 3 Q 7 U 2 V j d G l v b j E v R 2 V v Q X J l Y U N v b X B s Z X R p b 2 4 v U 2 9 1 c m N l L n t G a W V s Z E N o Z W N r N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d l b 0 F y Z W F D b 2 1 w b G V 0 a W 9 u L 0 N o Y W 5 n Z W Q g V H l w Z S 5 7 R 2 V v Q X J l Y S w w f S Z x d W 9 0 O y w m c X V v d D t T Z W N 0 a W 9 u M S 9 H Z W 9 B c m V h Q 2 9 t c G x l d G l v b i 9 T b 3 V y Y 2 U u e 2 1 h c H B l Z C w x f S Z x d W 9 0 O y w m c X V v d D t T Z W N 0 a W 9 u M S 9 H Z W 9 B c m V h Q 2 9 t c G x l d G l v b i 9 T b 3 V y Y 2 U u e 0 Z p Z W x k Q 2 h l Y 2 s s M n 0 m c X V v d D s s J n F 1 b 3 Q 7 U 2 V j d G l v b j E v R 2 V v Q X J l Y U N v b X B s Z X R p b 2 4 v U 2 9 1 c m N l L n t t Y X B w Z W Q y L D N 9 J n F 1 b 3 Q 7 L C Z x d W 9 0 O 1 N l Y 3 R p b 2 4 x L 0 d l b 0 F y Z W F D b 2 1 w b G V 0 a W 9 u L 1 N v d X J j Z S 5 7 R m l l b G R D a G V j a z I s N H 0 m c X V v d D s s J n F 1 b 3 Q 7 U 2 V j d G l v b j E v R 2 V v Q X J l Y U N v b X B s Z X R p b 2 4 v U 2 9 1 c m N l L n t t Y X B w Z W Q z L D V 9 J n F 1 b 3 Q 7 L C Z x d W 9 0 O 1 N l Y 3 R p b 2 4 x L 0 d l b 0 F y Z W F D b 2 1 w b G V 0 a W 9 u L 1 N v d X J j Z S 5 7 R m l l b G R D a G V j a z M s N n 0 m c X V v d D s s J n F 1 b 3 Q 7 U 2 V j d G l v b j E v R 2 V v Q X J l Y U N v b X B s Z X R p b 2 4 v U 2 9 1 c m N l L n t t Y X B w Z W Q 0 L D d 9 J n F 1 b 3 Q 7 L C Z x d W 9 0 O 1 N l Y 3 R p b 2 4 x L 0 d l b 0 F y Z W F D b 2 1 w b G V 0 a W 9 u L 1 N v d X J j Z S 5 7 R m l l b G R D a G V j a z Q s O H 0 m c X V v d D s s J n F 1 b 3 Q 7 U 2 V j d G l v b j E v R 2 V v Q X J l Y U N v b X B s Z X R p b 2 4 v U 2 9 1 c m N l L n t t Y X B w Z W Q 1 L D l 9 J n F 1 b 3 Q 7 L C Z x d W 9 0 O 1 N l Y 3 R p b 2 4 x L 0 d l b 0 F y Z W F D b 2 1 w b G V 0 a W 9 u L 1 N v d X J j Z S 5 7 R m l l b G R D a G V j a z U s M T B 9 J n F 1 b 3 Q 7 L C Z x d W 9 0 O 1 N l Y 3 R p b 2 4 x L 0 d l b 0 F y Z W F D b 2 1 w b G V 0 a W 9 u L 1 N v d X J j Z S 5 7 b W F w c G V k N i w x M X 0 m c X V v d D s s J n F 1 b 3 Q 7 U 2 V j d G l v b j E v R 2 V v Q X J l Y U N v b X B s Z X R p b 2 4 v U 2 9 1 c m N l L n t G a W V s Z E N o Z W N r N i w x M n 0 m c X V v d D s s J n F 1 b 3 Q 7 U 2 V j d G l v b j E v R 2 V v Q X J l Y U N v b X B s Z X R p b 2 4 v U 2 9 1 c m N l L n t t Y X B w Z W Q 3 L D E z f S Z x d W 9 0 O y w m c X V v d D t T Z W N 0 a W 9 u M S 9 H Z W 9 B c m V h Q 2 9 t c G x l d G l v b i 9 T b 3 V y Y 2 U u e 0 Z p Z W x k Q 2 h l Y 2 s 3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v Q X J l Y U N v b X B s Z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N v b X B s Z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R O Y W 1 l Q 3 V z d G 9 t a X p l Z C I g V m F s d W U 9 I m w x I i A v P j x F b n R y e S B U e X B l P S J R d W V y e U l E I i B W Y W x 1 Z T 0 i c 2 U 1 M z N i M m Z l L T N k M G I t N G I 1 Z i 1 i Z W N h L W N m M m N k O D R j M m Q z M y I g L z 4 8 R W 5 0 c n k g V H l w Z T 0 i R m l s b E x h c 3 R V c G R h d G V k I i B W Y W x 1 Z T 0 i Z D I w M T Y t M D g t M z F U M T k 6 N D g 6 M D M u N T M y N z U y N l o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b H V t b k 5 h b W V z I i B W Y W x 1 Z T 0 i c 1 s m c X V v d D t U Z W F t T m F t Z S Z x d W 9 0 O y w m c X V v d D t N Y X B w Z W Q m c X V v d D s s J n F 1 b 3 Q 7 R m l l b G R D a G V j a y Z x d W 9 0 O y w m c X V v d D t N Y X B w Z W Q y J n F 1 b 3 Q 7 L C Z x d W 9 0 O 0 Z p Z W x k Y 2 h l Y 2 s y J n F 1 b 3 Q 7 L C Z x d W 9 0 O 0 1 h c H B l Z D M m c X V v d D s s J n F 1 b 3 Q 7 R m l l b G R D a G V j a z M m c X V v d D s s J n F 1 b 3 Q 7 T W F w c G V k N C Z x d W 9 0 O y w m c X V v d D t G a W V s Z E N o Z W N r N C Z x d W 9 0 O y w m c X V v d D t N Y X B w Z W Q 1 J n F 1 b 3 Q 7 L C Z x d W 9 0 O 0 Z p Z W x k Q 2 h l Y 2 s 1 J n F 1 b 3 Q 7 L C Z x d W 9 0 O 0 1 h c H B l Z D Y m c X V v d D s s J n F 1 b 3 Q 7 R m l l b G R D a G V j a z Y m c X V v d D s s J n F 1 b 3 Q 7 T W F w c G V k N y Z x d W 9 0 O y w m c X V v d D t G a W V s Z E N o Z W N r N y Z x d W 9 0 O 1 0 i I C 8 + P E V u d H J 5 I F R 5 c G U 9 I k Z p b G x D b 2 x 1 b W 5 U e X B l c y I g V m F s d W U 9 I n N C Z 1 V G Q l F V R k J R V U Z C U V V G Q l F V R i I g L z 4 8 R W 5 0 c n k g V H l w Z T 0 i R m l s b E N v d W 5 0 I i B W Y W x 1 Z T 0 i b D U x I i A v P j x F b n R y e S B U e X B l P S J G a W x s R X J y b 3 J D b 3 V u d C I g V m F s d W U 9 I m w w I i A v P j x F b n R y e S B U e X B l P S J G a W x s V G F y Z 2 V 0 I i B W Y W x 1 Z T 0 i c 1 R l Y W 1 D b 2 1 w b G V 0 a W 9 u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J n F 1 b 3 Q 7 V G V h b U 5 h b W U m c X V v d D t d L C Z x d W 9 0 O 3 F 1 Z X J 5 U m V s Y X R p b 2 5 z a G l w c y Z x d W 9 0 O z p b X S w m c X V v d D t j b 2 x 1 b W 5 J Z G V u d G l 0 a W V z J n F 1 b 3 Q 7 O l s m c X V v d D t T Z W N 0 a W 9 u M S 9 U Z W F t Q 2 9 t c G x l d G l v b i 9 H c m 9 1 c G V k I F J v d 3 M u e 1 R l Y W 1 O Y W 1 l L D B 9 J n F 1 b 3 Q 7 L C Z x d W 9 0 O 1 N l Y 3 R p b 2 4 x L 1 R l Y W 1 D b 2 1 w b G V 0 a W 9 u L 0 d y b 3 V w Z W Q g U m 9 3 c y 5 7 T W F w c G V k L D F 9 J n F 1 b 3 Q 7 L C Z x d W 9 0 O 1 N l Y 3 R p b 2 4 x L 1 R l Y W 1 D b 2 1 w b G V 0 a W 9 u L 0 d y b 3 V w Z W Q g U m 9 3 c y 5 7 R m l l b G R D a G V j a y w y f S Z x d W 9 0 O y w m c X V v d D t T Z W N 0 a W 9 u M S 9 U Z W F t Q 2 9 t c G x l d G l v b i 9 H c m 9 1 c G V k I F J v d 3 M u e 0 1 h c H B l Z D I s M 3 0 m c X V v d D s s J n F 1 b 3 Q 7 U 2 V j d G l v b j E v V G V h b U N v b X B s Z X R p b 2 4 v R 3 J v d X B l Z C B S b 3 d z L n t G a W V s Z G N o Z W N r M i w 0 f S Z x d W 9 0 O y w m c X V v d D t T Z W N 0 a W 9 u M S 9 U Z W F t Q 2 9 t c G x l d G l v b i 9 H c m 9 1 c G V k I F J v d 3 M u e 0 1 h c H B l Z D M s N X 0 m c X V v d D s s J n F 1 b 3 Q 7 U 2 V j d G l v b j E v V G V h b U N v b X B s Z X R p b 2 4 v R 3 J v d X B l Z C B S b 3 d z L n t G a W V s Z E N o Z W N r M y w 2 f S Z x d W 9 0 O y w m c X V v d D t T Z W N 0 a W 9 u M S 9 U Z W F t Q 2 9 t c G x l d G l v b i 9 H c m 9 1 c G V k I F J v d 3 M u e 0 1 h c H B l Z D Q s N 3 0 m c X V v d D s s J n F 1 b 3 Q 7 U 2 V j d G l v b j E v V G V h b U N v b X B s Z X R p b 2 4 v R 3 J v d X B l Z C B S b 3 d z L n t G a W V s Z E N o Z W N r N C w 4 f S Z x d W 9 0 O y w m c X V v d D t T Z W N 0 a W 9 u M S 9 U Z W F t Q 2 9 t c G x l d G l v b i 9 H c m 9 1 c G V k I F J v d 3 M u e 0 1 h c H B l Z D U s O X 0 m c X V v d D s s J n F 1 b 3 Q 7 U 2 V j d G l v b j E v V G V h b U N v b X B s Z X R p b 2 4 v R 3 J v d X B l Z C B S b 3 d z L n t G a W V s Z E N o Z W N r N S w x M H 0 m c X V v d D s s J n F 1 b 3 Q 7 U 2 V j d G l v b j E v V G V h b U N v b X B s Z X R p b 2 4 v R 3 J v d X B l Z C B S b 3 d z L n t N Y X B w Z W Q 2 L D E x f S Z x d W 9 0 O y w m c X V v d D t T Z W N 0 a W 9 u M S 9 U Z W F t Q 2 9 t c G x l d G l v b i 9 H c m 9 1 c G V k I F J v d 3 M u e 0 Z p Z W x k Q 2 h l Y 2 s 2 L D E y f S Z x d W 9 0 O y w m c X V v d D t T Z W N 0 a W 9 u M S 9 U Z W F t Q 2 9 t c G x l d G l v b i 9 H c m 9 1 c G V k I F J v d 3 M u e 0 1 h c H B l Z D c s M T N 9 J n F 1 b 3 Q 7 L C Z x d W 9 0 O 1 N l Y 3 R p b 2 4 x L 1 R l Y W 1 D b 2 1 w b G V 0 a W 9 u L 0 d y b 3 V w Z W Q g U m 9 3 c y 5 7 R m l l b G R D a G V j a z c s M T R 9 J n F 1 b 3 Q 7 X S w m c X V v d D t D b 2 x 1 b W 5 D b 3 V u d C Z x d W 9 0 O z o x N S w m c X V v d D t L Z X l D b 2 x 1 b W 5 O Y W 1 l c y Z x d W 9 0 O z p b J n F 1 b 3 Q 7 V G V h b U 5 h b W U m c X V v d D t d L C Z x d W 9 0 O 0 N v b H V t b k l k Z W 5 0 a X R p Z X M m c X V v d D s 6 W y Z x d W 9 0 O 1 N l Y 3 R p b 2 4 x L 1 R l Y W 1 D b 2 1 w b G V 0 a W 9 u L 0 d y b 3 V w Z W Q g U m 9 3 c y 5 7 V G V h b U 5 h b W U s M H 0 m c X V v d D s s J n F 1 b 3 Q 7 U 2 V j d G l v b j E v V G V h b U N v b X B s Z X R p b 2 4 v R 3 J v d X B l Z C B S b 3 d z L n t N Y X B w Z W Q s M X 0 m c X V v d D s s J n F 1 b 3 Q 7 U 2 V j d G l v b j E v V G V h b U N v b X B s Z X R p b 2 4 v R 3 J v d X B l Z C B S b 3 d z L n t G a W V s Z E N o Z W N r L D J 9 J n F 1 b 3 Q 7 L C Z x d W 9 0 O 1 N l Y 3 R p b 2 4 x L 1 R l Y W 1 D b 2 1 w b G V 0 a W 9 u L 0 d y b 3 V w Z W Q g U m 9 3 c y 5 7 T W F w c G V k M i w z f S Z x d W 9 0 O y w m c X V v d D t T Z W N 0 a W 9 u M S 9 U Z W F t Q 2 9 t c G x l d G l v b i 9 H c m 9 1 c G V k I F J v d 3 M u e 0 Z p Z W x k Y 2 h l Y 2 s y L D R 9 J n F 1 b 3 Q 7 L C Z x d W 9 0 O 1 N l Y 3 R p b 2 4 x L 1 R l Y W 1 D b 2 1 w b G V 0 a W 9 u L 0 d y b 3 V w Z W Q g U m 9 3 c y 5 7 T W F w c G V k M y w 1 f S Z x d W 9 0 O y w m c X V v d D t T Z W N 0 a W 9 u M S 9 U Z W F t Q 2 9 t c G x l d G l v b i 9 H c m 9 1 c G V k I F J v d 3 M u e 0 Z p Z W x k Q 2 h l Y 2 s z L D Z 9 J n F 1 b 3 Q 7 L C Z x d W 9 0 O 1 N l Y 3 R p b 2 4 x L 1 R l Y W 1 D b 2 1 w b G V 0 a W 9 u L 0 d y b 3 V w Z W Q g U m 9 3 c y 5 7 T W F w c G V k N C w 3 f S Z x d W 9 0 O y w m c X V v d D t T Z W N 0 a W 9 u M S 9 U Z W F t Q 2 9 t c G x l d G l v b i 9 H c m 9 1 c G V k I F J v d 3 M u e 0 Z p Z W x k Q 2 h l Y 2 s 0 L D h 9 J n F 1 b 3 Q 7 L C Z x d W 9 0 O 1 N l Y 3 R p b 2 4 x L 1 R l Y W 1 D b 2 1 w b G V 0 a W 9 u L 0 d y b 3 V w Z W Q g U m 9 3 c y 5 7 T W F w c G V k N S w 5 f S Z x d W 9 0 O y w m c X V v d D t T Z W N 0 a W 9 u M S 9 U Z W F t Q 2 9 t c G x l d G l v b i 9 H c m 9 1 c G V k I F J v d 3 M u e 0 Z p Z W x k Q 2 h l Y 2 s 1 L D E w f S Z x d W 9 0 O y w m c X V v d D t T Z W N 0 a W 9 u M S 9 U Z W F t Q 2 9 t c G x l d G l v b i 9 H c m 9 1 c G V k I F J v d 3 M u e 0 1 h c H B l Z D Y s M T F 9 J n F 1 b 3 Q 7 L C Z x d W 9 0 O 1 N l Y 3 R p b 2 4 x L 1 R l Y W 1 D b 2 1 w b G V 0 a W 9 u L 0 d y b 3 V w Z W Q g U m 9 3 c y 5 7 R m l l b G R D a G V j a z Y s M T J 9 J n F 1 b 3 Q 7 L C Z x d W 9 0 O 1 N l Y 3 R p b 2 4 x L 1 R l Y W 1 D b 2 1 w b G V 0 a W 9 u L 0 d y b 3 V w Z W Q g U m 9 3 c y 5 7 T W F w c G V k N y w x M 3 0 m c X V v d D s s J n F 1 b 3 Q 7 U 2 V j d G l v b j E v V G V h b U N v b X B s Z X R p b 2 4 v R 3 J v d X B l Z C B S b 3 d z L n t G a W V s Z E N o Z W N r N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D b 2 1 w b G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Q 2 9 t c G x l d G l v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i I g L z 4 8 R W 5 0 c n k g V H l w Z T 0 i T m F t Z V V w Z G F 0 Z W R B Z n R l c k Z p b G w i I F Z h b H V l P S J s M C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x F b n R y e S B U e X B l P S J R d W V y e U l E I i B W Y W x 1 Z T 0 i c z F i Z m I y Z j M 4 L T F k N W M t N G I 3 Z S 0 4 N W R h L T k 2 Z j U y M D k 2 O D k 4 Z i I g L z 4 8 R W 5 0 c n k g V H l w Z T 0 i R m l s b E N v b H V t b l R 5 c G V z I i B W Y W x 1 Z T 0 i c 0 J n W U N B Z 0 l D Q W d J Q 0 F n S U N B Z 0 l D Q W c 9 P S I g L z 4 8 R W 5 0 c n k g V H l w Z T 0 i R m l s b E V y c m 9 y Q 2 9 k Z S I g V m F s d W U 9 I n N V b m t u b 3 d u I i A v P j x F b n R y e S B U e X B l P S J G a W x s Q 2 9 1 b n Q i I F Z h b H V l P S J s N D U i I C 8 + P E V u d H J 5 I F R 5 c G U 9 I k Z p b G x F c n J v c k N v d W 5 0 I i B W Y W x 1 Z T 0 i b D A i I C 8 + P E V u d H J 5 I F R 5 c G U 9 I k Z p b G x D b 2 x 1 b W 5 O Y W 1 l c y I g V m F s d W U 9 I n N b J n F 1 b 3 Q 7 V G V h b U 5 h b W U m c X V v d D s s J n F 1 b 3 Q 7 V X N l c k 5 h b W U m c X V v d D s s J n F 1 b 3 Q 7 b W F w c G V k J n F 1 b 3 Q 7 L C Z x d W 9 0 O 0 Z p Z W x k Q 2 h l Y 2 s m c X V v d D s s J n F 1 b 3 Q 7 b W F w c G V k M i Z x d W 9 0 O y w m c X V v d D t G a W V s Z E N o Z W N r M i Z x d W 9 0 O y w m c X V v d D t t Y X B w Z W Q z J n F 1 b 3 Q 7 L C Z x d W 9 0 O 0 Z p Z W x k Q 2 h l Y 2 s z J n F 1 b 3 Q 7 L C Z x d W 9 0 O 2 1 h c H B l Z D Q m c X V v d D s s J n F 1 b 3 Q 7 R m l l b G R D a G V j a z Q m c X V v d D s s J n F 1 b 3 Q 7 b W F w c G V k N S Z x d W 9 0 O y w m c X V v d D t G a W V s Z E N o Z W N r N S Z x d W 9 0 O y w m c X V v d D t t Y X B w Z W Q 2 J n F 1 b 3 Q 7 L C Z x d W 9 0 O 0 Z p Z W x k Q 2 h l Y 2 s 2 J n F 1 b 3 Q 7 L C Z x d W 9 0 O 2 1 h c H B l Z D c m c X V v d D s s J n F 1 b 3 Q 7 R m l l b G R D a G V j a z c m c X V v d D t d I i A v P j x F b n R y e S B U e X B l P S J G a W x s U 3 R h d H V z I i B W Y W x 1 Z T 0 i c 0 N v b X B s Z X R l I i A v P j x F b n R y e S B U e X B l P S J G a W x s T G F z d F V w Z G F 0 Z W Q i I F Z h b H V l P S J k M j A x N i 0 w O C 0 z M V Q x O T o 0 O D o w M y 4 z O T Q w N T c 2 W i I g L z 4 8 R W 5 0 c n k g V H l w Z T 0 i R m l s b F R h c m d l d C I g V m F s d W U 9 I n N G Q 0 N v b X B s Z X R p b 2 4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0 N v b X B s Z X R p b 2 4 v U 2 9 1 c m N l L n t U Z W F t T m F t Z S w w f S Z x d W 9 0 O y w m c X V v d D t T Z W N 0 a W 9 u M S 9 G Q 0 N v b X B s Z X R p b 2 4 v U 2 9 1 c m N l L n t V c 2 V y T m F t Z S w x f S Z x d W 9 0 O y w m c X V v d D t T Z W N 0 a W 9 u M S 9 G Q 0 N v b X B s Z X R p b 2 4 v U 2 9 1 c m N l L n t t Y X B w Z W Q s M n 0 m c X V v d D s s J n F 1 b 3 Q 7 U 2 V j d G l v b j E v R k N D b 2 1 w b G V 0 a W 9 u L 1 N v d X J j Z S 5 7 R m l l b G R D a G V j a y w z f S Z x d W 9 0 O y w m c X V v d D t T Z W N 0 a W 9 u M S 9 G Q 0 N v b X B s Z X R p b 2 4 v U 2 9 1 c m N l L n t t Y X B w Z W Q y L D R 9 J n F 1 b 3 Q 7 L C Z x d W 9 0 O 1 N l Y 3 R p b 2 4 x L 0 Z D Q 2 9 t c G x l d G l v b i 9 T b 3 V y Y 2 U u e 0 Z p Z W x k Q 2 h l Y 2 s y L D V 9 J n F 1 b 3 Q 7 L C Z x d W 9 0 O 1 N l Y 3 R p b 2 4 x L 0 Z D Q 2 9 t c G x l d G l v b i 9 T b 3 V y Y 2 U u e 2 1 h c H B l Z D M s N n 0 m c X V v d D s s J n F 1 b 3 Q 7 U 2 V j d G l v b j E v R k N D b 2 1 w b G V 0 a W 9 u L 1 N v d X J j Z S 5 7 R m l l b G R D a G V j a z M s N 3 0 m c X V v d D s s J n F 1 b 3 Q 7 U 2 V j d G l v b j E v R k N D b 2 1 w b G V 0 a W 9 u L 1 N v d X J j Z S 5 7 b W F w c G V k N C w 4 f S Z x d W 9 0 O y w m c X V v d D t T Z W N 0 a W 9 u M S 9 G Q 0 N v b X B s Z X R p b 2 4 v U 2 9 1 c m N l L n t G a W V s Z E N o Z W N r N C w 5 f S Z x d W 9 0 O y w m c X V v d D t T Z W N 0 a W 9 u M S 9 G Q 0 N v b X B s Z X R p b 2 4 v U 2 9 1 c m N l L n t t Y X B w Z W Q 1 L D E w f S Z x d W 9 0 O y w m c X V v d D t T Z W N 0 a W 9 u M S 9 G Q 0 N v b X B s Z X R p b 2 4 v U 2 9 1 c m N l L n t G a W V s Z E N o Z W N r N S w x M X 0 m c X V v d D s s J n F 1 b 3 Q 7 U 2 V j d G l v b j E v R k N D b 2 1 w b G V 0 a W 9 u L 1 N v d X J j Z S 5 7 b W F w c G V k N i w x M n 0 m c X V v d D s s J n F 1 b 3 Q 7 U 2 V j d G l v b j E v R k N D b 2 1 w b G V 0 a W 9 u L 1 N v d X J j Z S 5 7 R m l l b G R D a G V j a z Y s M T N 9 J n F 1 b 3 Q 7 L C Z x d W 9 0 O 1 N l Y 3 R p b 2 4 x L 0 Z D Q 2 9 t c G x l d G l v b i 9 T b 3 V y Y 2 U u e 2 1 h c H B l Z D c s M T R 9 J n F 1 b 3 Q 7 L C Z x d W 9 0 O 1 N l Y 3 R p b 2 4 x L 0 Z D Q 2 9 t c G x l d G l v b i 9 T b 3 V y Y 2 U u e 0 Z p Z W x k Q 2 h l Y 2 s 3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k N D b 2 1 w b G V 0 a W 9 u L 1 N v d X J j Z S 5 7 V G V h b U 5 h b W U s M H 0 m c X V v d D s s J n F 1 b 3 Q 7 U 2 V j d G l v b j E v R k N D b 2 1 w b G V 0 a W 9 u L 1 N v d X J j Z S 5 7 V X N l c k 5 h b W U s M X 0 m c X V v d D s s J n F 1 b 3 Q 7 U 2 V j d G l v b j E v R k N D b 2 1 w b G V 0 a W 9 u L 1 N v d X J j Z S 5 7 b W F w c G V k L D J 9 J n F 1 b 3 Q 7 L C Z x d W 9 0 O 1 N l Y 3 R p b 2 4 x L 0 Z D Q 2 9 t c G x l d G l v b i 9 T b 3 V y Y 2 U u e 0 Z p Z W x k Q 2 h l Y 2 s s M 3 0 m c X V v d D s s J n F 1 b 3 Q 7 U 2 V j d G l v b j E v R k N D b 2 1 w b G V 0 a W 9 u L 1 N v d X J j Z S 5 7 b W F w c G V k M i w 0 f S Z x d W 9 0 O y w m c X V v d D t T Z W N 0 a W 9 u M S 9 G Q 0 N v b X B s Z X R p b 2 4 v U 2 9 1 c m N l L n t G a W V s Z E N o Z W N r M i w 1 f S Z x d W 9 0 O y w m c X V v d D t T Z W N 0 a W 9 u M S 9 G Q 0 N v b X B s Z X R p b 2 4 v U 2 9 1 c m N l L n t t Y X B w Z W Q z L D Z 9 J n F 1 b 3 Q 7 L C Z x d W 9 0 O 1 N l Y 3 R p b 2 4 x L 0 Z D Q 2 9 t c G x l d G l v b i 9 T b 3 V y Y 2 U u e 0 Z p Z W x k Q 2 h l Y 2 s z L D d 9 J n F 1 b 3 Q 7 L C Z x d W 9 0 O 1 N l Y 3 R p b 2 4 x L 0 Z D Q 2 9 t c G x l d G l v b i 9 T b 3 V y Y 2 U u e 2 1 h c H B l Z D Q s O H 0 m c X V v d D s s J n F 1 b 3 Q 7 U 2 V j d G l v b j E v R k N D b 2 1 w b G V 0 a W 9 u L 1 N v d X J j Z S 5 7 R m l l b G R D a G V j a z Q s O X 0 m c X V v d D s s J n F 1 b 3 Q 7 U 2 V j d G l v b j E v R k N D b 2 1 w b G V 0 a W 9 u L 1 N v d X J j Z S 5 7 b W F w c G V k N S w x M H 0 m c X V v d D s s J n F 1 b 3 Q 7 U 2 V j d G l v b j E v R k N D b 2 1 w b G V 0 a W 9 u L 1 N v d X J j Z S 5 7 R m l l b G R D a G V j a z U s M T F 9 J n F 1 b 3 Q 7 L C Z x d W 9 0 O 1 N l Y 3 R p b 2 4 x L 0 Z D Q 2 9 t c G x l d G l v b i 9 T b 3 V y Y 2 U u e 2 1 h c H B l Z D Y s M T J 9 J n F 1 b 3 Q 7 L C Z x d W 9 0 O 1 N l Y 3 R p b 2 4 x L 0 Z D Q 2 9 t c G x l d G l v b i 9 T b 3 V y Y 2 U u e 0 Z p Z W x k Q 2 h l Y 2 s 2 L D E z f S Z x d W 9 0 O y w m c X V v d D t T Z W N 0 a W 9 u M S 9 G Q 0 N v b X B s Z X R p b 2 4 v U 2 9 1 c m N l L n t t Y X B w Z W Q 3 L D E 0 f S Z x d W 9 0 O y w m c X V v d D t T Z W N 0 a W 9 u M S 9 G Q 0 N v b X B s Z X R p b 2 4 v U 2 9 1 c m N l L n t G a W V s Z E N o Z W N r N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D Q 2 9 t c G x l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0 N v b X B s Z X R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l 0 e V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T 3 Z l c n Z p Z X d E Y X R h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T m F t Z V V w Z G F 0 Z W R B Z n R l c k Z p b G w i I F Z h b H V l P S J s M C I g L z 4 8 R W 5 0 c n k g V H l w Z T 0 i R m l s b F R h c m d l d E 5 h b W V D d X N 0 b 2 1 p e m V k I i B W Y W x 1 Z T 0 i b D E i I C 8 + P E V u d H J 5 I F R 5 c G U 9 I l F 1 Z X J 5 S U Q i I F Z h b H V l P S J z Z G V m N T U z M T k t O G F i Y S 0 0 M D Z i L T k 1 Y 2 Y t N m U y M W I z Y 2 I 0 O T E y I i A v P j x F b n R y e S B U e X B l P S J G a W x s Q 2 9 s d W 1 u V H l w Z X M i I F Z h b H V l P S J z Q m d J Q 0 F n S U M i I C 8 + P E V u d H J 5 I F R 5 c G U 9 I k Z p b G x F c n J v c k N v d W 5 0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M Y X N 0 V X B k Y X R l Z C I g V m F s d W U 9 I m Q y M D E 2 L T A 4 L T M x V D E 5 O j Q 3 O j U 4 L j k z N D E 4 N j Z a I i A v P j x F b n R y e S B U e X B l P S J G a W x s Q 2 9 s d W 1 u T m F t Z X M i I F Z h b H V l P S J z W y Z x d W 9 0 O 2 5 h b W U m c X V v d D s s J n F 1 b 3 Q 7 V G 9 0 Y W w m c X V v d D s s J n F 1 b 3 Q 7 T W F w c G V k J n F 1 b 3 Q 7 L C Z x d W 9 0 O 0 Z p Z W x k Q 2 h l Y 2 s m c X V v d D s s J n F 1 b 3 Q 7 Q 2 h l Y 2 t l Z C Z x d W 9 0 O y w m c X V v d D t O Z X c g U G x h Y 2 V z J n F 1 b 3 Q 7 X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0 e V N 0 Y X R z L 1 N v d X J j Z S 5 7 b m F t Z S w w f S Z x d W 9 0 O y w m c X V v d D t T Z W N 0 a W 9 u M S 9 D S X R 5 U 3 R h d H M v U 2 9 1 c m N l L n t U b 3 R h b C w x f S Z x d W 9 0 O y w m c X V v d D t T Z W N 0 a W 9 u M S 9 D S X R 5 U 3 R h d H M v U 2 9 1 c m N l L n t N Y X B w Z W Q s M n 0 m c X V v d D s s J n F 1 b 3 Q 7 U 2 V j d G l v b j E v Q 0 l 0 e V N 0 Y X R z L 1 N v d X J j Z S 5 7 R m l l b G R D a G V j a y w z f S Z x d W 9 0 O y w m c X V v d D t T Z W N 0 a W 9 u M S 9 D S X R 5 U 3 R h d H M v U 2 9 1 c m N l L n t D a G V j a 2 V k L D R 9 J n F 1 b 3 Q 7 L C Z x d W 9 0 O 1 N l Y 3 R p b 2 4 x L 0 N J d H l T d G F 0 c y 9 T b 3 V y Y 2 U u e 0 5 l d 1 B s Y W N l c 0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J d H l T d G F 0 c y 9 T b 3 V y Y 2 U u e 2 5 h b W U s M H 0 m c X V v d D s s J n F 1 b 3 Q 7 U 2 V j d G l v b j E v Q 0 l 0 e V N 0 Y X R z L 1 N v d X J j Z S 5 7 V G 9 0 Y W w s M X 0 m c X V v d D s s J n F 1 b 3 Q 7 U 2 V j d G l v b j E v Q 0 l 0 e V N 0 Y X R z L 1 N v d X J j Z S 5 7 T W F w c G V k L D J 9 J n F 1 b 3 Q 7 L C Z x d W 9 0 O 1 N l Y 3 R p b 2 4 x L 0 N J d H l T d G F 0 c y 9 T b 3 V y Y 2 U u e 0 Z p Z W x k Q 2 h l Y 2 s s M 3 0 m c X V v d D s s J n F 1 b 3 Q 7 U 2 V j d G l v b j E v Q 0 l 0 e V N 0 Y X R z L 1 N v d X J j Z S 5 7 Q 2 h l Y 2 t l Z C w 0 f S Z x d W 9 0 O y w m c X V v d D t T Z W N 0 a W 9 u M S 9 D S X R 5 U 3 R h d H M v U 2 9 1 c m N l L n t O Z X d Q b G F j Z X N D b 3 V u d C w 1 f S Z x d W 9 0 O 1 0 s J n F 1 b 3 Q 7 U m V s Y X R p b 2 5 z a G l w S W 5 m b y Z x d W 9 0 O z p b X X 0 i I C 8 + P E V u d H J 5 I F R 5 c G U 9 I k Z p b G x U Y X J n Z X Q i I F Z h b H V l P S J z Q 0 l 0 e V N 0 Y X R z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J d H l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Q 2 9 t c G x l d G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B c 3 N p Z 2 5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F t Q X N z a W d u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R d W V y e U l E I i B W Y W x 1 Z T 0 i c z c 3 Z D N j O W Y x L W Z l O G M t N G M 4 N C 0 4 M j g 4 L T J l N D R i Z T A 2 N m Y 4 M i I g L z 4 8 R W 5 0 c n k g V H l w Z T 0 i R m l s b F R h c m d l d E 5 h b W V D d X N 0 b 2 1 p e m V k I i B W Y W x 1 Z T 0 i b D E i I C 8 + P E V u d H J 5 I F R 5 c G U 9 I k Z p b G x D b 2 x 1 b W 5 O Y W 1 l c y I g V m F s d W U 9 I n N b J n F 1 b 3 Q 7 V G V h b U 5 h b W U m c X V v d D s s J n F 1 b 3 Q 7 Q X N z a W d u V 2 V l a z E m c X V v d D s s J n F 1 b 3 Q 7 Q X N z a W d u V 2 V l a z I m c X V v d D s s J n F 1 b 3 Q 7 Q X N z a W d u V 2 V l a z M m c X V v d D s s J n F 1 b 3 Q 7 Q X N z a W d u V 2 V l a z Q m c X V v d D s s J n F 1 b 3 Q 7 Q X N z a W d u V 2 V l a z U m c X V v d D t d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U Z W F t T m F t Z S Z x d W 9 0 O 1 0 s J n F 1 b 3 Q 7 c X V l c n l S Z W x h d G l v b n N o a X B z J n F 1 b 3 Q 7 O l t d L C Z x d W 9 0 O 2 N v b H V t b k l k Z W 5 0 a X R p Z X M m c X V v d D s 6 W y Z x d W 9 0 O 1 N l Y 3 R p b 2 4 x L 1 R l Y W 1 B c 3 N p Z 2 5 t Z W 5 0 L 0 d y b 3 V w Z W Q g U m 9 3 c y 5 7 V G V h b U 5 h b W U s M H 0 m c X V v d D s s J n F 1 b 3 Q 7 U 2 V j d G l v b j E v V G V h b U F z c 2 l n b m 1 l b n Q v R 3 J v d X B l Z C B S b 3 d z L n t B c 3 N p Z 2 5 X Z W V r M S w x f S Z x d W 9 0 O y w m c X V v d D t T Z W N 0 a W 9 u M S 9 U Z W F t Q X N z a W d u b W V u d C 9 H c m 9 1 c G V k I F J v d 3 M u e 0 F z c 2 l n b l d l Z W s y L D J 9 J n F 1 b 3 Q 7 L C Z x d W 9 0 O 1 N l Y 3 R p b 2 4 x L 1 R l Y W 1 B c 3 N p Z 2 5 t Z W 5 0 L 0 d y b 3 V w Z W Q g U m 9 3 c y 5 7 Q X N z a W d u V 2 V l a z M s M 3 0 m c X V v d D s s J n F 1 b 3 Q 7 U 2 V j d G l v b j E v V G V h b U F z c 2 l n b m 1 l b n Q v R 3 J v d X B l Z C B S b 3 d z L n t B c 3 N p Z 2 5 X Z W V r N C w 0 f S Z x d W 9 0 O y w m c X V v d D t T Z W N 0 a W 9 u M S 9 U Z W F t Q X N z a W d u b W V u d C 9 H c m 9 1 c G V k I F J v d 3 M u e 0 F z c 2 l n b l d l Z W s 1 L D V 9 J n F 1 b 3 Q 7 X S w m c X V v d D t D b 2 x 1 b W 5 D b 3 V u d C Z x d W 9 0 O z o 2 L C Z x d W 9 0 O 0 t l e U N v b H V t b k 5 h b W V z J n F 1 b 3 Q 7 O l s m c X V v d D t U Z W F t T m F t Z S Z x d W 9 0 O 1 0 s J n F 1 b 3 Q 7 Q 2 9 s d W 1 u S W R l b n R p d G l l c y Z x d W 9 0 O z p b J n F 1 b 3 Q 7 U 2 V j d G l v b j E v V G V h b U F z c 2 l n b m 1 l b n Q v R 3 J v d X B l Z C B S b 3 d z L n t U Z W F t T m F t Z S w w f S Z x d W 9 0 O y w m c X V v d D t T Z W N 0 a W 9 u M S 9 U Z W F t Q X N z a W d u b W V u d C 9 H c m 9 1 c G V k I F J v d 3 M u e 0 F z c 2 l n b l d l Z W s x L D F 9 J n F 1 b 3 Q 7 L C Z x d W 9 0 O 1 N l Y 3 R p b 2 4 x L 1 R l Y W 1 B c 3 N p Z 2 5 t Z W 5 0 L 0 d y b 3 V w Z W Q g U m 9 3 c y 5 7 Q X N z a W d u V 2 V l a z I s M n 0 m c X V v d D s s J n F 1 b 3 Q 7 U 2 V j d G l v b j E v V G V h b U F z c 2 l n b m 1 l b n Q v R 3 J v d X B l Z C B S b 3 d z L n t B c 3 N p Z 2 5 X Z W V r M y w z f S Z x d W 9 0 O y w m c X V v d D t T Z W N 0 a W 9 u M S 9 U Z W F t Q X N z a W d u b W V u d C 9 H c m 9 1 c G V k I F J v d 3 M u e 0 F z c 2 l n b l d l Z W s 0 L D R 9 J n F 1 b 3 Q 7 L C Z x d W 9 0 O 1 N l Y 3 R p b 2 4 x L 1 R l Y W 1 B c 3 N p Z 2 5 t Z W 5 0 L 0 d y b 3 V w Z W Q g U m 9 3 c y 5 7 Q X N z a W d u V 2 V l a z U s N X 0 m c X V v d D t d L C Z x d W 9 0 O 1 J l b G F 0 a W 9 u c 2 h p c E l u Z m 8 m c X V v d D s 6 W 1 1 9 I i A v P j x F b n R y e S B U e X B l P S J G a W x s T G F z d F V w Z G F 0 Z W Q i I F Z h b H V l P S J k M j A x N i 0 w O C 0 z M V Q x O T o 0 N z o 1 O C 4 0 N z E 2 N D M 4 W i I g L z 4 8 R W 5 0 c n k g V H l w Z T 0 i R m l s b E V y c m 9 y Q 2 9 k Z S I g V m F s d W U 9 I n N V b m t u b 3 d u I i A v P j x F b n R y e S B U e X B l P S J G a W x s Q 2 9 s d W 1 u V H l w Z X M i I F Z h b H V l P S J z Q m d V R k J R V U Y i I C 8 + P E V u d H J 5 I F R 5 c G U 9 I k Z p b G x D b 3 V u d C I g V m F s d W U 9 I m w 1 M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Z W F t Q X N z a W d u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Q X N z a W d u b W V u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d H l T d G F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G a W V s Z E N o Z W N r Q 2 9 t c G x l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l Y W 1 D b 2 1 w b G V 0 a W 9 u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E 5 h b W V D d X N 0 b 2 1 p e m V k I i B W Y W x 1 Z T 0 i b D E i I C 8 + P E V u d H J 5 I F R 5 c G U 9 I l F 1 Z X J 5 S U Q i I F Z h b H V l P S J z M j Q 2 N G V h Y 2 I t Z T Q 3 O S 0 0 M D M z L W E 5 M T Y t N j c w M D d m Y j R k O D A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U Z W F t T m F t Z S Z x d W 9 0 O 1 0 s J n F 1 b 3 Q 7 c X V l c n l S Z W x h d G l v b n N o a X B z J n F 1 b 3 Q 7 O l t d L C Z x d W 9 0 O 2 N v b H V t b k l k Z W 5 0 a X R p Z X M m c X V v d D s 6 W y Z x d W 9 0 O 1 N l Y 3 R p b 2 4 x L 1 R l Y W 1 G a W V s Z E N o Z W N r Q 2 9 t c G x l d G l v b i 9 H c m 9 1 c G V k I F J v d 3 M u e 1 R l Y W 1 O Y W 1 l L D B 9 J n F 1 b 3 Q 7 L C Z x d W 9 0 O 1 N l Y 3 R p b 2 4 x L 1 R l Y W 1 G a W V s Z E N o Z W N r Q 2 9 t c G x l d G l v b i 9 H c m 9 1 c G V k I F J v d 3 M u e 0 N o Z W N r Z W Q s M X 0 m c X V v d D s s J n F 1 b 3 Q 7 U 2 V j d G l v b j E v V G V h b U Z p Z W x k Q 2 h l Y 2 t D b 2 1 w b G V 0 a W 9 u L 0 d y b 3 V w Z W Q g U m 9 3 c y 5 7 Q 2 h l Y 2 t l Z D I s M n 0 m c X V v d D s s J n F 1 b 3 Q 7 U 2 V j d G l v b j E v V G V h b U Z p Z W x k Q 2 h l Y 2 t D b 2 1 w b G V 0 a W 9 u L 0 d y b 3 V w Z W Q g U m 9 3 c y 5 7 Q 2 h l Y 2 t l Z D M s M 3 0 m c X V v d D s s J n F 1 b 3 Q 7 U 2 V j d G l v b j E v V G V h b U Z p Z W x k Q 2 h l Y 2 t D b 2 1 w b G V 0 a W 9 u L 0 d y b 3 V w Z W Q g U m 9 3 c y 5 7 Q 2 h l Y 2 t l Z D Q s N H 0 m c X V v d D s s J n F 1 b 3 Q 7 U 2 V j d G l v b j E v V G V h b U Z p Z W x k Q 2 h l Y 2 t D b 2 1 w b G V 0 a W 9 u L 0 d y b 3 V w Z W Q g U m 9 3 c y 5 7 Q 2 h l Y 2 t l Z D U s N X 0 m c X V v d D s s J n F 1 b 3 Q 7 U 2 V j d G l v b j E v V G V h b U Z p Z W x k Q 2 h l Y 2 t D b 2 1 w b G V 0 a W 9 u L 0 d y b 3 V w Z W Q g U m 9 3 c y 5 7 Q 2 h l Y 2 t l Z D Y s N n 0 m c X V v d D s s J n F 1 b 3 Q 7 U 2 V j d G l v b j E v V G V h b U Z p Z W x k Q 2 h l Y 2 t D b 2 1 w b G V 0 a W 9 u L 0 d y b 3 V w Z W Q g U m 9 3 c y 5 7 Q 2 h l Y 2 t l Z D c s N 3 0 m c X V v d D t d L C Z x d W 9 0 O 0 N v b H V t b k N v d W 5 0 J n F 1 b 3 Q 7 O j g s J n F 1 b 3 Q 7 S 2 V 5 Q 2 9 s d W 1 u T m F t Z X M m c X V v d D s 6 W y Z x d W 9 0 O 1 R l Y W 1 O Y W 1 l J n F 1 b 3 Q 7 X S w m c X V v d D t D b 2 x 1 b W 5 J Z G V u d G l 0 a W V z J n F 1 b 3 Q 7 O l s m c X V v d D t T Z W N 0 a W 9 u M S 9 U Z W F t R m l l b G R D a G V j a 0 N v b X B s Z X R p b 2 4 v R 3 J v d X B l Z C B S b 3 d z L n t U Z W F t T m F t Z S w w f S Z x d W 9 0 O y w m c X V v d D t T Z W N 0 a W 9 u M S 9 U Z W F t R m l l b G R D a G V j a 0 N v b X B s Z X R p b 2 4 v R 3 J v d X B l Z C B S b 3 d z L n t D a G V j a 2 V k L D F 9 J n F 1 b 3 Q 7 L C Z x d W 9 0 O 1 N l Y 3 R p b 2 4 x L 1 R l Y W 1 G a W V s Z E N o Z W N r Q 2 9 t c G x l d G l v b i 9 H c m 9 1 c G V k I F J v d 3 M u e 0 N o Z W N r Z W Q y L D J 9 J n F 1 b 3 Q 7 L C Z x d W 9 0 O 1 N l Y 3 R p b 2 4 x L 1 R l Y W 1 G a W V s Z E N o Z W N r Q 2 9 t c G x l d G l v b i 9 H c m 9 1 c G V k I F J v d 3 M u e 0 N o Z W N r Z W Q z L D N 9 J n F 1 b 3 Q 7 L C Z x d W 9 0 O 1 N l Y 3 R p b 2 4 x L 1 R l Y W 1 G a W V s Z E N o Z W N r Q 2 9 t c G x l d G l v b i 9 H c m 9 1 c G V k I F J v d 3 M u e 0 N o Z W N r Z W Q 0 L D R 9 J n F 1 b 3 Q 7 L C Z x d W 9 0 O 1 N l Y 3 R p b 2 4 x L 1 R l Y W 1 G a W V s Z E N o Z W N r Q 2 9 t c G x l d G l v b i 9 H c m 9 1 c G V k I F J v d 3 M u e 0 N o Z W N r Z W Q 1 L D V 9 J n F 1 b 3 Q 7 L C Z x d W 9 0 O 1 N l Y 3 R p b 2 4 x L 1 R l Y W 1 G a W V s Z E N o Z W N r Q 2 9 t c G x l d G l v b i 9 H c m 9 1 c G V k I F J v d 3 M u e 0 N o Z W N r Z W Q 2 L D Z 9 J n F 1 b 3 Q 7 L C Z x d W 9 0 O 1 N l Y 3 R p b 2 4 x L 1 R l Y W 1 G a W V s Z E N o Z W N r Q 2 9 t c G x l d G l v b i 9 H c m 9 1 c G V k I F J v d 3 M u e 0 N o Z W N r Z W Q 3 L D d 9 J n F 1 b 3 Q 7 X S w m c X V v d D t S Z W x h d G l v b n N o a X B J b m Z v J n F 1 b 3 Q 7 O l t d f S I g L z 4 8 R W 5 0 c n k g V H l w Z T 0 i R m l s b E x h c 3 R V c G R h d G V k I i B W Y W x 1 Z T 0 i Z D I w M T Y t M D g t M z F U M T k 6 N D c 6 N T k u M D g 2 O D Q 0 N V o i I C 8 + P E V u d H J 5 I F R 5 c G U 9 I k Z p b G x U Y X J n Z X Q i I F Z h b H V l P S J z V G V h b U Z p Z W x k Q 2 h l Y 2 t D b 2 1 w b G V 0 a W 9 u I i A v P j x F b n R y e S B U e X B l P S J G a W x s R X J y b 3 J D b 2 R l I i B W Y W x 1 Z T 0 i c 1 V u a 2 5 v d 2 4 i I C 8 + P E V u d H J 5 I F R 5 c G U 9 I k Z p b G x D b 3 V u d C I g V m F s d W U 9 I m w 1 M S I g L z 4 8 R W 5 0 c n k g V H l w Z T 0 i R m l s b E N v b H V t b l R 5 c G V z I i B W Y W x 1 Z T 0 i c 0 J n V U Z C U V V G Q l F V P S I g L z 4 8 R W 5 0 c n k g V H l w Z T 0 i R m l s b E N v b H V t b k 5 h b W V z I i B W Y W x 1 Z T 0 i c 1 s m c X V v d D t U Z W F t T m F t Z S Z x d W 9 0 O y w m c X V v d D t D a G V j a 2 V k J n F 1 b 3 Q 7 L C Z x d W 9 0 O 0 N o Z W N r Z W Q y J n F 1 b 3 Q 7 L C Z x d W 9 0 O 0 N o Z W N r Z W Q z J n F 1 b 3 Q 7 L C Z x d W 9 0 O 0 N o Z W N r Z W Q 0 J n F 1 b 3 Q 7 L C Z x d W 9 0 O 0 N o Z W N r Z W Q 1 J n F 1 b 3 Q 7 L C Z x d W 9 0 O 0 N o Z W N r Z W Q 2 J n F 1 b 3 Q 7 L C Z x d W 9 0 O 0 N o Z W N r Z W Q 3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Z W F t R m l l b G R D a G V j a 0 N v b X B s Z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Z p Z W x k Q 2 h l Y 2 t D b 2 1 w b G V 0 a W 9 u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Q X J l Y V R v d G F s U G x h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Q X J l Y U N v b X B s Z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0 Z p Z W x k Q 2 h l Y 2 t D b 2 1 w b G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Y t M D g t M z F U M T k 6 N D c 6 N T g u N j c 4 M j U 4 M F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D R m l l b G R D a G V j a 0 N v b X B s Z X R p b 2 4 v U 2 9 1 c m N l L n t U Z W F t T m F t Z S w w f S Z x d W 9 0 O y w m c X V v d D t T Z W N 0 a W 9 u M S 9 G Q 0 Z p Z W x k Q 2 h l Y 2 t D b 2 1 w b G V 0 a W 9 u L 1 N v d X J j Z S 5 7 V X N l c k 5 h b W U s M X 0 m c X V v d D s s J n F 1 b 3 Q 7 U 2 V j d G l v b j E v R k N G a W V s Z E N o Z W N r Q 2 9 t c G x l d G l v b i 9 T b 3 V y Y 2 U u e 2 N o Z W N r Z W Q s M n 0 m c X V v d D s s J n F 1 b 3 Q 7 U 2 V j d G l v b j E v R k N G a W V s Z E N o Z W N r Q 2 9 t c G x l d G l v b i 9 T b 3 V y Y 2 U u e 2 N o Z W N r Z W Q y L D N 9 J n F 1 b 3 Q 7 L C Z x d W 9 0 O 1 N l Y 3 R p b 2 4 x L 0 Z D R m l l b G R D a G V j a 0 N v b X B s Z X R p b 2 4 v U 2 9 1 c m N l L n t j a G V j a 2 V k M y w 0 f S Z x d W 9 0 O y w m c X V v d D t T Z W N 0 a W 9 u M S 9 G Q 0 Z p Z W x k Q 2 h l Y 2 t D b 2 1 w b G V 0 a W 9 u L 1 N v d X J j Z S 5 7 Y 2 h l Y 2 t l Z D Q s N X 0 m c X V v d D s s J n F 1 b 3 Q 7 U 2 V j d G l v b j E v R k N G a W V s Z E N o Z W N r Q 2 9 t c G x l d G l v b i 9 T b 3 V y Y 2 U u e 2 N o Z W N r Z W Q 1 L D Z 9 J n F 1 b 3 Q 7 L C Z x d W 9 0 O 1 N l Y 3 R p b 2 4 x L 0 Z D R m l l b G R D a G V j a 0 N v b X B s Z X R p b 2 4 v U 2 9 1 c m N l L n t j a G V j a 2 V k N i w 3 f S Z x d W 9 0 O y w m c X V v d D t T Z W N 0 a W 9 u M S 9 G Q 0 Z p Z W x k Q 2 h l Y 2 t D b 2 1 w b G V 0 a W 9 u L 1 N v d X J j Z S 5 7 Y 2 h l Y 2 t l Z D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k N G a W V s Z E N o Z W N r Q 2 9 t c G x l d G l v b i 9 T b 3 V y Y 2 U u e 1 R l Y W 1 O Y W 1 l L D B 9 J n F 1 b 3 Q 7 L C Z x d W 9 0 O 1 N l Y 3 R p b 2 4 x L 0 Z D R m l l b G R D a G V j a 0 N v b X B s Z X R p b 2 4 v U 2 9 1 c m N l L n t V c 2 V y T m F t Z S w x f S Z x d W 9 0 O y w m c X V v d D t T Z W N 0 a W 9 u M S 9 G Q 0 Z p Z W x k Q 2 h l Y 2 t D b 2 1 w b G V 0 a W 9 u L 1 N v d X J j Z S 5 7 Y 2 h l Y 2 t l Z C w y f S Z x d W 9 0 O y w m c X V v d D t T Z W N 0 a W 9 u M S 9 G Q 0 Z p Z W x k Q 2 h l Y 2 t D b 2 1 w b G V 0 a W 9 u L 1 N v d X J j Z S 5 7 Y 2 h l Y 2 t l Z D I s M 3 0 m c X V v d D s s J n F 1 b 3 Q 7 U 2 V j d G l v b j E v R k N G a W V s Z E N o Z W N r Q 2 9 t c G x l d G l v b i 9 T b 3 V y Y 2 U u e 2 N o Z W N r Z W Q z L D R 9 J n F 1 b 3 Q 7 L C Z x d W 9 0 O 1 N l Y 3 R p b 2 4 x L 0 Z D R m l l b G R D a G V j a 0 N v b X B s Z X R p b 2 4 v U 2 9 1 c m N l L n t j a G V j a 2 V k N C w 1 f S Z x d W 9 0 O y w m c X V v d D t T Z W N 0 a W 9 u M S 9 G Q 0 Z p Z W x k Q 2 h l Y 2 t D b 2 1 w b G V 0 a W 9 u L 1 N v d X J j Z S 5 7 Y 2 h l Y 2 t l Z D U s N n 0 m c X V v d D s s J n F 1 b 3 Q 7 U 2 V j d G l v b j E v R k N G a W V s Z E N o Z W N r Q 2 9 t c G x l d G l v b i 9 T b 3 V y Y 2 U u e 2 N o Z W N r Z W Q 2 L D d 9 J n F 1 b 3 Q 7 L C Z x d W 9 0 O 1 N l Y 3 R p b 2 4 x L 0 Z D R m l l b G R D a G V j a 0 N v b X B s Z X R p b 2 4 v U 2 9 1 c m N l L n t j a G V j a 2 V k N y w 4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D T W F w c G l u Z y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R O Y W 1 l Q 3 V z d G 9 t a X p l Z C I g V m F s d W U 9 I m w x I i A v P j x F b n R y e S B U e X B l P S J R d W V y e U l E I i B W Y W x 1 Z T 0 i c 2 E 3 Y W Y z Y j J j L W Y z O G Y t N G Y 0 M i 0 5 N 2 J l L W M 5 Z j I 2 Z m J j Y T R h N C I g L z 4 8 R W 5 0 c n k g V H l w Z T 0 i R m l s b E V y c m 9 y Q 2 9 k Z S I g V m F s d W U 9 I n N V b m t u b 3 d u I i A v P j x F b n R y e S B U e X B l P S J G a W x s V G F y Z 2 V 0 I i B W Y W x 1 Z T 0 i c 0 Z D R m l l b G R D a G V j a 0 N v b X B s Z X R p b 2 4 i I C 8 + P E V u d H J 5 I F R 5 c G U 9 I k Z p b G x D b 3 V u d C I g V m F s d W U 9 I m w 0 N S I g L z 4 8 R W 5 0 c n k g V H l w Z T 0 i R m l s b E N v b H V t b l R 5 c G V z I i B W Y W x 1 Z T 0 i c 0 J n W U N B Z 0 l D Q W d J Q y I g L z 4 8 R W 5 0 c n k g V H l w Z T 0 i R m l s b E N v b H V t b k 5 h b W V z I i B W Y W x 1 Z T 0 i c 1 s m c X V v d D t U Z W F t T m F t Z S Z x d W 9 0 O y w m c X V v d D t V c 2 V y T m F t Z S Z x d W 9 0 O y w m c X V v d D t j a G V j a 2 V k J n F 1 b 3 Q 7 L C Z x d W 9 0 O 2 N o Z W N r Z W Q y J n F 1 b 3 Q 7 L C Z x d W 9 0 O 2 N o Z W N r Z W Q z J n F 1 b 3 Q 7 L C Z x d W 9 0 O 2 N o Z W N r Z W Q 0 J n F 1 b 3 Q 7 L C Z x d W 9 0 O 2 N o Z W N r Z W Q 1 J n F 1 b 3 Q 7 L C Z x d W 9 0 O 2 N o Z W N r Z W Q 2 J n F 1 b 3 Q 7 L C Z x d W 9 0 O 2 N o Z W N r Z W Q 3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Q 0 Z p Z W x k Q 2 h l Y 2 t D b 2 1 w b G V 0 a W 9 u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k S z b 4 f C Q R a Z N h s V m o 8 H h A A A A A A I A A A A A A A N m A A D A A A A A E A A A A A P + S z 1 s L 6 E e V n f 8 I d y i u 9 s A A A A A B I A A A K A A A A A Q A A A A Y w 6 m r 3 X M / O s M l L w J n f a A L F A A A A A 8 W j 8 n A O + R h x U J I j 2 Z 9 n m B v w X s d 3 v 8 S U b O S 4 J Y x P V 9 h t O 2 G s / L t H W c 9 m R 3 C w c S q A j m 5 P h y t c / 4 R j e H L a + k y f O v z V w d u 7 C V Q e 2 p J c C e x J 0 h l R Q A A A C n g d m E C b v f p Y w C i f Y 6 p / J j x V H D / Q = = < / D a t a M a s h u p > 
</file>

<file path=customXml/itemProps1.xml><?xml version="1.0" encoding="utf-8"?>
<ds:datastoreItem xmlns:ds="http://schemas.openxmlformats.org/officeDocument/2006/customXml" ds:itemID="{7F6BBC89-6886-44F5-96CA-0C9B191311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City Overview</vt:lpstr>
      <vt:lpstr>GeoArea Completion</vt:lpstr>
      <vt:lpstr>CBO Completion Week 1-5</vt:lpstr>
      <vt:lpstr>CBO Completion Week 6-7</vt:lpstr>
      <vt:lpstr>FC Weekly Mapping Week 1-5</vt:lpstr>
      <vt:lpstr>FC Weekly Mapping Week 6-7</vt:lpstr>
      <vt:lpstr>CBO Community Assignments</vt:lpstr>
      <vt:lpstr>OverviewData</vt:lpstr>
      <vt:lpstr>TeamCompletion</vt:lpstr>
      <vt:lpstr>GeoAreaCompletion</vt:lpstr>
      <vt:lpstr>FCMapping</vt:lpstr>
      <vt:lpstr>TeamAssignment</vt:lpstr>
      <vt:lpstr>'CBO Completion Week 6-7'!Print_Area</vt:lpstr>
      <vt:lpstr>'City Overview'!Print_Area</vt:lpstr>
      <vt:lpstr>'FC Weekly Mapping Week 6-7'!Print_Area</vt:lpstr>
      <vt:lpstr>'GeoArea Completion'!Print_Area</vt:lpstr>
      <vt:lpstr>'CBO Completion Week 6-7'!Print_Titles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NowPow</dc:creator>
  <cp:lastModifiedBy>Andres Alvear</cp:lastModifiedBy>
  <cp:lastPrinted>2016-08-31T20:00:18Z</cp:lastPrinted>
  <dcterms:created xsi:type="dcterms:W3CDTF">2016-07-21T17:07:50Z</dcterms:created>
  <dcterms:modified xsi:type="dcterms:W3CDTF">2016-11-17T21:01:06Z</dcterms:modified>
</cp:coreProperties>
</file>