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media/image1.jpeg" ContentType="image/jpeg"/>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ontents" sheetId="2" r:id="rId5"/>
    <sheet name="tab01" sheetId="3" r:id="rId6"/>
    <sheet name="tab02" sheetId="4" r:id="rId7"/>
    <sheet name="tab3" sheetId="5" r:id="rId8"/>
    <sheet name="tab4" sheetId="6" r:id="rId9"/>
    <sheet name="tab5" sheetId="7" r:id="rId10"/>
    <sheet name="tab6" sheetId="8" r:id="rId11"/>
    <sheet name="tab7" sheetId="9" r:id="rId12"/>
    <sheet name="tab8" sheetId="10" r:id="rId13"/>
    <sheet name="tab 9" sheetId="11" r:id="rId14"/>
  </sheets>
</workbook>
</file>

<file path=xl/comments1.xml><?xml version="1.0" encoding="utf-8"?>
<comments xmlns="http://schemas.openxmlformats.org/spreadsheetml/2006/main">
  <authors>
    <author>Windows User</author>
  </authors>
  <commentList>
    <comment ref="C39" authorId="0">
      <text>
        <r>
          <rPr>
            <sz val="11"/>
            <color indexed="8"/>
            <rFont val="Helvetica Neue"/>
          </rPr>
          <t xml:space="preserve">Windows User:
USDA estimate
</t>
        </r>
      </text>
    </comment>
    <comment ref="C40" authorId="0">
      <text>
        <r>
          <rPr>
            <sz val="11"/>
            <color indexed="8"/>
            <rFont val="Helvetica Neue"/>
          </rPr>
          <t xml:space="preserve">Windows User:
USDA estimate
</t>
        </r>
      </text>
    </comment>
    <comment ref="C41" authorId="0">
      <text>
        <r>
          <rPr>
            <sz val="11"/>
            <color indexed="8"/>
            <rFont val="Helvetica Neue"/>
          </rPr>
          <t xml:space="preserve">Windows User:
USDA estimate
</t>
        </r>
      </text>
    </comment>
    <comment ref="C42" authorId="0">
      <text>
        <r>
          <rPr>
            <sz val="11"/>
            <color indexed="8"/>
            <rFont val="Helvetica Neue"/>
          </rPr>
          <t xml:space="preserve">Windows User:
USDA estimate
</t>
        </r>
      </text>
    </comment>
  </commentList>
</comments>
</file>

<file path=xl/comments2.xml><?xml version="1.0" encoding="utf-8"?>
<comments xmlns="http://schemas.openxmlformats.org/spreadsheetml/2006/main">
  <authors>
    <author>Windows User</author>
  </authors>
  <commentList>
    <comment ref="C38" authorId="0">
      <text>
        <r>
          <rPr>
            <sz val="11"/>
            <color indexed="8"/>
            <rFont val="Helvetica Neue"/>
          </rPr>
          <t>Windows User:
USDA estimate</t>
        </r>
      </text>
    </comment>
    <comment ref="G38" authorId="0">
      <text>
        <r>
          <rPr>
            <sz val="11"/>
            <color indexed="8"/>
            <rFont val="Helvetica Neue"/>
          </rPr>
          <t>Windows User:
USDA estimate</t>
        </r>
      </text>
    </comment>
    <comment ref="K38" authorId="0">
      <text>
        <r>
          <rPr>
            <sz val="11"/>
            <color indexed="8"/>
            <rFont val="Helvetica Neue"/>
          </rPr>
          <t xml:space="preserve">Windows User:
USDA estimate
</t>
        </r>
      </text>
    </comment>
    <comment ref="C39" authorId="0">
      <text>
        <r>
          <rPr>
            <sz val="11"/>
            <color indexed="8"/>
            <rFont val="Helvetica Neue"/>
          </rPr>
          <t>Windows User:
USDA estimate</t>
        </r>
      </text>
    </comment>
    <comment ref="G39" authorId="0">
      <text>
        <r>
          <rPr>
            <sz val="11"/>
            <color indexed="8"/>
            <rFont val="Helvetica Neue"/>
          </rPr>
          <t>Windows User:
USDA estimate</t>
        </r>
      </text>
    </comment>
    <comment ref="K39" authorId="0">
      <text>
        <r>
          <rPr>
            <sz val="11"/>
            <color indexed="8"/>
            <rFont val="Helvetica Neue"/>
          </rPr>
          <t xml:space="preserve">Windows User:
USDA estimate
</t>
        </r>
      </text>
    </comment>
    <comment ref="C40" authorId="0">
      <text>
        <r>
          <rPr>
            <sz val="11"/>
            <color indexed="8"/>
            <rFont val="Helvetica Neue"/>
          </rPr>
          <t>Windows User:
USDA estimate</t>
        </r>
      </text>
    </comment>
    <comment ref="G40" authorId="0">
      <text>
        <r>
          <rPr>
            <sz val="11"/>
            <color indexed="8"/>
            <rFont val="Helvetica Neue"/>
          </rPr>
          <t>Windows User:
USDA estimate</t>
        </r>
      </text>
    </comment>
    <comment ref="K40" authorId="0">
      <text>
        <r>
          <rPr>
            <sz val="11"/>
            <color indexed="8"/>
            <rFont val="Helvetica Neue"/>
          </rPr>
          <t xml:space="preserve">Windows User:
USDA estimate
</t>
        </r>
      </text>
    </comment>
    <comment ref="C41" authorId="0">
      <text>
        <r>
          <rPr>
            <sz val="11"/>
            <color indexed="8"/>
            <rFont val="Helvetica Neue"/>
          </rPr>
          <t>Windows User:
USDA estimate</t>
        </r>
      </text>
    </comment>
    <comment ref="G41" authorId="0">
      <text>
        <r>
          <rPr>
            <sz val="11"/>
            <color indexed="8"/>
            <rFont val="Helvetica Neue"/>
          </rPr>
          <t>Windows User:
USDA estimate</t>
        </r>
      </text>
    </comment>
  </commentList>
</comments>
</file>

<file path=xl/comments3.xml><?xml version="1.0" encoding="utf-8"?>
<comments xmlns="http://schemas.openxmlformats.org/spreadsheetml/2006/main">
  <authors>
    <author>Windows User</author>
  </authors>
  <commentList>
    <comment ref="F89" authorId="0">
      <text>
        <r>
          <rPr>
            <sz val="11"/>
            <color indexed="8"/>
            <rFont val="Helvetica Neue"/>
          </rPr>
          <t>Windows User:
USDA estimate</t>
        </r>
      </text>
    </comment>
    <comment ref="F96" authorId="0">
      <text>
        <r>
          <rPr>
            <sz val="11"/>
            <color indexed="8"/>
            <rFont val="Helvetica Neue"/>
          </rPr>
          <t>Windows User:
USDA estimate</t>
        </r>
      </text>
    </comment>
    <comment ref="F103" authorId="0">
      <text>
        <r>
          <rPr>
            <sz val="11"/>
            <color indexed="8"/>
            <rFont val="Helvetica Neue"/>
          </rPr>
          <t>Windows User:
USDA estimate</t>
        </r>
      </text>
    </comment>
    <comment ref="F110" authorId="0">
      <text>
        <r>
          <rPr>
            <sz val="11"/>
            <color indexed="8"/>
            <rFont val="Helvetica Neue"/>
          </rPr>
          <t>Windows User:
USDA estimate</t>
        </r>
      </text>
    </comment>
  </commentList>
</comments>
</file>

<file path=xl/comments4.xml><?xml version="1.0" encoding="utf-8"?>
<comments xmlns="http://schemas.openxmlformats.org/spreadsheetml/2006/main">
  <authors>
    <author>Windows User</author>
    <author>Mark Ash</author>
  </authors>
  <commentList>
    <comment ref="C60" authorId="0">
      <text>
        <r>
          <rPr>
            <sz val="11"/>
            <color indexed="8"/>
            <rFont val="Helvetica Neue"/>
          </rPr>
          <t xml:space="preserve">Windows User:
USDA estimate.
</t>
        </r>
      </text>
    </comment>
    <comment ref="G60" authorId="0">
      <text>
        <r>
          <rPr>
            <sz val="11"/>
            <color indexed="8"/>
            <rFont val="Helvetica Neue"/>
          </rPr>
          <t xml:space="preserve">Windows User:
USDA estimate
</t>
        </r>
      </text>
    </comment>
    <comment ref="J60" authorId="1">
      <text>
        <r>
          <rPr>
            <sz val="11"/>
            <color indexed="8"/>
            <rFont val="Helvetica Neue"/>
          </rPr>
          <t xml:space="preserve">Mark Ash:
USDA estimate
</t>
        </r>
      </text>
    </comment>
    <comment ref="C61" authorId="0">
      <text>
        <r>
          <rPr>
            <sz val="11"/>
            <color indexed="8"/>
            <rFont val="Helvetica Neue"/>
          </rPr>
          <t xml:space="preserve">Windows User:
USDA estimate.
</t>
        </r>
      </text>
    </comment>
    <comment ref="G61" authorId="0">
      <text>
        <r>
          <rPr>
            <sz val="11"/>
            <color indexed="8"/>
            <rFont val="Helvetica Neue"/>
          </rPr>
          <t xml:space="preserve">Windows User:
USDA estimate
</t>
        </r>
      </text>
    </comment>
    <comment ref="J61" authorId="1">
      <text>
        <r>
          <rPr>
            <sz val="11"/>
            <color indexed="8"/>
            <rFont val="Helvetica Neue"/>
          </rPr>
          <t xml:space="preserve">Mark Ash:
USDA estimate
</t>
        </r>
      </text>
    </comment>
  </commentList>
</comments>
</file>

<file path=xl/comments5.xml><?xml version="1.0" encoding="utf-8"?>
<comments xmlns="http://schemas.openxmlformats.org/spreadsheetml/2006/main">
  <authors>
    <author>Mark Ash</author>
    <author>Windows User</author>
  </authors>
  <commentList>
    <comment ref="C60" authorId="0">
      <text>
        <r>
          <rPr>
            <sz val="11"/>
            <color indexed="8"/>
            <rFont val="Helvetica Neue"/>
          </rPr>
          <t xml:space="preserve">Mark Ash:
USDA estimate
</t>
        </r>
      </text>
    </comment>
    <comment ref="G60" authorId="1">
      <text>
        <r>
          <rPr>
            <sz val="11"/>
            <color indexed="8"/>
            <rFont val="Helvetica Neue"/>
          </rPr>
          <t xml:space="preserve">Windows User:
USDA estimate
</t>
        </r>
      </text>
    </comment>
    <comment ref="H60" authorId="0">
      <text>
        <r>
          <rPr>
            <sz val="11"/>
            <color indexed="8"/>
            <rFont val="Helvetica Neue"/>
          </rPr>
          <t xml:space="preserve">Mark Ash:
USDA estimate
</t>
        </r>
      </text>
    </comment>
    <comment ref="K60" authorId="1">
      <text>
        <r>
          <rPr>
            <sz val="11"/>
            <color indexed="8"/>
            <rFont val="Helvetica Neue"/>
          </rPr>
          <t xml:space="preserve">Windows User:
USDA estimate
</t>
        </r>
      </text>
    </comment>
    <comment ref="C61" authorId="0">
      <text>
        <r>
          <rPr>
            <sz val="11"/>
            <color indexed="8"/>
            <rFont val="Helvetica Neue"/>
          </rPr>
          <t xml:space="preserve">Mark Ash:
USDA estimate
</t>
        </r>
      </text>
    </comment>
    <comment ref="G61" authorId="1">
      <text>
        <r>
          <rPr>
            <sz val="11"/>
            <color indexed="8"/>
            <rFont val="Helvetica Neue"/>
          </rPr>
          <t xml:space="preserve">Windows User:
USDA estimate
</t>
        </r>
      </text>
    </comment>
    <comment ref="H61" authorId="0">
      <text>
        <r>
          <rPr>
            <sz val="11"/>
            <color indexed="8"/>
            <rFont val="Helvetica Neue"/>
          </rPr>
          <t xml:space="preserve">Mark Ash:
USDA estimate
</t>
        </r>
      </text>
    </comment>
    <comment ref="K61" authorId="1">
      <text>
        <r>
          <rPr>
            <sz val="11"/>
            <color indexed="8"/>
            <rFont val="Helvetica Neue"/>
          </rPr>
          <t xml:space="preserve">Windows User:
USDA estimate
</t>
        </r>
      </text>
    </comment>
  </commentList>
</comments>
</file>

<file path=xl/comments6.xml><?xml version="1.0" encoding="utf-8"?>
<comments xmlns="http://schemas.openxmlformats.org/spreadsheetml/2006/main">
  <authors>
    <author>Mark Ash</author>
  </authors>
  <commentList>
    <comment ref="B94" authorId="0">
      <text>
        <r>
          <rPr>
            <sz val="11"/>
            <color indexed="8"/>
            <rFont val="Helvetica Neue"/>
          </rPr>
          <t xml:space="preserve">Mark Ash:
ERS estimate
</t>
        </r>
      </text>
    </comment>
    <comment ref="E94" authorId="0">
      <text>
        <r>
          <rPr>
            <sz val="11"/>
            <color indexed="8"/>
            <rFont val="Helvetica Neue"/>
          </rPr>
          <t xml:space="preserve">Mark Ash:
ERS estimate
</t>
        </r>
      </text>
    </comment>
    <comment ref="H94" authorId="0">
      <text>
        <r>
          <rPr>
            <sz val="11"/>
            <color indexed="8"/>
            <rFont val="Helvetica Neue"/>
          </rPr>
          <t xml:space="preserve">Mark Ash:
ERS estimate
</t>
        </r>
      </text>
    </comment>
  </commentList>
</comments>
</file>

<file path=xl/sharedStrings.xml><?xml version="1.0" encoding="utf-8"?>
<sst xmlns="http://schemas.openxmlformats.org/spreadsheetml/2006/main" uniqueCount="269">
  <si>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</si>
  <si>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</si>
  <si>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</si>
  <si>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</si>
  <si>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Contents</t>
  </si>
  <si>
    <t>Table 1</t>
  </si>
  <si>
    <t>Oil Crops Data: Yearbook Tables</t>
  </si>
  <si>
    <t>Created February 25, 2019</t>
  </si>
  <si>
    <t xml:space="preserve">Updates of this data, and data covering more years and countries, can be found at </t>
  </si>
  <si>
    <r>
      <rPr>
        <u val="single"/>
        <sz val="8"/>
        <color indexed="11"/>
        <rFont val="Helvetica"/>
      </rPr>
      <t>http://www.ers.usda.gov/data-products/oil-crops-yearbook.aspx</t>
    </r>
  </si>
  <si>
    <t>U.S. Soybean Stocks--quarterly</t>
  </si>
  <si>
    <r>
      <rPr>
        <u val="single"/>
        <sz val="8"/>
        <color indexed="11"/>
        <rFont val="Helvetica"/>
      </rPr>
      <t>Table 1--Soybean stocks:  On-farm, off-farm, and total U.S., by quarter, 1999/00-2018/19</t>
    </r>
  </si>
  <si>
    <t>U.S. Soybeans and Soybean Products Supply and Disappearance--annual</t>
  </si>
  <si>
    <r>
      <rPr>
        <u val="single"/>
        <sz val="8"/>
        <color indexed="11"/>
        <rFont val="Helvetica"/>
      </rPr>
      <t>Table 2--Soybeans:  Acreage planted, harvested, yield, production, value, and loan rate, U.S., 1960-2018</t>
    </r>
  </si>
  <si>
    <r>
      <rPr>
        <u val="single"/>
        <sz val="8"/>
        <color indexed="11"/>
        <rFont val="Helvetica"/>
      </rPr>
      <t>Table 3--Soybeans:  Supply, disappearance, and price, U.S., 1980/81-2018/19</t>
    </r>
  </si>
  <si>
    <r>
      <rPr>
        <u val="single"/>
        <sz val="8"/>
        <color indexed="11"/>
        <rFont val="Helvetica"/>
      </rPr>
      <t>Table 4--Soybean meal:  Supply, disappearance, and price, U.S., 1980/81-2018/19</t>
    </r>
  </si>
  <si>
    <r>
      <rPr>
        <u val="single"/>
        <sz val="8"/>
        <color indexed="11"/>
        <rFont val="Helvetica"/>
      </rPr>
      <t>Table 5--Soybean oil:  Supply, disappearance, and price, U.S., 1980/81-2018/19</t>
    </r>
  </si>
  <si>
    <t>U.S. Soybeans and Soybean Products Supply and Disappearance--crop year quarter and month</t>
  </si>
  <si>
    <r>
      <rPr>
        <u val="single"/>
        <sz val="8"/>
        <color indexed="11"/>
        <rFont val="Helvetica"/>
      </rPr>
      <t>Table 6--Soybeans: U.S. supply and disappearance, by crop year quarter, 2000/01-2018/19</t>
    </r>
  </si>
  <si>
    <r>
      <rPr>
        <u val="single"/>
        <sz val="8"/>
        <color indexed="11"/>
        <rFont val="Helvetica"/>
      </rPr>
      <t>Table 7--Soybean meal:  Supply and disappearance, by month, U.S., 2007/08-2018/19</t>
    </r>
  </si>
  <si>
    <r>
      <rPr>
        <u val="single"/>
        <sz val="8"/>
        <color indexed="11"/>
        <rFont val="Helvetica"/>
      </rPr>
      <t>Table 8--Soybean oil:  Supply and disappearance, by month, U.S., 2007/08-2018/19</t>
    </r>
  </si>
  <si>
    <t>U.S. Soybeans and Soybean Products Price spreads--monthly</t>
  </si>
  <si>
    <r>
      <rPr>
        <u val="single"/>
        <sz val="8"/>
        <color indexed="11"/>
        <rFont val="Helvetica"/>
      </rPr>
      <t>Table 9--Soybeans: Monthly value of products per bushel of soybeans processed, and spot price spread, U.S., 1990/91-2018/19</t>
    </r>
  </si>
  <si>
    <t xml:space="preserve">Contacts: Mark Ash at mash@ers.usda.gov    </t>
  </si>
  <si>
    <t xml:space="preserve">and Mariana Matias at mariana.matias@ers.usda.gov   </t>
  </si>
  <si>
    <t>tab01</t>
  </si>
  <si>
    <t>Table 1--Soybean stocks:  On-farm, off-farm, and total U.S., by quarter, 1999/00-2018/19</t>
  </si>
  <si>
    <t>Date</t>
  </si>
  <si>
    <t>On-farm</t>
  </si>
  <si>
    <t>Off-farm</t>
  </si>
  <si>
    <t>Total</t>
  </si>
  <si>
    <t>1,000 bushels</t>
  </si>
  <si>
    <t>1999/00</t>
  </si>
  <si>
    <t xml:space="preserve">  December 1</t>
  </si>
  <si>
    <t xml:space="preserve">  March 1</t>
  </si>
  <si>
    <t xml:space="preserve">  June 1</t>
  </si>
  <si>
    <t xml:space="preserve">  September 1</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</si>
  <si>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</si>
  <si>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</si>
  <si>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</si>
  <si>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</si>
  <si>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</si>
  <si>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</si>
  <si>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</si>
  <si>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</si>
  <si>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</si>
  <si>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</si>
  <si>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</si>
  <si>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</si>
  <si>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</si>
  <si>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</si>
  <si>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</si>
  <si>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</si>
  <si>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</si>
  <si>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</si>
  <si>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</si>
  <si>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r>
      <rPr>
        <sz val="8"/>
        <color indexed="8"/>
        <rFont val="Helvetica"/>
      </rPr>
      <t xml:space="preserve">Source:  USDA, Economic Research Service using data from USDA, National Agricultural Statistics Service, </t>
    </r>
    <r>
      <rPr>
        <i val="1"/>
        <sz val="8"/>
        <color indexed="8"/>
        <rFont val="Helvetica"/>
      </rPr>
      <t>Grain Stocks</t>
    </r>
    <r>
      <rPr>
        <sz val="8"/>
        <color indexed="8"/>
        <rFont val="Helvetica"/>
      </rPr>
      <t>.</t>
    </r>
  </si>
  <si>
    <t>Last updated: March 29, 2019</t>
  </si>
  <si>
    <t>tab02</t>
  </si>
  <si>
    <t>Table 2--Soybeans:  Acreage planted, harvested, yield, production, value, and loan rate, U.S., 1960-2018</t>
  </si>
  <si>
    <t>Year</t>
  </si>
  <si>
    <t>Planted</t>
  </si>
  <si>
    <t>Harvested</t>
  </si>
  <si>
    <t>Yield</t>
  </si>
  <si>
    <t>Production</t>
  </si>
  <si>
    <t>Value</t>
  </si>
  <si>
    <t>per acre</t>
  </si>
  <si>
    <t>----------------1,000 acres---------------------</t>
  </si>
  <si>
    <t>Bushels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</si>
  <si>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</si>
  <si>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</si>
  <si>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</si>
  <si>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</si>
  <si>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</si>
  <si>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</si>
  <si>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</si>
  <si>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</si>
  <si>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</si>
  <si>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</si>
  <si>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</si>
  <si>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</si>
  <si>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</si>
  <si>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</si>
  <si>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</si>
  <si>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</si>
  <si>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</si>
  <si>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</si>
  <si>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</si>
  <si>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</si>
  <si>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</si>
  <si>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</si>
  <si>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</si>
  <si>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</si>
  <si>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</si>
  <si>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</si>
  <si>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</si>
  <si>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</si>
  <si>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</si>
  <si>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</si>
  <si>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</si>
  <si>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</si>
  <si>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 xml:space="preserve">1992 </t>
  </si>
  <si>
    <t>1993</t>
  </si>
  <si>
    <t>1994</t>
  </si>
  <si>
    <t>1995</t>
  </si>
  <si>
    <t xml:space="preserve">1996 </t>
  </si>
  <si>
    <t>1997</t>
  </si>
  <si>
    <t xml:space="preserve">1998 </t>
  </si>
  <si>
    <t>1999</t>
  </si>
  <si>
    <t xml:space="preserve">  N.A. =  Not applicable.</t>
  </si>
  <si>
    <t>1/ A marketing loan program replaced the nonrecourse loan of previous years beginning with the 1991 crop.  Effective marketing loan value is $4.92</t>
  </si>
  <si>
    <t xml:space="preserve"> ($5.02 less 2-percent origination fee)  for crop years 1991-1993.  2/ Forecast.</t>
  </si>
  <si>
    <r>
      <rPr>
        <sz val="8"/>
        <color indexed="8"/>
        <rFont val="Helvetica"/>
      </rPr>
      <t xml:space="preserve">Sources: USDA, Economic Research Service using data from USDA, National Agricultural Statistics Service, </t>
    </r>
    <r>
      <rPr>
        <i val="1"/>
        <sz val="8"/>
        <color indexed="8"/>
        <rFont val="Helvetica"/>
      </rPr>
      <t>Crop Production</t>
    </r>
    <r>
      <rPr>
        <sz val="8"/>
        <color indexed="8"/>
        <rFont val="Helvetica"/>
      </rPr>
      <t xml:space="preserve"> and </t>
    </r>
    <r>
      <rPr>
        <i val="1"/>
        <sz val="8"/>
        <color indexed="8"/>
        <rFont val="Helvetica"/>
      </rPr>
      <t>Crop Values</t>
    </r>
    <r>
      <rPr>
        <sz val="8"/>
        <color indexed="8"/>
        <rFont val="Helvetica"/>
      </rPr>
      <t xml:space="preserve"> and USDA,</t>
    </r>
  </si>
  <si>
    <t xml:space="preserve"> Farm Service Agency, Nonrecourse Marketing Assistance Loans and Loan Deficiency Payments Fact Sheet. </t>
  </si>
  <si>
    <t>tab3</t>
  </si>
  <si>
    <t>Table 3--Soybeans:  Supply, disappearance, and price, U.S., 1980/81-2018/19</t>
  </si>
  <si>
    <t xml:space="preserve">  Year</t>
  </si>
  <si>
    <t>Supply</t>
  </si>
  <si>
    <t>Disappearance</t>
  </si>
  <si>
    <t>Price</t>
  </si>
  <si>
    <t>beginning</t>
  </si>
  <si>
    <t>Beginning</t>
  </si>
  <si>
    <t>Seed, feed</t>
  </si>
  <si>
    <t>Ending</t>
  </si>
  <si>
    <t>Season-average</t>
  </si>
  <si>
    <t>September 1</t>
  </si>
  <si>
    <t>stocks</t>
  </si>
  <si>
    <t>Imports</t>
  </si>
  <si>
    <t>Total 1/</t>
  </si>
  <si>
    <t>Crush</t>
  </si>
  <si>
    <t>Exports</t>
  </si>
  <si>
    <t>and</t>
  </si>
  <si>
    <t>received</t>
  </si>
  <si>
    <t>residual</t>
  </si>
  <si>
    <t>by farmers</t>
  </si>
  <si>
    <t>Million bushels</t>
  </si>
  <si>
    <t>$/bushel</t>
  </si>
  <si>
    <t>2017 2/</t>
  </si>
  <si>
    <t>2018 2/</t>
  </si>
  <si>
    <t>8.10-9.10</t>
  </si>
  <si>
    <t>1/ Total supply includes imports.  2/ Forecast.</t>
  </si>
  <si>
    <r>
      <rPr>
        <sz val="8"/>
        <color indexed="8"/>
        <rFont val="Helvetica"/>
      </rPr>
      <t xml:space="preserve">Sources: USDA, Economic Research Service using data from USDA, National Agricultural Statistics Service, </t>
    </r>
    <r>
      <rPr>
        <i val="1"/>
        <sz val="8"/>
        <color indexed="8"/>
        <rFont val="Helvetica"/>
      </rPr>
      <t>Crop Production</t>
    </r>
    <r>
      <rPr>
        <sz val="8"/>
        <color indexed="8"/>
        <rFont val="Helvetica"/>
      </rPr>
      <t xml:space="preserve">, </t>
    </r>
    <r>
      <rPr>
        <i val="1"/>
        <sz val="8"/>
        <color indexed="8"/>
        <rFont val="Helvetica"/>
      </rPr>
      <t>Grain Stocks</t>
    </r>
    <r>
      <rPr>
        <sz val="8"/>
        <color indexed="8"/>
        <rFont val="Helvetica"/>
      </rPr>
      <t xml:space="preserve"> and</t>
    </r>
  </si>
  <si>
    <r>
      <rPr>
        <i val="1"/>
        <sz val="8"/>
        <color indexed="8"/>
        <rFont val="Helvetica"/>
      </rPr>
      <t xml:space="preserve"> Fats &amp; Oils: Oilseed Crushings</t>
    </r>
    <r>
      <rPr>
        <sz val="8"/>
        <color indexed="8"/>
        <rFont val="Helvetica"/>
      </rPr>
      <t xml:space="preserve">, </t>
    </r>
    <r>
      <rPr>
        <i val="1"/>
        <sz val="8"/>
        <color indexed="8"/>
        <rFont val="Helvetica"/>
      </rPr>
      <t>Agricultural Prices</t>
    </r>
    <r>
      <rPr>
        <sz val="8"/>
        <color indexed="8"/>
        <rFont val="Helvetica"/>
      </rPr>
      <t xml:space="preserve">, and USDA, Foreign Agricultural Service, </t>
    </r>
    <r>
      <rPr>
        <i val="1"/>
        <sz val="8"/>
        <color indexed="8"/>
        <rFont val="Helvetica"/>
      </rPr>
      <t>Global Agricultural Trade System</t>
    </r>
    <r>
      <rPr>
        <sz val="8"/>
        <color indexed="8"/>
        <rFont val="Helvetica"/>
      </rPr>
      <t>.</t>
    </r>
  </si>
  <si>
    <t>tab4</t>
  </si>
  <si>
    <t>Table 4--Soybean meal:  Supply, disappearance, and price, U.S., 1980/81-2018/19</t>
  </si>
  <si>
    <t xml:space="preserve">  Year      </t>
  </si>
  <si>
    <t>48% protein,</t>
  </si>
  <si>
    <t>October 1</t>
  </si>
  <si>
    <t>stocks 1/</t>
  </si>
  <si>
    <t>Production 1/</t>
  </si>
  <si>
    <t>Domestic</t>
  </si>
  <si>
    <t>Decatur</t>
  </si>
  <si>
    <t>(solvent)</t>
  </si>
  <si>
    <t>1,000 short tons</t>
  </si>
  <si>
    <t>$/short ton</t>
  </si>
  <si>
    <t>2017  2/</t>
  </si>
  <si>
    <t>2018  2/</t>
  </si>
  <si>
    <t>295-335</t>
  </si>
  <si>
    <t>1/ Includes millfeed (hull meal).  2/  Forecast.</t>
  </si>
  <si>
    <t xml:space="preserve">Sources: USDA, Economic Research Service using data from USDA, National Agricultural Statistics Service, Fats &amp; Oils: Oilseed Crushings, USDA, Agricultural </t>
  </si>
  <si>
    <r>
      <rPr>
        <i val="1"/>
        <sz val="8"/>
        <color indexed="8"/>
        <rFont val="Helvetica"/>
      </rPr>
      <t xml:space="preserve">Marketing Service, National Monthly Feedstuff Prices,  </t>
    </r>
    <r>
      <rPr>
        <sz val="8"/>
        <color indexed="8"/>
        <rFont val="Helvetica"/>
      </rPr>
      <t>and USDA, Foreign Agricultural Service,</t>
    </r>
    <r>
      <rPr>
        <i val="1"/>
        <sz val="8"/>
        <color indexed="8"/>
        <rFont val="Helvetica"/>
      </rPr>
      <t xml:space="preserve"> Global Agricultural Trade Internet System</t>
    </r>
    <r>
      <rPr>
        <sz val="8"/>
        <color indexed="8"/>
        <rFont val="Helvetica"/>
      </rPr>
      <t>.</t>
    </r>
  </si>
  <si>
    <t>tab5</t>
  </si>
  <si>
    <t>Table 5--Soybean oil:  Supply, disappearance, and price, U.S., 1980/81-2018/19</t>
  </si>
  <si>
    <t>Crude,</t>
  </si>
  <si>
    <t>Methyl ester</t>
  </si>
  <si>
    <t>Million pounds</t>
  </si>
  <si>
    <t>Cents/pound</t>
  </si>
  <si>
    <t>---</t>
  </si>
  <si>
    <t>2017  1/</t>
  </si>
  <si>
    <t>2018  1/</t>
  </si>
  <si>
    <t>28.5-31.5</t>
  </si>
  <si>
    <t>1/ Forecast.</t>
  </si>
  <si>
    <r>
      <rPr>
        <sz val="8"/>
        <color indexed="8"/>
        <rFont val="Helvetica"/>
      </rPr>
      <t xml:space="preserve">Sources: USDA, Economic Research Service using data from USDA, National Agricultural Statistics Service, </t>
    </r>
    <r>
      <rPr>
        <i val="1"/>
        <sz val="8"/>
        <color indexed="8"/>
        <rFont val="Helvetica"/>
      </rPr>
      <t>Fats &amp; Oils: Oilseed Crushings</t>
    </r>
    <r>
      <rPr>
        <sz val="8"/>
        <color indexed="8"/>
        <rFont val="Helvetica"/>
      </rPr>
      <t xml:space="preserve">, </t>
    </r>
  </si>
  <si>
    <r>
      <rPr>
        <sz val="8"/>
        <color indexed="8"/>
        <rFont val="Helvetica"/>
      </rPr>
      <t>USDA, Agricultural Marketing Service,</t>
    </r>
    <r>
      <rPr>
        <i val="1"/>
        <sz val="8"/>
        <color indexed="8"/>
        <rFont val="Helvetica"/>
      </rPr>
      <t xml:space="preserve"> National Monthly Feedstuff Prices, and </t>
    </r>
    <r>
      <rPr>
        <sz val="8"/>
        <color indexed="8"/>
        <rFont val="Helvetica"/>
      </rPr>
      <t>USDA, Foreign Agricultural Service,</t>
    </r>
    <r>
      <rPr>
        <i val="1"/>
        <sz val="8"/>
        <color indexed="8"/>
        <rFont val="Helvetica"/>
      </rPr>
      <t xml:space="preserve"> Global Agricultural Trade System, </t>
    </r>
    <r>
      <rPr>
        <sz val="8"/>
        <color indexed="8"/>
        <rFont val="Helvetica"/>
      </rPr>
      <t>and</t>
    </r>
    <r>
      <rPr>
        <i val="1"/>
        <sz val="8"/>
        <color indexed="8"/>
        <rFont val="Helvetica"/>
      </rPr>
      <t xml:space="preserve"> </t>
    </r>
    <r>
      <rPr>
        <sz val="8"/>
        <color indexed="8"/>
        <rFont val="Helvetica"/>
      </rPr>
      <t xml:space="preserve">Energy </t>
    </r>
  </si>
  <si>
    <r>
      <rPr>
        <sz val="8"/>
        <color indexed="8"/>
        <rFont val="Helvetica"/>
      </rPr>
      <t xml:space="preserve">Information Administration, </t>
    </r>
    <r>
      <rPr>
        <i val="1"/>
        <sz val="8"/>
        <color indexed="8"/>
        <rFont val="Helvetica"/>
      </rPr>
      <t>Monthly Biodiesel Production Report</t>
    </r>
    <r>
      <rPr>
        <sz val="8"/>
        <color indexed="8"/>
        <rFont val="Helvetica"/>
      </rPr>
      <t>.</t>
    </r>
  </si>
  <si>
    <t>tab6</t>
  </si>
  <si>
    <t>Table 6--Soybeans: U.S. supply and disappearance, by crop year quarter, 2000/01-2018/19</t>
  </si>
  <si>
    <t xml:space="preserve">  Year </t>
  </si>
  <si>
    <t xml:space="preserve">Total </t>
  </si>
  <si>
    <t>Seed, feed,</t>
  </si>
  <si>
    <t xml:space="preserve">September 1 </t>
  </si>
  <si>
    <t>and residual</t>
  </si>
  <si>
    <t xml:space="preserve">Sep.-Nov. </t>
  </si>
  <si>
    <t xml:space="preserve">Dec.-Feb. </t>
  </si>
  <si>
    <t>Mar.-May</t>
  </si>
  <si>
    <t>June-Aug.</t>
  </si>
  <si>
    <t xml:space="preserve">    Total</t>
  </si>
  <si>
    <t>Sep.-Nov.</t>
  </si>
  <si>
    <t>Dec.-Feb.</t>
  </si>
  <si>
    <t xml:space="preserve">    Total </t>
  </si>
  <si>
    <t xml:space="preserve"> Total </t>
  </si>
  <si>
    <t>NA</t>
  </si>
  <si>
    <t xml:space="preserve">  September</t>
  </si>
  <si>
    <t xml:space="preserve">  October</t>
  </si>
  <si>
    <t xml:space="preserve">  November</t>
  </si>
  <si>
    <t xml:space="preserve">  December</t>
  </si>
  <si>
    <t xml:space="preserve">  January</t>
  </si>
  <si>
    <t xml:space="preserve">  February</t>
  </si>
  <si>
    <t xml:space="preserve">  March</t>
  </si>
  <si>
    <t xml:space="preserve">  April</t>
  </si>
  <si>
    <t xml:space="preserve">  May</t>
  </si>
  <si>
    <t>June</t>
  </si>
  <si>
    <t xml:space="preserve">July </t>
  </si>
  <si>
    <t>August</t>
  </si>
  <si>
    <r>
      <rPr>
        <sz val="8"/>
        <color indexed="8"/>
        <rFont val="Helvetica"/>
      </rPr>
      <t xml:space="preserve">Sources:  USDA, Economic Research Service using data from USDA, National Agricultural Statistics Service, </t>
    </r>
    <r>
      <rPr>
        <i val="1"/>
        <sz val="8"/>
        <color indexed="8"/>
        <rFont val="Helvetica"/>
      </rPr>
      <t>Fats &amp; Oils: Oilseed Crushings</t>
    </r>
    <r>
      <rPr>
        <sz val="8"/>
        <color indexed="8"/>
        <rFont val="Helvetica"/>
      </rPr>
      <t xml:space="preserve"> and Foreign Agricultural Service, </t>
    </r>
  </si>
  <si>
    <t>Global Agricultural Trade System.</t>
  </si>
  <si>
    <t>tab7</t>
  </si>
  <si>
    <t>Table 7--Soybean meal:  Supply and disappearance, by month, U.S., 2007/08-2018/19</t>
  </si>
  <si>
    <t>Supply 1/</t>
  </si>
  <si>
    <t>Disappearance 1/</t>
  </si>
  <si>
    <t>use</t>
  </si>
  <si>
    <t xml:space="preserve">October 1 </t>
  </si>
  <si>
    <t xml:space="preserve">  May </t>
  </si>
  <si>
    <t xml:space="preserve">  June</t>
  </si>
  <si>
    <t xml:space="preserve">  July</t>
  </si>
  <si>
    <t xml:space="preserve">  August</t>
  </si>
  <si>
    <t xml:space="preserve"> 1/ Includes millfeed (hull meal) and soy flour. Note: Monthly production data not available for 2011/12-2014-15.</t>
  </si>
  <si>
    <r>
      <rPr>
        <sz val="8"/>
        <color indexed="8"/>
        <rFont val="Helvetica"/>
      </rPr>
      <t xml:space="preserve">Sources:  USDA, Economic Research Service using data from USDA, National Agricultural Statistics Service, </t>
    </r>
    <r>
      <rPr>
        <i val="1"/>
        <sz val="8"/>
        <color indexed="8"/>
        <rFont val="Helvetica"/>
      </rPr>
      <t>Fats &amp; Oils: Oilseed Crushings</t>
    </r>
    <r>
      <rPr>
        <sz val="8"/>
        <color indexed="8"/>
        <rFont val="Helvetica"/>
      </rPr>
      <t xml:space="preserve"> and </t>
    </r>
  </si>
  <si>
    <t>USDA, Foreign Agricultural Service, Global Agricultural Trade System.</t>
  </si>
  <si>
    <t>tab8</t>
  </si>
  <si>
    <t>Table 8--Soybean oil:  Supply and disappearance, by month, U.S., 2007/08-2018/19</t>
  </si>
  <si>
    <r>
      <rPr>
        <sz val="8"/>
        <color indexed="8"/>
        <rFont val="Helvetica"/>
      </rPr>
      <t>Methyl ester</t>
    </r>
    <r>
      <rPr>
        <vertAlign val="superscript"/>
        <sz val="8"/>
        <color indexed="8"/>
        <rFont val="Helvetica"/>
      </rPr>
      <t>1</t>
    </r>
  </si>
  <si>
    <t>1,000 pounds</t>
  </si>
  <si>
    <t>1 Prior to January 2006, methyl ester consumption based on quarterly data from the CCC Bioenergy Program. Note: Monthly production data not available for 2011/12-2014-15.</t>
  </si>
  <si>
    <t>tab 9</t>
  </si>
  <si>
    <t>Table 9--Soybeans: Monthly value of products per bushel of soybeans processed, and spot price spread, U.S., 1990/91-2018/19</t>
  </si>
  <si>
    <t>No. 1</t>
  </si>
  <si>
    <t>Spread</t>
  </si>
  <si>
    <t xml:space="preserve"> Value of products per bushel</t>
  </si>
  <si>
    <t>Percent of value</t>
  </si>
  <si>
    <t>yellow</t>
  </si>
  <si>
    <t xml:space="preserve">between value </t>
  </si>
  <si>
    <t>Soybean oil</t>
  </si>
  <si>
    <t>Soybean meal</t>
  </si>
  <si>
    <t>Soybean hulls</t>
  </si>
  <si>
    <t>value</t>
  </si>
  <si>
    <t>Soybean</t>
  </si>
  <si>
    <t>Illinois</t>
  </si>
  <si>
    <t>of products and</t>
  </si>
  <si>
    <t>Price 1/</t>
  </si>
  <si>
    <t>Price 2/</t>
  </si>
  <si>
    <t>Price 3/</t>
  </si>
  <si>
    <t>oil</t>
  </si>
  <si>
    <t>meal + hulls</t>
  </si>
  <si>
    <t>processor</t>
  </si>
  <si>
    <t>soybean price</t>
  </si>
  <si>
    <t>Lbs.</t>
  </si>
  <si>
    <t>Cents</t>
  </si>
  <si>
    <t>$</t>
  </si>
  <si>
    <t>--------Dollars--------</t>
  </si>
  <si>
    <t>Dollars</t>
  </si>
  <si>
    <t>--------Percent---------</t>
  </si>
  <si>
    <t>-------------Dollars-------------</t>
  </si>
  <si>
    <t>1990/91</t>
  </si>
  <si>
    <t>1991/92</t>
  </si>
  <si>
    <t>1992/93</t>
  </si>
  <si>
    <t>1993/94</t>
  </si>
  <si>
    <t>1994/95</t>
  </si>
  <si>
    <t>1995/96</t>
  </si>
  <si>
    <t>1996/97</t>
  </si>
  <si>
    <t>1997/98</t>
  </si>
  <si>
    <t>1998/99</t>
  </si>
  <si>
    <t>1999/2000</t>
  </si>
  <si>
    <t xml:space="preserve">    Average</t>
  </si>
  <si>
    <r>
      <rPr>
        <sz val="8"/>
        <color indexed="8"/>
        <rFont val="Helvetica"/>
      </rPr>
      <t xml:space="preserve">Sources:   USDA, Economic Research Service using data from USDA, National Agricultural Statistics Service, </t>
    </r>
    <r>
      <rPr>
        <i val="1"/>
        <sz val="8"/>
        <color indexed="8"/>
        <rFont val="Helvetica"/>
      </rPr>
      <t>Fats &amp; Oils: Oilseed Crushings</t>
    </r>
    <r>
      <rPr>
        <sz val="8"/>
        <color indexed="8"/>
        <rFont val="Helvetica"/>
      </rPr>
      <t xml:space="preserve"> and USDA, Agricultural Marketing Service, </t>
    </r>
  </si>
  <si>
    <r>
      <rPr>
        <i val="1"/>
        <sz val="8"/>
        <color indexed="8"/>
        <rFont val="Helvetica"/>
      </rPr>
      <t>National Monthly Feedstuff Prices</t>
    </r>
    <r>
      <rPr>
        <sz val="8"/>
        <color indexed="8"/>
        <rFont val="Helvetica"/>
      </rPr>
      <t>.</t>
    </r>
  </si>
  <si>
    <t xml:space="preserve">  1/ Crude, tanks, f.o.b. central Illinois.  2/ 44 percent (solvent), Decatur, based on Sept.- Aug. year.  Beginning 2001/02, 48 percent solvent.</t>
  </si>
  <si>
    <t xml:space="preserve">  2/ 44 percent (solvent), Decatur, based on Sept.- Aug. year.  Beginning 2001/02, 48 percent solvent.</t>
  </si>
  <si>
    <t xml:space="preserve">  3/ Central Illinois, bulk.  Note: Monthly production data not available for 2011/12-2014-15.</t>
  </si>
</sst>
</file>

<file path=xl/styles.xml><?xml version="1.0" encoding="utf-8"?>
<styleSheet xmlns="http://schemas.openxmlformats.org/spreadsheetml/2006/main">
  <numFmts count="15">
    <numFmt numFmtId="0" formatCode="General"/>
    <numFmt numFmtId="59" formatCode="#,##0&quot;          &quot;"/>
    <numFmt numFmtId="60" formatCode="&quot;$&quot;#,##0&quot; &quot;;(&quot;$&quot;#,##0)"/>
    <numFmt numFmtId="61" formatCode="#,##0&quot;     &quot;"/>
    <numFmt numFmtId="62" formatCode="#,##0.0&quot;      &quot;"/>
    <numFmt numFmtId="63" formatCode="#,##0.00&quot;       &quot;"/>
    <numFmt numFmtId="64" formatCode="#,##0&quot;    &quot;"/>
    <numFmt numFmtId="65" formatCode="#,##0.00&quot;    &quot;"/>
    <numFmt numFmtId="66" formatCode="#,##0&quot;      &quot;"/>
    <numFmt numFmtId="67" formatCode="#,##0.0&quot;    &quot;"/>
    <numFmt numFmtId="68" formatCode="#,##0&quot;  &quot;"/>
    <numFmt numFmtId="69" formatCode="#,##0&quot; &quot;;(#,##0)"/>
    <numFmt numFmtId="70" formatCode="#,##0.00&quot;  &quot;"/>
    <numFmt numFmtId="71" formatCode="#,##0.00&quot;      &quot;"/>
    <numFmt numFmtId="72" formatCode="0.00&quot; &quot;"/>
  </numFmts>
  <fonts count="17">
    <font>
      <sz val="8"/>
      <color indexed="8"/>
      <name val="Helvetica"/>
    </font>
    <font>
      <sz val="12"/>
      <color indexed="8"/>
      <name val="Helvetica"/>
    </font>
    <font>
      <sz val="14"/>
      <color indexed="8"/>
      <name val="Helvetica"/>
    </font>
    <font>
      <sz val="12"/>
      <color indexed="8"/>
      <name val="Helvetica Neue"/>
    </font>
    <font>
      <u val="single"/>
      <sz val="12"/>
      <color indexed="11"/>
      <name val="Helvetica"/>
    </font>
    <font>
      <sz val="10"/>
      <color indexed="8"/>
      <name val="Helvetica"/>
    </font>
    <font>
      <b val="1"/>
      <sz val="14"/>
      <color indexed="8"/>
      <name val="Helvetica"/>
    </font>
    <font>
      <u val="single"/>
      <sz val="8"/>
      <color indexed="11"/>
      <name val="Arial"/>
    </font>
    <font>
      <sz val="10"/>
      <color indexed="8"/>
      <name val="Arial"/>
    </font>
    <font>
      <b val="1"/>
      <sz val="10"/>
      <color indexed="8"/>
      <name val="Helvetica"/>
    </font>
    <font>
      <u val="single"/>
      <sz val="8"/>
      <color indexed="11"/>
      <name val="Helvetica"/>
    </font>
    <font>
      <b val="1"/>
      <sz val="10"/>
      <color indexed="8"/>
      <name val="Arial"/>
    </font>
    <font>
      <i val="1"/>
      <sz val="10"/>
      <color indexed="8"/>
      <name val="Arial"/>
    </font>
    <font>
      <i val="1"/>
      <sz val="8"/>
      <color indexed="8"/>
      <name val="Helvetica"/>
    </font>
    <font>
      <i val="1"/>
      <sz val="8"/>
      <color indexed="8"/>
      <name val="Arial"/>
    </font>
    <font>
      <sz val="11"/>
      <color indexed="8"/>
      <name val="Helvetica Neue"/>
    </font>
    <font>
      <vertAlign val="superscript"/>
      <sz val="8"/>
      <color indexed="8"/>
      <name val="Helvetica"/>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5">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13"/>
      </right>
      <top style="thin">
        <color indexed="8"/>
      </top>
      <bottom style="thin">
        <color indexed="13"/>
      </bottom>
      <diagonal/>
    </border>
  </borders>
  <cellStyleXfs count="1">
    <xf numFmtId="0" fontId="0" applyNumberFormat="0" applyFont="1" applyFill="0" applyBorder="0" applyAlignment="1" applyProtection="0">
      <alignment vertical="bottom"/>
    </xf>
  </cellStyleXfs>
  <cellXfs count="96">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top" wrapText="1"/>
    </xf>
    <xf numFmtId="0" fontId="0" fillId="4" borderId="1" applyNumberFormat="0" applyFont="1" applyFill="1" applyBorder="1" applyAlignment="1" applyProtection="0">
      <alignment vertical="bottom"/>
    </xf>
    <xf numFmtId="49" fontId="6" fillId="4" borderId="1" applyNumberFormat="1" applyFont="1" applyFill="1" applyBorder="1" applyAlignment="1" applyProtection="0">
      <alignment horizontal="left" vertical="bottom"/>
    </xf>
    <xf numFmtId="0" fontId="7" fillId="4" borderId="1" applyNumberFormat="0" applyFont="1" applyFill="1" applyBorder="1" applyAlignment="1" applyProtection="0">
      <alignment vertical="bottom" wrapText="1"/>
    </xf>
    <xf numFmtId="0" fontId="8" fillId="4" borderId="1" applyNumberFormat="0" applyFont="1" applyFill="1" applyBorder="1" applyAlignment="1" applyProtection="0">
      <alignment vertical="bottom"/>
    </xf>
    <xf numFmtId="49" fontId="9" fillId="4" borderId="1" applyNumberFormat="1" applyFont="1" applyFill="1" applyBorder="1" applyAlignment="1" applyProtection="0">
      <alignment horizontal="left" vertical="bottom"/>
    </xf>
    <xf numFmtId="49" fontId="0" fillId="4" borderId="1" applyNumberFormat="1" applyFont="1" applyFill="1" applyBorder="1" applyAlignment="1" applyProtection="0">
      <alignment horizontal="left" vertical="bottom"/>
    </xf>
    <xf numFmtId="49" fontId="0" fillId="4" borderId="1" applyNumberFormat="1" applyFont="1" applyFill="1" applyBorder="1" applyAlignment="1" applyProtection="0">
      <alignment vertical="bottom"/>
    </xf>
    <xf numFmtId="0" fontId="11" fillId="4" borderId="1" applyNumberFormat="0" applyFont="1" applyFill="1" applyBorder="1" applyAlignment="1" applyProtection="0">
      <alignment vertical="bottom"/>
    </xf>
    <xf numFmtId="0" fontId="12" fillId="4" borderId="1" applyNumberFormat="0" applyFont="1" applyFill="1" applyBorder="1" applyAlignment="1" applyProtection="0">
      <alignment vertical="bottom"/>
    </xf>
    <xf numFmtId="0" fontId="0" fillId="4" borderId="1" applyNumberFormat="0" applyFont="1" applyFill="1" applyBorder="1" applyAlignment="1" applyProtection="0">
      <alignment vertical="bottom" wrapText="1"/>
    </xf>
    <xf numFmtId="0" fontId="0" fillId="4" borderId="1" applyNumberFormat="0" applyFont="1" applyFill="1" applyBorder="1" applyAlignment="1" applyProtection="0">
      <alignment horizontal="left" vertical="bottom"/>
    </xf>
    <xf numFmtId="0" fontId="0" applyNumberFormat="1" applyFont="1" applyFill="0" applyBorder="0" applyAlignment="1" applyProtection="0">
      <alignment vertical="bottom"/>
    </xf>
    <xf numFmtId="49" fontId="0" borderId="2" applyNumberFormat="1" applyFont="1" applyFill="0" applyBorder="1" applyAlignment="1" applyProtection="0">
      <alignment vertical="bottom"/>
    </xf>
    <xf numFmtId="0" fontId="0" borderId="2" applyNumberFormat="0" applyFont="1" applyFill="0" applyBorder="1" applyAlignment="1" applyProtection="0">
      <alignment vertical="bottom"/>
    </xf>
    <xf numFmtId="0" fontId="0" borderId="1" applyNumberFormat="0" applyFont="1" applyFill="0" applyBorder="1" applyAlignment="1" applyProtection="0">
      <alignment vertical="bottom"/>
    </xf>
    <xf numFmtId="49" fontId="0" borderId="3" applyNumberFormat="1" applyFont="1" applyFill="0" applyBorder="1" applyAlignment="1" applyProtection="0">
      <alignment vertical="bottom"/>
    </xf>
    <xf numFmtId="49" fontId="0" borderId="3" applyNumberFormat="1" applyFont="1" applyFill="0" applyBorder="1" applyAlignment="1" applyProtection="0">
      <alignment horizontal="center" vertical="bottom"/>
    </xf>
    <xf numFmtId="0" fontId="0" borderId="4" applyNumberFormat="0" applyFont="1" applyFill="0" applyBorder="1" applyAlignment="1" applyProtection="0">
      <alignment vertical="bottom"/>
    </xf>
    <xf numFmtId="49" fontId="0" borderId="4" applyNumberFormat="1" applyFont="1" applyFill="0" applyBorder="1" applyAlignment="1" applyProtection="0">
      <alignment horizontal="center" vertical="bottom"/>
    </xf>
    <xf numFmtId="0" fontId="0" borderId="4" applyNumberFormat="0" applyFont="1" applyFill="0" applyBorder="1" applyAlignment="1" applyProtection="0">
      <alignment horizontal="center" vertical="bottom"/>
    </xf>
    <xf numFmtId="49" fontId="0" borderId="1" applyNumberFormat="1" applyFont="1" applyFill="0" applyBorder="1" applyAlignment="1" applyProtection="0">
      <alignment vertical="bottom"/>
    </xf>
    <xf numFmtId="59" fontId="0" borderId="1" applyNumberFormat="1" applyFont="1" applyFill="0" applyBorder="1" applyAlignment="1" applyProtection="0">
      <alignment vertical="bottom"/>
    </xf>
    <xf numFmtId="3" fontId="0" borderId="1" applyNumberFormat="1" applyFont="1" applyFill="0" applyBorder="1" applyAlignment="1" applyProtection="0">
      <alignment horizontal="center" vertical="bottom"/>
    </xf>
    <xf numFmtId="59" fontId="0" borderId="2" applyNumberFormat="1" applyFont="1" applyFill="0" applyBorder="1" applyAlignment="1" applyProtection="0">
      <alignment vertical="bottom"/>
    </xf>
    <xf numFmtId="49" fontId="0" borderId="4" applyNumberFormat="1" applyFont="1" applyFill="0" applyBorder="1" applyAlignment="1" applyProtection="0">
      <alignment vertical="bottom"/>
    </xf>
    <xf numFmtId="49" fontId="0" borderId="1" applyNumberFormat="1" applyFont="1" applyFill="0" applyBorder="1" applyAlignment="1" applyProtection="0">
      <alignment horizontal="right" vertical="bottom"/>
    </xf>
    <xf numFmtId="0" fontId="14" fillId="4" borderId="1" applyNumberFormat="0" applyFont="1" applyFill="1" applyBorder="1" applyAlignment="1" applyProtection="0">
      <alignment horizontal="right" vertical="top" wrapText="1" readingOrder="1"/>
    </xf>
    <xf numFmtId="0" fontId="0" borderId="1" applyNumberFormat="0" applyFont="1" applyFill="0" applyBorder="1" applyAlignment="1" applyProtection="0">
      <alignment vertical="bottom" readingOrder="1"/>
    </xf>
    <xf numFmtId="0" fontId="0" applyNumberFormat="1" applyFont="1" applyFill="0" applyBorder="0" applyAlignment="1" applyProtection="0">
      <alignment vertical="bottom"/>
    </xf>
    <xf numFmtId="49" fontId="0" borderId="2" applyNumberFormat="1" applyFont="1" applyFill="0" applyBorder="1" applyAlignment="1" applyProtection="0">
      <alignment horizontal="left" vertical="bottom"/>
    </xf>
    <xf numFmtId="0" fontId="0" borderId="2" applyNumberFormat="0" applyFont="1" applyFill="0" applyBorder="1" applyAlignment="1" applyProtection="0">
      <alignment horizontal="center" vertical="bottom"/>
    </xf>
    <xf numFmtId="49" fontId="0" borderId="2" applyNumberFormat="1" applyFont="1" applyFill="0" applyBorder="1" applyAlignment="1" applyProtection="0">
      <alignment horizontal="center" vertical="bottom"/>
    </xf>
    <xf numFmtId="49" fontId="0" borderId="4" applyNumberFormat="1" applyFont="1" applyFill="0" applyBorder="1" applyAlignment="1" applyProtection="0">
      <alignment horizontal="left" vertical="bottom"/>
    </xf>
    <xf numFmtId="60" fontId="0" borderId="4" applyNumberFormat="1" applyFont="1" applyFill="0" applyBorder="1" applyAlignment="1" applyProtection="0">
      <alignment horizontal="center" vertical="bottom"/>
    </xf>
    <xf numFmtId="0" fontId="0" borderId="1" applyNumberFormat="0" applyFont="1" applyFill="0" applyBorder="1" applyAlignment="1" applyProtection="0">
      <alignment horizontal="center" vertical="bottom"/>
    </xf>
    <xf numFmtId="60" fontId="0" borderId="1" applyNumberFormat="1" applyFont="1" applyFill="0" applyBorder="1" applyAlignment="1" applyProtection="0">
      <alignment horizontal="center" vertical="bottom"/>
    </xf>
    <xf numFmtId="61" fontId="0" borderId="1" applyNumberFormat="1" applyFont="1" applyFill="0" applyBorder="1" applyAlignment="1" applyProtection="0">
      <alignment vertical="bottom"/>
    </xf>
    <xf numFmtId="62" fontId="0" borderId="1" applyNumberFormat="1" applyFont="1" applyFill="0" applyBorder="1" applyAlignment="1" applyProtection="0">
      <alignment vertical="bottom"/>
    </xf>
    <xf numFmtId="63" fontId="0" borderId="1" applyNumberFormat="1" applyFont="1" applyFill="0" applyBorder="1" applyAlignment="1" applyProtection="0">
      <alignment vertical="bottom"/>
    </xf>
    <xf numFmtId="49" fontId="0" borderId="1" applyNumberFormat="1" applyFont="1" applyFill="0" applyBorder="1" applyAlignment="1" applyProtection="0">
      <alignment horizontal="left" vertical="bottom"/>
    </xf>
    <xf numFmtId="0" fontId="0" borderId="1" applyNumberFormat="1" applyFont="1" applyFill="0" applyBorder="1" applyAlignment="1" applyProtection="0">
      <alignment horizontal="left" vertical="bottom"/>
    </xf>
    <xf numFmtId="0" fontId="0" borderId="2" applyNumberFormat="1" applyFont="1" applyFill="0" applyBorder="1" applyAlignment="1" applyProtection="0">
      <alignment horizontal="left" vertical="bottom"/>
    </xf>
    <xf numFmtId="61" fontId="0" borderId="2" applyNumberFormat="1" applyFont="1" applyFill="0" applyBorder="1" applyAlignment="1" applyProtection="0">
      <alignment vertical="bottom"/>
    </xf>
    <xf numFmtId="62" fontId="0" borderId="2" applyNumberFormat="1" applyFont="1" applyFill="0" applyBorder="1" applyAlignment="1" applyProtection="0">
      <alignment vertical="bottom"/>
    </xf>
    <xf numFmtId="63" fontId="0" borderId="2" applyNumberFormat="1" applyFont="1" applyFill="0" applyBorder="1" applyAlignment="1" applyProtection="0">
      <alignment vertical="bottom"/>
    </xf>
    <xf numFmtId="49" fontId="13" borderId="1" applyNumberFormat="1" applyFont="1" applyFill="0" applyBorder="1" applyAlignment="1" applyProtection="0">
      <alignment vertical="bottom"/>
    </xf>
    <xf numFmtId="0" fontId="0" borderId="1" applyNumberFormat="0" applyFont="1" applyFill="0" applyBorder="1" applyAlignment="1" applyProtection="0">
      <alignment horizontal="right" vertical="bottom"/>
    </xf>
    <xf numFmtId="0" fontId="13" borderId="1"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3" applyNumberFormat="0" applyFont="1" applyFill="0" applyBorder="1" applyAlignment="1" applyProtection="0">
      <alignment horizontal="center" vertical="bottom"/>
    </xf>
    <xf numFmtId="49" fontId="0" borderId="3" applyNumberFormat="1" applyFont="1" applyFill="0" applyBorder="1" applyAlignment="1" applyProtection="0">
      <alignment horizontal="left" vertical="bottom"/>
    </xf>
    <xf numFmtId="49" fontId="0" borderId="1" applyNumberFormat="1" applyFont="1" applyFill="0" applyBorder="1" applyAlignment="1" applyProtection="0">
      <alignment horizontal="center" vertical="bottom"/>
    </xf>
    <xf numFmtId="64" fontId="0" borderId="1" applyNumberFormat="1" applyFont="1" applyFill="0" applyBorder="1" applyAlignment="1" applyProtection="0">
      <alignment vertical="bottom"/>
    </xf>
    <xf numFmtId="65" fontId="0" borderId="1" applyNumberFormat="1" applyFont="1" applyFill="0" applyBorder="1" applyAlignment="1" applyProtection="0">
      <alignment vertical="bottom"/>
    </xf>
    <xf numFmtId="64" fontId="0" borderId="2" applyNumberFormat="1" applyFont="1" applyFill="0" applyBorder="1" applyAlignment="1" applyProtection="0">
      <alignment vertical="bottom"/>
    </xf>
    <xf numFmtId="64" fontId="0" borderId="4" applyNumberFormat="1" applyFont="1" applyFill="0" applyBorder="1" applyAlignment="1" applyProtection="0">
      <alignment vertical="bottom"/>
    </xf>
    <xf numFmtId="0" fontId="0" applyNumberFormat="1" applyFont="1" applyFill="0" applyBorder="0" applyAlignment="1" applyProtection="0">
      <alignment vertical="bottom"/>
    </xf>
    <xf numFmtId="2"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borderId="3"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2" applyNumberFormat="0" applyFont="1" applyFill="0" applyBorder="1" applyAlignment="1" applyProtection="0">
      <alignment horizontal="left" vertical="bottom"/>
    </xf>
    <xf numFmtId="66" fontId="0" borderId="1" applyNumberFormat="1" applyFont="1" applyFill="0" applyBorder="1" applyAlignment="1" applyProtection="0">
      <alignment vertical="bottom"/>
    </xf>
    <xf numFmtId="66" fontId="0" borderId="1" applyNumberFormat="1" applyFont="1" applyFill="0" applyBorder="1" applyAlignment="1" applyProtection="0">
      <alignment horizontal="center" vertical="bottom"/>
    </xf>
    <xf numFmtId="66" fontId="0" borderId="2" applyNumberFormat="1" applyFont="1" applyFill="0" applyBorder="1" applyAlignment="1" applyProtection="0">
      <alignment vertical="bottom"/>
    </xf>
    <xf numFmtId="66" fontId="0" borderId="2" applyNumberFormat="1" applyFont="1" applyFill="0" applyBorder="1" applyAlignment="1" applyProtection="0">
      <alignment horizontal="center" vertical="bottom"/>
    </xf>
    <xf numFmtId="66" fontId="0" borderId="4" applyNumberFormat="1" applyFont="1" applyFill="0" applyBorder="1" applyAlignment="1" applyProtection="0">
      <alignment vertical="bottom"/>
    </xf>
    <xf numFmtId="66" fontId="0" borderId="4" applyNumberFormat="1" applyFont="1" applyFill="0" applyBorder="1" applyAlignment="1" applyProtection="0">
      <alignment horizontal="center" vertical="bottom"/>
    </xf>
    <xf numFmtId="0" fontId="0" applyNumberFormat="1" applyFont="1" applyFill="0" applyBorder="0" applyAlignment="1" applyProtection="0">
      <alignment vertical="bottom"/>
    </xf>
    <xf numFmtId="67" fontId="0" borderId="1" applyNumberFormat="1" applyFont="1" applyFill="0" applyBorder="1" applyAlignment="1" applyProtection="0">
      <alignment vertical="bottom"/>
    </xf>
    <xf numFmtId="67" fontId="0" borderId="2" applyNumberFormat="1" applyFont="1" applyFill="0" applyBorder="1" applyAlignment="1" applyProtection="0">
      <alignment vertical="bottom"/>
    </xf>
    <xf numFmtId="0" fontId="0" applyNumberFormat="1" applyFont="1" applyFill="0" applyBorder="0" applyAlignment="1" applyProtection="0">
      <alignment vertical="bottom"/>
    </xf>
    <xf numFmtId="68" fontId="0" borderId="1" applyNumberFormat="1" applyFont="1" applyFill="0" applyBorder="1" applyAlignment="1" applyProtection="0">
      <alignment vertical="bottom"/>
    </xf>
    <xf numFmtId="68" fontId="0" borderId="1" applyNumberFormat="1" applyFont="1" applyFill="0" applyBorder="1" applyAlignment="1" applyProtection="0">
      <alignment horizontal="right" vertical="bottom"/>
    </xf>
    <xf numFmtId="69" fontId="0" borderId="1" applyNumberFormat="1" applyFont="1" applyFill="0" applyBorder="1" applyAlignment="1" applyProtection="0">
      <alignment vertical="bottom"/>
    </xf>
    <xf numFmtId="68" fontId="0" borderId="2" applyNumberFormat="1" applyFont="1" applyFill="0" applyBorder="1" applyAlignment="1" applyProtection="0">
      <alignment vertical="bottom"/>
    </xf>
    <xf numFmtId="68" fontId="0" borderId="2" applyNumberFormat="1" applyFont="1" applyFill="0" applyBorder="1" applyAlignment="1" applyProtection="0">
      <alignment horizontal="center" vertical="bottom"/>
    </xf>
    <xf numFmtId="68" fontId="0" borderId="4" applyNumberFormat="1" applyFont="1" applyFill="0" applyBorder="1" applyAlignment="1" applyProtection="0">
      <alignment vertical="bottom"/>
    </xf>
    <xf numFmtId="0" fontId="0" applyNumberFormat="1" applyFont="1" applyFill="0" applyBorder="0" applyAlignment="1" applyProtection="0">
      <alignment vertical="bottom"/>
    </xf>
    <xf numFmtId="70" fontId="0" borderId="1" applyNumberFormat="1" applyFont="1" applyFill="0" applyBorder="1" applyAlignment="1" applyProtection="0">
      <alignment vertical="bottom"/>
    </xf>
    <xf numFmtId="71" fontId="0" borderId="1" applyNumberFormat="1" applyFont="1" applyFill="0" applyBorder="1" applyAlignment="1" applyProtection="0">
      <alignment vertical="bottom"/>
    </xf>
    <xf numFmtId="72" fontId="0" borderId="1" applyNumberFormat="1" applyFont="1" applyFill="0" applyBorder="1" applyAlignment="1" applyProtection="0">
      <alignment vertical="bottom"/>
    </xf>
    <xf numFmtId="72" fontId="0" borderId="2" applyNumberFormat="1" applyFont="1" applyFill="0" applyBorder="1" applyAlignment="1" applyProtection="0">
      <alignment vertical="bottom"/>
    </xf>
    <xf numFmtId="70" fontId="0" borderId="2" applyNumberFormat="1" applyFont="1" applyFill="0" applyBorder="1" applyAlignment="1" applyProtection="0">
      <alignment vertical="bottom"/>
    </xf>
    <xf numFmtId="2" fontId="0" borderId="2" applyNumberFormat="1" applyFont="1" applyFill="0" applyBorder="1" applyAlignment="1" applyProtection="0">
      <alignment vertical="bottom"/>
    </xf>
    <xf numFmtId="71" fontId="0" borderId="2" applyNumberFormat="1" applyFont="1" applyFill="0" applyBorder="1" applyAlignment="1" applyProtection="0">
      <alignment vertical="bottom"/>
    </xf>
    <xf numFmtId="70" fontId="0" borderId="4" applyNumberFormat="1" applyFont="1" applyFill="0" applyBorder="1" applyAlignment="1" applyProtection="0">
      <alignment vertical="bottom"/>
    </xf>
    <xf numFmtId="71" fontId="0" borderId="4" applyNumberFormat="1" applyFont="1" applyFill="0" applyBorder="1" applyAlignment="1" applyProtection="0">
      <alignment vertical="bottom"/>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drawings/_rels/drawing1.xml.rels><?xml version="1.0" encoding="UTF-8"?>
<Relationships xmlns="http://schemas.openxmlformats.org/package/2006/relationships"><Relationship Id="rId1" Type="http://schemas.openxmlformats.org/officeDocument/2006/relationships/image" Target="../media/image1.jpe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95250</xdr:colOff>
      <xdr:row>0</xdr:row>
      <xdr:rowOff>0</xdr:rowOff>
    </xdr:from>
    <xdr:to>
      <xdr:col>0</xdr:col>
      <xdr:colOff>4362450</xdr:colOff>
      <xdr:row>0</xdr:row>
      <xdr:rowOff>514350</xdr:rowOff>
    </xdr:to>
    <xdr:pic>
      <xdr:nvPicPr>
        <xdr:cNvPr id="2" name="Picture 1" descr="Picture 1"/>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3" name="Picture 2" descr="Picture 2"/>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4" name="Picture 3" descr="Picture 3"/>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5" name="Picture 4" descr="Picture 4"/>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6" name="Picture 5" descr="Picture 5"/>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7" name="Picture 6" descr="Picture 6"/>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8" name="Picture 7" descr="Picture 7"/>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9" name="Picture 8" descr="Picture 8"/>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10" name="Picture 9" descr="Picture 9"/>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11" name="Picture 10" descr="Picture 10"/>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12" name="Picture 11" descr="Picture 11"/>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13" name="Picture 12" descr="Picture 12"/>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14" name="Picture 13" descr="Picture 13"/>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15" name="Picture 14" descr="Picture 14"/>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16" name="Picture 15" descr="Picture 15"/>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17" name="Picture 16" descr="Picture 16"/>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18" name="Picture 17" descr="Picture 17"/>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19" name="Picture 18" descr="Picture 18"/>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20" name="Picture 19" descr="Picture 19"/>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21" name="Picture 20" descr="Picture 20"/>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22" name="Picture 21" descr="Picture 21"/>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23" name="Picture 22" descr="Picture 22"/>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24" name="Picture 23" descr="Picture 23"/>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25" name="Picture 24" descr="Picture 24"/>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26" name="Picture 25" descr="Picture 25"/>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27" name="Picture 26" descr="Picture 26"/>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28" name="Picture 27" descr="Picture 27"/>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29" name="Picture 28" descr="Picture 28"/>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30" name="Picture 29" descr="Picture 29"/>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31" name="Picture 30" descr="Picture 30"/>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32" name="Picture 31" descr="Picture 31"/>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33" name="Picture 32" descr="Picture 32"/>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34" name="Picture 33" descr="Picture 33"/>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35" name="Picture 34" descr="Picture 34"/>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36" name="Picture 35" descr="Picture 35"/>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37" name="Picture 36" descr="Picture 36"/>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38" name="Picture 37" descr="Picture 37"/>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39" name="Picture 38" descr="Picture 38"/>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40" name="Picture 39" descr="Picture 39"/>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41" name="Picture 40" descr="Picture 40"/>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42" name="Picture 41" descr="Picture 41"/>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0</xdr:rowOff>
    </xdr:from>
    <xdr:to>
      <xdr:col>0</xdr:col>
      <xdr:colOff>4362450</xdr:colOff>
      <xdr:row>0</xdr:row>
      <xdr:rowOff>514350</xdr:rowOff>
    </xdr:to>
    <xdr:pic>
      <xdr:nvPicPr>
        <xdr:cNvPr id="43" name="Picture 42" descr="Picture 42"/>
        <xdr:cNvPicPr>
          <a:picLocks noChangeAspect="1"/>
        </xdr:cNvPicPr>
      </xdr:nvPicPr>
      <xdr:blipFill>
        <a:blip r:embed="rId1">
          <a:extLst/>
        </a:blip>
        <a:stretch>
          <a:fillRect/>
        </a:stretch>
      </xdr:blipFill>
      <xdr:spPr>
        <a:xfrm>
          <a:off x="95250" y="0"/>
          <a:ext cx="4267200" cy="514350"/>
        </a:xfrm>
        <a:prstGeom prst="rect">
          <a:avLst/>
        </a:prstGeom>
        <a:ln w="12700" cap="flat">
          <a:noFill/>
          <a:miter lim="400000"/>
        </a:ln>
        <a:effectLst/>
      </xdr:spPr>
    </xdr:pic>
    <xdr:clientData/>
  </xdr:twoCellAnchor>
  <xdr:twoCellAnchor>
    <xdr:from>
      <xdr:col>0</xdr:col>
      <xdr:colOff>95250</xdr:colOff>
      <xdr:row>0</xdr:row>
      <xdr:rowOff>57150</xdr:rowOff>
    </xdr:from>
    <xdr:to>
      <xdr:col>0</xdr:col>
      <xdr:colOff>4362450</xdr:colOff>
      <xdr:row>1</xdr:row>
      <xdr:rowOff>0</xdr:rowOff>
    </xdr:to>
    <xdr:pic>
      <xdr:nvPicPr>
        <xdr:cNvPr id="44" name="Picture 2098" descr="Picture 2098"/>
        <xdr:cNvPicPr>
          <a:picLocks noChangeAspect="1"/>
        </xdr:cNvPicPr>
      </xdr:nvPicPr>
      <xdr:blipFill>
        <a:blip r:embed="rId1">
          <a:extLst/>
        </a:blip>
        <a:stretch>
          <a:fillRect/>
        </a:stretch>
      </xdr:blipFill>
      <xdr:spPr>
        <a:xfrm>
          <a:off x="95250" y="57150"/>
          <a:ext cx="4267200" cy="504825"/>
        </a:xfrm>
        <a:prstGeom prst="rect">
          <a:avLst/>
        </a:prstGeom>
        <a:ln w="12700" cap="flat">
          <a:noFill/>
          <a:miter lim="400000"/>
        </a:ln>
        <a:effectLst/>
      </xdr:spPr>
    </xdr:pic>
    <xdr:clientData/>
  </xdr:twoCellAnchor>
  <xdr:twoCellAnchor>
    <xdr:from>
      <xdr:col>0</xdr:col>
      <xdr:colOff>95250</xdr:colOff>
      <xdr:row>0</xdr:row>
      <xdr:rowOff>57150</xdr:rowOff>
    </xdr:from>
    <xdr:to>
      <xdr:col>0</xdr:col>
      <xdr:colOff>4362450</xdr:colOff>
      <xdr:row>1</xdr:row>
      <xdr:rowOff>0</xdr:rowOff>
    </xdr:to>
    <xdr:pic>
      <xdr:nvPicPr>
        <xdr:cNvPr id="45" name="Picture 2099" descr="Picture 2099"/>
        <xdr:cNvPicPr>
          <a:picLocks noChangeAspect="1"/>
        </xdr:cNvPicPr>
      </xdr:nvPicPr>
      <xdr:blipFill>
        <a:blip r:embed="rId1">
          <a:extLst/>
        </a:blip>
        <a:stretch>
          <a:fillRect/>
        </a:stretch>
      </xdr:blipFill>
      <xdr:spPr>
        <a:xfrm>
          <a:off x="95250" y="57150"/>
          <a:ext cx="4267200" cy="504825"/>
        </a:xfrm>
        <a:prstGeom prst="rect">
          <a:avLst/>
        </a:prstGeom>
        <a:ln w="12700" cap="flat">
          <a:noFill/>
          <a:miter lim="400000"/>
        </a:ln>
        <a:effectLst/>
      </xdr:spPr>
    </xdr:pic>
    <xdr:clientData/>
  </xdr:twoCellAnchor>
  <xdr:twoCellAnchor>
    <xdr:from>
      <xdr:col>0</xdr:col>
      <xdr:colOff>95250</xdr:colOff>
      <xdr:row>0</xdr:row>
      <xdr:rowOff>57150</xdr:rowOff>
    </xdr:from>
    <xdr:to>
      <xdr:col>0</xdr:col>
      <xdr:colOff>4362450</xdr:colOff>
      <xdr:row>1</xdr:row>
      <xdr:rowOff>0</xdr:rowOff>
    </xdr:to>
    <xdr:pic>
      <xdr:nvPicPr>
        <xdr:cNvPr id="46" name="Picture 2100" descr="Picture 2100"/>
        <xdr:cNvPicPr>
          <a:picLocks noChangeAspect="1"/>
        </xdr:cNvPicPr>
      </xdr:nvPicPr>
      <xdr:blipFill>
        <a:blip r:embed="rId1">
          <a:extLst/>
        </a:blip>
        <a:stretch>
          <a:fillRect/>
        </a:stretch>
      </xdr:blipFill>
      <xdr:spPr>
        <a:xfrm>
          <a:off x="95250" y="57150"/>
          <a:ext cx="4267200" cy="504825"/>
        </a:xfrm>
        <a:prstGeom prst="rect">
          <a:avLst/>
        </a:prstGeom>
        <a:ln w="12700" cap="flat">
          <a:noFill/>
          <a:miter lim="400000"/>
        </a:ln>
        <a:effectLst/>
      </xdr:spPr>
    </xdr:pic>
    <xdr:clientData/>
  </xdr:twoCellAnchor>
  <xdr:twoCellAnchor>
    <xdr:from>
      <xdr:col>0</xdr:col>
      <xdr:colOff>95250</xdr:colOff>
      <xdr:row>0</xdr:row>
      <xdr:rowOff>57150</xdr:rowOff>
    </xdr:from>
    <xdr:to>
      <xdr:col>0</xdr:col>
      <xdr:colOff>4362450</xdr:colOff>
      <xdr:row>1</xdr:row>
      <xdr:rowOff>0</xdr:rowOff>
    </xdr:to>
    <xdr:pic>
      <xdr:nvPicPr>
        <xdr:cNvPr id="47" name="Picture 2101" descr="Picture 2101"/>
        <xdr:cNvPicPr>
          <a:picLocks noChangeAspect="1"/>
        </xdr:cNvPicPr>
      </xdr:nvPicPr>
      <xdr:blipFill>
        <a:blip r:embed="rId1">
          <a:extLst/>
        </a:blip>
        <a:stretch>
          <a:fillRect/>
        </a:stretch>
      </xdr:blipFill>
      <xdr:spPr>
        <a:xfrm>
          <a:off x="95250" y="57150"/>
          <a:ext cx="4267200" cy="504825"/>
        </a:xfrm>
        <a:prstGeom prst="rect">
          <a:avLst/>
        </a:prstGeom>
        <a:ln w="12700" cap="flat">
          <a:noFill/>
          <a:miter lim="400000"/>
        </a:ln>
        <a:effectLst/>
      </xdr:spPr>
    </xdr:pic>
    <xdr:clientData/>
  </xdr:twoCellAnchor>
  <xdr:twoCellAnchor>
    <xdr:from>
      <xdr:col>0</xdr:col>
      <xdr:colOff>95250</xdr:colOff>
      <xdr:row>0</xdr:row>
      <xdr:rowOff>57150</xdr:rowOff>
    </xdr:from>
    <xdr:to>
      <xdr:col>0</xdr:col>
      <xdr:colOff>4362450</xdr:colOff>
      <xdr:row>1</xdr:row>
      <xdr:rowOff>0</xdr:rowOff>
    </xdr:to>
    <xdr:pic>
      <xdr:nvPicPr>
        <xdr:cNvPr id="48" name="Picture 2102" descr="Picture 2102"/>
        <xdr:cNvPicPr>
          <a:picLocks noChangeAspect="1"/>
        </xdr:cNvPicPr>
      </xdr:nvPicPr>
      <xdr:blipFill>
        <a:blip r:embed="rId1">
          <a:extLst/>
        </a:blip>
        <a:stretch>
          <a:fillRect/>
        </a:stretch>
      </xdr:blipFill>
      <xdr:spPr>
        <a:xfrm>
          <a:off x="95250" y="57150"/>
          <a:ext cx="4267200" cy="504825"/>
        </a:xfrm>
        <a:prstGeom prst="rect">
          <a:avLst/>
        </a:prstGeom>
        <a:ln w="12700" cap="flat">
          <a:noFill/>
          <a:miter lim="400000"/>
        </a:ln>
        <a:effectLst/>
      </xdr:spPr>
    </xdr:pic>
    <xdr:clientData/>
  </xdr:twoCellAnchor>
  <xdr:twoCellAnchor>
    <xdr:from>
      <xdr:col>0</xdr:col>
      <xdr:colOff>95250</xdr:colOff>
      <xdr:row>0</xdr:row>
      <xdr:rowOff>57150</xdr:rowOff>
    </xdr:from>
    <xdr:to>
      <xdr:col>0</xdr:col>
      <xdr:colOff>4362450</xdr:colOff>
      <xdr:row>1</xdr:row>
      <xdr:rowOff>0</xdr:rowOff>
    </xdr:to>
    <xdr:pic>
      <xdr:nvPicPr>
        <xdr:cNvPr id="49" name="Picture 2103" descr="Picture 2103"/>
        <xdr:cNvPicPr>
          <a:picLocks noChangeAspect="1"/>
        </xdr:cNvPicPr>
      </xdr:nvPicPr>
      <xdr:blipFill>
        <a:blip r:embed="rId1">
          <a:extLst/>
        </a:blip>
        <a:stretch>
          <a:fillRect/>
        </a:stretch>
      </xdr:blipFill>
      <xdr:spPr>
        <a:xfrm>
          <a:off x="95250" y="57150"/>
          <a:ext cx="4267200" cy="504825"/>
        </a:xfrm>
        <a:prstGeom prst="rect">
          <a:avLst/>
        </a:prstGeom>
        <a:ln w="12700" cap="flat">
          <a:noFill/>
          <a:miter lim="400000"/>
        </a:ln>
        <a:effectLst/>
      </xdr:spPr>
    </xdr:pic>
    <xdr:clientData/>
  </xdr:twoCellAnchor>
  <xdr:twoCellAnchor>
    <xdr:from>
      <xdr:col>0</xdr:col>
      <xdr:colOff>95250</xdr:colOff>
      <xdr:row>0</xdr:row>
      <xdr:rowOff>57150</xdr:rowOff>
    </xdr:from>
    <xdr:to>
      <xdr:col>0</xdr:col>
      <xdr:colOff>4362450</xdr:colOff>
      <xdr:row>1</xdr:row>
      <xdr:rowOff>0</xdr:rowOff>
    </xdr:to>
    <xdr:pic>
      <xdr:nvPicPr>
        <xdr:cNvPr id="50" name="Picture 2104" descr="Picture 2104"/>
        <xdr:cNvPicPr>
          <a:picLocks noChangeAspect="1"/>
        </xdr:cNvPicPr>
      </xdr:nvPicPr>
      <xdr:blipFill>
        <a:blip r:embed="rId1">
          <a:extLst/>
        </a:blip>
        <a:stretch>
          <a:fillRect/>
        </a:stretch>
      </xdr:blipFill>
      <xdr:spPr>
        <a:xfrm>
          <a:off x="95250" y="57150"/>
          <a:ext cx="4267200" cy="504825"/>
        </a:xfrm>
        <a:prstGeom prst="rect">
          <a:avLst/>
        </a:prstGeom>
        <a:ln w="12700" cap="flat">
          <a:noFill/>
          <a:miter lim="400000"/>
        </a:ln>
        <a:effectLst/>
      </xdr:spPr>
    </xdr:pic>
    <xdr:clientData/>
  </xdr:twoCellAnchor>
  <xdr:twoCellAnchor>
    <xdr:from>
      <xdr:col>0</xdr:col>
      <xdr:colOff>95250</xdr:colOff>
      <xdr:row>0</xdr:row>
      <xdr:rowOff>57150</xdr:rowOff>
    </xdr:from>
    <xdr:to>
      <xdr:col>0</xdr:col>
      <xdr:colOff>4362450</xdr:colOff>
      <xdr:row>1</xdr:row>
      <xdr:rowOff>0</xdr:rowOff>
    </xdr:to>
    <xdr:pic>
      <xdr:nvPicPr>
        <xdr:cNvPr id="51" name="Picture 2105" descr="Picture 2105"/>
        <xdr:cNvPicPr>
          <a:picLocks noChangeAspect="1"/>
        </xdr:cNvPicPr>
      </xdr:nvPicPr>
      <xdr:blipFill>
        <a:blip r:embed="rId1">
          <a:extLst/>
        </a:blip>
        <a:stretch>
          <a:fillRect/>
        </a:stretch>
      </xdr:blipFill>
      <xdr:spPr>
        <a:xfrm>
          <a:off x="95250" y="57150"/>
          <a:ext cx="4267200" cy="504825"/>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11.xml.rels><?xml version="1.0" encoding="UTF-8"?>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2.xml.rels><?xml version="1.0" encoding="UTF-8"?>
<Relationships xmlns="http://schemas.openxmlformats.org/package/2006/relationships"><Relationship Id="rId1" Type="http://schemas.openxmlformats.org/officeDocument/2006/relationships/hyperlink" Target="http://www.ers.usda.gov/data-products/oil-crops-yearbook.aspx" TargetMode="External"/><Relationship Id="rId2" Type="http://schemas.openxmlformats.org/officeDocument/2006/relationships/drawing" Target="../drawings/drawing1.xml"/></Relationships>

</file>

<file path=xl/worksheets/_rels/sheet6.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7.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8.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9.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42"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25</v>
      </c>
      <c r="C11" s="3"/>
      <c r="D11" s="3"/>
    </row>
    <row r="12">
      <c r="B12" s="4"/>
      <c r="C12" t="s" s="4">
        <v>5</v>
      </c>
      <c r="D12" t="s" s="5">
        <v>25</v>
      </c>
    </row>
    <row r="13">
      <c r="B13" t="s" s="3">
        <v>58</v>
      </c>
      <c r="C13" s="3"/>
      <c r="D13" s="3"/>
    </row>
    <row r="14">
      <c r="B14" s="4"/>
      <c r="C14" t="s" s="4">
        <v>5</v>
      </c>
      <c r="D14" t="s" s="5">
        <v>58</v>
      </c>
    </row>
    <row r="15">
      <c r="B15" t="s" s="3">
        <v>114</v>
      </c>
      <c r="C15" s="3"/>
      <c r="D15" s="3"/>
    </row>
    <row r="16">
      <c r="B16" s="4"/>
      <c r="C16" t="s" s="4">
        <v>5</v>
      </c>
      <c r="D16" t="s" s="5">
        <v>114</v>
      </c>
    </row>
    <row r="17">
      <c r="B17" t="s" s="3">
        <v>143</v>
      </c>
      <c r="C17" s="3"/>
      <c r="D17" s="3"/>
    </row>
    <row r="18">
      <c r="B18" s="4"/>
      <c r="C18" t="s" s="4">
        <v>5</v>
      </c>
      <c r="D18" t="s" s="5">
        <v>143</v>
      </c>
    </row>
    <row r="19">
      <c r="B19" t="s" s="3">
        <v>161</v>
      </c>
      <c r="C19" s="3"/>
      <c r="D19" s="3"/>
    </row>
    <row r="20">
      <c r="B20" s="4"/>
      <c r="C20" t="s" s="4">
        <v>5</v>
      </c>
      <c r="D20" t="s" s="5">
        <v>161</v>
      </c>
    </row>
    <row r="21">
      <c r="B21" t="s" s="3">
        <v>175</v>
      </c>
      <c r="C21" s="3"/>
      <c r="D21" s="3"/>
    </row>
    <row r="22">
      <c r="B22" s="4"/>
      <c r="C22" t="s" s="4">
        <v>5</v>
      </c>
      <c r="D22" t="s" s="5">
        <v>175</v>
      </c>
    </row>
    <row r="23">
      <c r="B23" t="s" s="3">
        <v>206</v>
      </c>
      <c r="C23" s="3"/>
      <c r="D23" s="3"/>
    </row>
    <row r="24">
      <c r="B24" s="4"/>
      <c r="C24" t="s" s="4">
        <v>5</v>
      </c>
      <c r="D24" t="s" s="5">
        <v>206</v>
      </c>
    </row>
    <row r="25">
      <c r="B25" t="s" s="3">
        <v>219</v>
      </c>
      <c r="C25" s="3"/>
      <c r="D25" s="3"/>
    </row>
    <row r="26">
      <c r="B26" s="4"/>
      <c r="C26" t="s" s="4">
        <v>5</v>
      </c>
      <c r="D26" t="s" s="5">
        <v>219</v>
      </c>
    </row>
    <row r="27">
      <c r="B27" t="s" s="3">
        <v>224</v>
      </c>
      <c r="C27" s="3"/>
      <c r="D27" s="3"/>
    </row>
    <row r="28">
      <c r="B28" s="4"/>
      <c r="C28" t="s" s="4">
        <v>5</v>
      </c>
      <c r="D28" t="s" s="5">
        <v>224</v>
      </c>
    </row>
  </sheetData>
  <mergeCells count="1">
    <mergeCell ref="B3:D3"/>
  </mergeCells>
  <hyperlinks>
    <hyperlink ref="D10" location="'Contents'!R1C1" tooltip="" display="Contents"/>
    <hyperlink ref="D12" location="'tab01'!R1C1" tooltip="" display="tab01"/>
    <hyperlink ref="D14" location="'tab02'!R1C1" tooltip="" display="tab02"/>
    <hyperlink ref="D16" location="'tab3'!R1C1" tooltip="" display="tab3"/>
    <hyperlink ref="D18" location="'tab4'!R1C1" tooltip="" display="tab4"/>
    <hyperlink ref="D20" location="'tab5'!R1C1" tooltip="" display="tab5"/>
    <hyperlink ref="D22" location="'tab6'!R1C1" tooltip="" display="tab6"/>
    <hyperlink ref="D24" location="'tab7'!R1C1" tooltip="" display="tab7"/>
    <hyperlink ref="D26" location="'tab8'!R1C1" tooltip="" display="tab8"/>
    <hyperlink ref="D28" location="'tab 9'!R1C1" tooltip="" display="tab 9"/>
  </hyperlinks>
</worksheet>
</file>

<file path=xl/worksheets/sheet10.xml><?xml version="1.0" encoding="utf-8"?>
<worksheet xmlns:r="http://schemas.openxmlformats.org/officeDocument/2006/relationships" xmlns="http://schemas.openxmlformats.org/spreadsheetml/2006/main">
  <sheetPr>
    <pageSetUpPr fitToPage="1"/>
  </sheetPr>
  <dimension ref="A1:K118"/>
  <sheetViews>
    <sheetView workbookViewId="0" showGridLines="0" defaultGridColor="1"/>
  </sheetViews>
  <sheetFormatPr defaultColWidth="9" defaultRowHeight="11.25" customHeight="1" outlineLevelRow="0" outlineLevelCol="0"/>
  <cols>
    <col min="1" max="1" width="20.8125" style="79" customWidth="1"/>
    <col min="2" max="5" width="12.8125" style="79" customWidth="1"/>
    <col min="6" max="6" width="3.8125" style="79" customWidth="1"/>
    <col min="7" max="11" width="12.8125" style="79" customWidth="1"/>
    <col min="12" max="256" width="9" style="79" customWidth="1"/>
  </cols>
  <sheetData>
    <row r="1" ht="13" customHeight="1">
      <c r="A1" t="s" s="20">
        <v>220</v>
      </c>
      <c r="B1" s="21"/>
      <c r="C1" s="21"/>
      <c r="D1" s="21"/>
      <c r="E1" s="21"/>
      <c r="F1" s="21"/>
      <c r="G1" s="21"/>
      <c r="H1" s="21"/>
      <c r="I1" s="21"/>
      <c r="J1" s="21"/>
      <c r="K1" s="21"/>
    </row>
    <row r="2" ht="13" customHeight="1">
      <c r="A2" s="25"/>
      <c r="B2" s="57"/>
      <c r="C2" t="s" s="58">
        <v>117</v>
      </c>
      <c r="D2" s="57"/>
      <c r="E2" s="57"/>
      <c r="F2" s="25"/>
      <c r="G2" s="57"/>
      <c r="H2" t="s" s="58">
        <v>118</v>
      </c>
      <c r="I2" s="67"/>
      <c r="J2" s="67"/>
      <c r="K2" s="25"/>
    </row>
    <row r="3" ht="13" customHeight="1">
      <c r="A3" t="s" s="28">
        <v>177</v>
      </c>
      <c r="B3" t="s" s="26">
        <v>121</v>
      </c>
      <c r="C3" s="25"/>
      <c r="D3" s="25"/>
      <c r="E3" s="25"/>
      <c r="F3" s="22"/>
      <c r="G3" t="s" s="26">
        <v>150</v>
      </c>
      <c r="H3" s="25"/>
      <c r="I3" s="25"/>
      <c r="J3" s="25"/>
      <c r="K3" t="s" s="59">
        <v>123</v>
      </c>
    </row>
    <row r="4" ht="13" customHeight="1">
      <c r="A4" t="s" s="28">
        <v>120</v>
      </c>
      <c r="B4" t="s" s="59">
        <v>126</v>
      </c>
      <c r="C4" t="s" s="59">
        <v>64</v>
      </c>
      <c r="D4" t="s" s="47">
        <v>127</v>
      </c>
      <c r="E4" t="s" s="59">
        <v>30</v>
      </c>
      <c r="F4" s="22"/>
      <c r="G4" t="s" s="59">
        <v>30</v>
      </c>
      <c r="H4" t="s" s="59">
        <v>221</v>
      </c>
      <c r="I4" t="s" s="59">
        <v>130</v>
      </c>
      <c r="J4" t="s" s="59">
        <v>30</v>
      </c>
      <c r="K4" t="s" s="59">
        <v>126</v>
      </c>
    </row>
    <row r="5" ht="13" customHeight="1">
      <c r="A5" t="s" s="20">
        <v>211</v>
      </c>
      <c r="B5" s="21"/>
      <c r="C5" s="21"/>
      <c r="D5" s="21"/>
      <c r="E5" s="21"/>
      <c r="F5" s="21"/>
      <c r="G5" s="21"/>
      <c r="H5" s="21"/>
      <c r="I5" s="21"/>
      <c r="J5" s="21"/>
      <c r="K5" s="21"/>
    </row>
    <row r="6" ht="13" customHeight="1">
      <c r="A6" s="25"/>
      <c r="B6" s="25"/>
      <c r="C6" s="27"/>
      <c r="D6" s="27"/>
      <c r="E6" s="27"/>
      <c r="F6" s="27"/>
      <c r="G6" t="s" s="26">
        <v>222</v>
      </c>
      <c r="H6" s="27"/>
      <c r="I6" s="27"/>
      <c r="J6" s="27"/>
      <c r="K6" s="27"/>
    </row>
    <row r="7" ht="13" customHeight="1">
      <c r="A7" t="s" s="28">
        <v>44</v>
      </c>
      <c r="B7" s="80"/>
      <c r="C7" s="80"/>
      <c r="D7" s="80"/>
      <c r="E7" s="80"/>
      <c r="F7" s="22"/>
      <c r="G7" s="80"/>
      <c r="H7" s="80"/>
      <c r="I7" s="80"/>
      <c r="J7" s="80"/>
      <c r="K7" s="80"/>
    </row>
    <row r="8" ht="13" customHeight="1">
      <c r="A8" t="s" s="28">
        <v>193</v>
      </c>
      <c r="B8" s="80">
        <f>2725150+360075</f>
        <v>3085225</v>
      </c>
      <c r="C8" s="80">
        <v>1868608.08</v>
      </c>
      <c r="D8" s="81">
        <f>(779.179+0+1059.491+19.983)*2.204622</f>
        <v>4097.627294166</v>
      </c>
      <c r="E8" s="80">
        <f>SUM(B8:D8)</f>
        <v>4957930.70729417</v>
      </c>
      <c r="F8" s="22"/>
      <c r="G8" s="80">
        <f>J8-I8</f>
        <v>1600124.8627897</v>
      </c>
      <c r="H8" s="80">
        <v>246789</v>
      </c>
      <c r="I8" s="80">
        <f>(39723.893+235.167+15374.729+4951.305)*2.204622</f>
        <v>132905.844504468</v>
      </c>
      <c r="J8" s="80">
        <f>(E8-K8)</f>
        <v>1733030.70729417</v>
      </c>
      <c r="K8" s="80">
        <f>2877600+347300</f>
        <v>3224900</v>
      </c>
    </row>
    <row r="9" ht="13" customHeight="1">
      <c r="A9" t="s" s="28">
        <v>194</v>
      </c>
      <c r="B9" s="80">
        <f>K8</f>
        <v>3224900</v>
      </c>
      <c r="C9" s="80">
        <v>1805433.7</v>
      </c>
      <c r="D9" s="81">
        <f>(924.204+0+426.674+41.43)*2.204622</f>
        <v>3069.512847576</v>
      </c>
      <c r="E9" s="80">
        <f>SUM(B9:D9)</f>
        <v>5033403.21284758</v>
      </c>
      <c r="F9" s="22"/>
      <c r="G9" s="80">
        <f>J9-I9</f>
        <v>1600176.14800998</v>
      </c>
      <c r="H9" s="80">
        <v>219123</v>
      </c>
      <c r="I9" s="80">
        <f>(69743.935+2067.867+12865.534+5146.255)*2.204622</f>
        <v>198027.064837602</v>
      </c>
      <c r="J9" s="80">
        <f>(E9-K9)</f>
        <v>1798203.21284758</v>
      </c>
      <c r="K9" s="80">
        <f>2917800+317400</f>
        <v>3235200</v>
      </c>
    </row>
    <row r="10" ht="13" customHeight="1">
      <c r="A10" t="s" s="28">
        <v>195</v>
      </c>
      <c r="B10" s="80">
        <f>K9</f>
        <v>3235200</v>
      </c>
      <c r="C10" s="80">
        <v>1879439.8</v>
      </c>
      <c r="D10" s="81">
        <f>(693.076+0+796.479+1.129)*2.204622</f>
        <v>3286.394741448</v>
      </c>
      <c r="E10" s="80">
        <f>SUM(B10:D10)</f>
        <v>5117926.19474145</v>
      </c>
      <c r="F10" s="22"/>
      <c r="G10" s="80">
        <f>J10-I10</f>
        <v>1449593.16607588</v>
      </c>
      <c r="H10" s="80">
        <v>219310</v>
      </c>
      <c r="I10" s="80">
        <f>(140589.659+1102.594+27351.804+8461.669)*2.204622</f>
        <v>391333.028665572</v>
      </c>
      <c r="J10" s="80">
        <f>(E10-K10)</f>
        <v>1840926.19474145</v>
      </c>
      <c r="K10" s="80">
        <f>2916100+360900</f>
        <v>3277000</v>
      </c>
    </row>
    <row r="11" ht="13" customHeight="1">
      <c r="A11" t="s" s="28">
        <v>196</v>
      </c>
      <c r="B11" s="80">
        <f>K10</f>
        <v>3277000</v>
      </c>
      <c r="C11" s="80">
        <v>1845226.93</v>
      </c>
      <c r="D11" s="81">
        <f>(678.914+0+2050.537+0)*2.204622</f>
        <v>6017.407722522</v>
      </c>
      <c r="E11" s="80">
        <f>SUM(B11:D11)</f>
        <v>5128244.33772252</v>
      </c>
      <c r="F11" s="22"/>
      <c r="G11" s="80">
        <f>J11-I11</f>
        <v>1562526.86471125</v>
      </c>
      <c r="H11" s="80">
        <v>289000</v>
      </c>
      <c r="I11" s="80">
        <f>(56435.197+137.352+12325.444+2626.501)*2.204622</f>
        <v>157684.473011268</v>
      </c>
      <c r="J11" s="80">
        <f>(E11-K11)</f>
        <v>1720211.33772252</v>
      </c>
      <c r="K11" s="80">
        <f>3030542+377491</f>
        <v>3408033</v>
      </c>
    </row>
    <row r="12" ht="13" customHeight="1">
      <c r="A12" t="s" s="28">
        <v>197</v>
      </c>
      <c r="B12" s="80">
        <f>K11</f>
        <v>3408033</v>
      </c>
      <c r="C12" s="80">
        <v>1687694.5</v>
      </c>
      <c r="D12" s="81">
        <f>(1376.998+0+1736.654+18.845)*2.204622</f>
        <v>6905.971801134</v>
      </c>
      <c r="E12" s="80">
        <f>SUM(B12:D12)</f>
        <v>5102633.47180113</v>
      </c>
      <c r="F12" s="22"/>
      <c r="G12" s="80">
        <f>J12-I12</f>
        <v>1314387.68906899</v>
      </c>
      <c r="H12" s="80">
        <v>247460</v>
      </c>
      <c r="I12" s="80">
        <f>(193315.826+72.804+35357.907+2549.251)*2.204622</f>
        <v>509919.782732136</v>
      </c>
      <c r="J12" s="80">
        <f>(E12-K12)</f>
        <v>1824307.47180113</v>
      </c>
      <c r="K12" s="80">
        <f>2899937+378389</f>
        <v>3278326</v>
      </c>
    </row>
    <row r="13" ht="13" customHeight="1">
      <c r="A13" t="s" s="28">
        <v>198</v>
      </c>
      <c r="B13" s="80">
        <f>K12</f>
        <v>3278326</v>
      </c>
      <c r="C13" s="80">
        <v>1827761.46</v>
      </c>
      <c r="D13" s="81">
        <f>(2039.507+0+391.555+0)*2.204622</f>
        <v>5359.572768564</v>
      </c>
      <c r="E13" s="80">
        <f>SUM(B13:D13)</f>
        <v>5111447.03276856</v>
      </c>
      <c r="F13" s="22"/>
      <c r="G13" s="80">
        <f>J13-I13</f>
        <v>1642450.61412075</v>
      </c>
      <c r="H13" s="80">
        <v>259520</v>
      </c>
      <c r="I13" s="80">
        <f>(149346.116+268.079+22468.655+2780.423)*2.204622</f>
        <v>385507.418647806</v>
      </c>
      <c r="J13" s="80">
        <f>(E13-K13)</f>
        <v>2027958.03276856</v>
      </c>
      <c r="K13" s="80">
        <f>2720543+362946</f>
        <v>3083489</v>
      </c>
    </row>
    <row r="14" ht="13" customHeight="1">
      <c r="A14" t="s" s="28">
        <v>199</v>
      </c>
      <c r="B14" s="80">
        <f>K13</f>
        <v>3083489</v>
      </c>
      <c r="C14" s="80">
        <v>1707011.36</v>
      </c>
      <c r="D14" s="81">
        <f>(2235.449+0+1631.076+25.012)*2.204622</f>
        <v>8579.368084014</v>
      </c>
      <c r="E14" s="80">
        <f>SUM(B14:D14)</f>
        <v>4799079.72808401</v>
      </c>
      <c r="F14" s="22"/>
      <c r="G14" s="80">
        <f>J14-I14</f>
        <v>1446246.18620783</v>
      </c>
      <c r="H14" s="80">
        <v>266460</v>
      </c>
      <c r="I14" s="80">
        <f>(168742.41+3136.858+19361.092+2468.83)*2.204622</f>
        <v>427055.54187618</v>
      </c>
      <c r="J14" s="80">
        <f>(E14-K14)</f>
        <v>1873301.72808401</v>
      </c>
      <c r="K14" s="80">
        <f>2581100+344678</f>
        <v>2925778</v>
      </c>
    </row>
    <row r="15" ht="13" customHeight="1">
      <c r="A15" t="s" s="28">
        <v>200</v>
      </c>
      <c r="B15" s="80">
        <f>K14</f>
        <v>2925778</v>
      </c>
      <c r="C15" s="80">
        <v>1756417.8</v>
      </c>
      <c r="D15" s="81">
        <f>(1064.721+0+1328.946+38.355)*2.204622</f>
        <v>5361.689205684</v>
      </c>
      <c r="E15" s="80">
        <f>SUM(B15:D15)</f>
        <v>4687557.48920568</v>
      </c>
      <c r="F15" s="22"/>
      <c r="G15" s="80">
        <f>J15-I15</f>
        <v>1535213.08489761</v>
      </c>
      <c r="H15" s="80">
        <v>269800</v>
      </c>
      <c r="I15" s="80">
        <f>(52455.149+1633.824+16512.44+3513.063)*2.204622</f>
        <v>163394.404308072</v>
      </c>
      <c r="J15" s="80">
        <f>(E15-K15)</f>
        <v>1698607.48920568</v>
      </c>
      <c r="K15" s="80">
        <f>2641757+347193</f>
        <v>2988950</v>
      </c>
    </row>
    <row r="16" ht="13" customHeight="1">
      <c r="A16" t="s" s="28">
        <v>213</v>
      </c>
      <c r="B16" s="80">
        <f>K15</f>
        <v>2988950</v>
      </c>
      <c r="C16" s="80">
        <v>1632790.52</v>
      </c>
      <c r="D16" s="81">
        <f>(519.277+0+703.719+44.432)*2.204622</f>
        <v>2794.199652216</v>
      </c>
      <c r="E16" s="80">
        <f>SUM(B16:D16)</f>
        <v>4624534.71965222</v>
      </c>
      <c r="F16" s="22"/>
      <c r="G16" s="80">
        <f>J16-I16</f>
        <v>1546862.1851732</v>
      </c>
      <c r="H16" s="80">
        <v>298800</v>
      </c>
      <c r="I16" s="80">
        <f>(63019.537+1434.17+12183.167+1241.118)*2.204622</f>
        <v>171691.534479024</v>
      </c>
      <c r="J16" s="80">
        <f>(E16-K16)</f>
        <v>1718553.71965222</v>
      </c>
      <c r="K16" s="80">
        <f>2565131+340850</f>
        <v>2905981</v>
      </c>
    </row>
    <row r="17" ht="13" customHeight="1">
      <c r="A17" t="s" s="28">
        <v>214</v>
      </c>
      <c r="B17" s="80">
        <f>K16</f>
        <v>2905981</v>
      </c>
      <c r="C17" s="80">
        <v>1616379.28</v>
      </c>
      <c r="D17" s="81">
        <f>(1446.196+0+925.748+26.787)*2.204622</f>
        <v>5288.295134682</v>
      </c>
      <c r="E17" s="80">
        <f>SUM(B17:D17)</f>
        <v>4527648.57513468</v>
      </c>
      <c r="F17" s="22"/>
      <c r="G17" s="80">
        <f>J17-I17</f>
        <v>1608898.58707672</v>
      </c>
      <c r="H17" s="80">
        <v>319100</v>
      </c>
      <c r="I17" s="80">
        <f>(39363.929+822.274+14049.273+2694.913)*2.204622</f>
        <v>125509.988057958</v>
      </c>
      <c r="J17" s="80">
        <f>(E17-K17)</f>
        <v>1734408.57513468</v>
      </c>
      <c r="K17" s="80">
        <f>2492182+301058</f>
        <v>2793240</v>
      </c>
    </row>
    <row r="18" ht="13" customHeight="1">
      <c r="A18" t="s" s="28">
        <v>215</v>
      </c>
      <c r="B18" s="80">
        <f>K17</f>
        <v>2793240</v>
      </c>
      <c r="C18" s="80">
        <v>1507544.65</v>
      </c>
      <c r="D18" s="81">
        <f>(1807.496+0+2411.757+39.086)*2.204622</f>
        <v>9388.027842858</v>
      </c>
      <c r="E18" s="80">
        <f>SUM(B18:D18)</f>
        <v>4310172.67784286</v>
      </c>
      <c r="F18" s="22"/>
      <c r="G18" s="80">
        <f>J18-I18</f>
        <v>1558993.14083417</v>
      </c>
      <c r="H18" s="80">
        <v>331860</v>
      </c>
      <c r="I18" s="80">
        <f>(62275.894+2252.12+15599.52+3249.361)*2.204622</f>
        <v>183814.53700869</v>
      </c>
      <c r="J18" s="80">
        <f>(E18-K18)</f>
        <v>1742807.67784286</v>
      </c>
      <c r="K18" s="80">
        <f>2271966+295399</f>
        <v>2567365</v>
      </c>
    </row>
    <row r="19" ht="13" customHeight="1">
      <c r="A19" t="s" s="28">
        <v>192</v>
      </c>
      <c r="B19" s="80">
        <f>K18</f>
        <v>2567365</v>
      </c>
      <c r="C19" s="80">
        <v>1445522.7</v>
      </c>
      <c r="D19" s="81">
        <f>(1297.935+0+1036.948+26.989)*2.204622</f>
        <v>5207.034972384</v>
      </c>
      <c r="E19" s="80">
        <f>SUM(B19:D19)</f>
        <v>4018094.73497238</v>
      </c>
      <c r="F19" s="22"/>
      <c r="G19" s="80">
        <f>J19-I19</f>
        <v>1469292.89663825</v>
      </c>
      <c r="H19" s="80">
        <v>278100</v>
      </c>
      <c r="I19" s="80">
        <f>(19539.702+168.045+8919.875+495.211)*2.204622</f>
        <v>64204.838334126</v>
      </c>
      <c r="J19" s="80">
        <f>(E19-K19)</f>
        <v>1533497.73497238</v>
      </c>
      <c r="K19" s="80">
        <f>2203536+281061</f>
        <v>2484597</v>
      </c>
    </row>
    <row r="20" ht="13" customHeight="1">
      <c r="A20" t="s" s="28">
        <v>186</v>
      </c>
      <c r="B20" s="80"/>
      <c r="C20" s="80">
        <f>SUM(C8:C19)</f>
        <v>20579830.78</v>
      </c>
      <c r="D20" s="81">
        <f>SUM(D8:D19)</f>
        <v>65355.102067248</v>
      </c>
      <c r="E20" s="80">
        <f>B8+C20+D20</f>
        <v>23730410.8820672</v>
      </c>
      <c r="F20" s="80"/>
      <c r="G20" s="80">
        <f>SUM(G8:G19)</f>
        <v>18334765.4256043</v>
      </c>
      <c r="H20" s="80">
        <f>SUM(H8:H19)</f>
        <v>3245322</v>
      </c>
      <c r="I20" s="80">
        <f>SUM(I8:I19)</f>
        <v>2911048.4564629</v>
      </c>
      <c r="J20" s="80">
        <f>SUM(J8:J19)</f>
        <v>21245813.8820672</v>
      </c>
      <c r="K20" s="80"/>
    </row>
    <row r="21" ht="13" customHeight="1">
      <c r="A21" t="s" s="28">
        <v>45</v>
      </c>
      <c r="B21" s="80"/>
      <c r="C21" s="80"/>
      <c r="D21" s="80"/>
      <c r="E21" s="80"/>
      <c r="F21" s="22"/>
      <c r="G21" s="80"/>
      <c r="H21" s="80"/>
      <c r="I21" s="80"/>
      <c r="J21" s="80"/>
      <c r="K21" s="80"/>
    </row>
    <row r="22" ht="13" customHeight="1">
      <c r="A22" t="s" s="28">
        <v>193</v>
      </c>
      <c r="B22" s="80">
        <f>K19</f>
        <v>2484597</v>
      </c>
      <c r="C22" s="80">
        <v>1715917.39</v>
      </c>
      <c r="D22" s="81">
        <f>(304.139+0+1857.275+41.55)*2.204622</f>
        <v>4856.702899608</v>
      </c>
      <c r="E22" s="80">
        <f>SUM(B22:D22)</f>
        <v>4205371.09289961</v>
      </c>
      <c r="F22" s="22"/>
      <c r="G22" s="80">
        <f>J22-I22</f>
        <v>1678766.25555303</v>
      </c>
      <c r="H22" s="80">
        <v>295300</v>
      </c>
      <c r="I22" s="80">
        <f>(51222.672+177.43+9182.563+2069.725)*2.204622</f>
        <v>138124.83734658</v>
      </c>
      <c r="J22" s="80">
        <f>(E22-K22)</f>
        <v>1816891.09289961</v>
      </c>
      <c r="K22" s="80">
        <f>2085380+303100</f>
        <v>2388480</v>
      </c>
    </row>
    <row r="23" ht="13" customHeight="1">
      <c r="A23" t="s" s="28">
        <v>194</v>
      </c>
      <c r="B23" s="80">
        <f>K22</f>
        <v>2388480</v>
      </c>
      <c r="C23" s="80">
        <v>1622851</v>
      </c>
      <c r="D23" s="81">
        <f>(604.375+0+3570.334+38.998)*2.204622</f>
        <v>9289.631153754</v>
      </c>
      <c r="E23" s="80">
        <f>SUM(B23:D23)</f>
        <v>4020620.63115375</v>
      </c>
      <c r="F23" s="22"/>
      <c r="G23" s="80">
        <f>J23-I23</f>
        <v>1399292.3771691</v>
      </c>
      <c r="H23" s="80">
        <v>252352</v>
      </c>
      <c r="I23" s="80">
        <f>(29089.97+577.345+10422.587+6333.591)*2.204622</f>
        <v>102346.253984646</v>
      </c>
      <c r="J23" s="80">
        <f>(E23-K23)</f>
        <v>1501638.63115375</v>
      </c>
      <c r="K23" s="80">
        <f>2187355+331627</f>
        <v>2518982</v>
      </c>
    </row>
    <row r="24" ht="13" customHeight="1">
      <c r="A24" t="s" s="28">
        <v>195</v>
      </c>
      <c r="B24" s="80">
        <f>K23</f>
        <v>2518982</v>
      </c>
      <c r="C24" s="80">
        <v>1596985.45</v>
      </c>
      <c r="D24" s="81">
        <f>(497.39+0+981.587+25.924)*2.204622</f>
        <v>3317.737852422</v>
      </c>
      <c r="E24" s="80">
        <f>SUM(B24:D24)</f>
        <v>4119285.18785242</v>
      </c>
      <c r="F24" s="22"/>
      <c r="G24" s="80">
        <f>J24-I24</f>
        <v>1369809.85728776</v>
      </c>
      <c r="H24" s="80">
        <v>207000</v>
      </c>
      <c r="I24" s="80">
        <f>(37780.09+289.968+12514.072+3804.482)*2.204622</f>
        <v>119906.330564664</v>
      </c>
      <c r="J24" s="80">
        <f>(E24-K24)</f>
        <v>1489716.18785242</v>
      </c>
      <c r="K24" s="80">
        <f>2342799+286770</f>
        <v>2629569</v>
      </c>
    </row>
    <row r="25" ht="13" customHeight="1">
      <c r="A25" t="s" s="28">
        <v>196</v>
      </c>
      <c r="B25" s="80">
        <f>K24</f>
        <v>2629569</v>
      </c>
      <c r="C25" s="80">
        <v>1615100</v>
      </c>
      <c r="D25" s="81">
        <f>(1536.629+40.316+2587.048+44.653)*2.204622</f>
        <v>9278.473561811999</v>
      </c>
      <c r="E25" s="80">
        <f>SUM(B25:D25)</f>
        <v>4253947.47356181</v>
      </c>
      <c r="F25" s="22"/>
      <c r="G25" s="80">
        <f>J25-I25</f>
        <v>1165212.76576049</v>
      </c>
      <c r="H25" s="80">
        <v>133300</v>
      </c>
      <c r="I25" s="80">
        <f>(28406.049+359.873+13832.241+1143.897)*2.204622</f>
        <v>96434.707801319993</v>
      </c>
      <c r="J25" s="80">
        <f>(E25-K25)</f>
        <v>1261647.47356181</v>
      </c>
      <c r="K25" s="80">
        <f>2692700+299600</f>
        <v>2992300</v>
      </c>
    </row>
    <row r="26" ht="13" customHeight="1">
      <c r="A26" t="s" s="28">
        <v>197</v>
      </c>
      <c r="B26" s="80">
        <f>K25</f>
        <v>2992300</v>
      </c>
      <c r="C26" s="80">
        <v>1536100</v>
      </c>
      <c r="D26" s="81">
        <f>(3593.173+0+956.056+33.472)*2.204622</f>
        <v>10103.123444022</v>
      </c>
      <c r="E26" s="80">
        <f>SUM(B26:D26)</f>
        <v>4538503.12344402</v>
      </c>
      <c r="F26" s="22"/>
      <c r="G26" s="80">
        <f>J26-I26</f>
        <v>1268509.78239427</v>
      </c>
      <c r="H26" s="80">
        <v>195900</v>
      </c>
      <c r="I26" s="80">
        <f>(58139.861+688.723+5555.492+1792.049)*2.204622</f>
        <v>145893.34104975</v>
      </c>
      <c r="J26" s="80">
        <f>(E26-K26)</f>
        <v>1414403.12344402</v>
      </c>
      <c r="K26" s="80">
        <f>2816900+307200</f>
        <v>3124100</v>
      </c>
    </row>
    <row r="27" ht="13" customHeight="1">
      <c r="A27" t="s" s="28">
        <v>198</v>
      </c>
      <c r="B27" s="80">
        <f>K26</f>
        <v>3124100</v>
      </c>
      <c r="C27" s="80">
        <v>1636000</v>
      </c>
      <c r="D27" s="81">
        <f>(3560.135+0+1058.012+62.614)*2.204622</f>
        <v>10319.308677342</v>
      </c>
      <c r="E27" s="80">
        <f>SUM(B27:D27)</f>
        <v>4770419.30867734</v>
      </c>
      <c r="F27" s="22"/>
      <c r="G27" s="80">
        <f>J27-I27</f>
        <v>1417531.85941005</v>
      </c>
      <c r="H27" s="80">
        <v>107400</v>
      </c>
      <c r="I27" s="80">
        <f>(53146.805+1764.707+17647.615+599.65)*2.204622</f>
        <v>161287.449267294</v>
      </c>
      <c r="J27" s="80">
        <f>(E27-K27)</f>
        <v>1578819.30867734</v>
      </c>
      <c r="K27" s="80">
        <f>2904200+287400</f>
        <v>3191600</v>
      </c>
    </row>
    <row r="28" ht="13" customHeight="1">
      <c r="A28" t="s" s="28">
        <v>199</v>
      </c>
      <c r="B28" s="80">
        <f>K27</f>
        <v>3191600</v>
      </c>
      <c r="C28" s="80">
        <v>1596000</v>
      </c>
      <c r="D28" s="81">
        <f>(1988.682+0+2794.493+40.217)*2.204622</f>
        <v>10633.756117824</v>
      </c>
      <c r="E28" s="80">
        <f>SUM(B28:D28)</f>
        <v>4798233.75611782</v>
      </c>
      <c r="F28" s="22"/>
      <c r="G28" s="80">
        <f>J28-I28</f>
        <v>1168516.99444161</v>
      </c>
      <c r="H28" s="80">
        <v>98500</v>
      </c>
      <c r="I28" s="80">
        <f>(146874.998+2425.446+8043.284+1557.327)*2.204622</f>
        <v>350316.76167621</v>
      </c>
      <c r="J28" s="80">
        <f>(E28-K28)</f>
        <v>1518833.75611782</v>
      </c>
      <c r="K28" s="80">
        <f>2975600+303800</f>
        <v>3279400</v>
      </c>
    </row>
    <row r="29" ht="13" customHeight="1">
      <c r="A29" t="s" s="28">
        <v>200</v>
      </c>
      <c r="B29" s="80">
        <f>K28</f>
        <v>3279400</v>
      </c>
      <c r="C29" s="80">
        <v>1683200</v>
      </c>
      <c r="D29" s="81">
        <f>(154.604+0+1197.699+48.122)*2.204622</f>
        <v>3087.40776435</v>
      </c>
      <c r="E29" s="80">
        <f>SUM(B29:D29)</f>
        <v>4965687.40776435</v>
      </c>
      <c r="F29" s="22"/>
      <c r="G29" s="80">
        <f>J29-I29</f>
        <v>1349041.25816618</v>
      </c>
      <c r="H29" s="80">
        <v>98600</v>
      </c>
      <c r="I29" s="80">
        <f>(120537.774+364.018+4746.998+394.654)*2.204622</f>
        <v>277878.149598168</v>
      </c>
      <c r="J29" s="80">
        <f>(E29-K29)</f>
        <v>1626919.40776435</v>
      </c>
      <c r="K29" s="80">
        <f>3034747+304021</f>
        <v>3338768</v>
      </c>
    </row>
    <row r="30" ht="13" customHeight="1">
      <c r="A30" t="s" s="28">
        <v>213</v>
      </c>
      <c r="B30" s="80">
        <f>K29</f>
        <v>3338768</v>
      </c>
      <c r="C30" s="80">
        <v>1604322</v>
      </c>
      <c r="D30" s="81">
        <f>(661.038+0+1409.601+57.432)*2.204622</f>
        <v>4691.592144162</v>
      </c>
      <c r="E30" s="80">
        <f>SUM(B30:D30)</f>
        <v>4947781.59214416</v>
      </c>
      <c r="F30" s="22"/>
      <c r="G30" s="80">
        <f>J30-I30</f>
        <v>1330976.69142833</v>
      </c>
      <c r="H30" s="80">
        <v>118300</v>
      </c>
      <c r="I30" s="80">
        <f>(31859.73+272.159+6022.843+1083.242)*2.204622</f>
        <v>86504.900715828</v>
      </c>
      <c r="J30" s="80">
        <f>(E30-K30)</f>
        <v>1417481.59214416</v>
      </c>
      <c r="K30" s="80">
        <f>3237500+292800</f>
        <v>3530300</v>
      </c>
    </row>
    <row r="31" ht="13" customHeight="1">
      <c r="A31" t="s" s="28">
        <v>214</v>
      </c>
      <c r="B31" s="80">
        <f>K30</f>
        <v>3530300</v>
      </c>
      <c r="C31" s="80">
        <v>1469173</v>
      </c>
      <c r="D31" s="81">
        <f>(1662.807+19.232+1933.299+42.877)*2.204622</f>
        <v>8064.98126973</v>
      </c>
      <c r="E31" s="80">
        <f>SUM(B31:D31)</f>
        <v>5007537.98126973</v>
      </c>
      <c r="F31" s="22"/>
      <c r="G31" s="80">
        <f>J31-I31</f>
        <v>1311025.93409226</v>
      </c>
      <c r="H31" s="80">
        <v>164300</v>
      </c>
      <c r="I31" s="80">
        <f>(91435.885+1566.022+18237.393+1075.667)*2.204622</f>
        <v>247612.047177474</v>
      </c>
      <c r="J31" s="80">
        <f>(E31-K31)</f>
        <v>1558637.98126973</v>
      </c>
      <c r="K31" s="80">
        <f>3148700+300200</f>
        <v>3448900</v>
      </c>
    </row>
    <row r="32" ht="13" customHeight="1">
      <c r="A32" t="s" s="28">
        <v>215</v>
      </c>
      <c r="B32" s="80">
        <f>K31</f>
        <v>3448900</v>
      </c>
      <c r="C32" s="80">
        <v>1369400</v>
      </c>
      <c r="D32" s="81">
        <f>(1577.742+0+1962.82+40.733)*2.204622</f>
        <v>7895.40174549</v>
      </c>
      <c r="E32" s="80">
        <f>SUM(B32:D32)</f>
        <v>4826195.40174549</v>
      </c>
      <c r="F32" s="22"/>
      <c r="G32" s="80">
        <f>J32-I32</f>
        <v>1389256.94790607</v>
      </c>
      <c r="H32" s="80">
        <v>174800</v>
      </c>
      <c r="I32" s="80">
        <f>(129590.498+60.432+7192.973+566.707)*2.204622</f>
        <v>302938.45383942</v>
      </c>
      <c r="J32" s="80">
        <f>(E32-K32)</f>
        <v>1692195.40174549</v>
      </c>
      <c r="K32" s="80">
        <f>2863900+270100</f>
        <v>3134000</v>
      </c>
    </row>
    <row r="33" ht="13" customHeight="1">
      <c r="A33" t="s" s="28">
        <v>192</v>
      </c>
      <c r="B33" s="80">
        <f>K32</f>
        <v>3134000</v>
      </c>
      <c r="C33" s="80">
        <v>1299919</v>
      </c>
      <c r="D33" s="81">
        <f>(1109.021+0+2487.315+50.252)*2.204622</f>
        <v>8039.348129736</v>
      </c>
      <c r="E33" s="80">
        <f>SUM(B33:D33)</f>
        <v>4441958.34812974</v>
      </c>
      <c r="F33" s="22"/>
      <c r="G33" s="80">
        <f>J33-I33</f>
        <v>1417263.16117723</v>
      </c>
      <c r="H33" s="80">
        <v>223000</v>
      </c>
      <c r="I33" s="80">
        <f>(62943.533+116.282+11084.385+333.505)*2.204622</f>
        <v>164195.18695251</v>
      </c>
      <c r="J33" s="80">
        <f>(E33-K33)</f>
        <v>1581458.34812974</v>
      </c>
      <c r="K33" s="80">
        <f>2612500+248000</f>
        <v>2860500</v>
      </c>
    </row>
    <row r="34" ht="13" customHeight="1">
      <c r="A34" t="s" s="28">
        <v>186</v>
      </c>
      <c r="B34" s="80"/>
      <c r="C34" s="80">
        <f>SUM(C22:C33)</f>
        <v>18744967.84</v>
      </c>
      <c r="D34" s="81">
        <f>SUM(D22:D33)</f>
        <v>89577.464760252</v>
      </c>
      <c r="E34" s="80">
        <f>B22+C34+D34</f>
        <v>21319142.3047603</v>
      </c>
      <c r="F34" s="80"/>
      <c r="G34" s="80">
        <f>SUM(G22:G33)</f>
        <v>16265203.8847864</v>
      </c>
      <c r="H34" s="80">
        <f>SUM(H22:H33)</f>
        <v>2068752</v>
      </c>
      <c r="I34" s="80">
        <f>SUM(I22:I33)</f>
        <v>2193438.41997386</v>
      </c>
      <c r="J34" s="80">
        <f>SUM(J22:J33)</f>
        <v>18458642.3047602</v>
      </c>
      <c r="K34" s="80"/>
    </row>
    <row r="35" ht="13" customHeight="1">
      <c r="A35" t="s" s="28">
        <v>46</v>
      </c>
      <c r="B35" s="80"/>
      <c r="C35" s="80"/>
      <c r="D35" s="80"/>
      <c r="E35" s="80"/>
      <c r="F35" s="22"/>
      <c r="G35" s="80"/>
      <c r="H35" s="80"/>
      <c r="I35" s="80"/>
      <c r="J35" s="80"/>
      <c r="K35" s="80"/>
    </row>
    <row r="36" ht="13" customHeight="1">
      <c r="A36" t="s" s="28">
        <v>193</v>
      </c>
      <c r="B36" s="80">
        <f>K33</f>
        <v>2860500</v>
      </c>
      <c r="C36" s="80">
        <v>1825200</v>
      </c>
      <c r="D36" s="81">
        <f>(1010.118+18.316+2158.748+28.092)*2.204622</f>
        <v>7088.463796428</v>
      </c>
      <c r="E36" s="80">
        <f>SUM(B36:D36)</f>
        <v>4692788.46379643</v>
      </c>
      <c r="F36" s="22"/>
      <c r="G36" s="80">
        <f>J36-I36</f>
        <v>1551272.52195283</v>
      </c>
      <c r="H36" s="80">
        <v>246800</v>
      </c>
      <c r="I36" s="80">
        <f>(136262.536+118.268+13549.491+719.087)*2.204622</f>
        <v>332124.941843604</v>
      </c>
      <c r="J36" s="80">
        <f>(E36-K36)</f>
        <v>1883397.46379643</v>
      </c>
      <c r="K36" s="80">
        <f>2547700+261691</f>
        <v>2809391</v>
      </c>
    </row>
    <row r="37" ht="13" customHeight="1">
      <c r="A37" t="s" s="28">
        <v>194</v>
      </c>
      <c r="B37" s="80">
        <f>K36</f>
        <v>2809391</v>
      </c>
      <c r="C37" s="80">
        <v>1853955</v>
      </c>
      <c r="D37" s="81">
        <f>(1661.49+0+2673.529+33.209)*2.204622</f>
        <v>9630.291549816</v>
      </c>
      <c r="E37" s="80">
        <f>SUM(B37:D37)</f>
        <v>4672976.29154982</v>
      </c>
      <c r="F37" s="22"/>
      <c r="G37" s="80">
        <f>J37-I37</f>
        <v>1441405.84506781</v>
      </c>
      <c r="H37" s="80">
        <v>239388</v>
      </c>
      <c r="I37" s="80">
        <f>(89018.672+137.192+19472.689+719.193)*2.204622</f>
        <v>241070.446482012</v>
      </c>
      <c r="J37" s="80">
        <f>(E37-K37)</f>
        <v>1682476.29154982</v>
      </c>
      <c r="K37" s="80">
        <f>2712000+278500</f>
        <v>2990500</v>
      </c>
    </row>
    <row r="38" ht="13" customHeight="1">
      <c r="A38" t="s" s="28">
        <v>195</v>
      </c>
      <c r="B38" s="80">
        <f>K37</f>
        <v>2990500</v>
      </c>
      <c r="C38" s="80">
        <v>1898259</v>
      </c>
      <c r="D38" s="81">
        <f>(2580.323+0+2004.798+39.532)*2.204622</f>
        <v>10195.611746166</v>
      </c>
      <c r="E38" s="80">
        <f>SUM(B38:D38)</f>
        <v>4898954.61174617</v>
      </c>
      <c r="F38" s="22"/>
      <c r="G38" s="80">
        <f>J38-I38</f>
        <v>1358145.24419075</v>
      </c>
      <c r="H38" s="80">
        <v>236991</v>
      </c>
      <c r="I38" s="80">
        <f>(156263.077+348.372+20319.023+110.929)*2.204622</f>
        <v>390309.367555422</v>
      </c>
      <c r="J38" s="80">
        <f>(E38-K38)</f>
        <v>1748454.61174617</v>
      </c>
      <c r="K38" s="80">
        <f>2874700+275800</f>
        <v>3150500</v>
      </c>
    </row>
    <row r="39" ht="13" customHeight="1">
      <c r="A39" t="s" s="28">
        <v>196</v>
      </c>
      <c r="B39" s="80">
        <f>K38</f>
        <v>3150500</v>
      </c>
      <c r="C39" s="80">
        <v>1844855.74</v>
      </c>
      <c r="D39" s="81">
        <f>(3823.805+19.232+2332.103+38.917)*2.204622</f>
        <v>13699.646771454</v>
      </c>
      <c r="E39" s="80">
        <f>SUM(B39:D39)</f>
        <v>5009055.38677145</v>
      </c>
      <c r="F39" s="22"/>
      <c r="G39" s="80">
        <f>J39-I39</f>
        <v>1273502.94403477</v>
      </c>
      <c r="H39" s="80">
        <v>93713</v>
      </c>
      <c r="I39" s="80">
        <f>(215338.815+218.674+17017.503+509.157)*2.204622</f>
        <v>513862.442736678</v>
      </c>
      <c r="J39" s="80">
        <f>(E39-K39)</f>
        <v>1787365.38677145</v>
      </c>
      <c r="K39" s="80">
        <f>2936532+285158</f>
        <v>3221690</v>
      </c>
    </row>
    <row r="40" ht="13" customHeight="1">
      <c r="A40" t="s" s="28">
        <v>197</v>
      </c>
      <c r="B40" s="80">
        <f>K39</f>
        <v>3221690</v>
      </c>
      <c r="C40" s="80">
        <v>1690098</v>
      </c>
      <c r="D40" s="81">
        <f>(3429.108+0+2817.937+14.07)*2.204622</f>
        <v>13803.39187353</v>
      </c>
      <c r="E40" s="80">
        <f>SUM(B40:D40)</f>
        <v>4925591.39187353</v>
      </c>
      <c r="F40" s="22"/>
      <c r="G40" s="80">
        <f>J40-I40</f>
        <v>1230361.08159092</v>
      </c>
      <c r="H40" s="80">
        <v>109518</v>
      </c>
      <c r="I40" s="80">
        <f>(162903.453+1648.061+16359.722+315.437)*2.204622</f>
        <v>399536.310282606</v>
      </c>
      <c r="J40" s="80">
        <f>(E40-K40)</f>
        <v>1629897.39187353</v>
      </c>
      <c r="K40" s="80">
        <f>2994436+301258</f>
        <v>3295694</v>
      </c>
    </row>
    <row r="41" ht="13" customHeight="1">
      <c r="A41" t="s" s="28">
        <v>198</v>
      </c>
      <c r="B41" s="80">
        <f>K40</f>
        <v>3295694</v>
      </c>
      <c r="C41" s="80">
        <v>1727705.71</v>
      </c>
      <c r="D41" s="81">
        <f>(280.052+9.2+1634.291+37.674)*2.204622</f>
        <v>4323.742144974</v>
      </c>
      <c r="E41" s="80">
        <f>SUM(B41:D41)</f>
        <v>5027723.45214497</v>
      </c>
      <c r="F41" s="22"/>
      <c r="G41" s="80">
        <f>J41-I41</f>
        <v>1302040.55463929</v>
      </c>
      <c r="H41" s="80">
        <v>133736</v>
      </c>
      <c r="I41" s="80">
        <f>(155132.552+3115.466+26389.549+444.455)*2.204622</f>
        <v>408035.897505684</v>
      </c>
      <c r="J41" s="80">
        <f>(E41-K41)</f>
        <v>1710076.45214497</v>
      </c>
      <c r="K41" s="80">
        <f>3048158+269489</f>
        <v>3317647</v>
      </c>
    </row>
    <row r="42" ht="13" customHeight="1">
      <c r="A42" t="s" s="28">
        <v>199</v>
      </c>
      <c r="B42" s="80">
        <f>K41</f>
        <v>3317647</v>
      </c>
      <c r="C42" s="80">
        <v>1518120.3</v>
      </c>
      <c r="D42" s="81">
        <f>(1286.61+19.232+2435.488+34.22)*2.204622</f>
        <v>8323.660592099999</v>
      </c>
      <c r="E42" s="80">
        <f>SUM(B42:D42)</f>
        <v>4844090.9605921</v>
      </c>
      <c r="F42" s="22"/>
      <c r="G42" s="80">
        <f>J42-I42</f>
        <v>1281297.1265738</v>
      </c>
      <c r="H42" s="80">
        <v>123179</v>
      </c>
      <c r="I42" s="80">
        <f>(53994.097+3563.62+9115.195+459.156)*2.204622</f>
        <v>148000.834018296</v>
      </c>
      <c r="J42" s="80">
        <f>(E42-K42)</f>
        <v>1429297.9605921</v>
      </c>
      <c r="K42" s="80">
        <f>3151812+262981</f>
        <v>3414793</v>
      </c>
    </row>
    <row r="43" ht="13" customHeight="1">
      <c r="A43" t="s" s="28">
        <v>200</v>
      </c>
      <c r="B43" s="80">
        <f>K42</f>
        <v>3414793</v>
      </c>
      <c r="C43" s="80">
        <v>1481564.85</v>
      </c>
      <c r="D43" s="81">
        <f>(270.003+0+4582.288+31.136)*2.204622</f>
        <v>10766.110599594</v>
      </c>
      <c r="E43" s="80">
        <f>SUM(B43:D43)</f>
        <v>4907123.96059959</v>
      </c>
      <c r="F43" s="22"/>
      <c r="G43" s="80">
        <f>J43-I43</f>
        <v>1307987.43611706</v>
      </c>
      <c r="H43" s="80">
        <v>106503</v>
      </c>
      <c r="I43" s="80">
        <f>(25541.158+243.825+8816.729+424.485)*2.204622</f>
        <v>77219.524482534005</v>
      </c>
      <c r="J43" s="80">
        <f>(E43-K43)</f>
        <v>1385206.96059959</v>
      </c>
      <c r="K43" s="80">
        <f>3237012+284905</f>
        <v>3521917</v>
      </c>
    </row>
    <row r="44" ht="13" customHeight="1">
      <c r="A44" t="s" s="28">
        <v>213</v>
      </c>
      <c r="B44" s="80">
        <f>K43</f>
        <v>3521917</v>
      </c>
      <c r="C44" s="80">
        <v>1442238.9</v>
      </c>
      <c r="D44" s="81">
        <f>(215.463+0+2268.523+28.2)*2.204622</f>
        <v>5538.420523692</v>
      </c>
      <c r="E44" s="80">
        <f>SUM(B44:D44)</f>
        <v>4969694.32052369</v>
      </c>
      <c r="F44" s="22"/>
      <c r="G44" s="80">
        <f>J44-I44</f>
        <v>1243152.46555369</v>
      </c>
      <c r="H44" s="80">
        <v>94804</v>
      </c>
      <c r="I44" s="80">
        <f>(43654.64+298.281+14165.984+421.677)*2.204622</f>
        <v>129059.854970004</v>
      </c>
      <c r="J44" s="80">
        <f>(E44-K44)</f>
        <v>1372212.32052369</v>
      </c>
      <c r="K44" s="80">
        <f>3297846+299636</f>
        <v>3597482</v>
      </c>
    </row>
    <row r="45" ht="13" customHeight="1">
      <c r="A45" t="s" s="28">
        <v>214</v>
      </c>
      <c r="B45" s="80">
        <f>K44</f>
        <v>3597482</v>
      </c>
      <c r="C45" s="80">
        <v>1440451.02</v>
      </c>
      <c r="D45" s="81">
        <f>(139.41+12+2598.508+32.316)*2.204622</f>
        <v>6133.774285548</v>
      </c>
      <c r="E45" s="80">
        <f>SUM(B45:D45)</f>
        <v>5044066.79428555</v>
      </c>
      <c r="F45" s="22"/>
      <c r="G45" s="80">
        <f>J45-I45</f>
        <v>1270650.86333668</v>
      </c>
      <c r="H45" s="80">
        <v>103575</v>
      </c>
      <c r="I45" s="80">
        <f>(73854.937+167.281+7144.5+184.158)*2.204622</f>
        <v>179347.930948872</v>
      </c>
      <c r="J45" s="80">
        <f>(E45-K45)</f>
        <v>1449998.79428555</v>
      </c>
      <c r="K45" s="80">
        <f>3312471+281597</f>
        <v>3594068</v>
      </c>
    </row>
    <row r="46" ht="13" customHeight="1">
      <c r="A46" t="s" s="28">
        <v>215</v>
      </c>
      <c r="B46" s="80">
        <f>K45</f>
        <v>3594068</v>
      </c>
      <c r="C46" s="80">
        <v>1418447.8</v>
      </c>
      <c r="D46" s="81">
        <f>(162.42+0+3548.555+22.157)*2.204622</f>
        <v>8230.144936103999</v>
      </c>
      <c r="E46" s="80">
        <f>SUM(B46:D46)</f>
        <v>5020745.9449361</v>
      </c>
      <c r="F46" s="22"/>
      <c r="G46" s="80">
        <f>J46-I46</f>
        <v>1317294.15075503</v>
      </c>
      <c r="H46" s="80">
        <v>95755</v>
      </c>
      <c r="I46" s="80">
        <f>(155958.77+85.878+9452.7+341.419)*2.204622</f>
        <v>365611.794181074</v>
      </c>
      <c r="J46" s="80">
        <f>(E46-K46)</f>
        <v>1682905.9449361</v>
      </c>
      <c r="K46" s="80">
        <f>3081425+256415</f>
        <v>3337840</v>
      </c>
    </row>
    <row r="47" ht="13" customHeight="1">
      <c r="A47" t="s" s="28">
        <v>192</v>
      </c>
      <c r="B47" s="80">
        <f>K46</f>
        <v>3337840</v>
      </c>
      <c r="C47" s="80">
        <v>1474417.2</v>
      </c>
      <c r="D47" s="81">
        <f>(166.571+7+1986.609+38.086)*2.204622</f>
        <v>4846.345585452</v>
      </c>
      <c r="E47" s="80">
        <f>SUM(B47:D47)</f>
        <v>4817103.54558545</v>
      </c>
      <c r="F47" s="22"/>
      <c r="G47" s="80">
        <f>J47-I47</f>
        <v>1236835.91988853</v>
      </c>
      <c r="H47" s="80">
        <v>96341</v>
      </c>
      <c r="I47" s="80">
        <f>(70158.916+94.777+8598.87+293.715)*2.204622</f>
        <v>174487.625696916</v>
      </c>
      <c r="J47" s="80">
        <f>(E47-K47)</f>
        <v>1411323.54558545</v>
      </c>
      <c r="K47" s="80">
        <f>3127263+278517</f>
        <v>3405780</v>
      </c>
    </row>
    <row r="48" ht="13" customHeight="1">
      <c r="A48" t="s" s="28">
        <v>186</v>
      </c>
      <c r="B48" s="80"/>
      <c r="C48" s="80">
        <f>SUM(C36:C47)</f>
        <v>19615313.52</v>
      </c>
      <c r="D48" s="81">
        <f>SUM(D36:D47)</f>
        <v>102579.604404858</v>
      </c>
      <c r="E48" s="80">
        <f>B36+C48+D48</f>
        <v>22578393.1244049</v>
      </c>
      <c r="F48" s="80"/>
      <c r="G48" s="80">
        <f>SUM(G36:G47)</f>
        <v>15813946.1537012</v>
      </c>
      <c r="H48" s="80">
        <f>SUM(H36:H47)</f>
        <v>1680303</v>
      </c>
      <c r="I48" s="80">
        <f>SUM(I36:I47)</f>
        <v>3358666.9707037</v>
      </c>
      <c r="J48" s="80">
        <f>SUM(J36:J47)</f>
        <v>19172613.1244049</v>
      </c>
      <c r="K48" s="80"/>
    </row>
    <row r="49" ht="13" customHeight="1">
      <c r="A49" t="s" s="28">
        <v>47</v>
      </c>
      <c r="B49" s="80"/>
      <c r="C49" s="80"/>
      <c r="D49" s="80"/>
      <c r="E49" s="80"/>
      <c r="F49" s="22"/>
      <c r="G49" s="80"/>
      <c r="H49" s="80"/>
      <c r="I49" s="80"/>
      <c r="J49" s="80"/>
      <c r="K49" s="80"/>
    </row>
    <row r="50" ht="13" customHeight="1">
      <c r="A50" t="s" s="28">
        <v>193</v>
      </c>
      <c r="B50" s="80">
        <f>K47</f>
        <v>3405780</v>
      </c>
      <c r="C50" s="80">
        <v>1790543.39</v>
      </c>
      <c r="D50" s="81">
        <f>(819.417+0+2665.457+34.172)*2.204622</f>
        <v>7758.166230612</v>
      </c>
      <c r="E50" s="80">
        <f>SUM(B50:D50)</f>
        <v>5204081.55623061</v>
      </c>
      <c r="F50" s="22"/>
      <c r="G50" s="80">
        <f>J50-I50</f>
        <v>1478813.62635252</v>
      </c>
      <c r="H50" s="80">
        <v>102262</v>
      </c>
      <c r="I50" s="80">
        <f>(179782.844+95.695+19259.311+581.163)*2.204622</f>
        <v>440304.929878086</v>
      </c>
      <c r="J50" s="80">
        <f>(E50-K50)</f>
        <v>1919118.55623061</v>
      </c>
      <c r="K50" s="80">
        <f>3010655+274308</f>
        <v>3284963</v>
      </c>
    </row>
    <row r="51" ht="13" customHeight="1">
      <c r="A51" t="s" s="28">
        <v>194</v>
      </c>
      <c r="B51" s="80">
        <f>K50</f>
        <v>3284963</v>
      </c>
      <c r="C51" s="80">
        <v>1771201.2</v>
      </c>
      <c r="D51" s="81">
        <f>(4839.373+0+3066.841+7.64)*2.204622</f>
        <v>17447.056633188</v>
      </c>
      <c r="E51" s="80">
        <f>SUM(B51:D51)</f>
        <v>5073611.25663319</v>
      </c>
      <c r="F51" s="22"/>
      <c r="G51" s="80">
        <f>J51-I51</f>
        <v>1291619.16629945</v>
      </c>
      <c r="H51" s="80">
        <v>70455</v>
      </c>
      <c r="I51" s="80">
        <f>(181206.649+3502.407+11373.843+104.062)*2.204622</f>
        <v>432518.090333742</v>
      </c>
      <c r="J51" s="80">
        <f>(E51-K51)</f>
        <v>1724137.25663319</v>
      </c>
      <c r="K51" s="80">
        <f>3049295+300179</f>
        <v>3349474</v>
      </c>
    </row>
    <row r="52" ht="13" customHeight="1">
      <c r="A52" t="s" s="28">
        <v>195</v>
      </c>
      <c r="B52" s="80">
        <f>K51</f>
        <v>3349474</v>
      </c>
      <c r="C52" s="80">
        <v>1731506.15</v>
      </c>
      <c r="D52" s="81">
        <f>(5320.398+0+2940.72+11.44)*2.204622</f>
        <v>18237.863363076</v>
      </c>
      <c r="E52" s="80">
        <f>SUM(B52:D52)</f>
        <v>5099218.01336308</v>
      </c>
      <c r="F52" s="22"/>
      <c r="G52" s="80">
        <f>J52-I52</f>
        <v>1172812.38969441</v>
      </c>
      <c r="H52" s="80">
        <v>53884</v>
      </c>
      <c r="I52" s="80">
        <f>(152901.749+2637.656+23212.57+174.219)*2.204622</f>
        <v>394464.623668668</v>
      </c>
      <c r="J52" s="80">
        <f>(E52-K52)</f>
        <v>1567277.01336308</v>
      </c>
      <c r="K52" s="80">
        <f>3220826+311115</f>
        <v>3531941</v>
      </c>
    </row>
    <row r="53" ht="13" customHeight="1">
      <c r="A53" t="s" s="28">
        <v>196</v>
      </c>
      <c r="B53" s="80">
        <f>K52</f>
        <v>3531941</v>
      </c>
      <c r="C53" s="80">
        <v>1722940</v>
      </c>
      <c r="D53" s="81">
        <f>(3291.981+0+3254.544+0.2)*2.204622</f>
        <v>14433.05396295</v>
      </c>
      <c r="E53" s="80">
        <f>SUM(B53:D53)</f>
        <v>5269314.05396295</v>
      </c>
      <c r="F53" s="22"/>
      <c r="G53" s="80">
        <f>J53-I53</f>
        <v>1387659.75523311</v>
      </c>
      <c r="H53" s="80">
        <v>110421</v>
      </c>
      <c r="I53" s="80">
        <f>(202239.121+77.38+9067.088+108.131)*2.204622</f>
        <v>466259.29872984</v>
      </c>
      <c r="J53" s="80">
        <f>(E53-K53)</f>
        <v>1853919.05396295</v>
      </c>
      <c r="K53" s="80">
        <f>3078691+336704</f>
        <v>3415395</v>
      </c>
    </row>
    <row r="54" ht="13" customHeight="1">
      <c r="A54" t="s" s="28">
        <v>197</v>
      </c>
      <c r="B54" s="80">
        <f>K53</f>
        <v>3415395</v>
      </c>
      <c r="C54" s="80">
        <v>1500030</v>
      </c>
      <c r="D54" s="81">
        <f>(3175.423+0+4126.911+5.213)*2.204622</f>
        <v>16110.378882234</v>
      </c>
      <c r="E54" s="80">
        <f>SUM(B54:D54)</f>
        <v>4931535.37888223</v>
      </c>
      <c r="F54" s="22"/>
      <c r="G54" s="80">
        <f>J54-I54</f>
        <v>1254879.75336581</v>
      </c>
      <c r="H54" s="80">
        <v>112647</v>
      </c>
      <c r="I54" s="80">
        <f>(118832.443+3521.624+13687.893+574.941)*2.204622</f>
        <v>301188.625516422</v>
      </c>
      <c r="J54" s="80">
        <f>(E54-K54)</f>
        <v>1556068.37888223</v>
      </c>
      <c r="K54" s="80">
        <f>3075062+300405</f>
        <v>3375467</v>
      </c>
    </row>
    <row r="55" ht="13" customHeight="1">
      <c r="A55" t="s" s="28">
        <v>198</v>
      </c>
      <c r="B55" s="80">
        <f>K54</f>
        <v>3375467</v>
      </c>
      <c r="C55" s="80">
        <v>1623774</v>
      </c>
      <c r="D55" s="81">
        <f>(1495.313+0+4447.852+1.508)*2.204622</f>
        <v>13105.756878606</v>
      </c>
      <c r="E55" s="80">
        <f>SUM(B55:D55)</f>
        <v>5012346.75687861</v>
      </c>
      <c r="F55" s="22"/>
      <c r="G55" s="80">
        <f>J55-I55</f>
        <v>1272407.52982651</v>
      </c>
      <c r="H55" s="80">
        <v>176313</v>
      </c>
      <c r="I55" s="80">
        <f>(139214.028+79.175+10121.912+337.644)*2.204622</f>
        <v>330148.227052098</v>
      </c>
      <c r="J55" s="80">
        <f>(E55-K55)</f>
        <v>1602555.75687861</v>
      </c>
      <c r="K55" s="80">
        <f>3109849+299942</f>
        <v>3409791</v>
      </c>
    </row>
    <row r="56" ht="13" customHeight="1">
      <c r="A56" t="s" s="28">
        <v>199</v>
      </c>
      <c r="B56" s="80">
        <f>K55</f>
        <v>3409791</v>
      </c>
      <c r="C56" s="80">
        <v>1504598</v>
      </c>
      <c r="D56" s="81">
        <f>(403.164+0+5901.121+1.472)*2.204622</f>
        <v>13901.810608854</v>
      </c>
      <c r="E56" s="80">
        <f>SUM(B56:D56)</f>
        <v>4928290.81060885</v>
      </c>
      <c r="F56" s="22"/>
      <c r="G56" s="80">
        <f>J56-I56</f>
        <v>1397646.65384279</v>
      </c>
      <c r="H56" s="80">
        <v>216769</v>
      </c>
      <c r="I56" s="80">
        <f>(75823.413+1139.657+8389.42+184.24)*2.204622</f>
        <v>188576.15676606</v>
      </c>
      <c r="J56" s="80">
        <f>(E56-K56)</f>
        <v>1586222.81060885</v>
      </c>
      <c r="K56" s="80">
        <f>3010398+331670</f>
        <v>3342068</v>
      </c>
    </row>
    <row r="57" ht="13" customHeight="1">
      <c r="A57" t="s" s="28">
        <v>200</v>
      </c>
      <c r="B57" s="80">
        <f>K56</f>
        <v>3342068</v>
      </c>
      <c r="C57" s="80">
        <v>1491195</v>
      </c>
      <c r="D57" s="81">
        <f>(814.147+0+4736.942+1.724)*2.204622</f>
        <v>12241.853701686</v>
      </c>
      <c r="E57" s="80">
        <f>SUM(B57:D57)</f>
        <v>4845504.85370169</v>
      </c>
      <c r="F57" s="22"/>
      <c r="G57" s="80">
        <f>J57-I57</f>
        <v>1576493.77643276</v>
      </c>
      <c r="H57" s="80">
        <v>235312</v>
      </c>
      <c r="I57" s="80">
        <f>(29955.857+1591.942+9839.322+201.903)*2.204622</f>
        <v>91688.077268928</v>
      </c>
      <c r="J57" s="80">
        <f>(E57-K57)</f>
        <v>1668181.85370169</v>
      </c>
      <c r="K57" s="80">
        <f>2917354+259969</f>
        <v>3177323</v>
      </c>
    </row>
    <row r="58" ht="13" customHeight="1">
      <c r="A58" t="s" s="28">
        <v>213</v>
      </c>
      <c r="B58" s="80">
        <f>K57</f>
        <v>3177323</v>
      </c>
      <c r="C58" s="80">
        <v>1437997</v>
      </c>
      <c r="D58" s="81">
        <f>(374.637+0+5123.419+62.229)*2.204622</f>
        <v>12258.32663727</v>
      </c>
      <c r="E58" s="80">
        <f>SUM(B58:D58)</f>
        <v>4627578.32663727</v>
      </c>
      <c r="F58" s="22"/>
      <c r="G58" s="80">
        <f>J58-I58</f>
        <v>1344828.40752095</v>
      </c>
      <c r="H58" s="80">
        <v>293702</v>
      </c>
      <c r="I58" s="80">
        <f>(48941.832+1445.761+8302.158+134.809)*2.204622</f>
        <v>129685.91911632</v>
      </c>
      <c r="J58" s="80">
        <f>(E58-K58)</f>
        <v>1474514.32663727</v>
      </c>
      <c r="K58" s="80">
        <f>2868184+284880</f>
        <v>3153064</v>
      </c>
    </row>
    <row r="59" ht="13" customHeight="1">
      <c r="A59" t="s" s="28">
        <v>214</v>
      </c>
      <c r="B59" s="80">
        <f>K58</f>
        <v>3153064</v>
      </c>
      <c r="C59" s="80">
        <v>1504674</v>
      </c>
      <c r="D59" s="81">
        <f>(257.985+0+4658.192+0)*2.204622</f>
        <v>10838.311970094</v>
      </c>
      <c r="E59" s="80">
        <f>SUM(B59:D59)</f>
        <v>4668576.31197009</v>
      </c>
      <c r="F59" s="22"/>
      <c r="G59" s="80">
        <f>J59-I59</f>
        <v>1419762.96416503</v>
      </c>
      <c r="H59" s="80">
        <v>342924</v>
      </c>
      <c r="I59" s="80">
        <f>(45456.366+955.049+7901.32+101.286)*2.204622</f>
        <v>119962.347805062</v>
      </c>
      <c r="J59" s="80">
        <f>(E59-K59)</f>
        <v>1539725.31197009</v>
      </c>
      <c r="K59" s="80">
        <f>2824308+304543</f>
        <v>3128851</v>
      </c>
    </row>
    <row r="60" ht="13" customHeight="1">
      <c r="A60" t="s" s="28">
        <v>215</v>
      </c>
      <c r="B60" s="80">
        <f>K59</f>
        <v>3128851</v>
      </c>
      <c r="C60" s="80">
        <v>1458750</v>
      </c>
      <c r="D60" s="81">
        <f>(121.648+0+5978.907+0.2)*2.204622</f>
        <v>13449.85868961</v>
      </c>
      <c r="E60" s="80">
        <f>SUM(B60:D60)</f>
        <v>4601050.85868961</v>
      </c>
      <c r="F60" s="22"/>
      <c r="G60" s="80">
        <f>J60-I60</f>
        <v>1618370.37032269</v>
      </c>
      <c r="H60" s="80">
        <v>401221.08</v>
      </c>
      <c r="I60" s="80">
        <f>(44303.026+126.176+7418.814+141.635)*2.204622</f>
        <v>114617.528366922</v>
      </c>
      <c r="J60" s="80">
        <f>(E60-K60)</f>
        <v>1732987.89868961</v>
      </c>
      <c r="K60" s="80">
        <v>2868062.96</v>
      </c>
    </row>
    <row r="61" ht="13" customHeight="1">
      <c r="A61" t="s" s="28">
        <v>192</v>
      </c>
      <c r="B61" s="80">
        <f>K60</f>
        <v>2868062.96</v>
      </c>
      <c r="C61" s="80">
        <v>1350373.78</v>
      </c>
      <c r="D61" s="81">
        <f>(155.713+0+4024.771+1.119)*2.204622</f>
        <v>9218.853969066</v>
      </c>
      <c r="E61" s="80">
        <f>SUM(B61:D61)</f>
        <v>4227655.59396907</v>
      </c>
      <c r="F61" s="22"/>
      <c r="G61" s="80">
        <f>J61-I61</f>
        <v>1578787.75107646</v>
      </c>
      <c r="H61" s="80">
        <v>434121.20856</v>
      </c>
      <c r="I61" s="80">
        <f>(94248.522+309.172+6711.905+117.656)*2.204622</f>
        <v>223520.57289261</v>
      </c>
      <c r="J61" s="80">
        <f>(E61-K61)</f>
        <v>1802308.32396907</v>
      </c>
      <c r="K61" s="80">
        <v>2425347.27</v>
      </c>
    </row>
    <row r="62" ht="13" customHeight="1">
      <c r="A62" t="s" s="28">
        <v>186</v>
      </c>
      <c r="B62" s="80"/>
      <c r="C62" s="80">
        <f>SUM(C50:C61)</f>
        <v>18887582.52</v>
      </c>
      <c r="D62" s="81">
        <f>SUM(D50:D61)</f>
        <v>159001.291527246</v>
      </c>
      <c r="E62" s="80">
        <f>B50+C62+D62</f>
        <v>22452363.8115272</v>
      </c>
      <c r="F62" s="80"/>
      <c r="G62" s="80">
        <f>SUM(G50:G61)</f>
        <v>16794082.1441325</v>
      </c>
      <c r="H62" s="80">
        <f>SUM(H50:H61)</f>
        <v>2550031.28856</v>
      </c>
      <c r="I62" s="80">
        <f>SUM(I50:I61)</f>
        <v>3232934.39739476</v>
      </c>
      <c r="J62" s="80">
        <f>SUM(J50:J61)</f>
        <v>20027016.5415273</v>
      </c>
      <c r="K62" s="80"/>
    </row>
    <row r="63" ht="13" customHeight="1">
      <c r="A63" t="s" s="28">
        <v>52</v>
      </c>
      <c r="B63" s="22"/>
      <c r="C63" s="77"/>
      <c r="D63" s="77"/>
      <c r="E63" s="77"/>
      <c r="F63" s="22"/>
      <c r="G63" s="80"/>
      <c r="H63" s="80"/>
      <c r="I63" s="80"/>
      <c r="J63" s="80"/>
      <c r="K63" s="80"/>
    </row>
    <row r="64" ht="13" customHeight="1">
      <c r="A64" t="s" s="28">
        <v>193</v>
      </c>
      <c r="B64" s="80">
        <v>1854818</v>
      </c>
      <c r="C64" s="80">
        <v>1962937</v>
      </c>
      <c r="D64" s="81">
        <f>(11263.021+0+8383.554+0)*2.204622</f>
        <v>43313.27146965</v>
      </c>
      <c r="E64" s="80">
        <f>B64+C64+D64</f>
        <v>3861068.27146965</v>
      </c>
      <c r="F64" s="22"/>
      <c r="G64" s="80">
        <f>J64-I64</f>
        <v>1741066.72822982</v>
      </c>
      <c r="H64" s="80">
        <v>407750</v>
      </c>
      <c r="I64" s="80">
        <f>(68457.137+168.758+12516.928+337.151)*2.204622</f>
        <v>179632.543239828</v>
      </c>
      <c r="J64" s="80">
        <f>(E64-K64)</f>
        <v>1920699.27146965</v>
      </c>
      <c r="K64" s="80">
        <f>1569861+370508</f>
        <v>1940369</v>
      </c>
    </row>
    <row r="65" ht="13" customHeight="1">
      <c r="A65" t="s" s="28">
        <v>194</v>
      </c>
      <c r="B65" s="80">
        <f>K64</f>
        <v>1940369</v>
      </c>
      <c r="C65" s="80">
        <v>1901853</v>
      </c>
      <c r="D65" s="81">
        <f>(404.275+20.412+7673.322+0)*2.204622</f>
        <v>17853.048797598</v>
      </c>
      <c r="E65" s="80">
        <f>B65+C65+D65</f>
        <v>3860075.0487976</v>
      </c>
      <c r="F65" s="22"/>
      <c r="G65" s="80">
        <f>J65-I65</f>
        <v>1661212.8644707</v>
      </c>
      <c r="H65" s="80">
        <v>463630</v>
      </c>
      <c r="I65" s="80">
        <f>(96450.176+52.248+8912.495+274.031)*2.204622</f>
        <v>233004.1843269</v>
      </c>
      <c r="J65" s="80">
        <f>(E65-K65)</f>
        <v>1894217.0487976</v>
      </c>
      <c r="K65" s="80">
        <f>1545181+420677</f>
        <v>1965858</v>
      </c>
    </row>
    <row r="66" ht="13" customHeight="1">
      <c r="A66" t="s" s="28">
        <v>195</v>
      </c>
      <c r="B66" s="80">
        <f>K65</f>
        <v>1965858</v>
      </c>
      <c r="C66" s="80">
        <v>1929027</v>
      </c>
      <c r="D66" s="81">
        <f>(426.012+0+9716.081+0)*2.204622</f>
        <v>22359.481353846</v>
      </c>
      <c r="E66" s="80">
        <f>B66+C66+D66</f>
        <v>3917244.48135385</v>
      </c>
      <c r="F66" s="22"/>
      <c r="G66" s="80">
        <f>J66-I66</f>
        <v>1623989.28900656</v>
      </c>
      <c r="H66" s="80">
        <v>435620</v>
      </c>
      <c r="I66" s="80">
        <f>(127771.858+163.223+17227.472+325.06)*2.204622</f>
        <v>320745.192347286</v>
      </c>
      <c r="J66" s="80">
        <f>(E66-K66)</f>
        <v>1944734.48135385</v>
      </c>
      <c r="K66" s="80">
        <f>1576849+395661</f>
        <v>1972510</v>
      </c>
    </row>
    <row r="67" ht="13" customHeight="1">
      <c r="A67" t="s" s="28">
        <v>196</v>
      </c>
      <c r="B67" s="80">
        <f>K66</f>
        <v>1972510</v>
      </c>
      <c r="C67" s="80">
        <v>1864887</v>
      </c>
      <c r="D67" s="81">
        <f>(661.65+0+6999.396+0)*2.204622</f>
        <v>16889.710554612</v>
      </c>
      <c r="E67" s="80">
        <f>B67+C67+D67</f>
        <v>3854286.71055461</v>
      </c>
      <c r="F67" s="22"/>
      <c r="G67" s="80">
        <f>J67-I67</f>
        <v>1576553.39361067</v>
      </c>
      <c r="H67" s="80">
        <v>392270</v>
      </c>
      <c r="I67" s="80">
        <f>(64298.556+202.493+10705.986+514.026)*2.204622</f>
        <v>166936.316943942</v>
      </c>
      <c r="J67" s="80">
        <f>(E67-K67)</f>
        <v>1743489.71055461</v>
      </c>
      <c r="K67" s="80">
        <f>1724459+386338</f>
        <v>2110797</v>
      </c>
    </row>
    <row r="68" ht="13" customHeight="1">
      <c r="A68" t="s" s="28">
        <v>197</v>
      </c>
      <c r="B68" s="80">
        <f>K67</f>
        <v>2110797</v>
      </c>
      <c r="C68" s="80">
        <v>1795866</v>
      </c>
      <c r="D68" s="81">
        <f>(6983.861+0+5636.542+0)*2.204622</f>
        <v>27823.218102666</v>
      </c>
      <c r="E68" s="80">
        <f>B68+C68+D68</f>
        <v>3934486.21810267</v>
      </c>
      <c r="F68" s="22"/>
      <c r="G68" s="80">
        <f>J68-I68</f>
        <v>1539623.28031509</v>
      </c>
      <c r="H68" s="80">
        <v>394760</v>
      </c>
      <c r="I68" s="80">
        <f>(39741.744+144.371+11864.2+270.366)*2.204622</f>
        <v>114685.937787582</v>
      </c>
      <c r="J68" s="80">
        <f>(E68-K68)</f>
        <v>1654309.21810267</v>
      </c>
      <c r="K68" s="80">
        <f>1880210+399967</f>
        <v>2280177</v>
      </c>
    </row>
    <row r="69" ht="13" customHeight="1">
      <c r="A69" t="s" s="28">
        <v>198</v>
      </c>
      <c r="B69" s="80">
        <f>K68</f>
        <v>2280177</v>
      </c>
      <c r="C69" s="80">
        <v>1943537</v>
      </c>
      <c r="D69" s="81">
        <f>(591.834+0+7456.81+0)*2.204622</f>
        <v>17744.217632568</v>
      </c>
      <c r="E69" s="80">
        <f>B69+C69+D69</f>
        <v>4241458.21763257</v>
      </c>
      <c r="F69" s="22"/>
      <c r="G69" s="80">
        <f>J69-I69</f>
        <v>1683407.94754533</v>
      </c>
      <c r="H69" s="80">
        <v>464480</v>
      </c>
      <c r="I69" s="80">
        <f>(90421.404+568.24+14369.382+384.394)*2.204622</f>
        <v>233124.27008724</v>
      </c>
      <c r="J69" s="80">
        <f>(E69-K69)</f>
        <v>1916532.21763257</v>
      </c>
      <c r="K69" s="80">
        <f>1956599+368327</f>
        <v>2324926</v>
      </c>
    </row>
    <row r="70" ht="13" customHeight="1">
      <c r="A70" t="s" s="28">
        <v>199</v>
      </c>
      <c r="B70" s="80">
        <f>K69</f>
        <v>2324926</v>
      </c>
      <c r="C70" s="80">
        <v>1840263</v>
      </c>
      <c r="D70" s="81">
        <f>(3550.44+0+9479.238+0.48)*2.204622</f>
        <v>28726.572990276</v>
      </c>
      <c r="E70" s="80">
        <f>B70+C70+D70</f>
        <v>4193915.57299028</v>
      </c>
      <c r="F70" s="22"/>
      <c r="G70" s="80">
        <f>J70-I70</f>
        <v>1648122.49015993</v>
      </c>
      <c r="H70" s="80">
        <v>414750</v>
      </c>
      <c r="I70" s="80">
        <f>(43735.649+152.257+12684.186+478.542)*2.204622</f>
        <v>125775.082830348</v>
      </c>
      <c r="J70" s="80">
        <f>(E70-K70)</f>
        <v>1773897.57299028</v>
      </c>
      <c r="K70" s="80">
        <f>2048554+371464</f>
        <v>2420018</v>
      </c>
    </row>
    <row r="71" ht="13" customHeight="1">
      <c r="A71" t="s" s="28">
        <v>212</v>
      </c>
      <c r="B71" s="80">
        <f>K70</f>
        <v>2420018</v>
      </c>
      <c r="C71" s="80">
        <v>1876184</v>
      </c>
      <c r="D71" s="81">
        <f>(629.094+1.199+14398.052+0)*2.204622</f>
        <v>33131.82001059</v>
      </c>
      <c r="E71" s="80">
        <f>B71+C71+D71</f>
        <v>4329333.82001059</v>
      </c>
      <c r="F71" s="22"/>
      <c r="G71" s="80">
        <f>J71-I71</f>
        <v>1759376.88293919</v>
      </c>
      <c r="H71" s="80">
        <v>543780</v>
      </c>
      <c r="I71" s="80">
        <f>(35456.096+189.388+11250.035+195.972)*2.204622</f>
        <v>103818.937071402</v>
      </c>
      <c r="J71" s="80">
        <f>(E71-K71)</f>
        <v>1863195.82001059</v>
      </c>
      <c r="K71" s="80">
        <f>2063240+402898</f>
        <v>2466138</v>
      </c>
    </row>
    <row r="72" ht="13" customHeight="1">
      <c r="A72" t="s" s="28">
        <v>213</v>
      </c>
      <c r="B72" s="80">
        <f>K71</f>
        <v>2466138</v>
      </c>
      <c r="C72" s="80">
        <v>1787234</v>
      </c>
      <c r="D72" s="81">
        <f>(596.642+0.579+6779.714+21.75)*2.204622</f>
        <v>16311.30372207</v>
      </c>
      <c r="E72" s="80">
        <f>B72+C72+D72</f>
        <v>4269683.30372207</v>
      </c>
      <c r="F72" s="22"/>
      <c r="G72" s="80">
        <f>J72-I72</f>
        <v>1687023.93496907</v>
      </c>
      <c r="H72" s="80">
        <v>519690</v>
      </c>
      <c r="I72" s="80">
        <f>(58786.371+182.565+12592.14+344.842)*2.204622</f>
        <v>158525.368752996</v>
      </c>
      <c r="J72" s="80">
        <f>(E72-K72)</f>
        <v>1845549.30372207</v>
      </c>
      <c r="K72" s="80">
        <f>2042738+381396</f>
        <v>2424134</v>
      </c>
    </row>
    <row r="73" ht="13" customHeight="1">
      <c r="A73" t="s" s="28">
        <v>214</v>
      </c>
      <c r="B73" s="80">
        <f>K72</f>
        <v>2424134</v>
      </c>
      <c r="C73" s="80">
        <v>1789356</v>
      </c>
      <c r="D73" s="81">
        <f>(492.863+0+7173.58+0)*2.204622</f>
        <v>16901.608899546</v>
      </c>
      <c r="E73" s="80">
        <f>B73+C73+D73</f>
        <v>4230391.60889955</v>
      </c>
      <c r="F73" s="22"/>
      <c r="G73" s="80">
        <f>J73-I73</f>
        <v>1737098.68124103</v>
      </c>
      <c r="H73" s="80">
        <v>535600</v>
      </c>
      <c r="I73" s="80">
        <f>(106944.346+201.312+19122.929+290.491)*2.204622</f>
        <v>279014.927658516</v>
      </c>
      <c r="J73" s="80">
        <f>(E73-K73)</f>
        <v>2016113.60889955</v>
      </c>
      <c r="K73" s="80">
        <f>1865797+348481</f>
        <v>2214278</v>
      </c>
    </row>
    <row r="74" ht="13" customHeight="1">
      <c r="A74" t="s" s="28">
        <v>215</v>
      </c>
      <c r="B74" s="80">
        <f>K73</f>
        <v>2214278</v>
      </c>
      <c r="C74" s="80">
        <v>1642478</v>
      </c>
      <c r="D74" s="81">
        <f>(441.51+0+10970.187+18.574)*2.204622</f>
        <v>25199.426912562</v>
      </c>
      <c r="E74" s="80">
        <f>B74+C74+D74</f>
        <v>3881955.42691256</v>
      </c>
      <c r="F74" s="22"/>
      <c r="G74" s="80">
        <f>J74-I74</f>
        <v>1796842.24948589</v>
      </c>
      <c r="H74" s="80">
        <v>561040</v>
      </c>
      <c r="I74" s="80">
        <f>(31239.263+90.549+13409.825+333.93)*2.204622</f>
        <v>99370.177426674</v>
      </c>
      <c r="J74" s="80">
        <f>(E74-K74)</f>
        <v>1896212.42691256</v>
      </c>
      <c r="K74" s="80">
        <f>1666531+319212</f>
        <v>1985743</v>
      </c>
    </row>
    <row r="75" ht="13" customHeight="1">
      <c r="A75" t="s" s="28">
        <v>192</v>
      </c>
      <c r="B75" s="80">
        <f>K74</f>
        <v>1985743</v>
      </c>
      <c r="C75" s="80">
        <v>1616609</v>
      </c>
      <c r="D75" s="81">
        <f>(341.494+0+8866.195+0)*2.204622</f>
        <v>20299.473738558</v>
      </c>
      <c r="E75" s="80">
        <f>B75+C75+D75</f>
        <v>3622651.47373856</v>
      </c>
      <c r="F75" s="22"/>
      <c r="G75" s="80">
        <f>J75-I75</f>
        <v>1707930.18057054</v>
      </c>
      <c r="H75" s="80">
        <v>536840</v>
      </c>
      <c r="I75" s="80">
        <f>(92870.205+183.707+9768.901+554.679)*2.204622</f>
        <v>227908.293168024</v>
      </c>
      <c r="J75" s="80">
        <f>(E75-K75)</f>
        <v>1935838.47373856</v>
      </c>
      <c r="K75" s="80">
        <f>1417400+269413</f>
        <v>1686813</v>
      </c>
    </row>
    <row r="76" ht="13" customHeight="1">
      <c r="A76" t="s" s="28">
        <v>190</v>
      </c>
      <c r="B76" s="80"/>
      <c r="C76" s="80">
        <f>SUM(C64:C75)</f>
        <v>21950231</v>
      </c>
      <c r="D76" s="81">
        <f>SUM(D64:D75)</f>
        <v>286553.154184542</v>
      </c>
      <c r="E76" s="80">
        <f>B64+C76+D76</f>
        <v>24091602.1541845</v>
      </c>
      <c r="F76" s="80"/>
      <c r="G76" s="80">
        <f>SUM(G64:G75)</f>
        <v>20162247.9225438</v>
      </c>
      <c r="H76" s="80">
        <f>SUM(H64:H75)</f>
        <v>5670210</v>
      </c>
      <c r="I76" s="80">
        <f>SUM(I64:I75)</f>
        <v>2242541.23164074</v>
      </c>
      <c r="J76" s="80">
        <f>SUM(J64:J75)</f>
        <v>22404789.1541846</v>
      </c>
      <c r="K76" s="80"/>
    </row>
    <row r="77" ht="13" customHeight="1">
      <c r="A77" t="s" s="28">
        <v>53</v>
      </c>
      <c r="B77" s="22"/>
      <c r="C77" s="77"/>
      <c r="D77" s="77"/>
      <c r="E77" s="77"/>
      <c r="F77" s="22"/>
      <c r="G77" s="80"/>
      <c r="H77" s="80"/>
      <c r="I77" s="80"/>
      <c r="J77" s="80"/>
      <c r="K77" s="80"/>
    </row>
    <row r="78" ht="13" customHeight="1">
      <c r="A78" t="s" s="28">
        <v>193</v>
      </c>
      <c r="B78" s="80">
        <v>1686813</v>
      </c>
      <c r="C78" s="80">
        <v>2028518</v>
      </c>
      <c r="D78" s="81">
        <v>14430.538489248</v>
      </c>
      <c r="E78" s="80">
        <f>B78+C78+D78</f>
        <v>3729761.53848925</v>
      </c>
      <c r="F78" s="22"/>
      <c r="G78" s="80">
        <f>J78-I78</f>
        <v>1693468.44884775</v>
      </c>
      <c r="H78" s="80">
        <v>525960</v>
      </c>
      <c r="I78" s="80">
        <v>240982.089641496</v>
      </c>
      <c r="J78" s="80">
        <f>(E78-K78)</f>
        <v>1934450.53848925</v>
      </c>
      <c r="K78" s="80">
        <v>1795311</v>
      </c>
    </row>
    <row r="79" ht="13" customHeight="1">
      <c r="A79" t="s" s="28">
        <v>194</v>
      </c>
      <c r="B79" s="80">
        <v>1795311</v>
      </c>
      <c r="C79" s="80">
        <v>1961256</v>
      </c>
      <c r="D79" s="81">
        <v>38421.224070138</v>
      </c>
      <c r="E79" s="80">
        <f>B79+C79+D79</f>
        <v>3794988.22407014</v>
      </c>
      <c r="F79" s="22"/>
      <c r="G79" s="80">
        <f>J79-I79</f>
        <v>1777576.03856354</v>
      </c>
      <c r="H79" s="80">
        <v>595830</v>
      </c>
      <c r="I79" s="80">
        <v>236701.185506604</v>
      </c>
      <c r="J79" s="80">
        <f>(E79-K79)</f>
        <v>2014277.22407014</v>
      </c>
      <c r="K79" s="80">
        <v>1780711</v>
      </c>
    </row>
    <row r="80" ht="13" customHeight="1">
      <c r="A80" t="s" s="28">
        <v>195</v>
      </c>
      <c r="B80" s="80">
        <v>1780711</v>
      </c>
      <c r="C80" s="80">
        <v>1950176</v>
      </c>
      <c r="D80" s="81">
        <v>47415.651928848</v>
      </c>
      <c r="E80" s="80">
        <f>B80+C80+D80</f>
        <v>3778302.65192885</v>
      </c>
      <c r="F80" s="22"/>
      <c r="G80" s="80">
        <f>J80-I80</f>
        <v>1670621.94631919</v>
      </c>
      <c r="H80" s="80">
        <v>610470</v>
      </c>
      <c r="I80" s="80">
        <v>235410.70560966</v>
      </c>
      <c r="J80" s="80">
        <f>(E80-K80)</f>
        <v>1906032.65192885</v>
      </c>
      <c r="K80" s="80">
        <v>1872270</v>
      </c>
    </row>
    <row r="81" ht="13" customHeight="1">
      <c r="A81" t="s" s="28">
        <v>196</v>
      </c>
      <c r="B81" s="80">
        <v>1872270</v>
      </c>
      <c r="C81" s="80">
        <v>1982893</v>
      </c>
      <c r="D81" s="81">
        <v>22670.7894126</v>
      </c>
      <c r="E81" s="80">
        <f>B81+C81+D81</f>
        <v>3877833.7894126</v>
      </c>
      <c r="F81" s="22"/>
      <c r="G81" s="80">
        <f>J81-I81</f>
        <v>1492781.92236012</v>
      </c>
      <c r="H81" s="80">
        <v>390110</v>
      </c>
      <c r="I81" s="80">
        <v>259354.867052484</v>
      </c>
      <c r="J81" s="80">
        <f>(E81-K81)</f>
        <v>1752136.7894126</v>
      </c>
      <c r="K81" s="80">
        <v>2125697</v>
      </c>
    </row>
    <row r="82" ht="13" customHeight="1">
      <c r="A82" t="s" s="28">
        <v>197</v>
      </c>
      <c r="B82" s="80">
        <v>2125697</v>
      </c>
      <c r="C82" s="80">
        <v>1757030</v>
      </c>
      <c r="D82" s="81">
        <v>20924.90515836</v>
      </c>
      <c r="E82" s="80">
        <f>B82+C82+D82</f>
        <v>3903651.90515836</v>
      </c>
      <c r="F82" s="22"/>
      <c r="G82" s="80">
        <f>J82-I82</f>
        <v>1451589.43760519</v>
      </c>
      <c r="H82" s="80">
        <v>369180</v>
      </c>
      <c r="I82" s="80">
        <v>238745.467553166</v>
      </c>
      <c r="J82" s="80">
        <f>(E82-K82)</f>
        <v>1690334.90515836</v>
      </c>
      <c r="K82" s="80">
        <v>2213317</v>
      </c>
    </row>
    <row r="83" ht="13" customHeight="1">
      <c r="A83" t="s" s="28">
        <v>198</v>
      </c>
      <c r="B83" s="80">
        <v>2213317</v>
      </c>
      <c r="C83" s="80">
        <v>1865466</v>
      </c>
      <c r="D83" s="81">
        <v>26979.553355706</v>
      </c>
      <c r="E83" s="80">
        <f>B83+C83+D83</f>
        <v>4105762.55335571</v>
      </c>
      <c r="F83" s="22"/>
      <c r="G83" s="80">
        <f>J83-I83</f>
        <v>1466465.41454108</v>
      </c>
      <c r="H83" s="80">
        <v>369460</v>
      </c>
      <c r="I83" s="80">
        <v>295461.138814632</v>
      </c>
      <c r="J83" s="80">
        <f>(E83-K83)</f>
        <v>1761926.55335571</v>
      </c>
      <c r="K83" s="80">
        <v>2343836</v>
      </c>
    </row>
    <row r="84" ht="13" customHeight="1">
      <c r="A84" t="s" s="28">
        <v>199</v>
      </c>
      <c r="B84" s="80">
        <v>2343836</v>
      </c>
      <c r="C84" s="80">
        <v>1737775</v>
      </c>
      <c r="D84" s="81">
        <v>32258.738992284</v>
      </c>
      <c r="E84" s="80">
        <f>B84+C84+D84</f>
        <v>4113869.73899228</v>
      </c>
      <c r="F84" s="22"/>
      <c r="G84" s="80">
        <f>J84-I84</f>
        <v>1616476.42889127</v>
      </c>
      <c r="H84" s="80">
        <v>426710</v>
      </c>
      <c r="I84" s="80">
        <v>257404.310101008</v>
      </c>
      <c r="J84" s="80">
        <f>(E84-K84)</f>
        <v>1873880.73899228</v>
      </c>
      <c r="K84" s="80">
        <v>2239989</v>
      </c>
    </row>
    <row r="85" ht="13" customHeight="1">
      <c r="A85" t="s" s="28">
        <v>212</v>
      </c>
      <c r="B85" s="80">
        <v>2239989</v>
      </c>
      <c r="C85" s="80">
        <v>1839342</v>
      </c>
      <c r="D85" s="81">
        <v>31495.002815934</v>
      </c>
      <c r="E85" s="80">
        <f>B85+C85+D85</f>
        <v>4110826.00281593</v>
      </c>
      <c r="F85" s="22"/>
      <c r="G85" s="80">
        <f>J85-I85</f>
        <v>1680248.39864622</v>
      </c>
      <c r="H85" s="80">
        <v>545510</v>
      </c>
      <c r="I85" s="80">
        <v>161322.604169706</v>
      </c>
      <c r="J85" s="80">
        <f>(E85-K85)</f>
        <v>1841571.00281593</v>
      </c>
      <c r="K85" s="80">
        <v>2269255</v>
      </c>
    </row>
    <row r="86" ht="13" customHeight="1">
      <c r="A86" t="s" s="28">
        <v>213</v>
      </c>
      <c r="B86" s="80">
        <v>2269255</v>
      </c>
      <c r="C86" s="80">
        <v>1735608</v>
      </c>
      <c r="D86" s="81">
        <v>24291.653962464</v>
      </c>
      <c r="E86" s="80">
        <f>B86+C86+D86</f>
        <v>4029154.65396246</v>
      </c>
      <c r="F86" s="22"/>
      <c r="G86" s="80">
        <f>J86-I86</f>
        <v>1748288.55388619</v>
      </c>
      <c r="H86" s="80">
        <v>548840</v>
      </c>
      <c r="I86" s="80">
        <v>137988.100076274</v>
      </c>
      <c r="J86" s="80">
        <f>(E86-K86)</f>
        <v>1886276.65396246</v>
      </c>
      <c r="K86" s="80">
        <v>2142878</v>
      </c>
    </row>
    <row r="87" ht="13" customHeight="1">
      <c r="A87" t="s" s="28">
        <v>214</v>
      </c>
      <c r="B87" s="80">
        <v>2142878</v>
      </c>
      <c r="C87" s="80">
        <v>1801376</v>
      </c>
      <c r="D87" s="81">
        <v>22456.531018908</v>
      </c>
      <c r="E87" s="80">
        <f>B87+C87+D87</f>
        <v>3966710.53101891</v>
      </c>
      <c r="F87" s="22"/>
      <c r="G87" s="80">
        <f>J87-I87</f>
        <v>1767366.29037552</v>
      </c>
      <c r="H87" s="80">
        <v>606150</v>
      </c>
      <c r="I87" s="80">
        <v>198846.240643386</v>
      </c>
      <c r="J87" s="80">
        <f>(E87-K87)</f>
        <v>1966212.53101891</v>
      </c>
      <c r="K87" s="80">
        <v>2000498</v>
      </c>
    </row>
    <row r="88" ht="13" customHeight="1">
      <c r="A88" t="s" s="28">
        <v>215</v>
      </c>
      <c r="B88" s="80">
        <v>2000498</v>
      </c>
      <c r="C88" s="80">
        <v>1762207</v>
      </c>
      <c r="D88" s="81">
        <v>19362.516002424</v>
      </c>
      <c r="E88" s="80">
        <f>B88+C88+D88</f>
        <v>3782067.51600242</v>
      </c>
      <c r="F88" s="22"/>
      <c r="G88" s="80">
        <f>J88-I88</f>
        <v>1808515.54285861</v>
      </c>
      <c r="H88" s="80">
        <v>608170</v>
      </c>
      <c r="I88" s="80">
        <v>163210.973143806</v>
      </c>
      <c r="J88" s="80">
        <f>(E88-K88)</f>
        <v>1971726.51600242</v>
      </c>
      <c r="K88" s="80">
        <v>1810341</v>
      </c>
    </row>
    <row r="89" ht="13" customHeight="1">
      <c r="A89" t="s" s="28">
        <v>192</v>
      </c>
      <c r="B89" s="80">
        <v>1810341</v>
      </c>
      <c r="C89" s="80">
        <v>1701762</v>
      </c>
      <c r="D89" s="81">
        <v>18001.662366618</v>
      </c>
      <c r="E89" s="80">
        <f>B89+C89+D89</f>
        <v>3530104.66236662</v>
      </c>
      <c r="F89" s="22"/>
      <c r="G89" s="80">
        <f>J89-I89</f>
        <v>1688916.11204249</v>
      </c>
      <c r="H89" s="80">
        <v>603910</v>
      </c>
      <c r="I89" s="80">
        <v>130234.55032413</v>
      </c>
      <c r="J89" s="80">
        <f>(E89-K89)</f>
        <v>1819150.66236662</v>
      </c>
      <c r="K89" s="80">
        <v>1710954</v>
      </c>
    </row>
    <row r="90" ht="13" customHeight="1">
      <c r="A90" t="s" s="28">
        <v>190</v>
      </c>
      <c r="B90" s="22"/>
      <c r="C90" s="80">
        <f>SUM(C78:C89)</f>
        <v>22123409</v>
      </c>
      <c r="D90" s="81">
        <f>SUM(D78:D89)</f>
        <v>318708.767573532</v>
      </c>
      <c r="E90" s="80">
        <f>B78+C90+D90</f>
        <v>24128930.7675735</v>
      </c>
      <c r="F90" s="60"/>
      <c r="G90" s="80">
        <f>SUM(G78:G89)</f>
        <v>19862314.5349372</v>
      </c>
      <c r="H90" s="80">
        <f>SUM(H78:H89)</f>
        <v>6200300</v>
      </c>
      <c r="I90" s="80">
        <f>SUM(I78:I89)</f>
        <v>2555662.23263635</v>
      </c>
      <c r="J90" s="80">
        <f>SUM(J78:J89)</f>
        <v>22417976.7675735</v>
      </c>
      <c r="K90" s="80"/>
    </row>
    <row r="91" ht="13" customHeight="1">
      <c r="A91" t="s" s="28">
        <v>54</v>
      </c>
      <c r="B91" s="22"/>
      <c r="C91" s="80"/>
      <c r="D91" s="81"/>
      <c r="E91" s="80"/>
      <c r="F91" s="60"/>
      <c r="G91" s="80"/>
      <c r="H91" s="80"/>
      <c r="I91" s="80"/>
      <c r="J91" s="80"/>
      <c r="K91" s="80"/>
    </row>
    <row r="92" ht="13" customHeight="1">
      <c r="A92" t="s" s="28">
        <v>193</v>
      </c>
      <c r="B92" s="80">
        <v>1710954</v>
      </c>
      <c r="C92" s="80">
        <v>2016888</v>
      </c>
      <c r="D92" s="81">
        <v>32186.967523074</v>
      </c>
      <c r="E92" s="80">
        <v>3760028.96752307</v>
      </c>
      <c r="F92" s="60"/>
      <c r="G92" s="80">
        <f>J92-I92</f>
        <v>1921164.69052353</v>
      </c>
      <c r="H92" s="80">
        <v>577430</v>
      </c>
      <c r="I92" s="80">
        <v>212641.276999536</v>
      </c>
      <c r="J92" s="82">
        <f>E92-K92</f>
        <v>2133805.96752307</v>
      </c>
      <c r="K92" s="80">
        <v>1626223</v>
      </c>
    </row>
    <row r="93" ht="13" customHeight="1">
      <c r="A93" t="s" s="28">
        <v>194</v>
      </c>
      <c r="B93" s="80">
        <v>1626223</v>
      </c>
      <c r="C93" s="80">
        <v>1977005</v>
      </c>
      <c r="D93" s="81">
        <v>22025.65087674</v>
      </c>
      <c r="E93" s="80">
        <v>3625253.65087674</v>
      </c>
      <c r="F93" s="60"/>
      <c r="G93" s="80">
        <f>J93-I93</f>
        <v>1802525.97236722</v>
      </c>
      <c r="H93" s="80">
        <v>590800</v>
      </c>
      <c r="I93" s="80">
        <v>132146.678509524</v>
      </c>
      <c r="J93" s="82">
        <f>E93-K93</f>
        <v>1934672.65087674</v>
      </c>
      <c r="K93" s="80">
        <v>1690581</v>
      </c>
    </row>
    <row r="94" ht="13" customHeight="1">
      <c r="A94" t="s" s="28">
        <v>195</v>
      </c>
      <c r="B94" s="80">
        <v>1690581</v>
      </c>
      <c r="C94" s="80">
        <v>2015256</v>
      </c>
      <c r="D94" s="81">
        <v>31197.103268184</v>
      </c>
      <c r="E94" s="80">
        <v>3737034.10326818</v>
      </c>
      <c r="F94" s="60"/>
      <c r="G94" s="80">
        <f>J94-I94</f>
        <v>1613443.1539013</v>
      </c>
      <c r="H94" s="80">
        <v>593990</v>
      </c>
      <c r="I94" s="80">
        <v>172916.949366882</v>
      </c>
      <c r="J94" s="82">
        <f>E94-K94</f>
        <v>1786360.10326818</v>
      </c>
      <c r="K94" s="80">
        <v>1950674</v>
      </c>
    </row>
    <row r="95" ht="13" customHeight="1">
      <c r="A95" t="s" s="28">
        <v>196</v>
      </c>
      <c r="B95" s="80">
        <v>1950674</v>
      </c>
      <c r="C95" s="80">
        <v>1995589</v>
      </c>
      <c r="D95" s="81">
        <v>22118.901978096</v>
      </c>
      <c r="E95" s="80">
        <v>3968381.9019781</v>
      </c>
      <c r="F95" s="60"/>
      <c r="G95" s="80">
        <f>J95-I95</f>
        <v>1547929.93817437</v>
      </c>
      <c r="H95" s="80">
        <v>462120</v>
      </c>
      <c r="I95" s="80">
        <v>180667.963803726</v>
      </c>
      <c r="J95" s="82">
        <f>E95-K95</f>
        <v>1728597.9019781</v>
      </c>
      <c r="K95" s="80">
        <v>2239784</v>
      </c>
    </row>
    <row r="96" ht="13" customHeight="1">
      <c r="A96" t="s" s="28">
        <v>197</v>
      </c>
      <c r="B96" s="80">
        <v>2239784</v>
      </c>
      <c r="C96" s="80">
        <v>1889841</v>
      </c>
      <c r="D96" s="81">
        <v>41130.995518242</v>
      </c>
      <c r="E96" s="80">
        <v>4170755.99551824</v>
      </c>
      <c r="F96" s="60"/>
      <c r="G96" s="80">
        <f>J96-I96</f>
        <v>1564279.20807683</v>
      </c>
      <c r="H96" s="80">
        <v>495590</v>
      </c>
      <c r="I96" s="80">
        <v>181094.787441414</v>
      </c>
      <c r="J96" s="82">
        <f>E96-K96</f>
        <v>1745373.99551824</v>
      </c>
      <c r="K96" s="80">
        <v>2425382</v>
      </c>
    </row>
    <row r="97" ht="13" customHeight="1">
      <c r="A97" t="s" s="28">
        <v>198</v>
      </c>
      <c r="B97" s="80">
        <v>2425382</v>
      </c>
      <c r="C97" s="80">
        <v>2079123</v>
      </c>
      <c r="D97" s="81">
        <v>21080.02236228</v>
      </c>
      <c r="E97" s="80">
        <v>4525585.02236228</v>
      </c>
      <c r="F97" s="60"/>
      <c r="G97" s="80">
        <f>J97-I97</f>
        <v>1879572.26642042</v>
      </c>
      <c r="H97" s="80">
        <v>624150</v>
      </c>
      <c r="I97" s="80">
        <v>201530.755941858</v>
      </c>
      <c r="J97" s="82">
        <f>E97-K97</f>
        <v>2081103.02236228</v>
      </c>
      <c r="K97" s="80">
        <v>2444482</v>
      </c>
    </row>
    <row r="98" ht="13" customHeight="1">
      <c r="A98" t="s" s="28">
        <v>199</v>
      </c>
      <c r="B98" s="80">
        <v>2444482</v>
      </c>
      <c r="C98" s="80">
        <v>1964922</v>
      </c>
      <c r="D98" s="81">
        <v>28697.044283208</v>
      </c>
      <c r="E98" s="80">
        <v>4438101.04428321</v>
      </c>
      <c r="F98" s="60"/>
      <c r="G98" s="80">
        <f>J98-I98</f>
        <v>1537004.60592333</v>
      </c>
      <c r="H98" s="80">
        <v>519560</v>
      </c>
      <c r="I98" s="80">
        <v>212320.438359876</v>
      </c>
      <c r="J98" s="82">
        <f>E98-K98</f>
        <v>1749325.04428321</v>
      </c>
      <c r="K98" s="80">
        <v>2688776</v>
      </c>
    </row>
    <row r="99" ht="13" customHeight="1">
      <c r="A99" t="s" s="28">
        <v>212</v>
      </c>
      <c r="B99" s="80">
        <v>2688776</v>
      </c>
      <c r="C99" s="80">
        <v>1966511</v>
      </c>
      <c r="D99" s="81">
        <v>34096.664010402</v>
      </c>
      <c r="E99" s="80">
        <v>4689383.6640104</v>
      </c>
      <c r="F99" s="60"/>
      <c r="G99" s="80">
        <f>J99-I99</f>
        <v>1883900.57504849</v>
      </c>
      <c r="H99" s="80">
        <v>581330</v>
      </c>
      <c r="I99" s="80">
        <v>431422.088961906</v>
      </c>
      <c r="J99" s="82">
        <f>E99-K99</f>
        <v>2315322.6640104</v>
      </c>
      <c r="K99" s="80">
        <v>2374061</v>
      </c>
    </row>
    <row r="100" ht="13" customHeight="1">
      <c r="A100" t="s" s="28">
        <v>213</v>
      </c>
      <c r="B100" s="80">
        <v>2374061</v>
      </c>
      <c r="C100" s="80">
        <v>1936907</v>
      </c>
      <c r="D100" s="81">
        <v>31765.695123582</v>
      </c>
      <c r="E100" s="80">
        <v>4342733.69512358</v>
      </c>
      <c r="F100" s="60"/>
      <c r="G100" s="80">
        <f>J100-I100</f>
        <v>1809597.32887043</v>
      </c>
      <c r="H100" s="80">
        <v>623610</v>
      </c>
      <c r="I100" s="80">
        <v>228328.366253148</v>
      </c>
      <c r="J100" s="82">
        <f>E100-K100</f>
        <v>2037925.69512358</v>
      </c>
      <c r="K100" s="80">
        <v>2304808</v>
      </c>
    </row>
    <row r="101" ht="13" customHeight="1">
      <c r="A101" t="s" s="28">
        <v>214</v>
      </c>
      <c r="B101" s="80">
        <v>2304808</v>
      </c>
      <c r="C101" s="80">
        <v>2043323</v>
      </c>
      <c r="D101" s="81">
        <v>32716.958651874</v>
      </c>
      <c r="E101" s="80">
        <v>4380847.95865187</v>
      </c>
      <c r="F101" s="60"/>
      <c r="G101" s="80">
        <f>J101-I101</f>
        <v>1822468.71160869</v>
      </c>
      <c r="H101" s="80">
        <v>671270</v>
      </c>
      <c r="I101" s="80">
        <v>174733.24704318</v>
      </c>
      <c r="J101" s="82">
        <f>E101-K101</f>
        <v>1997201.95865187</v>
      </c>
      <c r="K101" s="80">
        <v>2383646</v>
      </c>
    </row>
    <row r="102" ht="13" customHeight="1">
      <c r="A102" t="s" s="28">
        <v>215</v>
      </c>
      <c r="B102" s="80">
        <v>2383646</v>
      </c>
      <c r="C102" s="80">
        <v>1944966</v>
      </c>
      <c r="D102" s="81">
        <v>23728.915378476</v>
      </c>
      <c r="E102" s="80">
        <v>4352340.91537848</v>
      </c>
      <c r="F102" s="60"/>
      <c r="G102" s="80">
        <f>J102-I102</f>
        <v>1939904.00159783</v>
      </c>
      <c r="H102" s="80">
        <v>705130</v>
      </c>
      <c r="I102" s="80">
        <v>197637.91378065</v>
      </c>
      <c r="J102" s="82">
        <f>E102-K102</f>
        <v>2137541.91537848</v>
      </c>
      <c r="K102" s="80">
        <v>2214799</v>
      </c>
    </row>
    <row r="103" ht="13" customHeight="1">
      <c r="A103" t="s" s="28">
        <v>192</v>
      </c>
      <c r="B103" s="80">
        <v>2214799</v>
      </c>
      <c r="C103" s="80">
        <v>1942097</v>
      </c>
      <c r="D103" s="81">
        <v>14664.713438088</v>
      </c>
      <c r="E103" s="80">
        <v>4171560.71343809</v>
      </c>
      <c r="F103" s="60"/>
      <c r="G103" s="80">
        <f>J103-I103</f>
        <v>2054457.84049535</v>
      </c>
      <c r="H103" s="80">
        <v>688710</v>
      </c>
      <c r="I103" s="80">
        <v>121668.872942736</v>
      </c>
      <c r="J103" s="82">
        <f>E103-K103</f>
        <v>2176126.71343809</v>
      </c>
      <c r="K103" s="80">
        <v>1995434</v>
      </c>
    </row>
    <row r="104" ht="13" customHeight="1">
      <c r="A104" t="s" s="20">
        <v>190</v>
      </c>
      <c r="B104" s="83"/>
      <c r="C104" s="83">
        <f>SUM(C92:C103)</f>
        <v>23772428</v>
      </c>
      <c r="D104" s="84">
        <f>SUM(D92:D103)</f>
        <v>335409.632412246</v>
      </c>
      <c r="E104" s="83">
        <f>B92+C104+D104</f>
        <v>25818791.6324122</v>
      </c>
      <c r="F104" s="62"/>
      <c r="G104" s="83">
        <f>SUM(G92:G103)</f>
        <v>21376248.2930078</v>
      </c>
      <c r="H104" s="83">
        <f>SUM(H92:H103)</f>
        <v>7133690</v>
      </c>
      <c r="I104" s="83">
        <f>SUM(I92:I103)</f>
        <v>2447109.33940444</v>
      </c>
      <c r="J104" s="83">
        <f>SUM(J92:J103)</f>
        <v>23823357.6324122</v>
      </c>
      <c r="K104" s="83"/>
    </row>
    <row r="105" ht="13.15" customHeight="1">
      <c r="A105" t="s" s="32">
        <v>223</v>
      </c>
      <c r="B105" s="25"/>
      <c r="C105" s="25"/>
      <c r="D105" s="25"/>
      <c r="E105" s="25"/>
      <c r="F105" s="25"/>
      <c r="G105" s="85"/>
      <c r="H105" s="85"/>
      <c r="I105" s="85"/>
      <c r="J105" s="25"/>
      <c r="K105" s="25"/>
    </row>
    <row r="106" ht="13" customHeight="1">
      <c r="A106" t="s" s="28">
        <v>217</v>
      </c>
      <c r="B106" s="22"/>
      <c r="C106" s="22"/>
      <c r="D106" s="22"/>
      <c r="E106" s="22"/>
      <c r="F106" s="22"/>
      <c r="G106" s="80"/>
      <c r="H106" s="80"/>
      <c r="I106" s="80"/>
      <c r="J106" s="22"/>
      <c r="K106" s="22"/>
    </row>
    <row r="107" ht="10.15" customHeight="1">
      <c r="A107" t="s" s="28">
        <v>218</v>
      </c>
      <c r="B107" s="22"/>
      <c r="C107" s="22"/>
      <c r="D107" s="22"/>
      <c r="E107" s="22"/>
      <c r="F107" s="22"/>
      <c r="G107" s="80"/>
      <c r="H107" s="80"/>
      <c r="I107" s="80"/>
      <c r="J107" s="22"/>
      <c r="K107" t="s" s="33">
        <v>57</v>
      </c>
    </row>
    <row r="108" ht="13" customHeight="1">
      <c r="A108" s="22"/>
      <c r="B108" s="22"/>
      <c r="C108" s="22"/>
      <c r="D108" s="22"/>
      <c r="E108" s="22"/>
      <c r="F108" s="22"/>
      <c r="G108" s="80"/>
      <c r="H108" s="80"/>
      <c r="I108" s="80"/>
      <c r="J108" s="22"/>
      <c r="K108" s="22"/>
    </row>
    <row r="109" ht="13" customHeight="1">
      <c r="A109" s="22"/>
      <c r="B109" s="22"/>
      <c r="C109" s="22"/>
      <c r="D109" s="22"/>
      <c r="E109" s="22"/>
      <c r="F109" s="22"/>
      <c r="G109" s="80"/>
      <c r="H109" s="80"/>
      <c r="I109" s="80"/>
      <c r="J109" s="22"/>
      <c r="K109" s="22"/>
    </row>
    <row r="110" ht="13" customHeight="1">
      <c r="A110" s="22"/>
      <c r="B110" s="22"/>
      <c r="C110" s="22"/>
      <c r="D110" s="22"/>
      <c r="E110" s="22"/>
      <c r="F110" s="22"/>
      <c r="G110" s="80"/>
      <c r="H110" s="80"/>
      <c r="I110" s="80"/>
      <c r="J110" s="22"/>
      <c r="K110" s="22"/>
    </row>
    <row r="111" ht="13" customHeight="1">
      <c r="A111" s="22"/>
      <c r="B111" s="22"/>
      <c r="C111" s="22"/>
      <c r="D111" s="22"/>
      <c r="E111" s="22"/>
      <c r="F111" s="22"/>
      <c r="G111" s="80"/>
      <c r="H111" s="80"/>
      <c r="I111" s="80"/>
      <c r="J111" s="22"/>
      <c r="K111" s="22"/>
    </row>
    <row r="112" ht="13" customHeight="1">
      <c r="A112" s="22"/>
      <c r="B112" s="22"/>
      <c r="C112" s="22"/>
      <c r="D112" s="22"/>
      <c r="E112" s="22"/>
      <c r="F112" s="22"/>
      <c r="G112" s="80"/>
      <c r="H112" s="80"/>
      <c r="I112" s="80"/>
      <c r="J112" s="22"/>
      <c r="K112" s="22"/>
    </row>
    <row r="113" ht="13" customHeight="1">
      <c r="A113" s="22"/>
      <c r="B113" s="22"/>
      <c r="C113" s="22"/>
      <c r="D113" s="22"/>
      <c r="E113" s="22"/>
      <c r="F113" s="22"/>
      <c r="G113" s="80"/>
      <c r="H113" s="80"/>
      <c r="I113" s="80"/>
      <c r="J113" s="22"/>
      <c r="K113" s="22"/>
    </row>
    <row r="114" ht="13" customHeight="1">
      <c r="A114" s="22"/>
      <c r="B114" s="22"/>
      <c r="C114" s="22"/>
      <c r="D114" s="22"/>
      <c r="E114" s="22"/>
      <c r="F114" s="22"/>
      <c r="G114" s="80"/>
      <c r="H114" s="80"/>
      <c r="I114" s="80"/>
      <c r="J114" s="22"/>
      <c r="K114" s="22"/>
    </row>
    <row r="115" ht="13" customHeight="1">
      <c r="A115" s="22"/>
      <c r="B115" s="22"/>
      <c r="C115" s="22"/>
      <c r="D115" s="22"/>
      <c r="E115" s="22"/>
      <c r="F115" s="22"/>
      <c r="G115" s="80"/>
      <c r="H115" s="80"/>
      <c r="I115" s="80"/>
      <c r="J115" s="22"/>
      <c r="K115" s="22"/>
    </row>
    <row r="116" ht="13" customHeight="1">
      <c r="A116" s="22"/>
      <c r="B116" s="22"/>
      <c r="C116" s="22"/>
      <c r="D116" s="22"/>
      <c r="E116" s="22"/>
      <c r="F116" s="22"/>
      <c r="G116" s="80"/>
      <c r="H116" s="80"/>
      <c r="I116" s="80"/>
      <c r="J116" s="22"/>
      <c r="K116" s="22"/>
    </row>
    <row r="117" ht="13" customHeight="1">
      <c r="A117" s="22"/>
      <c r="B117" s="22"/>
      <c r="C117" s="22"/>
      <c r="D117" s="22"/>
      <c r="E117" s="22"/>
      <c r="F117" s="22"/>
      <c r="G117" s="80"/>
      <c r="H117" s="80"/>
      <c r="I117" s="80"/>
      <c r="J117" s="22"/>
      <c r="K117" s="22"/>
    </row>
    <row r="118" ht="13" customHeight="1">
      <c r="A118" s="22"/>
      <c r="B118" s="22"/>
      <c r="C118" s="22"/>
      <c r="D118" s="22"/>
      <c r="E118" s="22"/>
      <c r="F118" s="22"/>
      <c r="G118" s="80"/>
      <c r="H118" s="80"/>
      <c r="I118" s="80"/>
      <c r="J118" s="22"/>
      <c r="K118" s="22"/>
    </row>
  </sheetData>
  <pageMargins left="0.7" right="0.7" top="0.75" bottom="0.75" header="0.3" footer="0.3"/>
  <pageSetup firstPageNumber="1" fitToHeight="1" fitToWidth="1" scale="70" useFirstPageNumber="0" orientation="portrait" pageOrder="downThenOver"/>
  <headerFooter>
    <oddFooter>&amp;C&amp;"Helvetica,Regular"&amp;8&amp;K000000&amp;P
Oil Crops Yearbook/OCS-2018
March 2018
Economic Research Service, USDA</oddFooter>
  </headerFooter>
  <drawing r:id="rId1"/>
  <legacyDrawing r:id="rId2"/>
</worksheet>
</file>

<file path=xl/worksheets/sheet11.xml><?xml version="1.0" encoding="utf-8"?>
<worksheet xmlns:r="http://schemas.openxmlformats.org/officeDocument/2006/relationships" xmlns="http://schemas.openxmlformats.org/spreadsheetml/2006/main">
  <sheetPr>
    <pageSetUpPr fitToPage="1"/>
  </sheetPr>
  <dimension ref="A1:Q142"/>
  <sheetViews>
    <sheetView workbookViewId="0" showGridLines="0" defaultGridColor="1"/>
  </sheetViews>
  <sheetFormatPr defaultColWidth="9" defaultRowHeight="11.25" customHeight="1" outlineLevelRow="0" outlineLevelCol="0"/>
  <cols>
    <col min="1" max="1" width="13" style="86" customWidth="1"/>
    <col min="2" max="2" width="8.42188" style="86" customWidth="1"/>
    <col min="3" max="3" width="9" style="86" customWidth="1"/>
    <col min="4" max="5" width="8.42188" style="86" customWidth="1"/>
    <col min="6" max="6" width="9" style="86" customWidth="1"/>
    <col min="7" max="7" width="8.42188" style="86" customWidth="1"/>
    <col min="8" max="12" width="9" style="86" customWidth="1"/>
    <col min="13" max="13" width="9.60156" style="86" customWidth="1"/>
    <col min="14" max="14" width="9" style="86" customWidth="1"/>
    <col min="15" max="15" width="15.6016" style="86" customWidth="1"/>
    <col min="16" max="17" width="9" style="86" customWidth="1"/>
    <col min="18" max="256" width="9" style="86" customWidth="1"/>
  </cols>
  <sheetData>
    <row r="1" ht="13" customHeight="1">
      <c r="A1" t="s" s="20">
        <v>225</v>
      </c>
      <c r="B1" s="21"/>
      <c r="C1" s="21"/>
      <c r="D1" s="21"/>
      <c r="E1" s="21"/>
      <c r="F1" s="21"/>
      <c r="G1" s="21"/>
      <c r="H1" s="21"/>
      <c r="I1" s="21"/>
      <c r="J1" s="21"/>
      <c r="K1" s="21"/>
      <c r="L1" s="21"/>
      <c r="M1" s="21"/>
      <c r="N1" s="21"/>
      <c r="O1" s="21"/>
      <c r="P1" s="22"/>
      <c r="Q1" s="22"/>
    </row>
    <row r="2" ht="13" customHeight="1">
      <c r="A2" s="25"/>
      <c r="B2" s="25"/>
      <c r="C2" s="25"/>
      <c r="D2" s="25"/>
      <c r="E2" s="25"/>
      <c r="F2" s="25"/>
      <c r="G2" s="25"/>
      <c r="H2" s="25"/>
      <c r="I2" s="25"/>
      <c r="J2" s="25"/>
      <c r="K2" s="25"/>
      <c r="L2" s="25"/>
      <c r="M2" s="25"/>
      <c r="N2" s="67"/>
      <c r="O2" t="s" s="58">
        <v>119</v>
      </c>
      <c r="P2" s="42"/>
      <c r="Q2" s="22"/>
    </row>
    <row r="3" ht="13" customHeight="1">
      <c r="A3" t="s" s="28">
        <v>60</v>
      </c>
      <c r="B3" s="22"/>
      <c r="C3" s="22"/>
      <c r="D3" s="22"/>
      <c r="E3" s="22"/>
      <c r="F3" s="22"/>
      <c r="G3" s="22"/>
      <c r="H3" s="22"/>
      <c r="I3" s="22"/>
      <c r="J3" s="22"/>
      <c r="K3" s="22"/>
      <c r="L3" s="22"/>
      <c r="M3" s="22"/>
      <c r="N3" t="s" s="26">
        <v>226</v>
      </c>
      <c r="O3" t="s" s="26">
        <v>227</v>
      </c>
      <c r="P3" s="42"/>
      <c r="Q3" s="22"/>
    </row>
    <row r="4" ht="13" customHeight="1">
      <c r="A4" t="s" s="28">
        <v>120</v>
      </c>
      <c r="B4" s="21"/>
      <c r="C4" s="38"/>
      <c r="D4" s="69"/>
      <c r="E4" s="21"/>
      <c r="F4" t="s" s="39">
        <v>228</v>
      </c>
      <c r="G4" s="38"/>
      <c r="H4" s="38"/>
      <c r="I4" s="38"/>
      <c r="J4" s="38"/>
      <c r="K4" t="s" s="59">
        <v>30</v>
      </c>
      <c r="L4" t="s" s="37">
        <v>229</v>
      </c>
      <c r="M4" s="38"/>
      <c r="N4" t="s" s="59">
        <v>230</v>
      </c>
      <c r="O4" t="s" s="59">
        <v>231</v>
      </c>
      <c r="P4" s="42"/>
      <c r="Q4" s="22"/>
    </row>
    <row r="5" ht="13" customHeight="1">
      <c r="A5" t="s" s="28">
        <v>125</v>
      </c>
      <c r="B5" s="67"/>
      <c r="C5" t="s" s="24">
        <v>232</v>
      </c>
      <c r="D5" s="57"/>
      <c r="E5" s="67"/>
      <c r="F5" t="s" s="24">
        <v>233</v>
      </c>
      <c r="G5" s="57"/>
      <c r="H5" s="67"/>
      <c r="I5" t="s" s="26">
        <v>234</v>
      </c>
      <c r="J5" s="27"/>
      <c r="K5" t="s" s="59">
        <v>235</v>
      </c>
      <c r="L5" t="s" s="26">
        <v>236</v>
      </c>
      <c r="M5" t="s" s="26">
        <v>236</v>
      </c>
      <c r="N5" t="s" s="59">
        <v>237</v>
      </c>
      <c r="O5" t="s" s="59">
        <v>238</v>
      </c>
      <c r="P5" s="42"/>
      <c r="Q5" s="22"/>
    </row>
    <row r="6" ht="13" customHeight="1">
      <c r="A6" s="21"/>
      <c r="B6" t="s" s="24">
        <v>63</v>
      </c>
      <c r="C6" t="s" s="24">
        <v>239</v>
      </c>
      <c r="D6" t="s" s="24">
        <v>65</v>
      </c>
      <c r="E6" t="s" s="24">
        <v>63</v>
      </c>
      <c r="F6" t="s" s="24">
        <v>240</v>
      </c>
      <c r="G6" t="s" s="24">
        <v>65</v>
      </c>
      <c r="H6" t="s" s="24">
        <v>63</v>
      </c>
      <c r="I6" t="s" s="39">
        <v>241</v>
      </c>
      <c r="J6" t="s" s="37">
        <v>65</v>
      </c>
      <c r="K6" s="21"/>
      <c r="L6" t="s" s="39">
        <v>242</v>
      </c>
      <c r="M6" t="s" s="39">
        <v>243</v>
      </c>
      <c r="N6" t="s" s="39">
        <v>244</v>
      </c>
      <c r="O6" t="s" s="59">
        <v>245</v>
      </c>
      <c r="P6" s="42"/>
      <c r="Q6" s="22"/>
    </row>
    <row r="7" ht="12" customHeight="1">
      <c r="A7" s="25"/>
      <c r="B7" t="s" s="26">
        <v>246</v>
      </c>
      <c r="C7" t="s" s="26">
        <v>247</v>
      </c>
      <c r="D7" t="s" s="26">
        <v>248</v>
      </c>
      <c r="E7" t="s" s="26">
        <v>246</v>
      </c>
      <c r="F7" t="s" s="40">
        <v>249</v>
      </c>
      <c r="G7" s="27"/>
      <c r="H7" t="s" s="26">
        <v>246</v>
      </c>
      <c r="I7" t="s" s="26">
        <v>154</v>
      </c>
      <c r="J7" t="s" s="26">
        <v>248</v>
      </c>
      <c r="K7" t="s" s="26">
        <v>250</v>
      </c>
      <c r="L7" t="s" s="40">
        <v>251</v>
      </c>
      <c r="M7" s="27"/>
      <c r="N7" t="s" s="40">
        <v>252</v>
      </c>
      <c r="O7" s="42"/>
      <c r="P7" s="42"/>
      <c r="Q7" s="22"/>
    </row>
    <row r="8" ht="12" customHeight="1">
      <c r="A8" s="22"/>
      <c r="B8" s="42"/>
      <c r="C8" s="42"/>
      <c r="D8" s="42"/>
      <c r="E8" s="42"/>
      <c r="F8" s="42"/>
      <c r="G8" s="42"/>
      <c r="H8" s="42"/>
      <c r="I8" s="42"/>
      <c r="J8" s="42"/>
      <c r="K8" s="42"/>
      <c r="L8" s="42"/>
      <c r="M8" s="42"/>
      <c r="N8" s="42"/>
      <c r="O8" s="42"/>
      <c r="P8" s="22"/>
      <c r="Q8" s="22"/>
    </row>
    <row r="9" ht="13" customHeight="1">
      <c r="A9" t="s" s="28">
        <v>253</v>
      </c>
      <c r="B9" s="87">
        <v>11.2266666666667</v>
      </c>
      <c r="C9" s="87">
        <v>21.31</v>
      </c>
      <c r="D9" s="87">
        <f>(B9*C9)/100</f>
        <v>2.39240266666667</v>
      </c>
      <c r="E9" s="87">
        <v>47.4725</v>
      </c>
      <c r="F9" s="87">
        <v>168.49</v>
      </c>
      <c r="G9" s="87">
        <f>E9*F9/2000</f>
        <v>3.9993207625</v>
      </c>
      <c r="H9" t="s" s="47">
        <v>167</v>
      </c>
      <c r="I9" t="s" s="47">
        <v>167</v>
      </c>
      <c r="J9" t="s" s="47">
        <v>167</v>
      </c>
      <c r="K9" s="87">
        <f>D9+G9</f>
        <v>6.39172342916667</v>
      </c>
      <c r="L9" s="87">
        <f>D9/K9</f>
        <v>0.374296962811262</v>
      </c>
      <c r="M9" s="87">
        <f>G9/K9</f>
        <v>0.625703037188738</v>
      </c>
      <c r="N9" s="87">
        <v>5.9</v>
      </c>
      <c r="O9" s="88">
        <f>K9-N9</f>
        <v>0.49172342916667</v>
      </c>
      <c r="P9" s="22"/>
      <c r="Q9" s="22"/>
    </row>
    <row r="10" ht="13" customHeight="1">
      <c r="A10" t="s" s="28">
        <v>254</v>
      </c>
      <c r="B10" s="87">
        <v>11.4158333333333</v>
      </c>
      <c r="C10" s="87">
        <v>19.31</v>
      </c>
      <c r="D10" s="87">
        <f>(B10*C10)/100</f>
        <v>2.20439741666666</v>
      </c>
      <c r="E10" s="87">
        <v>47.5071709612446</v>
      </c>
      <c r="F10" s="87">
        <v>177.7</v>
      </c>
      <c r="G10" s="87">
        <f>E10*F10/2000</f>
        <v>4.22101213990658</v>
      </c>
      <c r="H10" t="s" s="47">
        <v>167</v>
      </c>
      <c r="I10" t="s" s="47">
        <v>167</v>
      </c>
      <c r="J10" t="s" s="47">
        <v>167</v>
      </c>
      <c r="K10" s="87">
        <f>D10+G10</f>
        <v>6.42540955657324</v>
      </c>
      <c r="L10" s="87">
        <f>D10/K10</f>
        <v>0.343075005142909</v>
      </c>
      <c r="M10" s="87">
        <f>G10/K10</f>
        <v>0.656924994857091</v>
      </c>
      <c r="N10" s="87">
        <v>5.84</v>
      </c>
      <c r="O10" s="88">
        <f>K10-N10</f>
        <v>0.58540955657324</v>
      </c>
      <c r="P10" s="22"/>
      <c r="Q10" s="22"/>
    </row>
    <row r="11" ht="10.15" customHeight="1">
      <c r="A11" t="s" s="28">
        <v>255</v>
      </c>
      <c r="B11" s="87">
        <v>10.845</v>
      </c>
      <c r="C11" s="87">
        <v>21.01</v>
      </c>
      <c r="D11" s="87">
        <f>(B11*C11)/100</f>
        <v>2.2785345</v>
      </c>
      <c r="E11" s="87">
        <v>47.538416188867</v>
      </c>
      <c r="F11" s="87">
        <v>180.8</v>
      </c>
      <c r="G11" s="87">
        <f>E11*F11/2000</f>
        <v>4.29747282347358</v>
      </c>
      <c r="H11" t="s" s="47">
        <v>167</v>
      </c>
      <c r="I11" t="s" s="47">
        <v>167</v>
      </c>
      <c r="J11" t="s" s="47">
        <v>167</v>
      </c>
      <c r="K11" s="87">
        <f>D11+G11</f>
        <v>6.57600732347358</v>
      </c>
      <c r="L11" s="87">
        <f>D11/K11</f>
        <v>0.346492086750967</v>
      </c>
      <c r="M11" s="87">
        <f>G11/K11</f>
        <v>0.653507913249033</v>
      </c>
      <c r="N11" s="87">
        <v>5.95</v>
      </c>
      <c r="O11" s="88">
        <f>K11-N11</f>
        <v>0.62600732347358</v>
      </c>
      <c r="P11" s="22"/>
      <c r="Q11" s="22"/>
    </row>
    <row r="12" ht="10.15" customHeight="1">
      <c r="A12" t="s" s="28">
        <v>256</v>
      </c>
      <c r="B12" s="87">
        <f>13861008/1275648</f>
        <v>10.8658564118001</v>
      </c>
      <c r="C12" s="87">
        <v>26.74</v>
      </c>
      <c r="D12" s="87">
        <f>(B12*C12)/100</f>
        <v>2.90553000451535</v>
      </c>
      <c r="E12" s="87">
        <f>(30370.2*2000)/1275648</f>
        <v>47.6153296207104</v>
      </c>
      <c r="F12" s="87">
        <v>182.65</v>
      </c>
      <c r="G12" s="87">
        <f>E12*F12/2000</f>
        <v>4.34846997761138</v>
      </c>
      <c r="H12" t="s" s="47">
        <v>167</v>
      </c>
      <c r="I12" t="s" s="47">
        <v>167</v>
      </c>
      <c r="J12" t="s" s="47">
        <v>167</v>
      </c>
      <c r="K12" s="87">
        <f>D12+G12</f>
        <v>7.25399998212673</v>
      </c>
      <c r="L12" s="87">
        <f>D12/K12</f>
        <v>0.400541771667265</v>
      </c>
      <c r="M12" s="87">
        <f>G12/K12</f>
        <v>0.599458228332735</v>
      </c>
      <c r="N12" s="87">
        <v>6.59</v>
      </c>
      <c r="O12" s="88">
        <f>K12-N12</f>
        <v>0.6639999821267299</v>
      </c>
      <c r="P12" s="22"/>
      <c r="Q12" s="22"/>
    </row>
    <row r="13" ht="13" customHeight="1">
      <c r="A13" t="s" s="28">
        <v>257</v>
      </c>
      <c r="B13" s="87">
        <f>15572418/1405156</f>
        <v>11.0823410354438</v>
      </c>
      <c r="C13" s="87">
        <v>27.5</v>
      </c>
      <c r="D13" s="87">
        <f>(B13*C13)/100</f>
        <v>3.04764378474705</v>
      </c>
      <c r="E13" s="87">
        <f>(33250.7*2000)/1405156</f>
        <v>47.3267025155926</v>
      </c>
      <c r="F13" s="87">
        <v>151.77</v>
      </c>
      <c r="G13" s="87">
        <f>E13*F13/2000</f>
        <v>3.59138682039574</v>
      </c>
      <c r="H13" t="s" s="47">
        <v>167</v>
      </c>
      <c r="I13" t="s" s="47">
        <v>167</v>
      </c>
      <c r="J13" t="s" s="47">
        <v>167</v>
      </c>
      <c r="K13" s="87">
        <f>D13+G13</f>
        <v>6.63903060514279</v>
      </c>
      <c r="L13" s="87">
        <f>D13/K13</f>
        <v>0.459049515811277</v>
      </c>
      <c r="M13" s="87">
        <f>G13/K13</f>
        <v>0.540950484188723</v>
      </c>
      <c r="N13" s="87">
        <v>5.73</v>
      </c>
      <c r="O13" s="88">
        <f>K13-N13</f>
        <v>0.90903060514279</v>
      </c>
      <c r="P13" s="22"/>
      <c r="Q13" s="22"/>
    </row>
    <row r="14" ht="13" customHeight="1">
      <c r="A14" t="s" s="28">
        <v>258</v>
      </c>
      <c r="B14" s="87">
        <f>(15275787*60)/(41086.224*2000)</f>
        <v>11.1539480970556</v>
      </c>
      <c r="C14" s="87">
        <v>24.9</v>
      </c>
      <c r="D14" s="87">
        <f>(B14*C14)/100</f>
        <v>2.77733307616684</v>
      </c>
      <c r="E14" s="87">
        <f>(30333276+2325473)*60/41086224</f>
        <v>47.6929916947345</v>
      </c>
      <c r="F14" s="87">
        <v>217.27</v>
      </c>
      <c r="G14" s="87">
        <f>E14*F14/2000</f>
        <v>5.18112815275748</v>
      </c>
      <c r="H14" t="s" s="47">
        <v>167</v>
      </c>
      <c r="I14" t="s" s="47">
        <v>167</v>
      </c>
      <c r="J14" t="s" s="47">
        <v>167</v>
      </c>
      <c r="K14" s="87">
        <f>D14+G14</f>
        <v>7.95846122892432</v>
      </c>
      <c r="L14" s="87">
        <f>D14/K14</f>
        <v>0.348978652565759</v>
      </c>
      <c r="M14" s="87">
        <f>G14/K14</f>
        <v>0.651021347434241</v>
      </c>
      <c r="N14" s="87">
        <v>7.39</v>
      </c>
      <c r="O14" s="88">
        <f>K14-N14</f>
        <v>0.5684612289243201</v>
      </c>
      <c r="P14" s="22"/>
      <c r="Q14" s="22"/>
    </row>
    <row r="15" ht="13" customHeight="1">
      <c r="A15" t="s" s="28">
        <v>259</v>
      </c>
      <c r="B15" s="87">
        <f>(15664400*60)/(43078.871*2000)</f>
        <v>10.908642429371</v>
      </c>
      <c r="C15" s="87">
        <v>22.6</v>
      </c>
      <c r="D15" s="87">
        <f>(B15*C15)/100</f>
        <v>2.46535318903785</v>
      </c>
      <c r="E15" s="87">
        <f>(31680021+2326505)*60/43078871</f>
        <v>47.3640908555844</v>
      </c>
      <c r="F15" s="87">
        <v>260.38</v>
      </c>
      <c r="G15" s="87">
        <f>E15*F15/2000</f>
        <v>6.16633098848853</v>
      </c>
      <c r="H15" t="s" s="47">
        <v>167</v>
      </c>
      <c r="I15" t="s" s="47">
        <v>167</v>
      </c>
      <c r="J15" t="s" s="47">
        <v>167</v>
      </c>
      <c r="K15" s="87">
        <f>D15+G15</f>
        <v>8.631684177526379</v>
      </c>
      <c r="L15" s="87">
        <f>D15/K15</f>
        <v>0.28561670449629</v>
      </c>
      <c r="M15" s="87">
        <f>G15/K15</f>
        <v>0.71438329550371</v>
      </c>
      <c r="N15" s="87">
        <v>7.8</v>
      </c>
      <c r="O15" s="88">
        <f>K15-N15</f>
        <v>0.83168417752638</v>
      </c>
      <c r="P15" s="22"/>
      <c r="Q15" s="22"/>
    </row>
    <row r="16" ht="13" customHeight="1">
      <c r="A16" t="s" s="28">
        <v>260</v>
      </c>
      <c r="B16" s="87">
        <f>(17963296*60)/(47909.41*2000)</f>
        <v>11.2482888017197</v>
      </c>
      <c r="C16" s="87">
        <v>25.65</v>
      </c>
      <c r="D16" s="87">
        <f>(B16*C16)/100</f>
        <v>2.8851860776411</v>
      </c>
      <c r="E16" s="87">
        <f>(35243382+2613338)*60/47909410</f>
        <v>47.4103772098216</v>
      </c>
      <c r="F16" s="87">
        <v>186.55</v>
      </c>
      <c r="G16" s="87">
        <f>E16*F16/2000</f>
        <v>4.42220293424611</v>
      </c>
      <c r="H16" t="s" s="47">
        <v>167</v>
      </c>
      <c r="I16" t="s" s="47">
        <v>167</v>
      </c>
      <c r="J16" t="s" s="47">
        <v>167</v>
      </c>
      <c r="K16" s="87">
        <f>D16+G16</f>
        <v>7.30738901188721</v>
      </c>
      <c r="L16" s="87">
        <f>D16/K16</f>
        <v>0.394831323876101</v>
      </c>
      <c r="M16" s="87">
        <f>G16/K16</f>
        <v>0.605168676123899</v>
      </c>
      <c r="N16" s="87">
        <v>6.64</v>
      </c>
      <c r="O16" s="88">
        <f>K16-N16</f>
        <v>0.66738901188721</v>
      </c>
      <c r="P16" s="22"/>
      <c r="Q16" s="22"/>
    </row>
    <row r="17" ht="13" customHeight="1">
      <c r="A17" t="s" s="28">
        <v>261</v>
      </c>
      <c r="B17" s="87">
        <f>(17960000*60)/(47693.6*2000)</f>
        <v>11.2971132395122</v>
      </c>
      <c r="C17" s="87">
        <v>20.49</v>
      </c>
      <c r="D17" s="87">
        <f>(B17*C17)/100</f>
        <v>2.31477850277605</v>
      </c>
      <c r="E17" s="87">
        <f>(35050200+2509215)*60/47693600</f>
        <v>47.2508869114514</v>
      </c>
      <c r="F17" s="87">
        <v>130.56</v>
      </c>
      <c r="G17" s="87">
        <f>E17*F17/2000</f>
        <v>3.08453789757955</v>
      </c>
      <c r="H17" t="s" s="47">
        <v>167</v>
      </c>
      <c r="I17" t="s" s="47">
        <v>167</v>
      </c>
      <c r="J17" t="s" s="47">
        <v>167</v>
      </c>
      <c r="K17" s="87">
        <f>D17+G17</f>
        <v>5.3993164003556</v>
      </c>
      <c r="L17" s="87">
        <f>D17/K17</f>
        <v>0.428716958062246</v>
      </c>
      <c r="M17" s="87">
        <f>G17/K17</f>
        <v>0.571283041937754</v>
      </c>
      <c r="N17" s="87">
        <v>5</v>
      </c>
      <c r="O17" s="88">
        <f>K17-N17</f>
        <v>0.3993164003556</v>
      </c>
      <c r="P17" s="22"/>
      <c r="Q17" s="22"/>
    </row>
    <row r="18" ht="13" customHeight="1">
      <c r="A18" t="s" s="28">
        <v>262</v>
      </c>
      <c r="B18" s="87">
        <f>(17887147*60)/(47319.5*2000)</f>
        <v>11.3402383795264</v>
      </c>
      <c r="C18" s="87">
        <v>15.81</v>
      </c>
      <c r="D18" s="87">
        <f>(B18*C18)/100</f>
        <v>1.79289168780312</v>
      </c>
      <c r="E18" s="87">
        <f>(34950200+2719091)*60/47319500</f>
        <v>47.7637646213506</v>
      </c>
      <c r="F18" s="87">
        <v>158.04</v>
      </c>
      <c r="G18" s="87">
        <f>E18*F18/2000</f>
        <v>3.77429268037912</v>
      </c>
      <c r="H18" t="s" s="47">
        <v>167</v>
      </c>
      <c r="I18" t="s" s="47">
        <v>167</v>
      </c>
      <c r="J18" t="s" s="47">
        <v>167</v>
      </c>
      <c r="K18" s="87">
        <f>D18+G18</f>
        <v>5.56718436818224</v>
      </c>
      <c r="L18" s="87">
        <f>G18/K18</f>
        <v>0.677953599300588</v>
      </c>
      <c r="M18" s="87">
        <f>D18/K18</f>
        <v>0.322046400699412</v>
      </c>
      <c r="N18" s="87">
        <v>4.9025</v>
      </c>
      <c r="O18" s="88">
        <f>K18-N18</f>
        <v>0.66468436818224</v>
      </c>
      <c r="P18" s="22"/>
      <c r="Q18" s="22"/>
    </row>
    <row r="19" ht="13" customHeight="1">
      <c r="A19" t="s" s="28">
        <v>37</v>
      </c>
      <c r="B19" s="87">
        <f>(18433200*60)/(49189.1*2000)</f>
        <v>11.2422467579199</v>
      </c>
      <c r="C19" s="87">
        <v>13.99</v>
      </c>
      <c r="D19" s="87">
        <f>(B19*C19)/100</f>
        <v>1.57279032143299</v>
      </c>
      <c r="E19" s="87">
        <f>(36703167+2694848)*60/49189100</f>
        <v>48.0570065319349</v>
      </c>
      <c r="F19" s="87">
        <v>165.6</v>
      </c>
      <c r="G19" s="87">
        <f>E19*F19/2000</f>
        <v>3.97912014084421</v>
      </c>
      <c r="H19" t="s" s="47">
        <v>167</v>
      </c>
      <c r="I19" t="s" s="47">
        <v>167</v>
      </c>
      <c r="J19" t="s" s="47">
        <v>167</v>
      </c>
      <c r="K19" s="87">
        <f>D19+G19</f>
        <v>5.5519104622772</v>
      </c>
      <c r="L19" s="87">
        <f>D19/K19</f>
        <v>0.283288127955127</v>
      </c>
      <c r="M19" s="87">
        <f>G19/K19</f>
        <v>0.716711872044873</v>
      </c>
      <c r="N19" s="87">
        <v>4.77083333333333</v>
      </c>
      <c r="O19" s="88">
        <f>K19-N19</f>
        <v>0.78107712894387</v>
      </c>
      <c r="P19" s="89"/>
      <c r="Q19" s="88"/>
    </row>
    <row r="20" ht="13" customHeight="1">
      <c r="A20" t="s" s="28">
        <v>38</v>
      </c>
      <c r="B20" s="87">
        <f>(18936905*60)/(50992.002*2000)</f>
        <v>11.1411030694578</v>
      </c>
      <c r="C20" s="87">
        <v>16.05</v>
      </c>
      <c r="D20" s="87">
        <f>(B20*C20)/100</f>
        <v>1.78814704264798</v>
      </c>
      <c r="E20" s="87">
        <f>(37624201)*60/50992002</f>
        <v>44.2707085711206</v>
      </c>
      <c r="F20" s="87">
        <v>166.56</v>
      </c>
      <c r="G20" s="87">
        <f>E20*F20/2000</f>
        <v>3.68686460980292</v>
      </c>
      <c r="H20" s="89">
        <f>(2833142*60)/50992002</f>
        <v>3.33363102707754</v>
      </c>
      <c r="I20" s="89">
        <v>61.3325</v>
      </c>
      <c r="J20" s="89">
        <f>H20*I20/2000</f>
        <v>0.102229962484117</v>
      </c>
      <c r="K20" s="87">
        <f>D20+G20+J20</f>
        <v>5.57724161493502</v>
      </c>
      <c r="L20" s="87">
        <f>D20/K20</f>
        <v>0.320614950203984</v>
      </c>
      <c r="M20" s="87">
        <f>(G20+J20)/K20</f>
        <v>0.679385049796015</v>
      </c>
      <c r="N20" s="87">
        <v>4.78583333333333</v>
      </c>
      <c r="O20" s="88">
        <f>K20-N20</f>
        <v>0.79140828160169</v>
      </c>
      <c r="P20" s="22"/>
      <c r="Q20" s="22"/>
    </row>
    <row r="21" ht="13" customHeight="1">
      <c r="A21" t="s" s="28">
        <v>39</v>
      </c>
      <c r="B21" s="87">
        <f>(18406694*60)/(48463.925*2000)</f>
        <v>11.3940589830477</v>
      </c>
      <c r="C21" s="87">
        <v>21.8</v>
      </c>
      <c r="D21" s="87">
        <f>(B21*C21)/100</f>
        <v>2.4839048583044</v>
      </c>
      <c r="E21" s="87">
        <f>(35460773*60)/48463925</f>
        <v>43.9016522083178</v>
      </c>
      <c r="F21" s="87">
        <v>178.87</v>
      </c>
      <c r="G21" s="87">
        <f>E21*F21/2000</f>
        <v>3.9263442652509</v>
      </c>
      <c r="H21" s="89">
        <f>(2639934*60)/48463925</f>
        <v>3.26832876206374</v>
      </c>
      <c r="I21" s="89">
        <v>66.0025</v>
      </c>
      <c r="J21" s="89">
        <f>H21*I21/2000</f>
        <v>0.107858934559056</v>
      </c>
      <c r="K21" s="87">
        <f>D21+G21+J21</f>
        <v>6.51810805811436</v>
      </c>
      <c r="L21" s="87">
        <f>D21/K21</f>
        <v>0.381077582046557</v>
      </c>
      <c r="M21" s="87">
        <f>(G21+J21)/K21</f>
        <v>0.6189224179534421</v>
      </c>
      <c r="N21" s="87">
        <v>5.8975</v>
      </c>
      <c r="O21" s="88">
        <f>K21-N21</f>
        <v>0.62060805811436</v>
      </c>
      <c r="P21" s="22"/>
      <c r="Q21" s="22"/>
    </row>
    <row r="22" ht="13" customHeight="1">
      <c r="A22" t="s" s="28">
        <v>40</v>
      </c>
      <c r="B22" s="87">
        <f>(17134534*60)/(45892.321*2000)</f>
        <v>11.2009157261843</v>
      </c>
      <c r="C22" s="87">
        <v>29.74</v>
      </c>
      <c r="D22" s="87">
        <f>(B22*C22)/100</f>
        <v>3.33115233696721</v>
      </c>
      <c r="E22" s="87">
        <f>(33896303*60)/45892321</f>
        <v>44.3163068610106</v>
      </c>
      <c r="F22" s="87">
        <v>259.59</v>
      </c>
      <c r="G22" s="87">
        <f>E22*F22/2000</f>
        <v>5.75203504902487</v>
      </c>
      <c r="H22" s="89">
        <f>(2578876*60)/45892321</f>
        <v>3.37164380942947</v>
      </c>
      <c r="I22" s="89">
        <v>77.33499999999999</v>
      </c>
      <c r="J22" s="89">
        <f>H22*I22/2000</f>
        <v>0.130373037001114</v>
      </c>
      <c r="K22" s="87">
        <f>D22+G22+J22</f>
        <v>9.21356042299319</v>
      </c>
      <c r="L22" s="87">
        <f>D22/K22</f>
        <v>0.361548867542459</v>
      </c>
      <c r="M22" s="87">
        <f>(G22+J22)/K22</f>
        <v>0.638451132457541</v>
      </c>
      <c r="N22" s="87">
        <v>8.21916666666667</v>
      </c>
      <c r="O22" s="88">
        <f>K22-N22</f>
        <v>0.9943937563265201</v>
      </c>
      <c r="P22" s="22"/>
      <c r="Q22" s="22"/>
    </row>
    <row r="23" ht="13" customHeight="1">
      <c r="A23" t="s" s="28">
        <v>41</v>
      </c>
      <c r="B23" s="87">
        <f>(19223995*60)/(50897.425*2000)</f>
        <v>11.3310221489594</v>
      </c>
      <c r="C23" s="87">
        <v>23.24</v>
      </c>
      <c r="D23" s="87">
        <f>(B23*C23)/100</f>
        <v>2.63332954741816</v>
      </c>
      <c r="E23" s="87">
        <f>(37548458*60)/50897425</f>
        <v>44.2636828876903</v>
      </c>
      <c r="F23" s="87">
        <v>182.913333333333</v>
      </c>
      <c r="G23" s="87">
        <f>E23*F23/2000</f>
        <v>4.04820889129852</v>
      </c>
      <c r="H23" s="89">
        <f>(2895378*60)/50897425</f>
        <v>3.41319192473883</v>
      </c>
      <c r="I23" s="89">
        <v>56.5316666666667</v>
      </c>
      <c r="J23" s="89">
        <f>H23*I23/2000</f>
        <v>0.09647671407934701</v>
      </c>
      <c r="K23" s="87">
        <f>D23+G23+J23</f>
        <v>6.77801515279603</v>
      </c>
      <c r="L23" s="87">
        <f>D23/K23</f>
        <v>0.388510424962959</v>
      </c>
      <c r="M23" s="87">
        <f>(G23+J23)/K23</f>
        <v>0.611489575037041</v>
      </c>
      <c r="N23" s="87">
        <v>5.98333333333333</v>
      </c>
      <c r="O23" s="88">
        <f>K23-N23</f>
        <v>0.7946818194627</v>
      </c>
      <c r="P23" s="88"/>
      <c r="Q23" s="22"/>
    </row>
    <row r="24" ht="13" customHeight="1">
      <c r="A24" t="s" s="28">
        <v>42</v>
      </c>
      <c r="B24" s="87">
        <f>(20237322*60)/(52165.552*2000)</f>
        <v>11.6383252304126</v>
      </c>
      <c r="C24" s="87">
        <v>23.38</v>
      </c>
      <c r="D24" s="87">
        <f>(B24*C24)/100</f>
        <v>2.72104043887047</v>
      </c>
      <c r="E24" s="87">
        <f>(38111108*60)/52165552</f>
        <v>43.8347988726353</v>
      </c>
      <c r="F24" s="87">
        <v>174.71</v>
      </c>
      <c r="G24" s="87">
        <f>E24*F24/2000</f>
        <v>3.82918885551906</v>
      </c>
      <c r="H24" s="89">
        <f>(2935377*60)/52165552</f>
        <v>3.37622460124643</v>
      </c>
      <c r="I24" s="89">
        <v>68.98999999999999</v>
      </c>
      <c r="J24" s="89">
        <f>H24*I24/2000</f>
        <v>0.116462867619996</v>
      </c>
      <c r="K24" s="87">
        <f>D24+G24+J24</f>
        <v>6.66669216200953</v>
      </c>
      <c r="L24" s="87">
        <f>D24/K24</f>
        <v>0.408154504924714</v>
      </c>
      <c r="M24" s="87">
        <f>(G24+J24)/K24</f>
        <v>0.5918454950752861</v>
      </c>
      <c r="N24" s="87">
        <v>5.7</v>
      </c>
      <c r="O24" s="88">
        <f>K24-N24</f>
        <v>0.96669216200953</v>
      </c>
      <c r="P24" s="22"/>
      <c r="Q24" s="22"/>
    </row>
    <row r="25" ht="13" customHeight="1">
      <c r="A25" s="22"/>
      <c r="B25" s="87"/>
      <c r="C25" s="87"/>
      <c r="D25" s="87"/>
      <c r="E25" s="87"/>
      <c r="F25" s="87"/>
      <c r="G25" s="87"/>
      <c r="H25" s="89"/>
      <c r="I25" s="89"/>
      <c r="J25" s="89"/>
      <c r="K25" s="87"/>
      <c r="L25" s="87"/>
      <c r="M25" s="87"/>
      <c r="N25" s="87"/>
      <c r="O25" s="88"/>
      <c r="P25" s="22"/>
      <c r="Q25" s="22"/>
    </row>
    <row r="26" ht="13" customHeight="1">
      <c r="A26" t="s" s="28">
        <v>43</v>
      </c>
      <c r="B26" s="87"/>
      <c r="C26" s="87"/>
      <c r="D26" s="89"/>
      <c r="E26" s="87"/>
      <c r="F26" s="87"/>
      <c r="G26" s="87"/>
      <c r="H26" s="89"/>
      <c r="I26" s="89"/>
      <c r="J26" s="89"/>
      <c r="K26" s="87"/>
      <c r="L26" s="87"/>
      <c r="M26" s="87"/>
      <c r="N26" s="87"/>
      <c r="O26" s="88"/>
      <c r="P26" s="22"/>
      <c r="Q26" s="22"/>
    </row>
    <row r="27" ht="13" customHeight="1">
      <c r="A27" t="s" s="28">
        <v>192</v>
      </c>
      <c r="B27" s="87">
        <f>(1684058*60)/(4270.987*2000)</f>
        <v>11.8290549701978</v>
      </c>
      <c r="C27" s="87">
        <v>23.54</v>
      </c>
      <c r="D27" s="87">
        <f>(B27*C27)/100</f>
        <v>2.78455953998456</v>
      </c>
      <c r="E27" s="87">
        <f>(3107826*60)/4270987</f>
        <v>43.6595943747897</v>
      </c>
      <c r="F27" s="87">
        <v>168.87</v>
      </c>
      <c r="G27" s="87">
        <f>E27*F27/2000</f>
        <v>3.68639785103537</v>
      </c>
      <c r="H27" s="89">
        <f>(246680*60)/4270987</f>
        <v>3.46542848292444</v>
      </c>
      <c r="I27" s="89">
        <v>80.13</v>
      </c>
      <c r="J27" s="89">
        <f>H27*I27/2000</f>
        <v>0.138842392168368</v>
      </c>
      <c r="K27" s="87">
        <f>D27+G27+J27</f>
        <v>6.6097997831883</v>
      </c>
      <c r="L27" s="87">
        <f>D27/K27</f>
        <v>0.421277441272419</v>
      </c>
      <c r="M27" s="87">
        <f>(G27+J27)/K27</f>
        <v>0.57872255872758</v>
      </c>
      <c r="N27" s="87">
        <v>5.35</v>
      </c>
      <c r="O27" s="88">
        <f>K27-N27</f>
        <v>1.2597997831883</v>
      </c>
      <c r="P27" s="22"/>
      <c r="Q27" s="22"/>
    </row>
    <row r="28" ht="13" customHeight="1">
      <c r="A28" t="s" s="28">
        <v>193</v>
      </c>
      <c r="B28" s="87">
        <f>(1829500*60)/(4852.211*2000)</f>
        <v>11.3113382744485</v>
      </c>
      <c r="C28" s="87">
        <v>24.8</v>
      </c>
      <c r="D28" s="87">
        <f>(B28*C28)/100</f>
        <v>2.80521189206323</v>
      </c>
      <c r="E28" s="87">
        <f>(3560000*60)/4852211</f>
        <v>44.0211689062986</v>
      </c>
      <c r="F28" s="87">
        <v>177.71</v>
      </c>
      <c r="G28" s="87">
        <f>E28*F28/2000</f>
        <v>3.91150096316916</v>
      </c>
      <c r="H28" s="89">
        <f>(263200*60)/4852211</f>
        <v>3.25459877981399</v>
      </c>
      <c r="I28" s="89">
        <v>81.13</v>
      </c>
      <c r="J28" s="89">
        <f>H28*I28/2000</f>
        <v>0.132022799503155</v>
      </c>
      <c r="K28" s="87">
        <f>D28+G28+J28</f>
        <v>6.84873565473555</v>
      </c>
      <c r="L28" s="87">
        <f>D28/K28</f>
        <v>0.409595585737576</v>
      </c>
      <c r="M28" s="87">
        <f>(G28+J28)/K28</f>
        <v>0.590404414262423</v>
      </c>
      <c r="N28" s="87">
        <v>5.8</v>
      </c>
      <c r="O28" s="88">
        <f>K28-N28</f>
        <v>1.04873565473555</v>
      </c>
      <c r="P28" s="22"/>
      <c r="Q28" s="22"/>
    </row>
    <row r="29" ht="13" customHeight="1">
      <c r="A29" t="s" s="28">
        <v>194</v>
      </c>
      <c r="B29" s="87">
        <f>(1724959*60)/(4652.901*2000)</f>
        <v>11.1218291556171</v>
      </c>
      <c r="C29" s="87">
        <v>27.64</v>
      </c>
      <c r="D29" s="87">
        <f>(B29*C29)/100</f>
        <v>3.07407357861257</v>
      </c>
      <c r="E29" s="87">
        <f>(3411691*60)/4652901</f>
        <v>43.9943725430651</v>
      </c>
      <c r="F29" s="87">
        <v>190.67</v>
      </c>
      <c r="G29" s="87">
        <f>E29*F29/2000</f>
        <v>4.19420350639311</v>
      </c>
      <c r="H29" s="89">
        <f>(260253*60)/4652901</f>
        <v>3.35600950890638</v>
      </c>
      <c r="I29" s="89">
        <v>90.40000000000001</v>
      </c>
      <c r="J29" s="89">
        <f>H29*I29/2000</f>
        <v>0.151691629802568</v>
      </c>
      <c r="K29" s="87">
        <f>D29+G29+J29</f>
        <v>7.41996871480825</v>
      </c>
      <c r="L29" s="87">
        <f>D29/K29</f>
        <v>0.414297377356531</v>
      </c>
      <c r="M29" s="87">
        <f>(G29+J29)/K29</f>
        <v>0.585702622643468</v>
      </c>
      <c r="N29" s="87">
        <v>6.61</v>
      </c>
      <c r="O29" s="88">
        <f>K29-N29</f>
        <v>0.8099687148082499</v>
      </c>
      <c r="P29" s="22"/>
      <c r="Q29" s="22"/>
    </row>
    <row r="30" ht="13" customHeight="1">
      <c r="A30" t="s" s="28">
        <v>195</v>
      </c>
      <c r="B30" s="87">
        <f>(1771000*60)/(4714.486*2000)</f>
        <v>11.2695212160986</v>
      </c>
      <c r="C30" s="87">
        <v>27.63</v>
      </c>
      <c r="D30" s="87">
        <f>(B30*C30)/100</f>
        <v>3.11376871200804</v>
      </c>
      <c r="E30" s="87">
        <f>(3466300*60)/4714486</f>
        <v>44.1146712494215</v>
      </c>
      <c r="F30" s="87">
        <v>180.63</v>
      </c>
      <c r="G30" s="87">
        <f>E30*F30/2000</f>
        <v>3.9842165338915</v>
      </c>
      <c r="H30" s="89">
        <f>(266656*60)/4714486</f>
        <v>3.39365945725579</v>
      </c>
      <c r="I30" s="89">
        <v>125.75</v>
      </c>
      <c r="J30" s="89">
        <f>H30*I30/2000</f>
        <v>0.213376338374958</v>
      </c>
      <c r="K30" s="87">
        <f>D30+G30+J30</f>
        <v>7.3113615842745</v>
      </c>
      <c r="L30" s="87">
        <f>D30/K30</f>
        <v>0.425880826179522</v>
      </c>
      <c r="M30" s="87">
        <f>(G30+J30)/K30</f>
        <v>0.5741191738204779</v>
      </c>
      <c r="N30" s="87">
        <v>6.57</v>
      </c>
      <c r="O30" s="88">
        <f>K30-N30</f>
        <v>0.7413615842745001</v>
      </c>
      <c r="P30" s="22"/>
      <c r="Q30" s="22"/>
    </row>
    <row r="31" ht="13" customHeight="1">
      <c r="A31" t="s" s="28">
        <v>196</v>
      </c>
      <c r="B31" s="87">
        <f>(1746272*60)/(4659.544*2000)</f>
        <v>11.2431946130351</v>
      </c>
      <c r="C31" s="87">
        <v>28</v>
      </c>
      <c r="D31" s="87">
        <f>(B31*C31)/100</f>
        <v>3.14809449164983</v>
      </c>
      <c r="E31" s="87">
        <f>(3423956*60)/4659544</f>
        <v>44.0895847318965</v>
      </c>
      <c r="F31" s="87">
        <v>190.36</v>
      </c>
      <c r="G31" s="87">
        <f>E31*F31/2000</f>
        <v>4.19644667478191</v>
      </c>
      <c r="H31" s="89">
        <f>(269336*60)/4659544</f>
        <v>3.46818486959239</v>
      </c>
      <c r="I31" s="89">
        <v>122.13</v>
      </c>
      <c r="J31" s="89">
        <f>H31*I31/2000</f>
        <v>0.211784709061659</v>
      </c>
      <c r="K31" s="87">
        <f>D31+G31+J31</f>
        <v>7.5563258754934</v>
      </c>
      <c r="L31" s="87">
        <f>D31/K31</f>
        <v>0.416617089246997</v>
      </c>
      <c r="M31" s="87">
        <f>(G31+J31)/K31</f>
        <v>0.583382910753002</v>
      </c>
      <c r="N31" s="87">
        <v>6.83</v>
      </c>
      <c r="O31" s="88">
        <f>K31-N31</f>
        <v>0.7263258754934</v>
      </c>
      <c r="P31" s="22"/>
      <c r="Q31" s="22"/>
    </row>
    <row r="32" ht="13" customHeight="1">
      <c r="A32" t="s" s="28">
        <v>197</v>
      </c>
      <c r="B32" s="87">
        <f>(1547206*60)/(4102.777*2000)</f>
        <v>11.3133567824915</v>
      </c>
      <c r="C32" s="87">
        <v>28.94</v>
      </c>
      <c r="D32" s="87">
        <f>(B32*C32)/100</f>
        <v>3.27408545285304</v>
      </c>
      <c r="E32" s="87">
        <f>(3013821*60)/4102777</f>
        <v>44.0748449160166</v>
      </c>
      <c r="F32" s="87">
        <v>208.81</v>
      </c>
      <c r="G32" s="87">
        <f>E32*F32/2000</f>
        <v>4.60163418345671</v>
      </c>
      <c r="H32" s="89">
        <f>(238787*60)/4102777</f>
        <v>3.49207865794314</v>
      </c>
      <c r="I32" s="89">
        <v>109.21</v>
      </c>
      <c r="J32" s="89">
        <f>H32*I32/2000</f>
        <v>0.190684955116985</v>
      </c>
      <c r="K32" s="87">
        <f>D32+G32+J32</f>
        <v>8.066404591426741</v>
      </c>
      <c r="L32" s="87">
        <f>D32/K32</f>
        <v>0.405891548798935</v>
      </c>
      <c r="M32" s="87">
        <f>(G32+J32)/K32</f>
        <v>0.594108451201064</v>
      </c>
      <c r="N32" s="87">
        <v>7.35</v>
      </c>
      <c r="O32" s="88">
        <f>K32-N32</f>
        <v>0.71640459142674</v>
      </c>
      <c r="P32" s="22"/>
      <c r="Q32" s="22"/>
    </row>
    <row r="33" ht="13" customHeight="1">
      <c r="A33" t="s" s="28">
        <v>198</v>
      </c>
      <c r="B33" s="87">
        <f>(1764256*60)/(4672.487*2000)</f>
        <v>11.3275178721739</v>
      </c>
      <c r="C33" s="87">
        <v>29.74</v>
      </c>
      <c r="D33" s="87">
        <f>(B33*C33)/100</f>
        <v>3.36880381518452</v>
      </c>
      <c r="E33" s="87">
        <f>(3442603*60)/4672487</f>
        <v>44.2069030903671</v>
      </c>
      <c r="F33" s="87">
        <v>205.26</v>
      </c>
      <c r="G33" s="87">
        <f>E33*F33/2000</f>
        <v>4.53695446416438</v>
      </c>
      <c r="H33" s="89">
        <f>(269686*60)/4672487</f>
        <v>3.46307223540697</v>
      </c>
      <c r="I33" s="89">
        <v>110.07</v>
      </c>
      <c r="J33" s="89">
        <f>H33*I33/2000</f>
        <v>0.190590180475623</v>
      </c>
      <c r="K33" s="87">
        <f>D33+G33+J33</f>
        <v>8.096348459824521</v>
      </c>
      <c r="L33" s="87">
        <f>D33/K33</f>
        <v>0.416089281717691</v>
      </c>
      <c r="M33" s="87">
        <f>(G33+J33)/K33</f>
        <v>0.583910718282309</v>
      </c>
      <c r="N33" s="87">
        <v>7.3</v>
      </c>
      <c r="O33" s="88">
        <f>K33-N33</f>
        <v>0.79634845982452</v>
      </c>
      <c r="P33" s="22"/>
      <c r="Q33" s="22"/>
    </row>
    <row r="34" ht="13" customHeight="1">
      <c r="A34" t="s" s="28">
        <v>199</v>
      </c>
      <c r="B34" s="87">
        <f>(1626493*60)/(4348.095*2000)</f>
        <v>11.2221076126442</v>
      </c>
      <c r="C34" s="87">
        <v>31.06</v>
      </c>
      <c r="D34" s="87">
        <f>(B34*C34)/100</f>
        <v>3.48558662448729</v>
      </c>
      <c r="E34" s="87">
        <f>(3190355*60)/4348095</f>
        <v>44.0241761047079</v>
      </c>
      <c r="F34" s="87">
        <v>189.37</v>
      </c>
      <c r="G34" s="87">
        <f>E34*F34/2000</f>
        <v>4.16842911447427</v>
      </c>
      <c r="H34" s="89">
        <f>(252497*60)/4348095</f>
        <v>3.48424309956429</v>
      </c>
      <c r="I34" s="89">
        <v>97.75</v>
      </c>
      <c r="J34" s="89">
        <f>H34*I34/2000</f>
        <v>0.170292381491205</v>
      </c>
      <c r="K34" s="87">
        <f>D34+G34+J34</f>
        <v>7.82430812045277</v>
      </c>
      <c r="L34" s="87">
        <f>D34/K34</f>
        <v>0.445481769228381</v>
      </c>
      <c r="M34" s="87">
        <f>(G34+J34)/K34</f>
        <v>0.554518230771618</v>
      </c>
      <c r="N34" s="87">
        <v>7.18</v>
      </c>
      <c r="O34" s="88">
        <f>K34-N34</f>
        <v>0.64430812045277</v>
      </c>
      <c r="P34" s="22"/>
      <c r="Q34" s="22"/>
    </row>
    <row r="35" ht="13" customHeight="1">
      <c r="A35" t="s" s="28">
        <v>200</v>
      </c>
      <c r="B35" s="87">
        <f>(1728925*60)/(4558.204*2000)</f>
        <v>11.3789883032879</v>
      </c>
      <c r="C35" s="87">
        <v>32.9</v>
      </c>
      <c r="D35" s="87">
        <f>(B35*C35)/100</f>
        <v>3.74368715178172</v>
      </c>
      <c r="E35" s="87">
        <f>(3357286*60)/4558204</f>
        <v>44.1922213222576</v>
      </c>
      <c r="F35" s="87">
        <v>198.66</v>
      </c>
      <c r="G35" s="87">
        <f>E35*F35/2000</f>
        <v>4.38961334393985</v>
      </c>
      <c r="H35" s="89">
        <f>(265703*60)/4558204</f>
        <v>3.49746961741949</v>
      </c>
      <c r="I35" s="89">
        <v>80.45</v>
      </c>
      <c r="J35" s="89">
        <f>H35*I35/2000</f>
        <v>0.140685715360699</v>
      </c>
      <c r="K35" s="87">
        <f>D35+G35+J35</f>
        <v>8.273986211082271</v>
      </c>
      <c r="L35" s="87">
        <f>D35/K35</f>
        <v>0.45246475595613</v>
      </c>
      <c r="M35" s="87">
        <f>(G35+J35)/K35</f>
        <v>0.54753524404387</v>
      </c>
      <c r="N35" s="87">
        <v>7.49</v>
      </c>
      <c r="O35" s="88">
        <f>K35-N35</f>
        <v>0.78398621108227</v>
      </c>
      <c r="P35" s="22"/>
      <c r="Q35" s="22"/>
    </row>
    <row r="36" ht="13" customHeight="1">
      <c r="A36" t="s" s="28">
        <v>213</v>
      </c>
      <c r="B36" s="87">
        <f>(1692493*60)/(4460.636*2000)</f>
        <v>11.3828588568984</v>
      </c>
      <c r="C36" s="87">
        <v>34.01</v>
      </c>
      <c r="D36" s="87">
        <f>(B36*C36)/100</f>
        <v>3.87131029723115</v>
      </c>
      <c r="E36" s="87">
        <f>(3266582*60)/4460636</f>
        <v>43.9387836174034</v>
      </c>
      <c r="F36" s="87">
        <v>229.7</v>
      </c>
      <c r="G36" s="87">
        <f>E36*F36/2000</f>
        <v>5.04636929845878</v>
      </c>
      <c r="H36" s="89">
        <f>(261641*60)/4460636</f>
        <v>3.51933222078645</v>
      </c>
      <c r="I36" s="89">
        <v>77.5</v>
      </c>
      <c r="J36" s="89">
        <f>H36*I36/2000</f>
        <v>0.136374123555475</v>
      </c>
      <c r="K36" s="87">
        <f>D36+G36+J36</f>
        <v>9.05405371924541</v>
      </c>
      <c r="L36" s="87">
        <f>D36/K36</f>
        <v>0.427577571027908</v>
      </c>
      <c r="M36" s="87">
        <f>(G36+J36)/K36</f>
        <v>0.5724224289720909</v>
      </c>
      <c r="N36" s="87">
        <v>7.92</v>
      </c>
      <c r="O36" s="88">
        <f>K36-N36</f>
        <v>1.13405371924541</v>
      </c>
      <c r="P36" s="22"/>
      <c r="Q36" s="22"/>
    </row>
    <row r="37" ht="13" customHeight="1">
      <c r="A37" t="s" s="28">
        <v>214</v>
      </c>
      <c r="B37" s="87">
        <f>(1709725*60)/(4506.259*2000)</f>
        <v>11.382335103242</v>
      </c>
      <c r="C37" s="87">
        <v>35.74</v>
      </c>
      <c r="D37" s="87">
        <f>(B37*C37)/100</f>
        <v>4.06804656589869</v>
      </c>
      <c r="E37" s="87">
        <f>(3302134*60)/4506259</f>
        <v>43.9672997046996</v>
      </c>
      <c r="F37" s="87">
        <v>222.05</v>
      </c>
      <c r="G37" s="87">
        <f>E37*F37/2000</f>
        <v>4.88146944971427</v>
      </c>
      <c r="H37" s="89">
        <f>(265876*60)/4506259</f>
        <v>3.54008946223464</v>
      </c>
      <c r="I37" s="89">
        <v>90.23999999999999</v>
      </c>
      <c r="J37" s="89">
        <f>H37*I37/2000</f>
        <v>0.159728836536027</v>
      </c>
      <c r="K37" s="87">
        <f>D37+G37+J37</f>
        <v>9.10924485214899</v>
      </c>
      <c r="L37" s="87">
        <f>D37/K37</f>
        <v>0.446584391124253</v>
      </c>
      <c r="M37" s="87">
        <f>(G37+J37)/K37</f>
        <v>0.553415608875747</v>
      </c>
      <c r="N37" s="87">
        <v>8.01</v>
      </c>
      <c r="O37" s="88">
        <f>K37-N37</f>
        <v>1.09924485214899</v>
      </c>
      <c r="P37" s="22"/>
      <c r="Q37" s="22"/>
    </row>
    <row r="38" ht="13" customHeight="1">
      <c r="A38" t="s" s="28">
        <v>215</v>
      </c>
      <c r="B38" s="87">
        <f>(1662936*60)/(4387.531*2000)</f>
        <v>11.3704222260766</v>
      </c>
      <c r="C38" s="87">
        <v>34.87</v>
      </c>
      <c r="D38" s="87">
        <f>(B38*C38)/100</f>
        <v>3.96486623023291</v>
      </c>
      <c r="E38" s="87">
        <f>(3215612*60)/4387531</f>
        <v>43.973870498009</v>
      </c>
      <c r="F38" s="87">
        <v>217.63</v>
      </c>
      <c r="G38" s="87">
        <f>E38*F38/2000</f>
        <v>4.78501671824085</v>
      </c>
      <c r="H38" s="89">
        <f>(258299*60)/4387531</f>
        <v>3.53226905975137</v>
      </c>
      <c r="I38" s="89">
        <v>95.91</v>
      </c>
      <c r="J38" s="89">
        <f>H38*I38/2000</f>
        <v>0.169389962760377</v>
      </c>
      <c r="K38" s="87">
        <f>D38+G38+J38</f>
        <v>8.91927291123414</v>
      </c>
      <c r="L38" s="87">
        <f>D38/K38</f>
        <v>0.444527964296173</v>
      </c>
      <c r="M38" s="87">
        <f>(G38+J38)/K38</f>
        <v>0.555472035703827</v>
      </c>
      <c r="N38" s="87">
        <v>8.039999999999999</v>
      </c>
      <c r="O38" s="88">
        <f>K38-N38</f>
        <v>0.87927291123414</v>
      </c>
      <c r="P38" s="22"/>
      <c r="Q38" s="22"/>
    </row>
    <row r="39" ht="13" customHeight="1">
      <c r="A39" t="s" s="28">
        <v>263</v>
      </c>
      <c r="B39" s="87">
        <f>(20487823*60)/(54184.483*2000)</f>
        <v>11.343370942563</v>
      </c>
      <c r="C39" s="87">
        <f>AVERAGE(C27:C38)</f>
        <v>29.9058333333333</v>
      </c>
      <c r="D39" s="87">
        <f>(B39*C39)/100</f>
        <v>3.39232960846465</v>
      </c>
      <c r="E39" s="87">
        <f>(39758166*60)/54184483</f>
        <v>44.0253339687674</v>
      </c>
      <c r="F39" s="87">
        <f>AVERAGE(F27:F38)</f>
        <v>198.31</v>
      </c>
      <c r="G39" s="87">
        <f>E39*F39/2000</f>
        <v>4.36533198967313</v>
      </c>
      <c r="H39" s="89">
        <f>(3118614*60)/54184483</f>
        <v>3.45332888015191</v>
      </c>
      <c r="I39" s="89">
        <f>AVERAGE(I27:I38)</f>
        <v>96.7225</v>
      </c>
      <c r="J39" s="89">
        <f>H39*I39/2000</f>
        <v>0.167007301305247</v>
      </c>
      <c r="K39" s="87">
        <f>D39+G39+J39</f>
        <v>7.92466889944303</v>
      </c>
      <c r="L39" s="87">
        <f>D39/K39</f>
        <v>0.428072093801051</v>
      </c>
      <c r="M39" s="87">
        <f>(G39+J39)/K39</f>
        <v>0.571927906198948</v>
      </c>
      <c r="N39" s="87">
        <f>AVERAGE(N27:N38)</f>
        <v>7.0375</v>
      </c>
      <c r="O39" s="88">
        <f>K39-N39</f>
        <v>0.88716889944303</v>
      </c>
      <c r="P39" s="22"/>
      <c r="Q39" s="22"/>
    </row>
    <row r="40" ht="13" customHeight="1">
      <c r="A40" t="s" s="28">
        <v>44</v>
      </c>
      <c r="B40" s="87"/>
      <c r="C40" s="87"/>
      <c r="D40" s="87"/>
      <c r="E40" s="87"/>
      <c r="F40" s="87"/>
      <c r="G40" s="87"/>
      <c r="H40" s="89"/>
      <c r="I40" s="89"/>
      <c r="J40" s="89"/>
      <c r="K40" s="87"/>
      <c r="L40" s="87"/>
      <c r="M40" s="87"/>
      <c r="N40" s="87"/>
      <c r="O40" s="88"/>
      <c r="P40" s="22"/>
      <c r="Q40" s="22"/>
    </row>
    <row r="41" ht="13" customHeight="1">
      <c r="A41" t="s" s="28">
        <v>192</v>
      </c>
      <c r="B41" s="87">
        <f>(1678000*60)/(4420.104*2000)</f>
        <v>11.3888722980274</v>
      </c>
      <c r="C41" s="87">
        <v>36.89</v>
      </c>
      <c r="D41" s="87">
        <f>(B41*C41)/100</f>
        <v>4.20135499074231</v>
      </c>
      <c r="E41" s="87">
        <f>(3228802*60)/4420104</f>
        <v>43.8288601354176</v>
      </c>
      <c r="F41" s="87">
        <v>254.41</v>
      </c>
      <c r="G41" s="87">
        <f>E41*F41/2000</f>
        <v>5.5752501535258</v>
      </c>
      <c r="H41" s="89">
        <f>(261418*60)/4420104</f>
        <v>3.54857713755151</v>
      </c>
      <c r="I41" s="89">
        <v>108.16</v>
      </c>
      <c r="J41" s="89">
        <f>H41*I41/2000</f>
        <v>0.191907051598786</v>
      </c>
      <c r="K41" s="87">
        <f>D41+G41+J41</f>
        <v>9.9685121958669</v>
      </c>
      <c r="L41" s="87">
        <f>D41/K41</f>
        <v>0.421462592229586</v>
      </c>
      <c r="M41" s="87">
        <f>(G41+J41)/K41</f>
        <v>0.578537407770413</v>
      </c>
      <c r="N41" s="87">
        <v>9.07</v>
      </c>
      <c r="O41" s="88">
        <f>K41-N41</f>
        <v>0.8985121958669</v>
      </c>
      <c r="P41" s="22"/>
      <c r="Q41" s="22"/>
    </row>
    <row r="42" ht="13" customHeight="1">
      <c r="A42" t="s" s="28">
        <v>193</v>
      </c>
      <c r="B42" s="87">
        <f>(1868608.08*60)/(4912.37913*2000)</f>
        <v>11.4116278317468</v>
      </c>
      <c r="C42" s="87">
        <v>38.1</v>
      </c>
      <c r="D42" s="87">
        <f>(B42*C42)/100</f>
        <v>4.34783020389553</v>
      </c>
      <c r="E42" s="87">
        <f>(3587555.09*60)/4912379.13</f>
        <v>43.8185448849914</v>
      </c>
      <c r="F42" s="87">
        <v>260.55</v>
      </c>
      <c r="G42" s="87">
        <f>E42*F42/2000</f>
        <v>5.70846093489225</v>
      </c>
      <c r="H42" s="89">
        <f>(281923.17*60)/4912379.13</f>
        <v>3.44342115141264</v>
      </c>
      <c r="I42" s="89">
        <v>122.07</v>
      </c>
      <c r="J42" s="89">
        <f>H42*I42/2000</f>
        <v>0.21016920997647</v>
      </c>
      <c r="K42" s="87">
        <f>D42+G42+J42</f>
        <v>10.2664603487643</v>
      </c>
      <c r="L42" s="87">
        <f>D42/K42</f>
        <v>0.423498465507525</v>
      </c>
      <c r="M42" s="87">
        <f>(G42+J42)/K42</f>
        <v>0.57650153449247</v>
      </c>
      <c r="N42" s="87">
        <v>9.44</v>
      </c>
      <c r="O42" s="88">
        <f>K42-N42</f>
        <v>0.8264603487643</v>
      </c>
      <c r="P42" s="22"/>
      <c r="Q42" s="22"/>
    </row>
    <row r="43" ht="13" customHeight="1">
      <c r="A43" t="s" s="28">
        <v>194</v>
      </c>
      <c r="B43" s="87">
        <f>(1805433.7*60)/(4688.4612*2000)</f>
        <v>11.5524067896733</v>
      </c>
      <c r="C43" s="87">
        <v>42.68</v>
      </c>
      <c r="D43" s="87">
        <f>(B43*C43)/100</f>
        <v>4.93056721783256</v>
      </c>
      <c r="E43" s="87">
        <f>(3434182.7*60)/4688461.2</f>
        <v>43.9485266509191</v>
      </c>
      <c r="F43" s="87">
        <v>280.76</v>
      </c>
      <c r="G43" s="87">
        <f>E43*F43/2000</f>
        <v>6.16949417125602</v>
      </c>
      <c r="H43" s="89">
        <f>(275259.8*60)/4688461.2</f>
        <v>3.52260310909686</v>
      </c>
      <c r="I43" s="89">
        <v>126.25</v>
      </c>
      <c r="J43" s="89">
        <f>H43*I43/2000</f>
        <v>0.222364321261739</v>
      </c>
      <c r="K43" s="87">
        <f>D43+G43+J43</f>
        <v>11.3224257103503</v>
      </c>
      <c r="L43" s="87">
        <f>D43/K43</f>
        <v>0.435469160404852</v>
      </c>
      <c r="M43" s="87">
        <f>(G43+J43)/K43</f>
        <v>0.564530839595149</v>
      </c>
      <c r="N43" s="87">
        <v>10.32</v>
      </c>
      <c r="O43" s="88">
        <f>K43-N43</f>
        <v>1.0024257103503</v>
      </c>
      <c r="P43" s="22"/>
      <c r="Q43" s="22"/>
    </row>
    <row r="44" ht="13" customHeight="1">
      <c r="A44" t="s" s="28">
        <v>195</v>
      </c>
      <c r="B44" s="87">
        <f>(1879439.8*60)/(4921.75985*2000)</f>
        <v>11.4559010838369</v>
      </c>
      <c r="C44" s="87">
        <v>45.16</v>
      </c>
      <c r="D44" s="87">
        <f>(B44*C44)/100</f>
        <v>5.17348492946074</v>
      </c>
      <c r="E44" s="87">
        <f>(3604532.75*60)/4921759.85</f>
        <v>43.9419987141388</v>
      </c>
      <c r="F44" s="87">
        <v>314.78</v>
      </c>
      <c r="G44" s="87">
        <f>E44*F44/2000</f>
        <v>6.91603117761831</v>
      </c>
      <c r="H44" s="89">
        <f>(283007.2*60)/4921759.85</f>
        <v>3.45007324971372</v>
      </c>
      <c r="I44" s="89">
        <v>135.79</v>
      </c>
      <c r="J44" s="89">
        <f>H44*I44/2000</f>
        <v>0.234242723289313</v>
      </c>
      <c r="K44" s="87">
        <f>D44+G44+J44</f>
        <v>12.3237588303684</v>
      </c>
      <c r="L44" s="87">
        <f>D44/K44</f>
        <v>0.419797644588123</v>
      </c>
      <c r="M44" s="87">
        <f>(G44+J44)/K44</f>
        <v>0.580202355411874</v>
      </c>
      <c r="N44" s="87">
        <v>11.23</v>
      </c>
      <c r="O44" s="88">
        <f>K44-N44</f>
        <v>1.0937588303684</v>
      </c>
      <c r="P44" s="22"/>
      <c r="Q44" s="22"/>
    </row>
    <row r="45" ht="13" customHeight="1">
      <c r="A45" t="s" s="28">
        <v>196</v>
      </c>
      <c r="B45" s="87">
        <f>(1845226.93*60)/(4814.018*2000)</f>
        <v>11.4990861895406</v>
      </c>
      <c r="C45" s="87">
        <v>49.77</v>
      </c>
      <c r="D45" s="87">
        <f>(B45*C45)/100</f>
        <v>5.72309519653436</v>
      </c>
      <c r="E45" s="87">
        <f>(3515103.39*60)/4814018</f>
        <v>43.810846448850</v>
      </c>
      <c r="F45" s="87">
        <v>331.28</v>
      </c>
      <c r="G45" s="87">
        <f>E45*F45/2000</f>
        <v>7.25682860578751</v>
      </c>
      <c r="H45" s="89">
        <f>(276075.02*60)/4814018</f>
        <v>3.44088892064799</v>
      </c>
      <c r="I45" s="89">
        <v>136.6</v>
      </c>
      <c r="J45" s="89">
        <f>H45*I45/2000</f>
        <v>0.235012713280258</v>
      </c>
      <c r="K45" s="87">
        <f>D45+G45+J45</f>
        <v>13.2149365156021</v>
      </c>
      <c r="L45" s="87">
        <f>D45/K45</f>
        <v>0.433077766947835</v>
      </c>
      <c r="M45" s="87">
        <f>(G45+J45)/K45</f>
        <v>0.566922233052167</v>
      </c>
      <c r="N45" s="87">
        <v>12.16</v>
      </c>
      <c r="O45" s="88">
        <f>K45-N45</f>
        <v>1.0549365156021</v>
      </c>
      <c r="P45" s="22"/>
      <c r="Q45" s="22"/>
    </row>
    <row r="46" ht="13" customHeight="1">
      <c r="A46" t="s" s="28">
        <v>197</v>
      </c>
      <c r="B46" s="87">
        <f>(1687694.5*60)/(4395.339*2000)</f>
        <v>11.5192104636298</v>
      </c>
      <c r="C46" s="87">
        <v>56.68</v>
      </c>
      <c r="D46" s="87">
        <f>(B46*C46)/100</f>
        <v>6.52908849078537</v>
      </c>
      <c r="E46" s="87">
        <f>(3223901.3*60)/4395339</f>
        <v>44.0089098929571</v>
      </c>
      <c r="F46" s="87">
        <v>345.87</v>
      </c>
      <c r="G46" s="87">
        <f>E46*F46/2000</f>
        <v>7.61068083233854</v>
      </c>
      <c r="H46" s="89">
        <f>(249761.85*60)/4395339</f>
        <v>3.40945510687572</v>
      </c>
      <c r="I46" s="89">
        <v>139.95</v>
      </c>
      <c r="J46" s="89">
        <f>H46*I46/2000</f>
        <v>0.238576621103629</v>
      </c>
      <c r="K46" s="87">
        <f>D46+G46+J46</f>
        <v>14.3783459442275</v>
      </c>
      <c r="L46" s="87">
        <f>D46/K46</f>
        <v>0.454091765221897</v>
      </c>
      <c r="M46" s="87">
        <f>(G46+J46)/K46</f>
        <v>0.545908234778106</v>
      </c>
      <c r="N46" s="87">
        <v>13.35</v>
      </c>
      <c r="O46" s="88">
        <f>K46-N46</f>
        <v>1.0283459442275</v>
      </c>
      <c r="P46" s="22"/>
      <c r="Q46" s="22"/>
    </row>
    <row r="47" ht="13" customHeight="1">
      <c r="A47" t="s" s="28">
        <v>198</v>
      </c>
      <c r="B47" s="87">
        <f>(1827761.46*60)/(4678.746*2000)</f>
        <v>11.7195598564231</v>
      </c>
      <c r="C47" s="87">
        <v>57.27</v>
      </c>
      <c r="D47" s="87">
        <f>(B47*C47)/100</f>
        <v>6.71179192977351</v>
      </c>
      <c r="E47" s="87">
        <f>(3428232.47*60)/4678746</f>
        <v>43.963478290978</v>
      </c>
      <c r="F47" s="87">
        <v>331.57</v>
      </c>
      <c r="G47" s="87">
        <f>E47*F47/2000</f>
        <v>7.28848524846979</v>
      </c>
      <c r="H47" s="89">
        <f>(272873.47*60)/4678746</f>
        <v>3.49931545760338</v>
      </c>
      <c r="I47" s="89">
        <v>149.93</v>
      </c>
      <c r="J47" s="89">
        <f>H47*I47/2000</f>
        <v>0.262326183279237</v>
      </c>
      <c r="K47" s="87">
        <f>D47+G47+J47</f>
        <v>14.2626033615225</v>
      </c>
      <c r="L47" s="87">
        <f>D47/K47</f>
        <v>0.470586733687099</v>
      </c>
      <c r="M47" s="87">
        <f>(G47+J47)/K47</f>
        <v>0.529413266312904</v>
      </c>
      <c r="N47" s="87">
        <v>13.12</v>
      </c>
      <c r="O47" s="88">
        <f>K47-N47</f>
        <v>1.1426033615225</v>
      </c>
      <c r="P47" s="22"/>
      <c r="Q47" s="22"/>
    </row>
    <row r="48" ht="13" customHeight="1">
      <c r="A48" t="s" s="28">
        <v>199</v>
      </c>
      <c r="B48" s="87">
        <f>(1707011.36*60)/(4423.512*2000)</f>
        <v>11.5768513344148</v>
      </c>
      <c r="C48" s="87">
        <v>56.58</v>
      </c>
      <c r="D48" s="87">
        <f>(B48*C48)/100</f>
        <v>6.55018248501189</v>
      </c>
      <c r="E48" s="87">
        <f>(3245843.7*60)/4423512</f>
        <v>44.0262447575592</v>
      </c>
      <c r="F48" s="87">
        <v>329.94</v>
      </c>
      <c r="G48" s="87">
        <f>E48*F48/2000</f>
        <v>7.26300959765454</v>
      </c>
      <c r="H48" s="89">
        <f>(254800.26*60)/4423512</f>
        <v>3.45608096010591</v>
      </c>
      <c r="I48" s="89">
        <v>141.11</v>
      </c>
      <c r="J48" s="89">
        <f>H48*I48/2000</f>
        <v>0.243843792140272</v>
      </c>
      <c r="K48" s="87">
        <f>D48+G48+J48</f>
        <v>14.0570358748067</v>
      </c>
      <c r="L48" s="87">
        <f>D48/K48</f>
        <v>0.465971812503606</v>
      </c>
      <c r="M48" s="87">
        <f>(G48+J48)/K48</f>
        <v>0.534028187496394</v>
      </c>
      <c r="N48" s="87">
        <v>12.92</v>
      </c>
      <c r="O48" s="88">
        <f>K48-N48</f>
        <v>1.1370358748067</v>
      </c>
      <c r="P48" s="22"/>
      <c r="Q48" s="22"/>
    </row>
    <row r="49" ht="13" customHeight="1">
      <c r="A49" t="s" s="28">
        <v>200</v>
      </c>
      <c r="B49" s="87">
        <f>(1756417.8*60)/(4578.147*2000)</f>
        <v>11.509576691181</v>
      </c>
      <c r="C49" s="87">
        <v>58.27</v>
      </c>
      <c r="D49" s="87">
        <f>(B49*C49)/100</f>
        <v>6.70663033795117</v>
      </c>
      <c r="E49" s="87">
        <f>(3366876.6*60)/4578147</f>
        <v>44.1254061960003</v>
      </c>
      <c r="F49" s="87">
        <v>325.48</v>
      </c>
      <c r="G49" s="87">
        <f>E49*F49/2000</f>
        <v>7.18096860433709</v>
      </c>
      <c r="H49" s="89">
        <f>(266890.9*60)/4578147</f>
        <v>3.49780249520166</v>
      </c>
      <c r="I49" s="89">
        <v>111.43</v>
      </c>
      <c r="J49" s="89">
        <f>H49*I49/2000</f>
        <v>0.19488006602016</v>
      </c>
      <c r="K49" s="87">
        <f>D49+G49+J49</f>
        <v>14.0824790083084</v>
      </c>
      <c r="L49" s="87">
        <f>D49/K49</f>
        <v>0.476239327890664</v>
      </c>
      <c r="M49" s="87">
        <f>(G49+J49)/K49</f>
        <v>0.523760672109338</v>
      </c>
      <c r="N49" s="87">
        <v>13.24</v>
      </c>
      <c r="O49" s="88">
        <f>K49-N49</f>
        <v>0.8424790083083999</v>
      </c>
      <c r="P49" s="22"/>
      <c r="Q49" s="22"/>
    </row>
    <row r="50" ht="13" customHeight="1">
      <c r="A50" t="s" s="28">
        <v>213</v>
      </c>
      <c r="B50" s="87">
        <f>(1632790.52*60)/(4231.453*2000)</f>
        <v>11.5760982338691</v>
      </c>
      <c r="C50" s="87">
        <v>62.43</v>
      </c>
      <c r="D50" s="87">
        <f>(B50*C50)/100</f>
        <v>7.22695812740448</v>
      </c>
      <c r="E50" s="87">
        <f>(3098019.28*60)/4231453</f>
        <v>43.9284465170711</v>
      </c>
      <c r="F50" s="87">
        <v>390.72</v>
      </c>
      <c r="G50" s="87">
        <f>E50*F50/2000</f>
        <v>8.581861311575009</v>
      </c>
      <c r="H50" s="89">
        <f>(254251.66*60)/4231453</f>
        <v>3.60516815382328</v>
      </c>
      <c r="I50" s="89">
        <v>125.48</v>
      </c>
      <c r="J50" s="89">
        <f>H50*I50/2000</f>
        <v>0.226188249970873</v>
      </c>
      <c r="K50" s="87">
        <f>D50+G50+J50</f>
        <v>16.0350076889504</v>
      </c>
      <c r="L50" s="87">
        <f>D50/K50</f>
        <v>0.450698762831559</v>
      </c>
      <c r="M50" s="87">
        <f>(G50+J50)/K50</f>
        <v>0.549301237168439</v>
      </c>
      <c r="N50" s="87">
        <v>14.99</v>
      </c>
      <c r="O50" s="88">
        <f>K50-N50</f>
        <v>1.0450076889504</v>
      </c>
      <c r="P50" s="22"/>
      <c r="Q50" s="22"/>
    </row>
    <row r="51" ht="13" customHeight="1">
      <c r="A51" t="s" s="28">
        <v>214</v>
      </c>
      <c r="B51" s="87">
        <f>(1616379.28*60)/(4179.457*2000)</f>
        <v>11.6023154204003</v>
      </c>
      <c r="C51" s="87">
        <v>60.54</v>
      </c>
      <c r="D51" s="87">
        <f>(B51*C51)/100</f>
        <v>7.02404175551034</v>
      </c>
      <c r="E51" s="87">
        <f>(3072369.6*60)/4179457</f>
        <v>44.1067286970532</v>
      </c>
      <c r="F51" s="87">
        <v>412.25</v>
      </c>
      <c r="G51" s="87">
        <f>E51*F51/2000</f>
        <v>9.09149945268009</v>
      </c>
      <c r="H51" s="89">
        <f>(243909.6*60)/4179457</f>
        <v>3.50154960321401</v>
      </c>
      <c r="I51" s="89">
        <v>152.02</v>
      </c>
      <c r="J51" s="89">
        <f>H51*I51/2000</f>
        <v>0.266152785340297</v>
      </c>
      <c r="K51" s="87">
        <f>D51+G51+J51</f>
        <v>16.3816939935307</v>
      </c>
      <c r="L51" s="87">
        <f>D51/K51</f>
        <v>0.428773834884488</v>
      </c>
      <c r="M51" s="87">
        <f>(G51+J51)/K51</f>
        <v>0.5712261651155141</v>
      </c>
      <c r="N51" s="87">
        <v>15.16</v>
      </c>
      <c r="O51" s="88">
        <f>K51-N51</f>
        <v>1.2216939935307</v>
      </c>
      <c r="P51" s="22"/>
      <c r="Q51" s="22"/>
    </row>
    <row r="52" ht="13" customHeight="1">
      <c r="A52" t="s" s="28">
        <v>215</v>
      </c>
      <c r="B52" s="87">
        <f>(1507544.65*60)/(3858.844*2000)</f>
        <v>11.720178245091</v>
      </c>
      <c r="C52" s="87">
        <v>50.78</v>
      </c>
      <c r="D52" s="87">
        <f>(B52*C52)/100</f>
        <v>5.95150651285721</v>
      </c>
      <c r="E52" s="87">
        <f>(2821738*60)/3858844</f>
        <v>43.8743520080107</v>
      </c>
      <c r="F52" s="87">
        <v>355.35</v>
      </c>
      <c r="G52" s="87">
        <f>E52*F52/2000</f>
        <v>7.7953754930233</v>
      </c>
      <c r="H52" s="89">
        <f>(230645.05*60)/3858844</f>
        <v>3.58623022853476</v>
      </c>
      <c r="I52" s="89">
        <v>152.62</v>
      </c>
      <c r="J52" s="89">
        <f>H52*I52/2000</f>
        <v>0.273665228739488</v>
      </c>
      <c r="K52" s="87">
        <f>D52+G52+J52</f>
        <v>14.020547234620</v>
      </c>
      <c r="L52" s="87">
        <f>D52/K52</f>
        <v>0.424484609142898</v>
      </c>
      <c r="M52" s="87">
        <f>(G52+J52)/K52</f>
        <v>0.575515390857102</v>
      </c>
      <c r="N52" s="87">
        <v>12.88</v>
      </c>
      <c r="O52" s="88">
        <f>K52-N52</f>
        <v>1.140547234620</v>
      </c>
      <c r="P52" s="22"/>
      <c r="Q52" s="22"/>
    </row>
    <row r="53" ht="13" customHeight="1">
      <c r="A53" t="s" s="28">
        <v>263</v>
      </c>
      <c r="B53" s="87">
        <f>(20812308.08*60)/(54102.22018*2000)</f>
        <v>11.5405475103</v>
      </c>
      <c r="C53" s="87">
        <f>AVERAGE(C41:C52)</f>
        <v>51.2625</v>
      </c>
      <c r="D53" s="87">
        <f>(B53*C53)/100</f>
        <v>5.91597316746754</v>
      </c>
      <c r="E53" s="87">
        <f>(39627156.88*60)/54102220.18</f>
        <v>43.9469841512889</v>
      </c>
      <c r="F53" s="87">
        <f>AVERAGE(F41:F52)</f>
        <v>327.746666666667</v>
      </c>
      <c r="G53" s="87">
        <f>E53*F53/2000</f>
        <v>7.20173878281889</v>
      </c>
      <c r="H53" s="89">
        <f>(3150815.98*60)/54102220.18</f>
        <v>3.49429206733157</v>
      </c>
      <c r="I53" s="89">
        <f>AVERAGE(I41:I52)</f>
        <v>133.450833333333</v>
      </c>
      <c r="J53" s="89">
        <f>H53*I53/2000</f>
        <v>0.233158094147726</v>
      </c>
      <c r="K53" s="87">
        <f>D53+G53+J53</f>
        <v>13.3508700444342</v>
      </c>
      <c r="L53" s="87">
        <f>D53/K53</f>
        <v>0.44311517884438</v>
      </c>
      <c r="M53" s="87">
        <f>(G53+J53)/K53</f>
        <v>0.556884821155616</v>
      </c>
      <c r="N53" s="87">
        <f>AVERAGE(N41:N52)</f>
        <v>12.3233333333333</v>
      </c>
      <c r="O53" s="88">
        <f>K53-N53</f>
        <v>1.0275367111009</v>
      </c>
      <c r="P53" s="22"/>
      <c r="Q53" s="22"/>
    </row>
    <row r="54" ht="13" customHeight="1">
      <c r="A54" t="s" s="28">
        <v>45</v>
      </c>
      <c r="B54" s="87"/>
      <c r="C54" s="87"/>
      <c r="D54" s="87"/>
      <c r="E54" s="87"/>
      <c r="F54" s="87"/>
      <c r="G54" s="87"/>
      <c r="H54" s="89"/>
      <c r="I54" s="89"/>
      <c r="J54" s="89"/>
      <c r="K54" s="87"/>
      <c r="L54" s="87"/>
      <c r="M54" s="87"/>
      <c r="N54" s="87"/>
      <c r="O54" s="88"/>
      <c r="P54" s="22"/>
      <c r="Q54" s="22"/>
    </row>
    <row r="55" ht="13" customHeight="1">
      <c r="A55" t="s" s="28">
        <v>192</v>
      </c>
      <c r="B55" s="87">
        <f>(1445522.7*60)/(3770.688*2000)</f>
        <v>11.5007343487448</v>
      </c>
      <c r="C55" s="87">
        <v>46.09</v>
      </c>
      <c r="D55" s="87">
        <f>(B55*C55)/100</f>
        <v>5.30068846133648</v>
      </c>
      <c r="E55" s="87">
        <f>(2772830.3*60)/3770688</f>
        <v>44.1218732496563</v>
      </c>
      <c r="F55" s="87">
        <v>352.7</v>
      </c>
      <c r="G55" s="87">
        <f>E55*F55/2000</f>
        <v>7.78089234757689</v>
      </c>
      <c r="H55" s="89">
        <f>(223493.3*60)/3770688</f>
        <v>3.55627355007892</v>
      </c>
      <c r="I55" s="89">
        <v>152.62</v>
      </c>
      <c r="J55" s="89">
        <f>H55*I55/2000</f>
        <v>0.271379234606522</v>
      </c>
      <c r="K55" s="87">
        <f>D55+G55+J55</f>
        <v>13.3529600435199</v>
      </c>
      <c r="L55" s="87">
        <f>D55/K55</f>
        <v>0.396967297442702</v>
      </c>
      <c r="M55" s="87">
        <f>(G55+J55)/K55</f>
        <v>0.603032702557297</v>
      </c>
      <c r="N55" s="87">
        <v>11.4</v>
      </c>
      <c r="O55" s="88">
        <f>K55-N55</f>
        <v>1.9529600435199</v>
      </c>
      <c r="P55" s="22"/>
      <c r="Q55" s="22"/>
    </row>
    <row r="56" ht="13" customHeight="1">
      <c r="A56" t="s" s="28">
        <v>193</v>
      </c>
      <c r="B56" s="87">
        <f>(1715917.39*60)/(4501.479*2000)</f>
        <v>11.4356907363113</v>
      </c>
      <c r="C56" s="87">
        <v>35.5</v>
      </c>
      <c r="D56" s="87">
        <f>(B56*C56)/100</f>
        <v>4.05967021139051</v>
      </c>
      <c r="E56" s="87">
        <f>(3267431.29*60)/4501479</f>
        <v>43.5514366278283</v>
      </c>
      <c r="F56" s="87">
        <v>260.66</v>
      </c>
      <c r="G56" s="87">
        <f>E56*F56/2000</f>
        <v>5.67605873570486</v>
      </c>
      <c r="H56" s="89">
        <f>(252014.93*60)/4501479</f>
        <v>3.35909504409551</v>
      </c>
      <c r="I56" s="89">
        <v>145.22</v>
      </c>
      <c r="J56" s="89">
        <f>H56*I56/2000</f>
        <v>0.243903891151775</v>
      </c>
      <c r="K56" s="87">
        <f>D56+G56+J56</f>
        <v>9.97963283824715</v>
      </c>
      <c r="L56" s="87">
        <f>D56/K56</f>
        <v>0.406795548212129</v>
      </c>
      <c r="M56" s="87">
        <f>(G56+J56)/K56</f>
        <v>0.593204451787871</v>
      </c>
      <c r="N56" s="87">
        <v>9.029999999999999</v>
      </c>
      <c r="O56" s="88">
        <f>K56-N56</f>
        <v>0.9496328382471499</v>
      </c>
      <c r="P56" s="22"/>
      <c r="Q56" s="22"/>
    </row>
    <row r="57" ht="13" customHeight="1">
      <c r="A57" t="s" s="28">
        <v>194</v>
      </c>
      <c r="B57" s="87">
        <f>(1622851*60)/(4340.495*2000)</f>
        <v>11.2165847443667</v>
      </c>
      <c r="C57" s="87">
        <v>31.55</v>
      </c>
      <c r="D57" s="87">
        <f>(B57*C57)/100</f>
        <v>3.53883248684769</v>
      </c>
      <c r="E57" s="87">
        <f>(3158033*60)/4340495</f>
        <v>43.6544633734171</v>
      </c>
      <c r="F57" s="87">
        <v>267.37</v>
      </c>
      <c r="G57" s="87">
        <f>E57*F57/2000</f>
        <v>5.83594693607527</v>
      </c>
      <c r="H57" s="89">
        <f>(255442*60)/4340495</f>
        <v>3.53105348583514</v>
      </c>
      <c r="I57" s="89">
        <v>131.11</v>
      </c>
      <c r="J57" s="89">
        <f>H57*I57/2000</f>
        <v>0.231478211263923</v>
      </c>
      <c r="K57" s="87">
        <f>D57+G57+J57</f>
        <v>9.60625763418688</v>
      </c>
      <c r="L57" s="87">
        <f>D57/K57</f>
        <v>0.368388254990543</v>
      </c>
      <c r="M57" s="87">
        <f>(G57+J57)/K57</f>
        <v>0.631611745009457</v>
      </c>
      <c r="N57" s="87">
        <v>8.93</v>
      </c>
      <c r="O57" s="88">
        <f>K57-N57</f>
        <v>0.67625763418688</v>
      </c>
      <c r="P57" s="22"/>
      <c r="Q57" s="22"/>
    </row>
    <row r="58" ht="13" customHeight="1">
      <c r="A58" t="s" s="28">
        <v>195</v>
      </c>
      <c r="B58" s="87">
        <f>(1596985.45*60)/(4240.383*2000)</f>
        <v>11.2984047667392</v>
      </c>
      <c r="C58" s="87">
        <v>29.3</v>
      </c>
      <c r="D58" s="87">
        <f>(B58*C58)/100</f>
        <v>3.31043259665459</v>
      </c>
      <c r="E58" s="87">
        <f>(3101798.75*60)/4240383</f>
        <v>43.8894139986883</v>
      </c>
      <c r="F58" s="87">
        <v>268.24</v>
      </c>
      <c r="G58" s="87">
        <f>E58*F58/2000</f>
        <v>5.88644820550407</v>
      </c>
      <c r="H58" s="89">
        <f>(244153.55*60)/4240383</f>
        <v>3.45469100314759</v>
      </c>
      <c r="I58" s="89">
        <v>119.88</v>
      </c>
      <c r="J58" s="89">
        <f>H58*I58/2000</f>
        <v>0.207074178728667</v>
      </c>
      <c r="K58" s="87">
        <f>D58+G58+J58</f>
        <v>9.403954980887329</v>
      </c>
      <c r="L58" s="87">
        <f>D58/K58</f>
        <v>0.352025568325533</v>
      </c>
      <c r="M58" s="87">
        <f>(G58+J58)/K58</f>
        <v>0.647974431674467</v>
      </c>
      <c r="N58" s="87">
        <v>8.68</v>
      </c>
      <c r="O58" s="88">
        <f>K58-N58</f>
        <v>0.72395498088733</v>
      </c>
      <c r="P58" s="22"/>
      <c r="Q58" s="22"/>
    </row>
    <row r="59" ht="13" customHeight="1">
      <c r="A59" t="s" s="28">
        <v>196</v>
      </c>
      <c r="B59" s="87">
        <f>(1615580*60)/(4357.003*2000)</f>
        <v>11.124022636661</v>
      </c>
      <c r="C59" s="87">
        <v>32.16</v>
      </c>
      <c r="D59" s="87">
        <f>(B59*C59)/100</f>
        <v>3.57748567995018</v>
      </c>
      <c r="E59" s="87">
        <f>(3185208*60)/4357003</f>
        <v>43.8632885953946</v>
      </c>
      <c r="F59" s="87">
        <v>306.85</v>
      </c>
      <c r="G59" s="87">
        <f>E59*F59/2000</f>
        <v>6.72972505274842</v>
      </c>
      <c r="H59" s="89">
        <f>(254614*60)/4357003</f>
        <v>3.50627254560073</v>
      </c>
      <c r="I59" s="89">
        <v>111.38</v>
      </c>
      <c r="J59" s="89">
        <f>H59*I59/2000</f>
        <v>0.195264318064505</v>
      </c>
      <c r="K59" s="87">
        <f>D59+G59+J59</f>
        <v>10.5024750507631</v>
      </c>
      <c r="L59" s="87">
        <f>D59/K59</f>
        <v>0.340632628276536</v>
      </c>
      <c r="M59" s="87">
        <f>(G59+J59)/K59</f>
        <v>0.659367371723465</v>
      </c>
      <c r="N59" s="87">
        <v>9.91</v>
      </c>
      <c r="O59" s="88">
        <f>K59-N59</f>
        <v>0.5924750507631</v>
      </c>
      <c r="P59" s="22"/>
      <c r="Q59" s="22"/>
    </row>
    <row r="60" ht="13" customHeight="1">
      <c r="A60" t="s" s="28">
        <v>197</v>
      </c>
      <c r="B60" s="87">
        <f>(1536526*60)/(4062.132*2000)</f>
        <v>11.3476814638224</v>
      </c>
      <c r="C60" s="87">
        <v>28.93</v>
      </c>
      <c r="D60" s="87">
        <f>(B60*C60)/100</f>
        <v>3.28288424748382</v>
      </c>
      <c r="E60" s="87">
        <f>(2972827*60)/4062132</f>
        <v>43.9103456017677</v>
      </c>
      <c r="F60" s="87">
        <v>297.42</v>
      </c>
      <c r="G60" s="87">
        <f>E60*F60/2000</f>
        <v>6.52990749443887</v>
      </c>
      <c r="H60" s="89">
        <f>(230916*60)/4062132</f>
        <v>3.41076065474977</v>
      </c>
      <c r="I60" s="89">
        <v>101.05</v>
      </c>
      <c r="J60" s="89">
        <f>H60*I60/2000</f>
        <v>0.172328682081232</v>
      </c>
      <c r="K60" s="87">
        <f>D60+G60+J60</f>
        <v>9.98512042400392</v>
      </c>
      <c r="L60" s="87">
        <f>D60/K60</f>
        <v>0.328777631924385</v>
      </c>
      <c r="M60" s="87">
        <f>(G60+J60)/K60</f>
        <v>0.671222368075615</v>
      </c>
      <c r="N60" s="87">
        <v>9.380000000000001</v>
      </c>
      <c r="O60" s="88">
        <f>K60-N60</f>
        <v>0.60512042400392</v>
      </c>
      <c r="P60" s="22"/>
      <c r="Q60" s="22"/>
    </row>
    <row r="61" ht="13" customHeight="1">
      <c r="A61" t="s" s="28">
        <v>198</v>
      </c>
      <c r="B61" s="87">
        <f>(1636431*60)/(4332.515*2000)</f>
        <v>11.3312775604932</v>
      </c>
      <c r="C61" s="87">
        <v>28.23</v>
      </c>
      <c r="D61" s="87">
        <f>(B61*C61)/100</f>
        <v>3.19881965532723</v>
      </c>
      <c r="E61" s="87">
        <f>(3171612*60)/4332515</f>
        <v>43.9229223672624</v>
      </c>
      <c r="F61" s="87">
        <v>292.22</v>
      </c>
      <c r="G61" s="87">
        <f>E61*F61/2000</f>
        <v>6.41757818708071</v>
      </c>
      <c r="H61" s="89">
        <f>(253799*60)/4332515</f>
        <v>3.51480375717107</v>
      </c>
      <c r="I61" s="89">
        <v>90.8</v>
      </c>
      <c r="J61" s="89">
        <f>H61*I61/2000</f>
        <v>0.159572090575567</v>
      </c>
      <c r="K61" s="87">
        <f>D61+G61+J61</f>
        <v>9.775969932983511</v>
      </c>
      <c r="L61" s="87">
        <f>D61/K61</f>
        <v>0.327212509577655</v>
      </c>
      <c r="M61" s="87">
        <f>(G61+J61)/K61</f>
        <v>0.672787490422345</v>
      </c>
      <c r="N61" s="87">
        <v>9.17</v>
      </c>
      <c r="O61" s="88">
        <f>K61-N61</f>
        <v>0.60596993298351</v>
      </c>
      <c r="P61" s="22"/>
      <c r="Q61" s="22"/>
    </row>
    <row r="62" ht="13" customHeight="1">
      <c r="A62" t="s" s="28">
        <v>199</v>
      </c>
      <c r="B62" s="87">
        <f>(1595908*60)/(4208.212*2000)</f>
        <v>11.3770979218728</v>
      </c>
      <c r="C62" s="87">
        <v>32.76</v>
      </c>
      <c r="D62" s="87">
        <f>(B62*C62)/100</f>
        <v>3.72713727920553</v>
      </c>
      <c r="E62" s="87">
        <f>(3091967*60)/4208212</f>
        <v>44.084760938850</v>
      </c>
      <c r="F62" s="87">
        <v>324.27</v>
      </c>
      <c r="G62" s="87">
        <f>E62*F62/2000</f>
        <v>7.14768271482044</v>
      </c>
      <c r="H62" s="89">
        <f>(243220*60)/4208212</f>
        <v>3.46779107136237</v>
      </c>
      <c r="I62" s="89">
        <v>81.67</v>
      </c>
      <c r="J62" s="89">
        <f>H62*I62/2000</f>
        <v>0.141607248399082</v>
      </c>
      <c r="K62" s="87">
        <f>D62+G62+J62</f>
        <v>11.0164272424251</v>
      </c>
      <c r="L62" s="87">
        <f>D62/K62</f>
        <v>0.338325411423047</v>
      </c>
      <c r="M62" s="87">
        <f>(G62+J62)/K62</f>
        <v>0.6616745885769491</v>
      </c>
      <c r="N62" s="87">
        <v>10.25</v>
      </c>
      <c r="O62" s="88">
        <f>K62-N62</f>
        <v>0.7664272424251</v>
      </c>
      <c r="P62" s="22"/>
      <c r="Q62" s="22"/>
    </row>
    <row r="63" ht="13" customHeight="1">
      <c r="A63" t="s" s="28">
        <v>200</v>
      </c>
      <c r="B63" s="87">
        <f>(1684227*60)/(4387.378*2000)</f>
        <v>11.516402279448</v>
      </c>
      <c r="C63" s="87">
        <v>36.06</v>
      </c>
      <c r="D63" s="87">
        <f>(B63*C63)/100</f>
        <v>4.15281466196895</v>
      </c>
      <c r="E63" s="87">
        <f>(3246859*60)/4387378</f>
        <v>44.4027252723608</v>
      </c>
      <c r="F63" s="87">
        <v>380.37</v>
      </c>
      <c r="G63" s="87">
        <f>E63*F63/2000</f>
        <v>8.444732305923941</v>
      </c>
      <c r="H63" s="89">
        <f>(255913*60)/4387378</f>
        <v>3.49976227259197</v>
      </c>
      <c r="I63" s="89">
        <v>87.63</v>
      </c>
      <c r="J63" s="89">
        <f>H63*I63/2000</f>
        <v>0.153342083973617</v>
      </c>
      <c r="K63" s="87">
        <f>D63+G63+J63</f>
        <v>12.7508890518665</v>
      </c>
      <c r="L63" s="87">
        <f>D63/K63</f>
        <v>0.325688243782582</v>
      </c>
      <c r="M63" s="87">
        <f>(G63+J63)/K63</f>
        <v>0.674311756217419</v>
      </c>
      <c r="N63" s="87">
        <v>11.66</v>
      </c>
      <c r="O63" s="88">
        <f>K63-N63</f>
        <v>1.0908890518665</v>
      </c>
      <c r="P63" s="22"/>
      <c r="Q63" s="22"/>
    </row>
    <row r="64" ht="13" customHeight="1">
      <c r="A64" t="s" s="28">
        <v>213</v>
      </c>
      <c r="B64" s="87">
        <f>(1604322*60)/(4202.869*2000)</f>
        <v>11.4516203098407</v>
      </c>
      <c r="C64" s="87">
        <v>35.66</v>
      </c>
      <c r="D64" s="87">
        <f>(B64*C64)/100</f>
        <v>4.08364780248919</v>
      </c>
      <c r="E64" s="87">
        <f>(3082209*60)/4202869</f>
        <v>44.0014999277874</v>
      </c>
      <c r="F64" s="87">
        <v>418.47</v>
      </c>
      <c r="G64" s="87">
        <f>E64*F64/2000</f>
        <v>9.206653837390601</v>
      </c>
      <c r="H64" s="89">
        <f>(241001*60)/4202869</f>
        <v>3.44052122490613</v>
      </c>
      <c r="I64" s="89">
        <v>82.61</v>
      </c>
      <c r="J64" s="89">
        <f>H64*I64/2000</f>
        <v>0.142110729194748</v>
      </c>
      <c r="K64" s="87">
        <f>D64+G64+J64</f>
        <v>13.4324123690745</v>
      </c>
      <c r="L64" s="87">
        <f>D64/K64</f>
        <v>0.30401447560462</v>
      </c>
      <c r="M64" s="87">
        <f>(G64+J64)/K64</f>
        <v>0.695985524395383</v>
      </c>
      <c r="N64" s="87">
        <v>12.37</v>
      </c>
      <c r="O64" s="88">
        <f>K64-N64</f>
        <v>1.0624123690745</v>
      </c>
      <c r="P64" s="22"/>
      <c r="Q64" s="22"/>
    </row>
    <row r="65" ht="13" customHeight="1">
      <c r="A65" t="s" s="28">
        <v>214</v>
      </c>
      <c r="B65" s="87">
        <f>(1469173*60)/(3863.629*2000)</f>
        <v>11.4077179770625</v>
      </c>
      <c r="C65" s="87">
        <v>31.08</v>
      </c>
      <c r="D65" s="87">
        <f>(B65*C65)/100</f>
        <v>3.54551874727103</v>
      </c>
      <c r="E65" s="87">
        <f>(2836244*60)/3881091</f>
        <v>43.8471141233225</v>
      </c>
      <c r="F65" s="87">
        <v>373.18</v>
      </c>
      <c r="G65" s="87">
        <f>E65*F65/2000</f>
        <v>8.181433024270749</v>
      </c>
      <c r="H65" s="89">
        <f>(230471*60)/3881091</f>
        <v>3.56298267677826</v>
      </c>
      <c r="I65" s="89">
        <v>84.66</v>
      </c>
      <c r="J65" s="89">
        <f>H65*I65/2000</f>
        <v>0.150821056708024</v>
      </c>
      <c r="K65" s="87">
        <f>D65+G65+J65</f>
        <v>11.8777728282498</v>
      </c>
      <c r="L65" s="87">
        <f>D65/K65</f>
        <v>0.298500299554345</v>
      </c>
      <c r="M65" s="87">
        <f>(G65+J65)/K65</f>
        <v>0.701499700445655</v>
      </c>
      <c r="N65" s="87">
        <v>10.96</v>
      </c>
      <c r="O65" s="88">
        <f>K65-N65</f>
        <v>0.9177728282498</v>
      </c>
      <c r="P65" s="22"/>
      <c r="Q65" s="22"/>
    </row>
    <row r="66" ht="13" customHeight="1">
      <c r="A66" t="s" s="28">
        <v>215</v>
      </c>
      <c r="B66" s="87">
        <f>(1368606*60)/(3592.845*2000)</f>
        <v>11.4277626783232</v>
      </c>
      <c r="C66" s="87">
        <v>33.69</v>
      </c>
      <c r="D66" s="87">
        <f>(B66*C66)/100</f>
        <v>3.85001324632709</v>
      </c>
      <c r="E66" s="87">
        <f>(2629112*60)/3592845</f>
        <v>43.9057961030882</v>
      </c>
      <c r="F66" s="87">
        <v>405.27</v>
      </c>
      <c r="G66" s="87">
        <f>E66*F66/2000</f>
        <v>8.896850993349281</v>
      </c>
      <c r="H66" s="89">
        <f>(215817*60)/3592845</f>
        <v>3.60411317493518</v>
      </c>
      <c r="I66" s="89">
        <v>97.33</v>
      </c>
      <c r="J66" s="89">
        <f>H66*I66/2000</f>
        <v>0.175394167658221</v>
      </c>
      <c r="K66" s="87">
        <f>D66+G66+J66</f>
        <v>12.9222584073346</v>
      </c>
      <c r="L66" s="87">
        <f>D66/K66</f>
        <v>0.29793656224533</v>
      </c>
      <c r="M66" s="87">
        <f>(G66+J66)/K66</f>
        <v>0.702063437754669</v>
      </c>
      <c r="N66" s="87">
        <v>11.36</v>
      </c>
      <c r="O66" s="88">
        <f>K66-N66</f>
        <v>1.5622584073346</v>
      </c>
      <c r="P66" s="22"/>
      <c r="Q66" s="22"/>
    </row>
    <row r="67" ht="13" customHeight="1">
      <c r="A67" t="s" s="28">
        <v>263</v>
      </c>
      <c r="B67" s="87">
        <f>(18892049.54*60)/(49877.09*2000)</f>
        <v>11.3631626504273</v>
      </c>
      <c r="C67" s="87">
        <f>AVERAGE(C55:C66)</f>
        <v>33.4175</v>
      </c>
      <c r="D67" s="87">
        <f>(B67*C67)/100</f>
        <v>3.79728487870654</v>
      </c>
      <c r="E67" s="87">
        <f>(36516131.34*60)/49877090</f>
        <v>43.9273397946833</v>
      </c>
      <c r="F67" s="87">
        <f>AVERAGE(F55:F66)</f>
        <v>328.918333333333</v>
      </c>
      <c r="G67" s="87">
        <f>E67*F67/2000</f>
        <v>7.22425369651711</v>
      </c>
      <c r="H67" s="89">
        <f>(2900854.78*60)/49877090</f>
        <v>3.48960388025845</v>
      </c>
      <c r="I67" s="89">
        <f>AVERAGE(I55:I66)</f>
        <v>107.163333333333</v>
      </c>
      <c r="J67" s="89">
        <f>H67*I67/2000</f>
        <v>0.186978791910714</v>
      </c>
      <c r="K67" s="87">
        <f>D67+G67+J67</f>
        <v>11.2085173671344</v>
      </c>
      <c r="L67" s="87">
        <f>D67/K67</f>
        <v>0.33878565329621</v>
      </c>
      <c r="M67" s="87">
        <f>(G67+J67)/K67</f>
        <v>0.661214346703787</v>
      </c>
      <c r="N67" s="87">
        <f>AVERAGE(N55:N66)</f>
        <v>10.2583333333333</v>
      </c>
      <c r="O67" s="88">
        <f>K67-N67</f>
        <v>0.9501840338010999</v>
      </c>
      <c r="P67" s="22"/>
      <c r="Q67" s="22"/>
    </row>
    <row r="68" ht="13" customHeight="1">
      <c r="A68" t="s" s="28">
        <v>46</v>
      </c>
      <c r="B68" s="87"/>
      <c r="C68" s="87"/>
      <c r="D68" s="87"/>
      <c r="E68" s="87"/>
      <c r="F68" s="87"/>
      <c r="G68" s="87"/>
      <c r="H68" s="89"/>
      <c r="I68" s="89"/>
      <c r="J68" s="89"/>
      <c r="K68" s="87"/>
      <c r="L68" s="87"/>
      <c r="M68" s="87"/>
      <c r="N68" s="87"/>
      <c r="O68" s="88"/>
      <c r="P68" s="22"/>
      <c r="Q68" s="22"/>
    </row>
    <row r="69" ht="13" customHeight="1">
      <c r="A69" t="s" s="28">
        <v>192</v>
      </c>
      <c r="B69" s="89">
        <f>(1299919*60)/(3399.751*2000)</f>
        <v>11.4707135904953</v>
      </c>
      <c r="C69" s="87">
        <v>30.96</v>
      </c>
      <c r="D69" s="87">
        <f>(B69*C69)/100</f>
        <v>3.55133292761734</v>
      </c>
      <c r="E69" s="89">
        <f>(2482657*60)/3399751</f>
        <v>43.8148029076247</v>
      </c>
      <c r="F69" s="87">
        <v>379.68</v>
      </c>
      <c r="G69" s="87">
        <f>E69*F69/2000</f>
        <v>8.317802183983471</v>
      </c>
      <c r="H69" s="89">
        <f>(200877*60)/3399751</f>
        <v>3.54514786524072</v>
      </c>
      <c r="I69" s="89">
        <v>96.67</v>
      </c>
      <c r="J69" s="89">
        <f>H69*I69/2000</f>
        <v>0.17135472206641</v>
      </c>
      <c r="K69" s="87">
        <f>D69+G69+J69</f>
        <v>12.0404898336672</v>
      </c>
      <c r="L69" s="87">
        <f>D69/K69</f>
        <v>0.29494920694067</v>
      </c>
      <c r="M69" s="87">
        <f>(G69+J69)/K69</f>
        <v>0.705050793059332</v>
      </c>
      <c r="N69" s="87">
        <v>10.12</v>
      </c>
      <c r="O69" s="88">
        <f>K69-N69</f>
        <v>1.9204898336672</v>
      </c>
      <c r="P69" s="22"/>
      <c r="Q69" s="22"/>
    </row>
    <row r="70" ht="13" customHeight="1">
      <c r="A70" t="s" s="28">
        <v>193</v>
      </c>
      <c r="B70" s="89">
        <f>(1825200*60)/(4891.5*2000)</f>
        <v>11.1941122355106</v>
      </c>
      <c r="C70" s="87">
        <v>33.15</v>
      </c>
      <c r="D70" s="87">
        <f>(B70*C70)/100</f>
        <v>3.71084820607176</v>
      </c>
      <c r="E70" s="89">
        <f>(3578656*60)/4891500</f>
        <v>43.8964244096903</v>
      </c>
      <c r="F70" s="87">
        <v>325.69</v>
      </c>
      <c r="G70" s="87">
        <f>E70*F70/2000</f>
        <v>7.14831323299602</v>
      </c>
      <c r="H70" s="89">
        <f>(267000*60)/4891500</f>
        <v>3.27506899724011</v>
      </c>
      <c r="I70" s="89">
        <v>91.36</v>
      </c>
      <c r="J70" s="89">
        <f>H70*I70/2000</f>
        <v>0.149605151793928</v>
      </c>
      <c r="K70" s="87">
        <f>D70+G70+J70</f>
        <v>11.0087665908617</v>
      </c>
      <c r="L70" s="87">
        <f>D70/K70</f>
        <v>0.337081195740139</v>
      </c>
      <c r="M70" s="87">
        <f>(G70+J70)/K70</f>
        <v>0.662918804259861</v>
      </c>
      <c r="N70" s="87">
        <v>9.779999999999999</v>
      </c>
      <c r="O70" s="88">
        <f>K70-N70</f>
        <v>1.2287665908617</v>
      </c>
      <c r="P70" s="22"/>
      <c r="Q70" s="22"/>
    </row>
    <row r="71" ht="13" customHeight="1">
      <c r="A71" t="s" s="28">
        <v>194</v>
      </c>
      <c r="B71" s="89">
        <f>(1853955*60)/(5060.619*2000)</f>
        <v>10.9904835752306</v>
      </c>
      <c r="C71" s="87">
        <v>36.59</v>
      </c>
      <c r="D71" s="87">
        <f>(B71*C71)/100</f>
        <v>4.02141794017688</v>
      </c>
      <c r="E71" s="89">
        <f>(3696360*60)/5060619</f>
        <v>43.8249945313014</v>
      </c>
      <c r="F71" s="87">
        <v>328.18</v>
      </c>
      <c r="G71" s="87">
        <f>E71*F71/2000</f>
        <v>7.19124335264125</v>
      </c>
      <c r="H71" s="89">
        <f>(280185*60)/5060619</f>
        <v>3.32194539837913</v>
      </c>
      <c r="I71" s="89">
        <v>86.97</v>
      </c>
      <c r="J71" s="89">
        <f>H71*I71/2000</f>
        <v>0.144454795648516</v>
      </c>
      <c r="K71" s="87">
        <f>D71+G71+J71</f>
        <v>11.3571160884666</v>
      </c>
      <c r="L71" s="87">
        <f>D71/K71</f>
        <v>0.354087948811294</v>
      </c>
      <c r="M71" s="87">
        <f>(G71+J71)/K71</f>
        <v>0.64591205118871</v>
      </c>
      <c r="N71" s="87">
        <v>10.09</v>
      </c>
      <c r="O71" s="88">
        <f>K71-N71</f>
        <v>1.2671160884666</v>
      </c>
      <c r="P71" s="22"/>
      <c r="Q71" s="22"/>
    </row>
    <row r="72" ht="13" customHeight="1">
      <c r="A72" t="s" s="28">
        <v>195</v>
      </c>
      <c r="B72" s="89">
        <f>(1898259*60)/(5194.127*2000)</f>
        <v>10.9638770865633</v>
      </c>
      <c r="C72" s="87">
        <v>36.81</v>
      </c>
      <c r="D72" s="87">
        <f>(B72*C72)/100</f>
        <v>4.03580315556395</v>
      </c>
      <c r="E72" s="89">
        <f>(3785027*60)/5194127</f>
        <v>43.7227699669261</v>
      </c>
      <c r="F72" s="87">
        <v>333.93</v>
      </c>
      <c r="G72" s="87">
        <f>E72*F72/2000</f>
        <v>7.30017228752782</v>
      </c>
      <c r="H72" s="89">
        <f>(291062*60)/5194127</f>
        <v>3.36220504427404</v>
      </c>
      <c r="I72" s="89">
        <v>83.52</v>
      </c>
      <c r="J72" s="89">
        <f>H72*I72/2000</f>
        <v>0.140405682648884</v>
      </c>
      <c r="K72" s="87">
        <f>D72+G72+J72</f>
        <v>11.4763811257407</v>
      </c>
      <c r="L72" s="87">
        <f>D72/K72</f>
        <v>0.351661652863021</v>
      </c>
      <c r="M72" s="87">
        <f>(G72+J72)/K72</f>
        <v>0.648338347136975</v>
      </c>
      <c r="N72" s="87">
        <v>10.33</v>
      </c>
      <c r="O72" s="88">
        <f>K72-N72</f>
        <v>1.1463811257407</v>
      </c>
      <c r="P72" s="22"/>
      <c r="Q72" s="22"/>
    </row>
    <row r="73" ht="13" customHeight="1">
      <c r="A73" t="s" s="28">
        <v>196</v>
      </c>
      <c r="B73" s="89">
        <f>(1844855.74*60)/(5016.4272*2000)</f>
        <v>11.0328865532026</v>
      </c>
      <c r="C73" s="87">
        <v>34.88</v>
      </c>
      <c r="D73" s="87">
        <f>(B73*C73)/100</f>
        <v>3.84827082975707</v>
      </c>
      <c r="E73" s="89">
        <f>(3656432.96*60)/5016427.2</f>
        <v>43.7335116913488</v>
      </c>
      <c r="F73" s="87">
        <v>314.23</v>
      </c>
      <c r="G73" s="87">
        <f>E73*F73/2000</f>
        <v>6.87119068938627</v>
      </c>
      <c r="H73" s="89">
        <f>(276801*60)/5015716</f>
        <v>3.31120422288662</v>
      </c>
      <c r="I73" s="89">
        <v>97.5</v>
      </c>
      <c r="J73" s="89">
        <f>H73*I73/2000</f>
        <v>0.161421205865723</v>
      </c>
      <c r="K73" s="87">
        <f>D73+G73+J73</f>
        <v>10.8808827250091</v>
      </c>
      <c r="L73" s="87">
        <f>D73/K73</f>
        <v>0.353672668570541</v>
      </c>
      <c r="M73" s="87">
        <f>(G73+J73)/K73</f>
        <v>0.646327331429455</v>
      </c>
      <c r="N73" s="87">
        <v>9.84</v>
      </c>
      <c r="O73" s="88">
        <f>K73-N73</f>
        <v>1.0408827250091</v>
      </c>
      <c r="P73" s="22"/>
      <c r="Q73" s="22"/>
    </row>
    <row r="74" ht="13" customHeight="1">
      <c r="A74" t="s" s="28">
        <v>197</v>
      </c>
      <c r="B74" s="89">
        <f>(1690098*60)/(4615.692*2000)</f>
        <v>10.9849054053</v>
      </c>
      <c r="C74" s="87">
        <v>34.69</v>
      </c>
      <c r="D74" s="87">
        <f>(B74*C74)/100</f>
        <v>3.81066368509857</v>
      </c>
      <c r="E74" s="89">
        <f>(3375214*60)/4615692</f>
        <v>43.8748599343284</v>
      </c>
      <c r="F74" s="87">
        <v>295.79</v>
      </c>
      <c r="G74" s="87">
        <f>E74*F74/2000</f>
        <v>6.4888724099875</v>
      </c>
      <c r="H74" s="89">
        <f>(260295*60)/4615692</f>
        <v>3.3836096515972</v>
      </c>
      <c r="I74" s="89">
        <v>101.71</v>
      </c>
      <c r="J74" s="89">
        <f>H74*I74/2000</f>
        <v>0.172073468831976</v>
      </c>
      <c r="K74" s="87">
        <f>D74+G74+J74</f>
        <v>10.471609563918</v>
      </c>
      <c r="L74" s="87">
        <f>D74/K74</f>
        <v>0.363904293971097</v>
      </c>
      <c r="M74" s="87">
        <f>(G74+J74)/K74</f>
        <v>0.636095706028907</v>
      </c>
      <c r="N74" s="87">
        <v>9.44</v>
      </c>
      <c r="O74" s="88">
        <f>K74-N74</f>
        <v>1.031609563918</v>
      </c>
      <c r="P74" s="22"/>
      <c r="Q74" s="22"/>
    </row>
    <row r="75" ht="13" customHeight="1">
      <c r="A75" t="s" s="28">
        <v>198</v>
      </c>
      <c r="B75" s="89">
        <f>(1727705.71*60)/(4681.65478*2000)</f>
        <v>11.0711220146822</v>
      </c>
      <c r="C75" s="87">
        <v>36.39</v>
      </c>
      <c r="D75" s="87">
        <f>(B75*C75)/100</f>
        <v>4.02878130114285</v>
      </c>
      <c r="E75" s="89">
        <f>(3415264.38*60)/4681654.78</f>
        <v>43.7699643458119</v>
      </c>
      <c r="F75" s="87">
        <v>277.61</v>
      </c>
      <c r="G75" s="87">
        <f>E75*F75/2000</f>
        <v>6.07548990102042</v>
      </c>
      <c r="H75" s="89">
        <f>(264751*60)/4684315</f>
        <v>3.39111695093093</v>
      </c>
      <c r="I75" s="89">
        <v>90.65000000000001</v>
      </c>
      <c r="J75" s="89">
        <f>H75*I75/2000</f>
        <v>0.153702375800944</v>
      </c>
      <c r="K75" s="87">
        <f>D75+G75+J75</f>
        <v>10.2579735779642</v>
      </c>
      <c r="L75" s="87">
        <f>D75/K75</f>
        <v>0.392746312955741</v>
      </c>
      <c r="M75" s="87">
        <f>(G75+J75)/K75</f>
        <v>0.60725368704426</v>
      </c>
      <c r="N75" s="87">
        <v>9.49</v>
      </c>
      <c r="O75" s="88">
        <f>K75-N75</f>
        <v>0.7679735779642</v>
      </c>
      <c r="P75" s="22"/>
      <c r="Q75" s="22"/>
    </row>
    <row r="76" ht="13" customHeight="1">
      <c r="A76" t="s" s="28">
        <v>199</v>
      </c>
      <c r="B76" s="89">
        <f>(1518120.3*60)/(4093.78492*2000)</f>
        <v>11.1250614993227</v>
      </c>
      <c r="C76" s="87">
        <v>37.11</v>
      </c>
      <c r="D76" s="87">
        <f>(B76*C76)/100</f>
        <v>4.12851032239865</v>
      </c>
      <c r="E76" s="89">
        <f>(2981511.76*60)/4093784.92</f>
        <v>43.6981202226911</v>
      </c>
      <c r="F76" s="87">
        <v>291.21</v>
      </c>
      <c r="G76" s="87">
        <f>E76*F76/2000</f>
        <v>6.36266479502494</v>
      </c>
      <c r="H76" s="89">
        <f>(230496*60)/4096412</f>
        <v>3.37606666516942</v>
      </c>
      <c r="I76" s="89">
        <v>82.73999999999999</v>
      </c>
      <c r="J76" s="89">
        <f>H76*I76/2000</f>
        <v>0.139667877938059</v>
      </c>
      <c r="K76" s="87">
        <f>D76+G76+J76</f>
        <v>10.6308429953616</v>
      </c>
      <c r="L76" s="87">
        <f>D76/K76</f>
        <v>0.388352111323625</v>
      </c>
      <c r="M76" s="87">
        <f>(G76+J76)/K76</f>
        <v>0.611647888676379</v>
      </c>
      <c r="N76" s="87">
        <v>9.75</v>
      </c>
      <c r="O76" s="88">
        <f>K76-N76</f>
        <v>0.8808429953616</v>
      </c>
      <c r="P76" s="22"/>
      <c r="Q76" s="22"/>
    </row>
    <row r="77" ht="13" customHeight="1">
      <c r="A77" t="s" s="28">
        <v>200</v>
      </c>
      <c r="B77" s="89">
        <f>(1481564.85*60)/(3988.61645*2000)</f>
        <v>11.1434493782926</v>
      </c>
      <c r="C77" s="87">
        <v>35.41</v>
      </c>
      <c r="D77" s="87">
        <f>(B77*C77)/100</f>
        <v>3.94589542485341</v>
      </c>
      <c r="E77" s="89">
        <f>(2921012.2*60)/3988616.45</f>
        <v>43.9402319568732</v>
      </c>
      <c r="F77" s="87">
        <v>287.85</v>
      </c>
      <c r="G77" s="87">
        <f>E77*F77/2000</f>
        <v>6.32409788439298</v>
      </c>
      <c r="H77" s="89">
        <f>(223450*60)/3988616</f>
        <v>3.36131630620747</v>
      </c>
      <c r="I77" s="89">
        <v>77.63</v>
      </c>
      <c r="J77" s="89">
        <f>H77*I77/2000</f>
        <v>0.130469492425443</v>
      </c>
      <c r="K77" s="87">
        <f>D77+G77+J77</f>
        <v>10.4004628016718</v>
      </c>
      <c r="L77" s="87">
        <f>D77/K77</f>
        <v>0.379396138431372</v>
      </c>
      <c r="M77" s="87">
        <f>(G77+J77)/K77</f>
        <v>0.620603861568631</v>
      </c>
      <c r="N77" s="87">
        <v>9.550000000000001</v>
      </c>
      <c r="O77" s="88">
        <f>K77-N77</f>
        <v>0.8504628016718</v>
      </c>
      <c r="P77" s="22"/>
      <c r="Q77" s="22"/>
    </row>
    <row r="78" ht="13" customHeight="1">
      <c r="A78" t="s" s="28">
        <v>213</v>
      </c>
      <c r="B78" s="89">
        <f>(1442238.9*60)/(3884.29876*2000)</f>
        <v>11.1389905033978</v>
      </c>
      <c r="C78" s="87">
        <v>34.47</v>
      </c>
      <c r="D78" s="87">
        <f>(B78*C78)/100</f>
        <v>3.83961002652122</v>
      </c>
      <c r="E78" s="89">
        <f>(2839787.64*60)/3884298.76</f>
        <v>43.8656418900178</v>
      </c>
      <c r="F78" s="87">
        <v>305.78</v>
      </c>
      <c r="G78" s="87">
        <f>E78*F78/2000</f>
        <v>6.70661798856482</v>
      </c>
      <c r="H78" s="89">
        <f>(216275*60)/3875035</f>
        <v>3.34874394682887</v>
      </c>
      <c r="I78" s="89">
        <v>79.31999999999999</v>
      </c>
      <c r="J78" s="89">
        <f>H78*I78/2000</f>
        <v>0.132811184931233</v>
      </c>
      <c r="K78" s="87">
        <f>D78+G78+J78</f>
        <v>10.6790392000173</v>
      </c>
      <c r="L78" s="87">
        <f>D78/K78</f>
        <v>0.359546393135723</v>
      </c>
      <c r="M78" s="87">
        <f>(G78+J78)/K78</f>
        <v>0.640453606864274</v>
      </c>
      <c r="N78" s="87">
        <v>9.550000000000001</v>
      </c>
      <c r="O78" s="88">
        <f>K78-N78</f>
        <v>1.1290392000173</v>
      </c>
      <c r="P78" s="22"/>
      <c r="Q78" s="22"/>
    </row>
    <row r="79" ht="13" customHeight="1">
      <c r="A79" t="s" s="28">
        <v>214</v>
      </c>
      <c r="B79" s="89">
        <f>(1440451.02*60)/(3880.92194*2000)</f>
        <v>11.1348620941343</v>
      </c>
      <c r="C79" s="87">
        <v>35.07</v>
      </c>
      <c r="D79" s="87">
        <f>(B79*C79)/100</f>
        <v>3.9049961364129</v>
      </c>
      <c r="E79" s="89">
        <f>(2837937.16*60)/3880921.94</f>
        <v>43.8752008498269</v>
      </c>
      <c r="F79" s="87">
        <v>325.56</v>
      </c>
      <c r="G79" s="87">
        <f>E79*F79/2000</f>
        <v>7.14200519433482</v>
      </c>
      <c r="H79" s="89">
        <f>(218170*60)/3880922</f>
        <v>3.37296137361173</v>
      </c>
      <c r="I79" s="89">
        <v>82.38</v>
      </c>
      <c r="J79" s="89">
        <f>H79*I79/2000</f>
        <v>0.138932278979067</v>
      </c>
      <c r="K79" s="87">
        <f>D79+G79+J79</f>
        <v>11.1859336097268</v>
      </c>
      <c r="L79" s="87">
        <f>D79/K79</f>
        <v>0.349098812191884</v>
      </c>
      <c r="M79" s="87">
        <f>(G79+J79)/K79</f>
        <v>0.650901187808115</v>
      </c>
      <c r="N79" s="87">
        <v>10.3</v>
      </c>
      <c r="O79" s="88">
        <f>K79-N79</f>
        <v>0.8859336097268</v>
      </c>
      <c r="P79" s="22"/>
      <c r="Q79" s="22"/>
    </row>
    <row r="80" ht="13" customHeight="1">
      <c r="A80" t="s" s="28">
        <v>215</v>
      </c>
      <c r="B80" s="89">
        <f>(1418447.8*60)/(3843.195*2000)</f>
        <v>11.0724108456636</v>
      </c>
      <c r="C80" s="87">
        <v>37.57</v>
      </c>
      <c r="D80" s="87">
        <f>(B80*C80)/100</f>
        <v>4.15990475471581</v>
      </c>
      <c r="E80" s="89">
        <f>(2806180.9*60)/3843195</f>
        <v>43.8101251692927</v>
      </c>
      <c r="F80" s="87">
        <v>331.76</v>
      </c>
      <c r="G80" s="87">
        <f>E80*F80/2000</f>
        <v>7.26722356308227</v>
      </c>
      <c r="H80" s="89">
        <f>(224409*60)/3843195</f>
        <v>3.50347562379739</v>
      </c>
      <c r="I80" s="89">
        <v>92.75</v>
      </c>
      <c r="J80" s="89">
        <f>H80*I80/2000</f>
        <v>0.162473682053604</v>
      </c>
      <c r="K80" s="87">
        <f>D80+G80+J80</f>
        <v>11.5896019998517</v>
      </c>
      <c r="L80" s="87">
        <f>D80/K80</f>
        <v>0.358934220068044</v>
      </c>
      <c r="M80" s="87">
        <f>(G80+J80)/K80</f>
        <v>0.641065779931955</v>
      </c>
      <c r="N80" s="87">
        <v>10.66</v>
      </c>
      <c r="O80" s="88">
        <f>K80-N80</f>
        <v>0.9296019998517</v>
      </c>
      <c r="P80" s="22"/>
      <c r="Q80" s="22"/>
    </row>
    <row r="81" ht="13" customHeight="1">
      <c r="A81" t="s" s="28">
        <v>263</v>
      </c>
      <c r="B81" s="89">
        <f>(19440815.32*60)/(52550.58805*2000)</f>
        <v>11.0983431630695</v>
      </c>
      <c r="C81" s="87">
        <f>AVERAGE(C69:C80)</f>
        <v>35.2583333333333</v>
      </c>
      <c r="D81" s="87">
        <f>(B81*C81)/100</f>
        <v>3.91309082691225</v>
      </c>
      <c r="E81" s="89">
        <f>(38376041*60)/52550588.05</f>
        <v>43.8161121586155</v>
      </c>
      <c r="F81" s="87">
        <f>AVERAGE(F69:F80)</f>
        <v>316.439166666667</v>
      </c>
      <c r="G81" s="87">
        <f>E81*F81/2000</f>
        <v>6.93256700902275</v>
      </c>
      <c r="H81" s="89">
        <f>(2953771*60)/52545900</f>
        <v>3.37278950403362</v>
      </c>
      <c r="I81" s="89">
        <f>AVERAGE(I69:I80)</f>
        <v>88.59999999999999</v>
      </c>
      <c r="J81" s="89">
        <f>H81*I81/2000</f>
        <v>0.149414575028689</v>
      </c>
      <c r="K81" s="87">
        <f>D81+G81+J81</f>
        <v>10.9950724109637</v>
      </c>
      <c r="L81" s="87">
        <f>D81/K81</f>
        <v>0.355894957363839</v>
      </c>
      <c r="M81" s="87">
        <f>(G81+J81)/K81</f>
        <v>0.64410504263616</v>
      </c>
      <c r="N81" s="87">
        <f>AVERAGE(N69:N80)</f>
        <v>9.90833333333333</v>
      </c>
      <c r="O81" s="88">
        <f>K81-N81</f>
        <v>1.08673907763037</v>
      </c>
      <c r="P81" s="22"/>
      <c r="Q81" s="22"/>
    </row>
    <row r="82" ht="13" customHeight="1">
      <c r="A82" t="s" s="28">
        <v>47</v>
      </c>
      <c r="B82" s="87"/>
      <c r="C82" s="87"/>
      <c r="D82" s="87"/>
      <c r="E82" s="87"/>
      <c r="F82" s="87"/>
      <c r="G82" s="87"/>
      <c r="H82" s="89"/>
      <c r="I82" s="89"/>
      <c r="J82" s="89"/>
      <c r="K82" s="87"/>
      <c r="L82" s="87"/>
      <c r="M82" s="87"/>
      <c r="N82" s="87"/>
      <c r="O82" s="88"/>
      <c r="P82" s="22"/>
      <c r="Q82" s="22"/>
    </row>
    <row r="83" ht="13" customHeight="1">
      <c r="A83" t="s" s="28">
        <v>192</v>
      </c>
      <c r="B83" s="89">
        <f>(1474417.2*60)/(3910.8754*2000)</f>
        <v>11.3101317418601</v>
      </c>
      <c r="C83" s="87">
        <v>39.21</v>
      </c>
      <c r="D83" s="87">
        <f>(B83*C83)/100</f>
        <v>4.43470265598335</v>
      </c>
      <c r="E83" s="89">
        <f>(2836038.5*60)/3910875.4</f>
        <v>43.5100310278359</v>
      </c>
      <c r="F83" s="87">
        <v>317.65</v>
      </c>
      <c r="G83" s="87">
        <f>E83*F83/2000</f>
        <v>6.91048067799604</v>
      </c>
      <c r="H83" s="89">
        <f>(223644.7*60)/3910875.4</f>
        <v>3.43111979481627</v>
      </c>
      <c r="I83" s="89">
        <v>113.52</v>
      </c>
      <c r="J83" s="89">
        <f>H83*I83/2000</f>
        <v>0.194750359553771</v>
      </c>
      <c r="K83" s="87">
        <f>D83+G83+J83</f>
        <v>11.5399336935332</v>
      </c>
      <c r="L83" s="87">
        <f>D83/K83</f>
        <v>0.384291866292827</v>
      </c>
      <c r="M83" s="87">
        <f>(G83+J83)/K83</f>
        <v>0.61570813370717</v>
      </c>
      <c r="N83" s="87">
        <v>10.65</v>
      </c>
      <c r="O83" s="88">
        <f>K83-N83</f>
        <v>0.8899336935332</v>
      </c>
      <c r="P83" s="22"/>
      <c r="Q83" s="22"/>
    </row>
    <row r="84" ht="13" customHeight="1">
      <c r="A84" t="s" s="28">
        <v>193</v>
      </c>
      <c r="B84" s="89">
        <f>(1790543.39*60)/(4716.39359*2000)</f>
        <v>11.3892745961433</v>
      </c>
      <c r="C84" s="87">
        <v>44.02</v>
      </c>
      <c r="D84" s="87">
        <f>(B84*C84)/100</f>
        <v>5.01355867722228</v>
      </c>
      <c r="E84" s="89">
        <f>(3475802.73*60)/4716393.59</f>
        <v>44.2177184368534</v>
      </c>
      <c r="F84" s="87">
        <v>321.92</v>
      </c>
      <c r="G84" s="87">
        <f>E84*F84/2000</f>
        <v>7.11728395959592</v>
      </c>
      <c r="H84" s="89">
        <f>(262267.37*60)/4716393.59</f>
        <v>3.33645653182223</v>
      </c>
      <c r="I84" s="89">
        <v>140.48</v>
      </c>
      <c r="J84" s="89">
        <f>H84*I84/2000</f>
        <v>0.234352706795193</v>
      </c>
      <c r="K84" s="87">
        <f>D84+G84+J84</f>
        <v>12.3651953436134</v>
      </c>
      <c r="L84" s="87">
        <f>D84/K84</f>
        <v>0.405457296702698</v>
      </c>
      <c r="M84" s="87">
        <f>(G84+J84)/K84</f>
        <v>0.594542703297301</v>
      </c>
      <c r="N84" s="87">
        <v>11.48</v>
      </c>
      <c r="O84" s="88">
        <f>K84-N84</f>
        <v>0.8851953436134</v>
      </c>
      <c r="P84" s="22"/>
      <c r="Q84" s="22"/>
    </row>
    <row r="85" ht="13" customHeight="1">
      <c r="A85" t="s" s="28">
        <v>194</v>
      </c>
      <c r="B85" s="89">
        <f>(1771201.2*60)/(4651.751*2000)</f>
        <v>11.422803155199</v>
      </c>
      <c r="C85" s="87">
        <v>47.62</v>
      </c>
      <c r="D85" s="87">
        <f>(B85*C85)/100</f>
        <v>5.43953886250576</v>
      </c>
      <c r="E85" s="89">
        <f>(3447649.3*60)/4651751</f>
        <v>44.4690521913146</v>
      </c>
      <c r="F85" s="87">
        <v>341.78</v>
      </c>
      <c r="G85" s="87">
        <f>E85*F85/2000</f>
        <v>7.59931632897375</v>
      </c>
      <c r="H85" s="89">
        <f>(272399.8*60)/4651751</f>
        <v>3.51351308356789</v>
      </c>
      <c r="I85" s="89">
        <v>157.38</v>
      </c>
      <c r="J85" s="89">
        <f>H85*I85/2000</f>
        <v>0.276478344545957</v>
      </c>
      <c r="K85" s="87">
        <f>D85+G85+J85</f>
        <v>13.3153335360255</v>
      </c>
      <c r="L85" s="87">
        <f>D85/K85</f>
        <v>0.4085169063012</v>
      </c>
      <c r="M85" s="87">
        <f>(G85+J85)/K85</f>
        <v>0.591483093698797</v>
      </c>
      <c r="N85" s="87">
        <v>12.52</v>
      </c>
      <c r="O85" s="88">
        <f>K85-N85</f>
        <v>0.7953335360255001</v>
      </c>
      <c r="P85" s="22"/>
      <c r="Q85" s="22"/>
    </row>
    <row r="86" ht="13" customHeight="1">
      <c r="A86" t="s" s="28">
        <v>195</v>
      </c>
      <c r="B86" s="89">
        <f>(1731506.15*60)/(4570.40185*2000)</f>
        <v>11.3655617612705</v>
      </c>
      <c r="C86" s="87">
        <v>51.51</v>
      </c>
      <c r="D86" s="87">
        <f>(B86*C86)/100</f>
        <v>5.85440086323043</v>
      </c>
      <c r="E86" s="89">
        <f>(3397763.35*60)/4570401.85</f>
        <v>44.6056621913891</v>
      </c>
      <c r="F86" s="87">
        <v>351.93</v>
      </c>
      <c r="G86" s="87">
        <f>E86*F86/2000</f>
        <v>7.84903534750778</v>
      </c>
      <c r="H86" s="89">
        <f>(277780.5*60)/4570401.85</f>
        <v>3.64668809155151</v>
      </c>
      <c r="I86" s="89">
        <v>155</v>
      </c>
      <c r="J86" s="89">
        <f>H86*I86/2000</f>
        <v>0.282618327095242</v>
      </c>
      <c r="K86" s="87">
        <f>D86+G86+J86</f>
        <v>13.9860545378335</v>
      </c>
      <c r="L86" s="87">
        <f>D86/K86</f>
        <v>0.418588448042567</v>
      </c>
      <c r="M86" s="87">
        <f>(G86+J86)/K86</f>
        <v>0.581411551957429</v>
      </c>
      <c r="N86" s="87">
        <v>13.11</v>
      </c>
      <c r="O86" s="88">
        <f>K86-N86</f>
        <v>0.8760545378335</v>
      </c>
      <c r="P86" s="22"/>
      <c r="Q86" s="22"/>
    </row>
    <row r="87" ht="13" customHeight="1">
      <c r="A87" t="s" s="28">
        <v>196</v>
      </c>
      <c r="B87" s="89">
        <f>(1722940*60)/(4475.043*2000)</f>
        <v>11.550324767829</v>
      </c>
      <c r="C87" s="87">
        <v>53.84</v>
      </c>
      <c r="D87" s="87">
        <f>(B87*C87)/100</f>
        <v>6.21869485499913</v>
      </c>
      <c r="E87" s="89">
        <f>(3298360*60)/4475043</f>
        <v>44.223396289153</v>
      </c>
      <c r="F87" s="87">
        <v>368.54</v>
      </c>
      <c r="G87" s="87">
        <f>E87*F87/2000</f>
        <v>8.149045234202219</v>
      </c>
      <c r="H87" s="89">
        <f>(271099*60)/4475043</f>
        <v>3.63481200068916</v>
      </c>
      <c r="I87" s="89">
        <v>157.5</v>
      </c>
      <c r="J87" s="89">
        <f>H87*I87/2000</f>
        <v>0.286241445054271</v>
      </c>
      <c r="K87" s="87">
        <f>D87+G87+J87</f>
        <v>14.6539815342556</v>
      </c>
      <c r="L87" s="87">
        <f>D87/K87</f>
        <v>0.424368956686762</v>
      </c>
      <c r="M87" s="87">
        <f>(G87+J87)/K87</f>
        <v>0.575631043313239</v>
      </c>
      <c r="N87" s="87">
        <v>13.78</v>
      </c>
      <c r="O87" s="88">
        <f>K87-N87</f>
        <v>0.8739815342556</v>
      </c>
      <c r="P87" s="22"/>
      <c r="Q87" s="22"/>
    </row>
    <row r="88" ht="13" customHeight="1">
      <c r="A88" t="s" s="28">
        <v>197</v>
      </c>
      <c r="B88" s="89">
        <f>(1500030*60)/(3882.405*2000)</f>
        <v>11.5909854845128</v>
      </c>
      <c r="C88" s="87">
        <v>54.21</v>
      </c>
      <c r="D88" s="87">
        <f>(B88*C88)/100</f>
        <v>6.28347323115439</v>
      </c>
      <c r="E88" s="89">
        <f>(2889211*60)/3882405</f>
        <v>44.6508440000464</v>
      </c>
      <c r="F88" s="87">
        <v>358.59</v>
      </c>
      <c r="G88" s="87">
        <f>E88*F88/2000</f>
        <v>8.005673074988319</v>
      </c>
      <c r="H88" s="89">
        <f>(236939*60)/3882405</f>
        <v>3.66173544491108</v>
      </c>
      <c r="I88" s="89">
        <v>156.97</v>
      </c>
      <c r="J88" s="89">
        <f>H88*I88/2000</f>
        <v>0.287391306393846</v>
      </c>
      <c r="K88" s="87">
        <f>D88+G88+J88</f>
        <v>14.5765376125366</v>
      </c>
      <c r="L88" s="87">
        <f>D88/K88</f>
        <v>0.4310676100304</v>
      </c>
      <c r="M88" s="87">
        <f>(G88+J88)/K88</f>
        <v>0.5689323899695971</v>
      </c>
      <c r="N88" s="87">
        <v>13.86</v>
      </c>
      <c r="O88" s="88">
        <f>K88-N88</f>
        <v>0.7165376125366</v>
      </c>
      <c r="P88" s="22"/>
      <c r="Q88" s="22"/>
    </row>
    <row r="89" ht="13" customHeight="1">
      <c r="A89" t="s" s="28">
        <v>198</v>
      </c>
      <c r="B89" s="89">
        <f>(1623774*60)/(4208.023*2000)</f>
        <v>11.5762722779795</v>
      </c>
      <c r="C89" s="87">
        <v>54.07</v>
      </c>
      <c r="D89" s="87">
        <f>(B89*C89)/100</f>
        <v>6.25929042070352</v>
      </c>
      <c r="E89" s="89">
        <f>(3111911*60)/4208023</f>
        <v>44.3711120400245</v>
      </c>
      <c r="F89" s="87">
        <v>345.43</v>
      </c>
      <c r="G89" s="87">
        <f>E89*F89/2000</f>
        <v>7.66355661599283</v>
      </c>
      <c r="H89" s="89">
        <f>(259694*60)/4208023</f>
        <v>3.70284097781785</v>
      </c>
      <c r="I89" s="89">
        <v>157.17</v>
      </c>
      <c r="J89" s="89">
        <f>H89*I89/2000</f>
        <v>0.290987758241816</v>
      </c>
      <c r="K89" s="87">
        <f>D89+G89+J89</f>
        <v>14.2138347949382</v>
      </c>
      <c r="L89" s="87">
        <f>D89/K89</f>
        <v>0.440366059617674</v>
      </c>
      <c r="M89" s="87">
        <f>(G89+J89)/K89</f>
        <v>0.5596339403823239</v>
      </c>
      <c r="N89" s="87">
        <v>13.5</v>
      </c>
      <c r="O89" s="88">
        <f>K89-N89</f>
        <v>0.7138347949382</v>
      </c>
      <c r="P89" s="22"/>
      <c r="Q89" s="22"/>
    </row>
    <row r="90" ht="13" customHeight="1">
      <c r="A90" t="s" s="28">
        <v>199</v>
      </c>
      <c r="B90" s="89">
        <f>(1504598*60)/(3839.636*2000)</f>
        <v>11.7557862255693</v>
      </c>
      <c r="C90" s="87">
        <v>56.65</v>
      </c>
      <c r="D90" s="87">
        <f>(B90*C90)/100</f>
        <v>6.65965289678501</v>
      </c>
      <c r="E90" s="89">
        <f>(2873217*60)/3839636</f>
        <v>44.8982716069961</v>
      </c>
      <c r="F90" s="87">
        <v>335.87</v>
      </c>
      <c r="G90" s="87">
        <f>E90*F90/2000</f>
        <v>7.53999124232089</v>
      </c>
      <c r="H90" s="89">
        <f>(239721*60)/3839636</f>
        <v>3.74599571417707</v>
      </c>
      <c r="I90" s="89">
        <v>159.63</v>
      </c>
      <c r="J90" s="89">
        <f>H90*I90/2000</f>
        <v>0.298986647927043</v>
      </c>
      <c r="K90" s="87">
        <f>D90+G90+J90</f>
        <v>14.4986307870329</v>
      </c>
      <c r="L90" s="87">
        <f>D90/K90</f>
        <v>0.459329780488043</v>
      </c>
      <c r="M90" s="87">
        <f>(G90+J90)/K90</f>
        <v>0.54067021951196</v>
      </c>
      <c r="N90" s="87">
        <v>13.64</v>
      </c>
      <c r="O90" s="88">
        <f>K90-N90</f>
        <v>0.8586307870329</v>
      </c>
      <c r="P90" s="22"/>
      <c r="Q90" s="22"/>
    </row>
    <row r="91" ht="13" customHeight="1">
      <c r="A91" t="s" s="28">
        <v>200</v>
      </c>
      <c r="B91" s="89">
        <f>(1491195*60)/(3841.157*2000)</f>
        <v>11.646451837298</v>
      </c>
      <c r="C91" s="87">
        <v>56.09</v>
      </c>
      <c r="D91" s="87">
        <f>(B91*C91)/100</f>
        <v>6.53249483554045</v>
      </c>
      <c r="E91" s="89">
        <f>(2865776*60)/3841157</f>
        <v>44.7642624344696</v>
      </c>
      <c r="F91" s="87">
        <v>342.3</v>
      </c>
      <c r="G91" s="87">
        <f>E91*F91/2000</f>
        <v>7.66140351565947</v>
      </c>
      <c r="H91" s="89">
        <f>(234746*60)/3841157</f>
        <v>3.66680143508844</v>
      </c>
      <c r="I91" s="89">
        <v>164.86</v>
      </c>
      <c r="J91" s="89">
        <f>H91*I91/2000</f>
        <v>0.30225444229434</v>
      </c>
      <c r="K91" s="87">
        <f>D91+G91+J91</f>
        <v>14.4961527934943</v>
      </c>
      <c r="L91" s="87">
        <f>D91/K91</f>
        <v>0.450636450139526</v>
      </c>
      <c r="M91" s="87">
        <f>(G91+J91)/K91</f>
        <v>0.549363549860471</v>
      </c>
      <c r="N91" s="87">
        <v>13.68</v>
      </c>
      <c r="O91" s="88">
        <f>K91-N91</f>
        <v>0.8161527934943</v>
      </c>
      <c r="P91" s="22"/>
      <c r="Q91" s="22"/>
    </row>
    <row r="92" ht="13" customHeight="1">
      <c r="A92" t="s" s="28">
        <v>213</v>
      </c>
      <c r="B92" s="89">
        <f>(1437997*60)/(3708.711*2000)</f>
        <v>11.6320495180131</v>
      </c>
      <c r="C92" s="87">
        <v>55.68</v>
      </c>
      <c r="D92" s="87">
        <f>(B92*C92)/100</f>
        <v>6.47672517162969</v>
      </c>
      <c r="E92" s="89">
        <f>(2746586*60)/3708711</f>
        <v>44.4346189282476</v>
      </c>
      <c r="F92" s="87">
        <v>347.45</v>
      </c>
      <c r="G92" s="87">
        <f>E92*F92/2000</f>
        <v>7.71940417330981</v>
      </c>
      <c r="H92" s="89">
        <f>(226906*60)/3708711</f>
        <v>3.67091423408295</v>
      </c>
      <c r="I92" s="89">
        <v>175.34</v>
      </c>
      <c r="J92" s="89">
        <f>H92*I92/2000</f>
        <v>0.321829050902052</v>
      </c>
      <c r="K92" s="87">
        <f>D92+G92+J92</f>
        <v>14.5179583958416</v>
      </c>
      <c r="L92" s="87">
        <f>D92/K92</f>
        <v>0.446118179639145</v>
      </c>
      <c r="M92" s="87">
        <f>(G92+J92)/K92</f>
        <v>0.553881820360852</v>
      </c>
      <c r="N92" s="87">
        <v>13.82</v>
      </c>
      <c r="O92" s="88">
        <f>K92-N92</f>
        <v>0.6979583958416</v>
      </c>
      <c r="P92" s="22"/>
      <c r="Q92" s="22"/>
    </row>
    <row r="93" ht="13" customHeight="1">
      <c r="A93" t="s" s="28">
        <v>214</v>
      </c>
      <c r="B93" s="89">
        <f>(1504674*60)/(3886.8813*2000)</f>
        <v>11.6134804528247</v>
      </c>
      <c r="C93" s="87">
        <v>55.16</v>
      </c>
      <c r="D93" s="87">
        <f>(B93*C93)/100</f>
        <v>6.4059958177781</v>
      </c>
      <c r="E93" s="89">
        <f>(2857622*60)/3886881</f>
        <v>44.1118006957249</v>
      </c>
      <c r="F93" s="87">
        <v>346.52</v>
      </c>
      <c r="G93" s="87">
        <f>E93*F93/2000</f>
        <v>7.6428105885413</v>
      </c>
      <c r="H93" s="89">
        <f>(239432*60)/3886881</f>
        <v>3.69600201292502</v>
      </c>
      <c r="I93" s="89">
        <v>189.5</v>
      </c>
      <c r="J93" s="89">
        <f>H93*I93/2000</f>
        <v>0.350196190724646</v>
      </c>
      <c r="K93" s="87">
        <f>D93+G93+J93</f>
        <v>14.399002597044</v>
      </c>
      <c r="L93" s="87">
        <f>D93/K93</f>
        <v>0.444891635695183</v>
      </c>
      <c r="M93" s="87">
        <f>(G93+J93)/K93</f>
        <v>0.55510836430482</v>
      </c>
      <c r="N93" s="87">
        <v>13.84</v>
      </c>
      <c r="O93" s="88">
        <f>K93-N93</f>
        <v>0.559002597044</v>
      </c>
      <c r="P93" s="22"/>
      <c r="Q93" s="22"/>
    </row>
    <row r="94" ht="13" customHeight="1">
      <c r="A94" t="s" s="28">
        <v>215</v>
      </c>
      <c r="B94" s="89">
        <f>(1458750)/125000</f>
        <v>11.67</v>
      </c>
      <c r="C94" s="87">
        <v>54.39</v>
      </c>
      <c r="D94" s="87">
        <f>(B94*C94)/100</f>
        <v>6.347313</v>
      </c>
      <c r="E94" s="89">
        <f>(2779375*2)/125000</f>
        <v>44.47</v>
      </c>
      <c r="F94" s="87">
        <v>349.6</v>
      </c>
      <c r="G94" s="87">
        <f>E94*F94/2000</f>
        <v>7.773356</v>
      </c>
      <c r="H94" s="89">
        <f>(222525*2)/125000</f>
        <v>3.5604</v>
      </c>
      <c r="I94" s="89">
        <v>216.3</v>
      </c>
      <c r="J94" s="89">
        <f>H94*I94/2000</f>
        <v>0.38505726</v>
      </c>
      <c r="K94" s="87">
        <f>D94+G94+J94</f>
        <v>14.50572626</v>
      </c>
      <c r="L94" s="87">
        <f>D94/K94</f>
        <v>0.43757292025446</v>
      </c>
      <c r="M94" s="87">
        <f>(G94+J94)/K94</f>
        <v>0.56242707974554</v>
      </c>
      <c r="N94" s="87">
        <v>13.81</v>
      </c>
      <c r="O94" s="88">
        <f>K94-N94</f>
        <v>0.69572626</v>
      </c>
      <c r="P94" s="22"/>
      <c r="Q94" s="22"/>
    </row>
    <row r="95" ht="13" customHeight="1">
      <c r="A95" t="s" s="28">
        <v>263</v>
      </c>
      <c r="B95" s="89">
        <f>(19011625.94*60)/(49441.27784*2000)</f>
        <v>11.5358826292019</v>
      </c>
      <c r="C95" s="87">
        <f>AVERAGE(C83:C94)</f>
        <v>51.8708333333333</v>
      </c>
      <c r="D95" s="87">
        <f>(B95*C95)/100</f>
        <v>5.98375845212227</v>
      </c>
      <c r="E95" s="89">
        <f>(36579311.88*60)/49441277.84</f>
        <v>44.3912214385436</v>
      </c>
      <c r="F95" s="87">
        <f>AVERAGE(F83:F94)</f>
        <v>343.965</v>
      </c>
      <c r="G95" s="87">
        <f>E95*F95/2000</f>
        <v>7.63451324105432</v>
      </c>
      <c r="H95" s="89">
        <f>(2967154.37*60)/49441277.84</f>
        <v>3.60082242971413</v>
      </c>
      <c r="I95" s="89">
        <f>AVERAGE(I83:I94)</f>
        <v>161.970833333333</v>
      </c>
      <c r="J95" s="89">
        <f>H95*I95/2000</f>
        <v>0.291614104813077</v>
      </c>
      <c r="K95" s="87">
        <f>D95+G95+J95</f>
        <v>13.9098857979897</v>
      </c>
      <c r="L95" s="87">
        <f>D95/K95</f>
        <v>0.430180271716326</v>
      </c>
      <c r="M95" s="87">
        <f>(G95+J95)/K95</f>
        <v>0.569819728283672</v>
      </c>
      <c r="N95" s="87">
        <f>AVERAGE(N83:N94)</f>
        <v>13.1408333333333</v>
      </c>
      <c r="O95" s="88">
        <f>K95-N95</f>
        <v>0.7690524646564</v>
      </c>
      <c r="P95" s="22"/>
      <c r="Q95" s="22"/>
    </row>
    <row r="96" ht="13" customHeight="1">
      <c r="A96" t="s" s="28">
        <v>52</v>
      </c>
      <c r="B96" s="89"/>
      <c r="C96" s="87"/>
      <c r="D96" s="87"/>
      <c r="E96" s="89"/>
      <c r="F96" s="87"/>
      <c r="G96" s="87"/>
      <c r="H96" s="89"/>
      <c r="I96" s="89"/>
      <c r="J96" s="89"/>
      <c r="K96" s="87"/>
      <c r="L96" s="87"/>
      <c r="M96" s="87"/>
      <c r="N96" s="89"/>
      <c r="O96" s="88"/>
      <c r="P96" s="22"/>
      <c r="Q96" s="22"/>
    </row>
    <row r="97" ht="13" customHeight="1">
      <c r="A97" t="s" s="28">
        <v>192</v>
      </c>
      <c r="B97" s="89">
        <f>(1531282)/(4036896*2/60)</f>
        <v>11.379649116549</v>
      </c>
      <c r="C97" s="87">
        <v>26.43</v>
      </c>
      <c r="D97" s="87">
        <f>(B97*C97)/100</f>
        <v>3.0076412615039</v>
      </c>
      <c r="E97" s="89">
        <f>2974159/(4036896)*60</f>
        <v>44.2046413878386</v>
      </c>
      <c r="F97" s="87">
        <v>333.62</v>
      </c>
      <c r="G97" s="87">
        <f>E97*F97/2000</f>
        <v>7.37377622990536</v>
      </c>
      <c r="H97" s="89">
        <f>(200994/4036896)*60</f>
        <v>2.98735464079332</v>
      </c>
      <c r="I97" s="89">
        <v>137.86</v>
      </c>
      <c r="J97" s="89">
        <f>H97*I97/2000</f>
        <v>0.205918355389884</v>
      </c>
      <c r="K97" s="87">
        <f>D97+G97+J97</f>
        <v>10.5873358467991</v>
      </c>
      <c r="L97" s="87">
        <f>D97/K97</f>
        <v>0.284079139929542</v>
      </c>
      <c r="M97" s="87">
        <f>(G97+J97)/K97</f>
        <v>0.715920860070462</v>
      </c>
      <c r="N97" s="87">
        <v>8.91</v>
      </c>
      <c r="O97" s="88">
        <f>K97-N97</f>
        <v>1.6773358467991</v>
      </c>
      <c r="P97" s="22"/>
      <c r="Q97" s="22"/>
    </row>
    <row r="98" ht="13" customHeight="1">
      <c r="A98" t="s" s="28">
        <v>193</v>
      </c>
      <c r="B98" s="89">
        <f>1962937/(5104010*2/60)</f>
        <v>11.5376165015351</v>
      </c>
      <c r="C98" s="87">
        <v>27.14</v>
      </c>
      <c r="D98" s="87">
        <f>(B98*C98)/100</f>
        <v>3.13130911851663</v>
      </c>
      <c r="E98" s="89">
        <f>3742412/(5104010)*60</f>
        <v>43.9937852786339</v>
      </c>
      <c r="F98" s="87">
        <v>327.97</v>
      </c>
      <c r="G98" s="87">
        <f>E98*F98/2000</f>
        <v>7.21432087891678</v>
      </c>
      <c r="H98" s="89">
        <f>(258909/5104010)*60</f>
        <v>3.04359513402207</v>
      </c>
      <c r="I98" s="89">
        <v>166.79</v>
      </c>
      <c r="J98" s="89">
        <f>H98*I98/2000</f>
        <v>0.253820616201771</v>
      </c>
      <c r="K98" s="87">
        <f>D98+G98+J98</f>
        <v>10.5994506136352</v>
      </c>
      <c r="L98" s="87">
        <f>D98/K98</f>
        <v>0.295421832004056</v>
      </c>
      <c r="M98" s="87">
        <f>(G98+J98)/K98</f>
        <v>0.704578167995942</v>
      </c>
      <c r="N98" s="87">
        <v>8.93</v>
      </c>
      <c r="O98" s="88">
        <f>K98-N98</f>
        <v>1.6694506136352</v>
      </c>
      <c r="P98" s="22"/>
      <c r="Q98" s="22"/>
    </row>
    <row r="99" ht="13" customHeight="1">
      <c r="A99" t="s" s="28">
        <v>194</v>
      </c>
      <c r="B99" s="89">
        <f>1901853/(4973534*2/60)</f>
        <v>11.4718407474444</v>
      </c>
      <c r="C99" s="87">
        <v>26.42</v>
      </c>
      <c r="D99" s="87">
        <f>(B99*C99)/100</f>
        <v>3.03086032547481</v>
      </c>
      <c r="E99" s="89">
        <f>3655750/(4973534)*60</f>
        <v>44.1024430515605</v>
      </c>
      <c r="F99" s="87">
        <v>308.6</v>
      </c>
      <c r="G99" s="87">
        <f>E99*F99/2000</f>
        <v>6.80500696285579</v>
      </c>
      <c r="H99" s="89">
        <f>(251965/4973534)*60</f>
        <v>3.03966957901565</v>
      </c>
      <c r="I99" s="89">
        <v>139.03</v>
      </c>
      <c r="J99" s="89">
        <f>H99*I99/2000</f>
        <v>0.211302630785273</v>
      </c>
      <c r="K99" s="87">
        <f>D99+G99+J99</f>
        <v>10.0471699191159</v>
      </c>
      <c r="L99" s="87">
        <f>D99/K99</f>
        <v>0.301663090191025</v>
      </c>
      <c r="M99" s="87">
        <f>(G99+J99)/K99</f>
        <v>0.698336909808973</v>
      </c>
      <c r="N99" s="87">
        <v>8.83</v>
      </c>
      <c r="O99" s="88">
        <f>K99-N99</f>
        <v>1.2171699191159</v>
      </c>
      <c r="P99" s="22"/>
      <c r="Q99" s="22"/>
    </row>
    <row r="100" ht="13" customHeight="1">
      <c r="A100" t="s" s="28">
        <v>195</v>
      </c>
      <c r="B100" s="89">
        <f>1929027/(5011324*2/60)</f>
        <v>11.5480080713201</v>
      </c>
      <c r="C100" s="87">
        <v>29.72</v>
      </c>
      <c r="D100" s="87">
        <f>(B100*C100)/100</f>
        <v>3.43206799879633</v>
      </c>
      <c r="E100" s="89">
        <f>3669213/(5011324)*60</f>
        <v>43.9310609331985</v>
      </c>
      <c r="F100" s="87">
        <v>289.78</v>
      </c>
      <c r="G100" s="87">
        <f>E100*F100/2000</f>
        <v>6.36517141861113</v>
      </c>
      <c r="H100" s="89">
        <f>(262266/5011324)*60</f>
        <v>3.14008034603231</v>
      </c>
      <c r="I100" s="89">
        <v>120</v>
      </c>
      <c r="J100" s="89">
        <f>H100*I100/2000</f>
        <v>0.188404820761939</v>
      </c>
      <c r="K100" s="87">
        <f>D100+G100+J100</f>
        <v>9.9856442381694</v>
      </c>
      <c r="L100" s="87">
        <f>D100/K100</f>
        <v>0.343700207711937</v>
      </c>
      <c r="M100" s="87">
        <f>(G100+J100)/K100</f>
        <v>0.656299792288063</v>
      </c>
      <c r="N100" s="87">
        <v>8.9</v>
      </c>
      <c r="O100" s="88">
        <f>K100-N100</f>
        <v>1.0856442381694</v>
      </c>
      <c r="P100" s="22"/>
      <c r="Q100" s="22"/>
    </row>
    <row r="101" ht="13" customHeight="1">
      <c r="A101" t="s" s="28">
        <v>196</v>
      </c>
      <c r="B101" s="89">
        <f>1864887/(4814044*2/60)</f>
        <v>11.6215410577884</v>
      </c>
      <c r="C101" s="87">
        <v>28.89</v>
      </c>
      <c r="D101" s="87">
        <f>(B101*C101)/100</f>
        <v>3.35746321159507</v>
      </c>
      <c r="E101" s="89">
        <f>3539791/(4814044)*60</f>
        <v>44.1183046935175</v>
      </c>
      <c r="F101" s="87">
        <v>279.56</v>
      </c>
      <c r="G101" s="87">
        <f>E101*F101/2000</f>
        <v>6.16685663005988</v>
      </c>
      <c r="H101" s="89">
        <f>(256884/4814044)*60</f>
        <v>3.2016824108795</v>
      </c>
      <c r="I101" s="89">
        <v>108.13</v>
      </c>
      <c r="J101" s="89">
        <f>H101*I101/2000</f>
        <v>0.1730989595442</v>
      </c>
      <c r="K101" s="87">
        <f>D101+G101+J101</f>
        <v>9.69741880119915</v>
      </c>
      <c r="L101" s="87">
        <f>D101/K101</f>
        <v>0.346222358797157</v>
      </c>
      <c r="M101" s="87">
        <f>(G101+J101)/K101</f>
        <v>0.653777641202843</v>
      </c>
      <c r="N101" s="87">
        <v>8.81</v>
      </c>
      <c r="O101" s="88">
        <f>K101-N101</f>
        <v>0.88741880119915</v>
      </c>
      <c r="P101" s="22"/>
      <c r="Q101" s="22"/>
    </row>
    <row r="102" ht="13" customHeight="1">
      <c r="A102" t="s" s="28">
        <v>197</v>
      </c>
      <c r="B102" s="89">
        <f>1795866/(4638663*2/60)</f>
        <v>11.6145492785313</v>
      </c>
      <c r="C102" s="87">
        <v>29.79</v>
      </c>
      <c r="D102" s="87">
        <f>(B102*C102)/100</f>
        <v>3.45997423007447</v>
      </c>
      <c r="E102" s="89">
        <f>3425236/(4638663)*60</f>
        <v>44.3046110484853</v>
      </c>
      <c r="F102" s="87">
        <v>273.61</v>
      </c>
      <c r="G102" s="87">
        <f>E102*F102/2000</f>
        <v>6.06109231448803</v>
      </c>
      <c r="H102" s="89">
        <f>(241078/4638663)*60</f>
        <v>3.11828645452364</v>
      </c>
      <c r="I102" s="89">
        <v>109.15</v>
      </c>
      <c r="J102" s="89">
        <f>H102*I102/2000</f>
        <v>0.170180483255628</v>
      </c>
      <c r="K102" s="87">
        <f>D102+G102+J102</f>
        <v>9.691247027818131</v>
      </c>
      <c r="L102" s="87">
        <f>D102/K102</f>
        <v>0.35702053823856</v>
      </c>
      <c r="M102" s="87">
        <f>(G102+J102)/K102</f>
        <v>0.6429794617614401</v>
      </c>
      <c r="N102" s="87">
        <v>8.82</v>
      </c>
      <c r="O102" s="88">
        <f>K102-N102</f>
        <v>0.87124702781813</v>
      </c>
      <c r="P102" s="22"/>
      <c r="Q102" s="22"/>
    </row>
    <row r="103" ht="13" customHeight="1">
      <c r="A103" t="s" s="28">
        <v>198</v>
      </c>
      <c r="B103" s="89">
        <f>1943537/(4991626*2/60)</f>
        <v>11.6807849786823</v>
      </c>
      <c r="C103" s="87">
        <v>30.86</v>
      </c>
      <c r="D103" s="87">
        <f>(B103*C103)/100</f>
        <v>3.60469024442136</v>
      </c>
      <c r="E103" s="89">
        <f>3677248/(4991626)*60</f>
        <v>44.2010038412333</v>
      </c>
      <c r="F103" s="87">
        <v>276.22</v>
      </c>
      <c r="G103" s="87">
        <f>E103*F103/2000</f>
        <v>6.10460064051273</v>
      </c>
      <c r="H103" s="89">
        <f>(260298/4991626)*60</f>
        <v>3.1288161412734</v>
      </c>
      <c r="I103" s="89">
        <v>104.2</v>
      </c>
      <c r="J103" s="89">
        <f>H103*I103/2000</f>
        <v>0.163011320960344</v>
      </c>
      <c r="K103" s="87">
        <f>D103+G103+J103</f>
        <v>9.87230220589443</v>
      </c>
      <c r="L103" s="87">
        <f>D103/K103</f>
        <v>0.365131675392708</v>
      </c>
      <c r="M103" s="87">
        <f>(G103+J103)/K103</f>
        <v>0.634868324607292</v>
      </c>
      <c r="N103" s="87">
        <v>8.960000000000001</v>
      </c>
      <c r="O103" s="88">
        <f>K103-N103</f>
        <v>0.91230220589443</v>
      </c>
      <c r="P103" s="22"/>
      <c r="Q103" s="22"/>
    </row>
    <row r="104" ht="13" customHeight="1">
      <c r="A104" t="s" s="28">
        <v>199</v>
      </c>
      <c r="B104" s="89">
        <f>1840263/(4745090*2/60)</f>
        <v>11.6347403315849</v>
      </c>
      <c r="C104" s="87">
        <v>32.45</v>
      </c>
      <c r="D104" s="87">
        <f>(B104*C104)/100</f>
        <v>3.7754732375993</v>
      </c>
      <c r="E104" s="89">
        <f>3502911/(4745090)*60</f>
        <v>44.2930819015024</v>
      </c>
      <c r="F104" s="87">
        <v>303.81</v>
      </c>
      <c r="G104" s="87">
        <f>E104*F104/2000</f>
        <v>6.72834060624772</v>
      </c>
      <c r="H104" s="89">
        <f>(243761/4745090)*60</f>
        <v>3.08227241211442</v>
      </c>
      <c r="I104" s="89">
        <v>88.20999999999999</v>
      </c>
      <c r="J104" s="89">
        <f>H104*I104/2000</f>
        <v>0.135943624736306</v>
      </c>
      <c r="K104" s="87">
        <f>D104+G104+J104</f>
        <v>10.6397574685833</v>
      </c>
      <c r="L104" s="87">
        <f>D104/K104</f>
        <v>0.354845798764435</v>
      </c>
      <c r="M104" s="87">
        <f>(G104+J104)/K104</f>
        <v>0.645154201235568</v>
      </c>
      <c r="N104" s="87">
        <v>9.609999999999999</v>
      </c>
      <c r="O104" s="88">
        <f>K104-N104</f>
        <v>1.0297574685833</v>
      </c>
      <c r="P104" s="22"/>
      <c r="Q104" s="22"/>
    </row>
    <row r="105" ht="13" customHeight="1">
      <c r="A105" t="s" s="28">
        <v>200</v>
      </c>
      <c r="B105" s="89">
        <f>1876184/(4825833*2/60)</f>
        <v>11.6633791513299</v>
      </c>
      <c r="C105" s="87">
        <v>30.76</v>
      </c>
      <c r="D105" s="87">
        <f>(B105*C105)/100</f>
        <v>3.58765542694908</v>
      </c>
      <c r="E105" s="89">
        <f>3561181/(4825833)*60</f>
        <v>44.2764720619217</v>
      </c>
      <c r="F105" s="87">
        <v>376.35</v>
      </c>
      <c r="G105" s="87">
        <f>E105*F105/2000</f>
        <v>8.331725130252121</v>
      </c>
      <c r="H105" s="89">
        <f>(246358/4825833)*60</f>
        <v>3.0629903687094</v>
      </c>
      <c r="I105" s="89">
        <v>89.76000000000001</v>
      </c>
      <c r="J105" s="89">
        <f>H105*I105/2000</f>
        <v>0.137467007747678</v>
      </c>
      <c r="K105" s="87">
        <f>D105+G105+J105</f>
        <v>12.0568475649489</v>
      </c>
      <c r="L105" s="87">
        <f>D105/K105</f>
        <v>0.29756164765481</v>
      </c>
      <c r="M105" s="87">
        <f>(G105+J105)/K105</f>
        <v>0.702438352345188</v>
      </c>
      <c r="N105" s="87">
        <v>10.49</v>
      </c>
      <c r="O105" s="88">
        <f>K105-N105</f>
        <v>1.5668475649489</v>
      </c>
      <c r="P105" s="22"/>
      <c r="Q105" s="22"/>
    </row>
    <row r="106" ht="13" customHeight="1">
      <c r="A106" t="s" s="28">
        <v>213</v>
      </c>
      <c r="B106" s="89">
        <f>1787234/(4623752*2/60)</f>
        <v>11.5959982282787</v>
      </c>
      <c r="C106" s="87">
        <v>30.35</v>
      </c>
      <c r="D106" s="87">
        <f>(B106*C106)/100</f>
        <v>3.51938546228259</v>
      </c>
      <c r="E106" s="89">
        <f>3411099/(4623752)*60</f>
        <v>44.2640392477797</v>
      </c>
      <c r="F106" s="87">
        <v>408.57</v>
      </c>
      <c r="G106" s="87">
        <f>E106*F106/2000</f>
        <v>9.04247925773268</v>
      </c>
      <c r="H106" s="89">
        <f>(235294/4623752)*60</f>
        <v>3.05328659495578</v>
      </c>
      <c r="I106" s="89">
        <v>93.06999999999999</v>
      </c>
      <c r="J106" s="89">
        <f>H106*I106/2000</f>
        <v>0.142084691696267</v>
      </c>
      <c r="K106" s="87">
        <f>D106+G106+J106</f>
        <v>12.7039494117115</v>
      </c>
      <c r="L106" s="87">
        <f>D106/K106</f>
        <v>0.27703081523909</v>
      </c>
      <c r="M106" s="87">
        <f>(G106+J106)/K106</f>
        <v>0.722969184760913</v>
      </c>
      <c r="N106" s="87">
        <v>11.4</v>
      </c>
      <c r="O106" s="88">
        <f>K106-N106</f>
        <v>1.3039494117115</v>
      </c>
      <c r="P106" s="22"/>
      <c r="Q106" s="22"/>
    </row>
    <row r="107" ht="13" customHeight="1">
      <c r="A107" t="s" s="28">
        <v>214</v>
      </c>
      <c r="B107" s="89">
        <f>1789356/(4603543*2/60)</f>
        <v>11.6607317450929</v>
      </c>
      <c r="C107" s="87">
        <v>28.75</v>
      </c>
      <c r="D107" s="87">
        <f>(B107*C107)/100</f>
        <v>3.35246037671421</v>
      </c>
      <c r="E107" s="89">
        <f>3403386/(4603543)*60</f>
        <v>44.357826135218</v>
      </c>
      <c r="F107" s="87">
        <v>371.49</v>
      </c>
      <c r="G107" s="87">
        <f>E107*F107/2000</f>
        <v>8.23924441548607</v>
      </c>
      <c r="H107" s="89">
        <f>(240805/4603543)*60</f>
        <v>3.13851744189204</v>
      </c>
      <c r="I107" s="89">
        <v>93.5</v>
      </c>
      <c r="J107" s="89">
        <f>H107*I107/2000</f>
        <v>0.146725690408453</v>
      </c>
      <c r="K107" s="87">
        <f>D107+G107+J107</f>
        <v>11.7384304826087</v>
      </c>
      <c r="L107" s="87">
        <f>D107/K107</f>
        <v>0.285596986895404</v>
      </c>
      <c r="M107" s="87">
        <f>(G107+J107)/K107</f>
        <v>0.714403013104599</v>
      </c>
      <c r="N107" s="87">
        <v>10.59</v>
      </c>
      <c r="O107" s="88">
        <f>K107-N107</f>
        <v>1.1484304826087</v>
      </c>
      <c r="P107" s="22"/>
      <c r="Q107" s="22"/>
    </row>
    <row r="108" ht="13" customHeight="1">
      <c r="A108" t="s" s="28">
        <v>215</v>
      </c>
      <c r="B108" s="89">
        <f>1642478/(4218789*2/60)</f>
        <v>11.6797355828888</v>
      </c>
      <c r="C108" s="87">
        <v>31.21</v>
      </c>
      <c r="D108" s="87">
        <f>(B108*C108)/100</f>
        <v>3.64524547541959</v>
      </c>
      <c r="E108" s="89">
        <f>3111301/(4218789)*60</f>
        <v>44.2492051629034</v>
      </c>
      <c r="F108" s="87">
        <v>340.8</v>
      </c>
      <c r="G108" s="87">
        <f>E108*F108/2000</f>
        <v>7.54006455975874</v>
      </c>
      <c r="H108" s="89">
        <f>(217058/4218789)*60</f>
        <v>3.08701857333941</v>
      </c>
      <c r="I108" s="89">
        <v>106.52</v>
      </c>
      <c r="J108" s="89">
        <f>H108*I108/2000</f>
        <v>0.164414609216057</v>
      </c>
      <c r="K108" s="87">
        <f>D108+G108+J108</f>
        <v>11.3497246443944</v>
      </c>
      <c r="L108" s="87">
        <f>D108/K108</f>
        <v>0.321174794070442</v>
      </c>
      <c r="M108" s="87">
        <f>(G108+J108)/K108</f>
        <v>0.678825205929557</v>
      </c>
      <c r="N108" s="87">
        <v>10.24</v>
      </c>
      <c r="O108" s="88">
        <f>K108-N108</f>
        <v>1.1097246443944</v>
      </c>
      <c r="P108" s="22"/>
      <c r="Q108" s="22"/>
    </row>
    <row r="109" ht="13" customHeight="1">
      <c r="A109" t="s" s="28">
        <v>263</v>
      </c>
      <c r="B109" s="89">
        <f>(21864904)/(56587104*2/60)</f>
        <v>11.5918128625208</v>
      </c>
      <c r="C109" s="87">
        <f>AVERAGE(C97:C108)</f>
        <v>29.3975</v>
      </c>
      <c r="D109" s="87">
        <f>(B109*C109)/100</f>
        <v>3.40770318625955</v>
      </c>
      <c r="E109" s="89">
        <f>41673687/(56587104)*60</f>
        <v>44.1871211504303</v>
      </c>
      <c r="F109" s="87">
        <f>AVERAGE(F97:F108)</f>
        <v>324.198333333333</v>
      </c>
      <c r="G109" s="87">
        <f>E109*F109/2000</f>
        <v>7.16269551588379</v>
      </c>
      <c r="H109" s="89">
        <f>2915670/(56587104)*60</f>
        <v>3.09152064046253</v>
      </c>
      <c r="I109" s="89">
        <f>AVERAGE(I97:I108)</f>
        <v>113.018333333333</v>
      </c>
      <c r="J109" s="89">
        <f>H109*I109/2000</f>
        <v>0.174699255125337</v>
      </c>
      <c r="K109" s="87">
        <f>D109+G109+J109</f>
        <v>10.7450979572687</v>
      </c>
      <c r="L109" s="87">
        <f>D109/K109</f>
        <v>0.317140262453759</v>
      </c>
      <c r="M109" s="87">
        <f>(G109+J109)/K109</f>
        <v>0.682859737546238</v>
      </c>
      <c r="N109" s="87">
        <f>AVERAGE(N97:N108)</f>
        <v>9.54083333333333</v>
      </c>
      <c r="O109" s="88">
        <f>K109-N109</f>
        <v>1.20426462393537</v>
      </c>
      <c r="P109" s="22"/>
      <c r="Q109" s="22"/>
    </row>
    <row r="110" ht="13" customHeight="1">
      <c r="A110" t="s" s="28">
        <v>53</v>
      </c>
      <c r="B110" s="89"/>
      <c r="C110" s="87"/>
      <c r="D110" s="87"/>
      <c r="E110" s="89"/>
      <c r="F110" s="87"/>
      <c r="G110" s="87"/>
      <c r="H110" s="89"/>
      <c r="I110" s="89"/>
      <c r="J110" s="89"/>
      <c r="K110" s="87"/>
      <c r="L110" s="87"/>
      <c r="M110" s="87"/>
      <c r="N110" s="89"/>
      <c r="O110" s="88"/>
      <c r="P110" s="22"/>
      <c r="Q110" s="22"/>
    </row>
    <row r="111" ht="13" customHeight="1">
      <c r="A111" t="s" s="28">
        <v>192</v>
      </c>
      <c r="B111" s="89">
        <f>(1616609)/(4148008*2/60)</f>
        <v>11.6919422527633</v>
      </c>
      <c r="C111" s="87">
        <v>31.99</v>
      </c>
      <c r="D111" s="87">
        <f>(B111*C111)/100</f>
        <v>3.74025232665898</v>
      </c>
      <c r="E111" s="89">
        <v>44.0064001805204</v>
      </c>
      <c r="F111" s="87">
        <v>337.95</v>
      </c>
      <c r="G111" s="87">
        <f>E111*F111/2000</f>
        <v>7.43598147050343</v>
      </c>
      <c r="H111" s="89">
        <v>3.11199496240123</v>
      </c>
      <c r="I111" s="89">
        <v>106.43</v>
      </c>
      <c r="J111" s="89">
        <f>H111*I111/2000</f>
        <v>0.165604811924181</v>
      </c>
      <c r="K111" s="87">
        <f>D111+G111+J111</f>
        <v>11.3418386090866</v>
      </c>
      <c r="L111" s="87">
        <f>D111/K111</f>
        <v>0.329774779519649</v>
      </c>
      <c r="M111" s="87">
        <f>(G111+J111)/K111</f>
        <v>0.67022522048035</v>
      </c>
      <c r="N111" s="87">
        <v>9.76</v>
      </c>
      <c r="O111" s="88">
        <f>K111-N111</f>
        <v>1.5818386090866</v>
      </c>
      <c r="P111" s="22"/>
      <c r="Q111" s="22"/>
    </row>
    <row r="112" ht="13" customHeight="1">
      <c r="A112" t="s" s="28">
        <v>193</v>
      </c>
      <c r="B112" s="89">
        <f>(2028518)/(5276415*2/60)</f>
        <v>11.5335014398981</v>
      </c>
      <c r="C112" s="87">
        <v>33.86</v>
      </c>
      <c r="D112" s="87">
        <f>(B112*C112)/100</f>
        <v>3.9052435875495</v>
      </c>
      <c r="E112" s="89">
        <v>43.5537197131007</v>
      </c>
      <c r="F112" s="87">
        <v>323.27</v>
      </c>
      <c r="G112" s="87">
        <f>E112*F112/2000</f>
        <v>7.03980548582703</v>
      </c>
      <c r="H112" s="89">
        <v>3.1148080657037</v>
      </c>
      <c r="I112" s="89">
        <v>109.88</v>
      </c>
      <c r="J112" s="89">
        <f>H112*I112/2000</f>
        <v>0.171127555129761</v>
      </c>
      <c r="K112" s="87">
        <f>D112+G112+J112</f>
        <v>11.1161766285063</v>
      </c>
      <c r="L112" s="87">
        <f>D112/K112</f>
        <v>0.351311761054147</v>
      </c>
      <c r="M112" s="87">
        <f>(G112+J112)/K112</f>
        <v>0.648688238945852</v>
      </c>
      <c r="N112" s="87">
        <v>9.56</v>
      </c>
      <c r="O112" s="88">
        <f>K112-N112</f>
        <v>1.5561766285063</v>
      </c>
      <c r="P112" s="22"/>
      <c r="Q112" s="22"/>
    </row>
    <row r="113" ht="13" customHeight="1">
      <c r="A113" t="s" s="28">
        <v>194</v>
      </c>
      <c r="B113" s="89">
        <f>(1961256)/(5122038*2/60)</f>
        <v>11.4871619460847</v>
      </c>
      <c r="C113" s="87">
        <v>34.52</v>
      </c>
      <c r="D113" s="87">
        <f>(B113*C113)/100</f>
        <v>3.96536830378844</v>
      </c>
      <c r="E113" s="89">
        <v>43.8000616160989</v>
      </c>
      <c r="F113" s="87">
        <v>322.41</v>
      </c>
      <c r="G113" s="87">
        <f>E113*F113/2000</f>
        <v>7.06078893282322</v>
      </c>
      <c r="H113" s="89">
        <v>3.20279544977995</v>
      </c>
      <c r="I113" s="89">
        <v>105.26</v>
      </c>
      <c r="J113" s="89">
        <f>H113*I113/2000</f>
        <v>0.168563124521919</v>
      </c>
      <c r="K113" s="87">
        <f>D113+G113+J113</f>
        <v>11.1947203611336</v>
      </c>
      <c r="L113" s="87">
        <f>D113/K113</f>
        <v>0.354217718341193</v>
      </c>
      <c r="M113" s="87">
        <f>(G113+J113)/K113</f>
        <v>0.645782281658805</v>
      </c>
      <c r="N113" s="87">
        <v>9.94</v>
      </c>
      <c r="O113" s="88">
        <f>K113-N113</f>
        <v>1.2547203611336</v>
      </c>
      <c r="P113" s="22"/>
      <c r="Q113" s="22"/>
    </row>
    <row r="114" ht="13" customHeight="1">
      <c r="A114" t="s" s="28">
        <v>195</v>
      </c>
      <c r="B114" s="89">
        <f>(1950176)/(5071493*2/60)</f>
        <v>11.536105837078</v>
      </c>
      <c r="C114" s="87">
        <v>35.57</v>
      </c>
      <c r="D114" s="87">
        <f>(B114*C114)/100</f>
        <v>4.10339284624864</v>
      </c>
      <c r="E114" s="89">
        <v>43.6636864134487</v>
      </c>
      <c r="F114" s="87">
        <v>321.02</v>
      </c>
      <c r="G114" s="87">
        <f>E114*F114/2000</f>
        <v>7.00845830622265</v>
      </c>
      <c r="H114" s="89">
        <v>3.23548509285136</v>
      </c>
      <c r="I114" s="89">
        <v>113.45</v>
      </c>
      <c r="J114" s="89">
        <f>H114*I114/2000</f>
        <v>0.183532891891993</v>
      </c>
      <c r="K114" s="87">
        <f>D114+G114+J114</f>
        <v>11.2953840443633</v>
      </c>
      <c r="L114" s="87">
        <f>D114/K114</f>
        <v>0.36328050734108</v>
      </c>
      <c r="M114" s="87">
        <f>(G114+J114)/K114</f>
        <v>0.636719492658918</v>
      </c>
      <c r="N114" s="87">
        <v>10.16</v>
      </c>
      <c r="O114" s="88">
        <f>K114-N114</f>
        <v>1.1353840443633</v>
      </c>
      <c r="P114" s="22"/>
      <c r="Q114" s="22"/>
    </row>
    <row r="115" ht="13" customHeight="1">
      <c r="A115" t="s" s="28">
        <v>196</v>
      </c>
      <c r="B115" s="89">
        <f>(1982893)/(5139706*2/60)</f>
        <v>11.5739674603956</v>
      </c>
      <c r="C115" s="87">
        <v>33.58</v>
      </c>
      <c r="D115" s="87">
        <f>(B115*C115)/100</f>
        <v>3.88653827320084</v>
      </c>
      <c r="E115" s="89">
        <v>43.9337778121246</v>
      </c>
      <c r="F115" s="87">
        <v>332.34</v>
      </c>
      <c r="G115" s="87">
        <f>E115*F115/2000</f>
        <v>7.30047585904074</v>
      </c>
      <c r="H115" s="89">
        <v>3.05264193228841</v>
      </c>
      <c r="I115" s="89">
        <v>159.25</v>
      </c>
      <c r="J115" s="89">
        <f>H115*I115/2000</f>
        <v>0.243066613858465</v>
      </c>
      <c r="K115" s="87">
        <f>D115+G115+J115</f>
        <v>11.4300807461</v>
      </c>
      <c r="L115" s="87">
        <f>D115/K115</f>
        <v>0.340027193117332</v>
      </c>
      <c r="M115" s="87">
        <f>(G115+J115)/K115</f>
        <v>0.659972806882672</v>
      </c>
      <c r="N115" s="87">
        <v>10.26</v>
      </c>
      <c r="O115" s="88">
        <f>K115-N115</f>
        <v>1.1700807461</v>
      </c>
      <c r="P115" s="22"/>
      <c r="Q115" s="22"/>
    </row>
    <row r="116" ht="13" customHeight="1">
      <c r="A116" t="s" s="28">
        <v>197</v>
      </c>
      <c r="B116" s="89">
        <f>(1757030)/(4542336*2/60)</f>
        <v>11.6043595189788</v>
      </c>
      <c r="C116" s="87">
        <v>32</v>
      </c>
      <c r="D116" s="87">
        <f>(B116*C116)/100</f>
        <v>3.71339504607322</v>
      </c>
      <c r="E116" s="89">
        <v>43.9996220823966</v>
      </c>
      <c r="F116" s="87">
        <v>334.42</v>
      </c>
      <c r="G116" s="87">
        <f>E116*F116/2000</f>
        <v>7.35717680839754</v>
      </c>
      <c r="H116" s="89">
        <v>3.01129249586322</v>
      </c>
      <c r="I116" s="89">
        <v>142.5</v>
      </c>
      <c r="J116" s="89">
        <f>H116*I116/2000</f>
        <v>0.214554590330254</v>
      </c>
      <c r="K116" s="87">
        <f>D116+G116+J116</f>
        <v>11.285126444801</v>
      </c>
      <c r="L116" s="87">
        <f>D116/K116</f>
        <v>0.329052143477219</v>
      </c>
      <c r="M116" s="87">
        <f>(G116+J116)/K116</f>
        <v>0.670947856522782</v>
      </c>
      <c r="N116" s="87">
        <v>10.26</v>
      </c>
      <c r="O116" s="88">
        <f>K116-N116</f>
        <v>1.025126444801</v>
      </c>
      <c r="P116" s="22"/>
      <c r="Q116" s="22"/>
    </row>
    <row r="117" ht="13" customHeight="1">
      <c r="A117" t="s" s="28">
        <v>198</v>
      </c>
      <c r="B117" s="89">
        <f>(1865466)/(4822961*2/60)</f>
        <v>11.6036559283809</v>
      </c>
      <c r="C117" s="87">
        <v>30.86</v>
      </c>
      <c r="D117" s="87">
        <f>(B117*C117)/100</f>
        <v>3.58088821949835</v>
      </c>
      <c r="E117" s="89">
        <v>43.8986869308916</v>
      </c>
      <c r="F117" s="87">
        <v>320.34</v>
      </c>
      <c r="G117" s="87">
        <f>E117*F117/2000</f>
        <v>7.03125268572091</v>
      </c>
      <c r="H117" s="89">
        <v>3.04252953926332</v>
      </c>
      <c r="I117" s="89">
        <v>113.37</v>
      </c>
      <c r="J117" s="89">
        <f>H117*I117/2000</f>
        <v>0.172465786933141</v>
      </c>
      <c r="K117" s="87">
        <f>D117+G117+J117</f>
        <v>10.7846066921524</v>
      </c>
      <c r="L117" s="87">
        <f>D117/K117</f>
        <v>0.332036978418883</v>
      </c>
      <c r="M117" s="87">
        <f>(G117+J117)/K117</f>
        <v>0.667963021581117</v>
      </c>
      <c r="N117" s="87">
        <v>9.859999999999999</v>
      </c>
      <c r="O117" s="88">
        <f>K117-N117</f>
        <v>0.9246066921524</v>
      </c>
      <c r="P117" s="22"/>
      <c r="Q117" s="22"/>
    </row>
    <row r="118" ht="13" customHeight="1">
      <c r="A118" t="s" s="28">
        <v>199</v>
      </c>
      <c r="B118" s="89">
        <f>(1737775)/(4509463*2/60)</f>
        <v>11.5608554721482</v>
      </c>
      <c r="C118" s="87">
        <v>29.57</v>
      </c>
      <c r="D118" s="87">
        <f>(B118*C118)/100</f>
        <v>3.41854496311422</v>
      </c>
      <c r="E118" s="89">
        <v>43.9172731412587</v>
      </c>
      <c r="F118" s="87">
        <v>305.67</v>
      </c>
      <c r="G118" s="87">
        <f>E118*F118/2000</f>
        <v>6.71209644054427</v>
      </c>
      <c r="H118" s="89">
        <v>2.95999960827135</v>
      </c>
      <c r="I118" s="89">
        <v>107.89</v>
      </c>
      <c r="J118" s="89">
        <f>H118*I118/2000</f>
        <v>0.159677178868198</v>
      </c>
      <c r="K118" s="87">
        <f>D118+G118+J118</f>
        <v>10.2903185825267</v>
      </c>
      <c r="L118" s="87">
        <f>D118/K118</f>
        <v>0.332209827683957</v>
      </c>
      <c r="M118" s="87">
        <f>(G118+J118)/K118</f>
        <v>0.667790172316041</v>
      </c>
      <c r="N118" s="87">
        <v>9.369999999999999</v>
      </c>
      <c r="O118" s="88">
        <f>K118-N118</f>
        <v>0.9203185825267</v>
      </c>
      <c r="P118" s="22"/>
      <c r="Q118" s="22"/>
    </row>
    <row r="119" ht="13" customHeight="1">
      <c r="A119" t="s" s="28">
        <v>200</v>
      </c>
      <c r="B119" s="89">
        <f>(1839342)/(4739387*2/60)</f>
        <v>11.6429107814998</v>
      </c>
      <c r="C119" s="87">
        <v>30.6</v>
      </c>
      <c r="D119" s="87">
        <f>(B119*C119)/100</f>
        <v>3.56273069913894</v>
      </c>
      <c r="E119" s="89">
        <v>44.2005038218999</v>
      </c>
      <c r="F119" s="87">
        <v>307.63</v>
      </c>
      <c r="G119" s="87">
        <f>E119*F119/2000</f>
        <v>6.79870049536553</v>
      </c>
      <c r="H119" s="89">
        <v>3.04312496741435</v>
      </c>
      <c r="I119" s="89">
        <v>107</v>
      </c>
      <c r="J119" s="89">
        <f>H119*I119/2000</f>
        <v>0.162807185756668</v>
      </c>
      <c r="K119" s="87">
        <f>D119+G119+J119</f>
        <v>10.5242383802611</v>
      </c>
      <c r="L119" s="87">
        <f>D119/K119</f>
        <v>0.338526225880732</v>
      </c>
      <c r="M119" s="87">
        <f>(G119+J119)/K119</f>
        <v>0.661473774119271</v>
      </c>
      <c r="N119" s="87">
        <v>9.49</v>
      </c>
      <c r="O119" s="88">
        <f>K119-N119</f>
        <v>1.0342383802611</v>
      </c>
      <c r="P119" s="22"/>
      <c r="Q119" s="22"/>
    </row>
    <row r="120" ht="13" customHeight="1">
      <c r="A120" t="s" s="28">
        <v>213</v>
      </c>
      <c r="B120" s="89">
        <f>(1735608)/(4446863*2/60)</f>
        <v>11.7089822645762</v>
      </c>
      <c r="C120" s="87">
        <v>30.74</v>
      </c>
      <c r="D120" s="87">
        <f>(B120*C120)/100</f>
        <v>3.59934114813072</v>
      </c>
      <c r="E120" s="89">
        <v>44.0993617298307</v>
      </c>
      <c r="F120" s="87">
        <v>300.72</v>
      </c>
      <c r="G120" s="87">
        <f>E120*F120/2000</f>
        <v>6.63078002969734</v>
      </c>
      <c r="H120" s="89">
        <v>2.98363138239249</v>
      </c>
      <c r="I120" s="89">
        <v>103.25</v>
      </c>
      <c r="J120" s="89">
        <f>H120*I120/2000</f>
        <v>0.154029970116012</v>
      </c>
      <c r="K120" s="87">
        <f>D120+G120+J120</f>
        <v>10.3841511479441</v>
      </c>
      <c r="L120" s="87">
        <f>D120/K120</f>
        <v>0.34661871700927</v>
      </c>
      <c r="M120" s="87">
        <f>(G120+J120)/K120</f>
        <v>0.653381282990728</v>
      </c>
      <c r="N120" s="87">
        <v>9.23</v>
      </c>
      <c r="O120" s="88">
        <f>K120-N120</f>
        <v>1.1541511479441</v>
      </c>
      <c r="P120" s="22"/>
      <c r="Q120" s="22"/>
    </row>
    <row r="121" ht="13" customHeight="1">
      <c r="A121" t="s" s="28">
        <v>214</v>
      </c>
      <c r="B121" s="89">
        <f>(1801376)/(4668680*2/60)</f>
        <v>11.5752803790365</v>
      </c>
      <c r="C121" s="87">
        <v>32.82</v>
      </c>
      <c r="D121" s="87">
        <f>(B121*C121)/100</f>
        <v>3.79900702039978</v>
      </c>
      <c r="E121" s="89">
        <v>43.7038134976053</v>
      </c>
      <c r="F121" s="87">
        <v>326.04</v>
      </c>
      <c r="G121" s="87">
        <f>E121*F121/2000</f>
        <v>7.12459567637962</v>
      </c>
      <c r="H121" s="89">
        <v>3.05138069004515</v>
      </c>
      <c r="I121" s="89">
        <v>107.4</v>
      </c>
      <c r="J121" s="89">
        <f>H121*I121/2000</f>
        <v>0.163859143055425</v>
      </c>
      <c r="K121" s="87">
        <f>D121+G121+J121</f>
        <v>11.0874618398348</v>
      </c>
      <c r="L121" s="87">
        <f>D121/K121</f>
        <v>0.342639918430275</v>
      </c>
      <c r="M121" s="87">
        <f>(G121+J121)/K121</f>
        <v>0.657360081569727</v>
      </c>
      <c r="N121" s="87">
        <v>9.91</v>
      </c>
      <c r="O121" s="88">
        <f>K121-N121</f>
        <v>1.1774618398348</v>
      </c>
      <c r="P121" s="22"/>
      <c r="Q121" s="22"/>
    </row>
    <row r="122" ht="13" customHeight="1">
      <c r="A122" t="s" s="28">
        <v>215</v>
      </c>
      <c r="B122" s="89">
        <f>(1762207)/(4548592*2/60)</f>
        <v>11.6225438553293</v>
      </c>
      <c r="C122" s="87">
        <v>33.17</v>
      </c>
      <c r="D122" s="87">
        <f>(B122*C122)/100</f>
        <v>3.85519779681273</v>
      </c>
      <c r="E122" s="89">
        <v>43.7826254805883</v>
      </c>
      <c r="F122" s="87">
        <v>301.05</v>
      </c>
      <c r="G122" s="87">
        <f>E122*F122/2000</f>
        <v>6.59037970046555</v>
      </c>
      <c r="H122" s="89">
        <v>3.13051599264124</v>
      </c>
      <c r="I122" s="89">
        <v>111.5</v>
      </c>
      <c r="J122" s="89">
        <f>H122*I122/2000</f>
        <v>0.174526266589749</v>
      </c>
      <c r="K122" s="87">
        <f>D122+G122+J122</f>
        <v>10.620103763868</v>
      </c>
      <c r="L122" s="87">
        <f>D122/K122</f>
        <v>0.363009428394569</v>
      </c>
      <c r="M122" s="87">
        <f>(G122+J122)/K122</f>
        <v>0.636990571605434</v>
      </c>
      <c r="N122" s="87">
        <v>9.390000000000001</v>
      </c>
      <c r="O122" s="88">
        <f>K122-N122</f>
        <v>1.230103763868</v>
      </c>
      <c r="P122" s="22"/>
      <c r="Q122" s="22"/>
    </row>
    <row r="123" ht="13" customHeight="1">
      <c r="A123" t="s" s="28">
        <v>263</v>
      </c>
      <c r="B123" s="89">
        <f>(22038256)/(57035942*2/60)</f>
        <v>11.5917727807494</v>
      </c>
      <c r="C123" s="87">
        <f>AVERAGE(C111:C122)</f>
        <v>32.44</v>
      </c>
      <c r="D123" s="87">
        <f>(B123*C123)/100</f>
        <v>3.76037109007511</v>
      </c>
      <c r="E123" s="89">
        <v>43.8728549979558</v>
      </c>
      <c r="F123" s="87">
        <f>AVERAGE(F111:F122)</f>
        <v>319.405</v>
      </c>
      <c r="G123" s="87">
        <f>E123*F123/2000</f>
        <v>7.00660462531104</v>
      </c>
      <c r="H123" s="89">
        <v>3.08100209818933</v>
      </c>
      <c r="I123" s="89">
        <v>115.598333333333</v>
      </c>
      <c r="J123" s="89">
        <f>H123*I123/2000</f>
        <v>0.178079353773594</v>
      </c>
      <c r="K123" s="87">
        <f>D123+G123+J123</f>
        <v>10.9450550691597</v>
      </c>
      <c r="L123" s="87">
        <f>D123/K123</f>
        <v>0.343568037466605</v>
      </c>
      <c r="M123" s="87">
        <f>(G123+J123)/K123</f>
        <v>0.656431962533399</v>
      </c>
      <c r="N123" s="87">
        <v>9.76583333333333</v>
      </c>
      <c r="O123" s="88">
        <f>K123-N123</f>
        <v>1.17922173582637</v>
      </c>
      <c r="P123" s="22"/>
      <c r="Q123" s="22"/>
    </row>
    <row r="124" ht="13" customHeight="1">
      <c r="A124" t="s" s="28">
        <v>54</v>
      </c>
      <c r="B124" s="89"/>
      <c r="C124" s="87"/>
      <c r="D124" s="87"/>
      <c r="E124" s="89"/>
      <c r="F124" s="87"/>
      <c r="G124" s="87"/>
      <c r="H124" s="89"/>
      <c r="I124" s="89"/>
      <c r="J124" s="89"/>
      <c r="K124" s="87"/>
      <c r="L124" s="87"/>
      <c r="M124" s="87"/>
      <c r="N124" s="87"/>
      <c r="O124" s="88"/>
      <c r="P124" s="22"/>
      <c r="Q124" s="22"/>
    </row>
    <row r="125" ht="13" customHeight="1">
      <c r="A125" t="s" s="28">
        <v>192</v>
      </c>
      <c r="B125" s="89">
        <f>(1701762)/(4361207*2/60)</f>
        <v>11.7061308944978</v>
      </c>
      <c r="C125" s="87">
        <v>33.28</v>
      </c>
      <c r="D125" s="89">
        <f>(B125*C125)/100</f>
        <v>3.89580036168887</v>
      </c>
      <c r="E125" s="89">
        <f>3188771/(4361207)*60</f>
        <v>43.8700249724446</v>
      </c>
      <c r="F125" s="87">
        <v>307.7</v>
      </c>
      <c r="G125" s="87">
        <f>E125*F125/2000</f>
        <v>6.7494033420106</v>
      </c>
      <c r="H125" s="65">
        <f>(219873/4361207)*60</f>
        <v>3.02493782111237</v>
      </c>
      <c r="I125" s="89">
        <v>114.2</v>
      </c>
      <c r="J125" s="89">
        <f>H125*I125/2000</f>
        <v>0.172723949585516</v>
      </c>
      <c r="K125" s="87">
        <f>D125+G125+J125</f>
        <v>10.817927653285</v>
      </c>
      <c r="L125" s="87">
        <f>D125/K125</f>
        <v>0.360124460668385</v>
      </c>
      <c r="M125" s="87">
        <f>(G125+J125)/K125</f>
        <v>0.639875539331614</v>
      </c>
      <c r="N125" s="87">
        <v>9.5</v>
      </c>
      <c r="O125" s="88">
        <f>K125-N125</f>
        <v>1.317927653285</v>
      </c>
      <c r="P125" s="22"/>
      <c r="Q125" s="22"/>
    </row>
    <row r="126" ht="13" customHeight="1">
      <c r="A126" t="s" s="28">
        <v>193</v>
      </c>
      <c r="B126" s="89">
        <f>(2016888)/(5277397*2/60)</f>
        <v>11.4652431871243</v>
      </c>
      <c r="C126" s="87">
        <v>32.35</v>
      </c>
      <c r="D126" s="89">
        <f>(B126*C126)/100</f>
        <v>3.70900617103471</v>
      </c>
      <c r="E126" s="89">
        <f>3847770/(5277397)*60</f>
        <v>43.7462256487431</v>
      </c>
      <c r="F126" s="87">
        <v>315.23</v>
      </c>
      <c r="G126" s="87">
        <f>E126*F126/2000</f>
        <v>6.89506135562664</v>
      </c>
      <c r="H126" s="65">
        <f>(276055/5277397)*60</f>
        <v>3.13853591079087</v>
      </c>
      <c r="I126" s="89">
        <v>117.02</v>
      </c>
      <c r="J126" s="89">
        <f>H126*I126/2000</f>
        <v>0.183635736140374</v>
      </c>
      <c r="K126" s="87">
        <f>D126+G126+J126</f>
        <v>10.7877032628017</v>
      </c>
      <c r="L126" s="87">
        <f>D126/K126</f>
        <v>0.34381796390564</v>
      </c>
      <c r="M126" s="87">
        <f>(G126+J126)/K126</f>
        <v>0.656182036094362</v>
      </c>
      <c r="N126" s="87">
        <v>9.470000000000001</v>
      </c>
      <c r="O126" s="88">
        <f>K126-N126</f>
        <v>1.3177032628017</v>
      </c>
      <c r="P126" s="22"/>
      <c r="Q126" s="22"/>
    </row>
    <row r="127" ht="13" customHeight="1">
      <c r="A127" t="s" s="28">
        <v>194</v>
      </c>
      <c r="B127" s="89">
        <f>(1977005)/(5200462*2/60)</f>
        <v>11.4047848056577</v>
      </c>
      <c r="C127" s="87">
        <v>33.43</v>
      </c>
      <c r="D127" s="89">
        <f>(B127*C127)/100</f>
        <v>3.81261956053137</v>
      </c>
      <c r="E127" s="89">
        <f>3829140/(5200462)*60</f>
        <v>44.1784595291726</v>
      </c>
      <c r="F127" s="87">
        <v>313.52</v>
      </c>
      <c r="G127" s="87">
        <f>E127*F127/2000</f>
        <v>6.9254153157931</v>
      </c>
      <c r="H127" s="65">
        <f>(272552/5200462)*60</f>
        <v>3.14455138793438</v>
      </c>
      <c r="I127" s="89">
        <v>114.8</v>
      </c>
      <c r="J127" s="89">
        <f>H127*I127/2000</f>
        <v>0.180497249667433</v>
      </c>
      <c r="K127" s="87">
        <f>D127+G127+J127</f>
        <v>10.9185321259919</v>
      </c>
      <c r="L127" s="87">
        <f>D127/K127</f>
        <v>0.349187923480603</v>
      </c>
      <c r="M127" s="87">
        <f>(G127+J127)/K127</f>
        <v>0.650812076519397</v>
      </c>
      <c r="N127" s="87">
        <v>9.699999999999999</v>
      </c>
      <c r="O127" s="88">
        <f>K127-N127</f>
        <v>1.2185321259919</v>
      </c>
      <c r="P127" s="22"/>
      <c r="Q127" s="22"/>
    </row>
    <row r="128" ht="13" customHeight="1">
      <c r="A128" t="s" s="28">
        <v>195</v>
      </c>
      <c r="B128" s="89">
        <f>(2015256)/(5290215*2/60)</f>
        <v>11.4282084943618</v>
      </c>
      <c r="C128" s="87">
        <v>32.27</v>
      </c>
      <c r="D128" s="89">
        <f>(B128*C128)/100</f>
        <v>3.68788288113055</v>
      </c>
      <c r="E128" s="89">
        <f>3904161/(5290215)*60</f>
        <v>44.2797995922661</v>
      </c>
      <c r="F128" s="87">
        <v>319.22</v>
      </c>
      <c r="G128" s="87">
        <f>E128*F128/2000</f>
        <v>7.06749881292159</v>
      </c>
      <c r="H128" s="65">
        <f>(268856/5290215)*60</f>
        <v>3.04928249608003</v>
      </c>
      <c r="I128" s="89">
        <v>123.13</v>
      </c>
      <c r="J128" s="89">
        <f>H128*I128/2000</f>
        <v>0.187729076871167</v>
      </c>
      <c r="K128" s="87">
        <f>D128+G128+J128</f>
        <v>10.9431107709233</v>
      </c>
      <c r="L128" s="87">
        <f>D128/K128</f>
        <v>0.337004984992891</v>
      </c>
      <c r="M128" s="87">
        <f>(G128+J128)/K128</f>
        <v>0.66299501500711</v>
      </c>
      <c r="N128" s="87">
        <v>9.6</v>
      </c>
      <c r="O128" s="88">
        <f>K128-N128</f>
        <v>1.3431107709233</v>
      </c>
      <c r="P128" s="22"/>
      <c r="Q128" s="22"/>
    </row>
    <row r="129" ht="13" customHeight="1">
      <c r="A129" t="s" s="28">
        <v>196</v>
      </c>
      <c r="B129" s="89">
        <f>(1995589)/(5239827*2/60)</f>
        <v>11.4255050786982</v>
      </c>
      <c r="C129" s="87">
        <v>31.61</v>
      </c>
      <c r="D129" s="89">
        <f>(B129*C129)/100</f>
        <v>3.6116021553765</v>
      </c>
      <c r="E129" s="89">
        <f>3859849/(5239827)*60</f>
        <v>44.1982034903061</v>
      </c>
      <c r="F129" s="87">
        <v>322.59</v>
      </c>
      <c r="G129" s="87">
        <f>E129*F129/2000</f>
        <v>7.12894923196892</v>
      </c>
      <c r="H129" s="65">
        <f>(268466/5239827)*60</f>
        <v>3.07413966148119</v>
      </c>
      <c r="I129" s="89">
        <v>131.21</v>
      </c>
      <c r="J129" s="89">
        <f>H129*I129/2000</f>
        <v>0.201678932491473</v>
      </c>
      <c r="K129" s="87">
        <f>D129+G129+J129</f>
        <v>10.9422303198369</v>
      </c>
      <c r="L129" s="87">
        <f>D129/K129</f>
        <v>0.330060878798093</v>
      </c>
      <c r="M129" s="87">
        <f>(G129+J129)/K129</f>
        <v>0.669939121201907</v>
      </c>
      <c r="N129" s="87">
        <v>9.630000000000001</v>
      </c>
      <c r="O129" s="88">
        <f>K129-N129</f>
        <v>1.3122303198369</v>
      </c>
      <c r="P129" s="22"/>
      <c r="Q129" s="22"/>
    </row>
    <row r="130" ht="13" customHeight="1">
      <c r="A130" t="s" s="28">
        <v>197</v>
      </c>
      <c r="B130" s="89">
        <f>(1889841)/(4948772*2/60)</f>
        <v>11.4564239370898</v>
      </c>
      <c r="C130" s="87">
        <v>30.63</v>
      </c>
      <c r="D130" s="89">
        <f>(B130*C130)/100</f>
        <v>3.50910265193061</v>
      </c>
      <c r="E130" s="89">
        <f>3651786/(4948772)*60</f>
        <v>44.2750565190718</v>
      </c>
      <c r="F130" s="87">
        <v>362.85</v>
      </c>
      <c r="G130" s="87">
        <f>E130*F130/2000</f>
        <v>8.0326021289726</v>
      </c>
      <c r="H130" s="65">
        <f>(247786/4948772)*60</f>
        <v>3.00421195399586</v>
      </c>
      <c r="I130" s="89">
        <v>143.68</v>
      </c>
      <c r="J130" s="89">
        <f>H130*I130/2000</f>
        <v>0.215822586775063</v>
      </c>
      <c r="K130" s="87">
        <f>D130+G130+J130</f>
        <v>11.7575273676783</v>
      </c>
      <c r="L130" s="87">
        <f>D130/K130</f>
        <v>0.298455835329562</v>
      </c>
      <c r="M130" s="87">
        <f>(G130+J130)/K130</f>
        <v>0.701544164670436</v>
      </c>
      <c r="N130" s="87">
        <v>9.99</v>
      </c>
      <c r="O130" s="88">
        <f>K130-N130</f>
        <v>1.7675273676783</v>
      </c>
      <c r="P130" s="22"/>
      <c r="Q130" s="22"/>
    </row>
    <row r="131" ht="13" customHeight="1">
      <c r="A131" t="s" s="28">
        <v>198</v>
      </c>
      <c r="B131" s="89">
        <f>(2079123)/(5465240*2/60)</f>
        <v>11.4127998038512</v>
      </c>
      <c r="C131" s="87">
        <v>30.28</v>
      </c>
      <c r="D131" s="89">
        <f>(B131*C131)/100</f>
        <v>3.45579578060614</v>
      </c>
      <c r="E131" s="89">
        <f>4029272/(5465240)*60</f>
        <v>44.2352613974867</v>
      </c>
      <c r="F131" s="87">
        <v>379.85</v>
      </c>
      <c r="G131" s="87">
        <f>E131*F131/2000</f>
        <v>8.40138202091766</v>
      </c>
      <c r="H131" s="65">
        <f>(277277/5465240)*60</f>
        <v>3.04407857660414</v>
      </c>
      <c r="I131" s="89">
        <v>135.12</v>
      </c>
      <c r="J131" s="89">
        <f>H131*I131/2000</f>
        <v>0.205657948635376</v>
      </c>
      <c r="K131" s="87">
        <f>D131+G131+J131</f>
        <v>12.0628357501592</v>
      </c>
      <c r="L131" s="87">
        <f>D131/K131</f>
        <v>0.286482867891203</v>
      </c>
      <c r="M131" s="87">
        <f>(G131+J131)/K131</f>
        <v>0.713517132108795</v>
      </c>
      <c r="N131" s="87">
        <v>10.17</v>
      </c>
      <c r="O131" s="88">
        <f>K131-N131</f>
        <v>1.8928357501592</v>
      </c>
      <c r="P131" s="22"/>
      <c r="Q131" s="22"/>
    </row>
    <row r="132" ht="13" customHeight="1">
      <c r="A132" t="s" s="28">
        <v>199</v>
      </c>
      <c r="B132" s="89">
        <f>(1964922)/(5149147*2/60)</f>
        <v>11.4480437245237</v>
      </c>
      <c r="C132" s="87">
        <v>29.7</v>
      </c>
      <c r="D132" s="89">
        <f>(B132*C132)/100</f>
        <v>3.40006898618354</v>
      </c>
      <c r="E132" s="89">
        <f>3822338/(5149147)*60</f>
        <v>44.5394703239197</v>
      </c>
      <c r="F132" s="87">
        <v>385.84</v>
      </c>
      <c r="G132" s="87">
        <f>E132*F132/2000</f>
        <v>8.59255461489059</v>
      </c>
      <c r="H132" s="65">
        <f>(257585/5149147)*60</f>
        <v>3.00148743083078</v>
      </c>
      <c r="I132" s="89">
        <v>113.33</v>
      </c>
      <c r="J132" s="89">
        <f>H132*I132/2000</f>
        <v>0.170079285268026</v>
      </c>
      <c r="K132" s="87">
        <f>D132+G132+J132</f>
        <v>12.1627028863422</v>
      </c>
      <c r="L132" s="87">
        <f>D132/K132</f>
        <v>0.279548799140819</v>
      </c>
      <c r="M132" s="87">
        <f>(G132+J132)/K132</f>
        <v>0.720451200859177</v>
      </c>
      <c r="N132" s="87">
        <v>10.23</v>
      </c>
      <c r="O132" s="88">
        <f>K132-N132</f>
        <v>1.9327028863422</v>
      </c>
      <c r="P132" s="22"/>
      <c r="Q132" s="22"/>
    </row>
    <row r="133" ht="13" customHeight="1">
      <c r="A133" t="s" s="28">
        <v>200</v>
      </c>
      <c r="B133" s="89">
        <f>(1966511)/(5174040*2/60)</f>
        <v>11.4021789549366</v>
      </c>
      <c r="C133" s="87">
        <v>29.4</v>
      </c>
      <c r="D133" s="89">
        <f>(B133*C133)/100</f>
        <v>3.35224061275136</v>
      </c>
      <c r="E133" s="89">
        <f>3846687/(5174040)*60</f>
        <v>44.6075445879815</v>
      </c>
      <c r="F133" s="87">
        <v>393.55</v>
      </c>
      <c r="G133" s="87">
        <f>E133*F133/2000</f>
        <v>8.777649586300059</v>
      </c>
      <c r="H133" s="65">
        <f>(262574/5174040)*60</f>
        <v>3.04490108309947</v>
      </c>
      <c r="I133" s="89">
        <v>117.5</v>
      </c>
      <c r="J133" s="89">
        <f>H133*I133/2000</f>
        <v>0.178887938632094</v>
      </c>
      <c r="K133" s="87">
        <f>D133+G133+J133</f>
        <v>12.3087781376835</v>
      </c>
      <c r="L133" s="87">
        <f>D133/K133</f>
        <v>0.272345522459977</v>
      </c>
      <c r="M133" s="87">
        <f>(G133+J133)/K133</f>
        <v>0.727654477540024</v>
      </c>
      <c r="N133" s="87">
        <v>10.06</v>
      </c>
      <c r="O133" s="88">
        <f>K133-N133</f>
        <v>2.2487781376835</v>
      </c>
      <c r="P133" s="22"/>
      <c r="Q133" s="22"/>
    </row>
    <row r="134" ht="13" customHeight="1">
      <c r="A134" t="s" s="28">
        <v>213</v>
      </c>
      <c r="B134" s="89">
        <f>(1936907)/(5086941*2/60)</f>
        <v>11.4228197260397</v>
      </c>
      <c r="C134" s="87">
        <v>28.3</v>
      </c>
      <c r="D134" s="89">
        <f>(B134*C134)/100</f>
        <v>3.23265798246924</v>
      </c>
      <c r="E134" s="89">
        <f>3778127/(5086941)*60</f>
        <v>44.5626595629869</v>
      </c>
      <c r="F134" s="87">
        <v>355.71</v>
      </c>
      <c r="G134" s="87">
        <f>E134*F134/2000</f>
        <v>7.92569181657504</v>
      </c>
      <c r="H134" s="65">
        <f>(254192/5086941)*60</f>
        <v>2.99817119954802</v>
      </c>
      <c r="I134" s="89">
        <v>116.55</v>
      </c>
      <c r="J134" s="89">
        <f>H134*I134/2000</f>
        <v>0.174718426653661</v>
      </c>
      <c r="K134" s="87">
        <f>D134+G134+J134</f>
        <v>11.3330682256979</v>
      </c>
      <c r="L134" s="87">
        <f>D134/K134</f>
        <v>0.285241200184354</v>
      </c>
      <c r="M134" s="87">
        <f>(G134+J134)/K134</f>
        <v>0.714758799815649</v>
      </c>
      <c r="N134" s="87">
        <v>9.15</v>
      </c>
      <c r="O134" s="88">
        <f>K134-N134</f>
        <v>2.1830682256979</v>
      </c>
      <c r="P134" s="22"/>
      <c r="Q134" s="22"/>
    </row>
    <row r="135" ht="13" customHeight="1">
      <c r="A135" t="s" s="28">
        <v>214</v>
      </c>
      <c r="B135" s="89">
        <f>(2043323)/(5365828*2/60)</f>
        <v>11.4240877642742</v>
      </c>
      <c r="C135" s="87">
        <v>27.2</v>
      </c>
      <c r="D135" s="89">
        <f>(B135*C135)/100</f>
        <v>3.10735187188258</v>
      </c>
      <c r="E135" s="89">
        <f>3979120/(5365828)*60</f>
        <v>44.4940091258982</v>
      </c>
      <c r="F135" s="87">
        <v>341.08</v>
      </c>
      <c r="G135" s="87">
        <f>E135*F135/2000</f>
        <v>7.58800831633068</v>
      </c>
      <c r="H135" s="65">
        <f>(265562/5365828)*60</f>
        <v>2.96948019951441</v>
      </c>
      <c r="I135" s="89">
        <v>117.14</v>
      </c>
      <c r="J135" s="89">
        <f>H135*I135/2000</f>
        <v>0.173922455285559</v>
      </c>
      <c r="K135" s="87">
        <f>D135+G135+J135</f>
        <v>10.8692826434988</v>
      </c>
      <c r="L135" s="87">
        <f>D135/K135</f>
        <v>0.28588380427674</v>
      </c>
      <c r="M135" s="87">
        <f>(G135+J135)/K135</f>
        <v>0.714116195723262</v>
      </c>
      <c r="N135" s="87">
        <v>8.51</v>
      </c>
      <c r="O135" s="88">
        <f>K135-N135</f>
        <v>2.3592826434988</v>
      </c>
      <c r="P135" s="22"/>
      <c r="Q135" s="22"/>
    </row>
    <row r="136" ht="13" customHeight="1">
      <c r="A136" t="s" s="28">
        <v>215</v>
      </c>
      <c r="B136" s="89">
        <f>(1944966)/(5088884*2/60)</f>
        <v>11.4659677838992</v>
      </c>
      <c r="C136" s="87">
        <v>27.6</v>
      </c>
      <c r="D136" s="89">
        <f>(B136*C136)/100</f>
        <v>3.16460710835618</v>
      </c>
      <c r="E136" s="89">
        <f>3771727/(5088884)*60</f>
        <v>44.4701863905721</v>
      </c>
      <c r="F136" s="87">
        <v>332.5</v>
      </c>
      <c r="G136" s="87">
        <f>E136*F136/2000</f>
        <v>7.39316848743261</v>
      </c>
      <c r="H136" s="65">
        <f>(259078/5088884)*60</f>
        <v>3.05463437563128</v>
      </c>
      <c r="I136" s="89">
        <v>127.22</v>
      </c>
      <c r="J136" s="89">
        <f>H136*I136/2000</f>
        <v>0.194305292633906</v>
      </c>
      <c r="K136" s="87">
        <f>D136+G136+J136</f>
        <v>10.7520808884227</v>
      </c>
      <c r="L136" s="87">
        <f>D136/K136</f>
        <v>0.294325083785751</v>
      </c>
      <c r="M136" s="87">
        <f>(G136+J136)/K136</f>
        <v>0.705674916214249</v>
      </c>
      <c r="N136" s="87">
        <v>8.4</v>
      </c>
      <c r="O136" s="88">
        <f>K136-N136</f>
        <v>2.3520808884227</v>
      </c>
      <c r="P136" s="22"/>
      <c r="Q136" s="22"/>
    </row>
    <row r="137" ht="13" customHeight="1">
      <c r="A137" t="s" s="20">
        <v>263</v>
      </c>
      <c r="B137" s="90">
        <f>(23532093)/(61647960*2/60)</f>
        <v>11.4515190770303</v>
      </c>
      <c r="C137" s="91">
        <f>AVERAGE(C125:C136)</f>
        <v>30.5041666666667</v>
      </c>
      <c r="D137" s="91">
        <f>AVERAGE(D125:D136)</f>
        <v>3.49489467699514</v>
      </c>
      <c r="E137" s="90">
        <f>45508748/(61647960)*60</f>
        <v>44.2922179420049</v>
      </c>
      <c r="F137" s="91">
        <f>AVERAGE(F125:F136)</f>
        <v>344.136666666667</v>
      </c>
      <c r="G137" s="91">
        <f>AVERAGE(G125:G136)</f>
        <v>7.62311541914501</v>
      </c>
      <c r="H137" s="92">
        <f>(3129856/61647960)*60</f>
        <v>3.04618936295702</v>
      </c>
      <c r="I137" s="90">
        <f>AVERAGE(I125:I136)</f>
        <v>122.575</v>
      </c>
      <c r="J137" s="90">
        <f>H137*I137/2000</f>
        <v>0.186693330582228</v>
      </c>
      <c r="K137" s="91">
        <f>AVERAGE(K125:K136)</f>
        <v>11.3046483360268</v>
      </c>
      <c r="L137" s="91">
        <f>AVERAGE(L125:L136)</f>
        <v>0.310206610409502</v>
      </c>
      <c r="M137" s="91">
        <f>AVERAGE(M125:M136)</f>
        <v>0.689793389590499</v>
      </c>
      <c r="N137" s="91">
        <f>AVERAGE(N125:N136)</f>
        <v>9.534166666666669</v>
      </c>
      <c r="O137" s="93">
        <f>AVERAGE(O125:O136)</f>
        <v>1.77048166936012</v>
      </c>
      <c r="P137" s="22"/>
      <c r="Q137" s="22"/>
    </row>
    <row r="138" ht="13" customHeight="1">
      <c r="A138" t="s" s="32">
        <v>264</v>
      </c>
      <c r="B138" s="94"/>
      <c r="C138" s="94"/>
      <c r="D138" s="94"/>
      <c r="E138" s="94"/>
      <c r="F138" s="94"/>
      <c r="G138" s="94"/>
      <c r="H138" s="94"/>
      <c r="I138" s="94"/>
      <c r="J138" s="94"/>
      <c r="K138" s="94"/>
      <c r="L138" s="94"/>
      <c r="M138" s="94"/>
      <c r="N138" s="94"/>
      <c r="O138" s="95"/>
      <c r="P138" s="22"/>
      <c r="Q138" s="22"/>
    </row>
    <row r="139" ht="13" customHeight="1">
      <c r="A139" t="s" s="28">
        <v>265</v>
      </c>
      <c r="B139" s="87"/>
      <c r="C139" s="87"/>
      <c r="D139" s="87"/>
      <c r="E139" s="87"/>
      <c r="F139" s="87"/>
      <c r="G139" s="87"/>
      <c r="H139" s="87"/>
      <c r="I139" s="87"/>
      <c r="J139" s="87"/>
      <c r="K139" s="87"/>
      <c r="L139" s="87"/>
      <c r="M139" s="87"/>
      <c r="N139" s="87"/>
      <c r="O139" s="88"/>
      <c r="P139" s="22"/>
      <c r="Q139" s="22"/>
    </row>
    <row r="140" ht="13" customHeight="1">
      <c r="A140" t="s" s="28">
        <v>266</v>
      </c>
      <c r="B140" s="22"/>
      <c r="C140" s="22"/>
      <c r="D140" s="22"/>
      <c r="E140" s="22"/>
      <c r="F140" s="22"/>
      <c r="G140" s="22"/>
      <c r="H140" s="22"/>
      <c r="I140" s="22"/>
      <c r="J140" s="22"/>
      <c r="K140" s="22"/>
      <c r="L140" s="22"/>
      <c r="M140" s="22"/>
      <c r="N140" s="22"/>
      <c r="O140" s="22"/>
      <c r="P140" s="22"/>
      <c r="Q140" s="22"/>
    </row>
    <row r="141" ht="13" customHeight="1">
      <c r="A141" t="s" s="28">
        <v>267</v>
      </c>
      <c r="B141" s="22"/>
      <c r="C141" s="22"/>
      <c r="D141" s="22"/>
      <c r="E141" s="22"/>
      <c r="F141" s="22"/>
      <c r="G141" s="22"/>
      <c r="H141" s="22"/>
      <c r="I141" s="22"/>
      <c r="J141" s="22"/>
      <c r="K141" s="22"/>
      <c r="L141" s="22"/>
      <c r="M141" s="22"/>
      <c r="N141" s="22"/>
      <c r="O141" s="22"/>
      <c r="P141" s="22"/>
      <c r="Q141" s="22"/>
    </row>
    <row r="142" ht="10.15" customHeight="1">
      <c r="A142" t="s" s="28">
        <v>268</v>
      </c>
      <c r="B142" s="22"/>
      <c r="C142" s="22"/>
      <c r="D142" s="22"/>
      <c r="E142" s="22"/>
      <c r="F142" s="22"/>
      <c r="G142" s="22"/>
      <c r="H142" s="22"/>
      <c r="I142" s="22"/>
      <c r="J142" s="22"/>
      <c r="K142" s="22"/>
      <c r="L142" s="22"/>
      <c r="M142" s="22"/>
      <c r="N142" s="54"/>
      <c r="O142" t="s" s="33">
        <v>57</v>
      </c>
      <c r="P142" s="22"/>
      <c r="Q142" s="22"/>
    </row>
  </sheetData>
  <pageMargins left="0.7" right="0.7" top="0.75" bottom="0.75" header="0.3" footer="0.3"/>
  <pageSetup firstPageNumber="1" fitToHeight="1" fitToWidth="1" scale="51" useFirstPageNumber="0" orientation="portrait" pageOrder="downThenOver"/>
  <headerFooter>
    <oddFooter>&amp;C&amp;"Helvetica,Regular"&amp;8&amp;K000000&amp;P
Oil Crops Yearbook/OCS-2018
March 2018
Economic Research Service, USDA</oddFooter>
  </headerFooter>
  <drawing r:id="rId1"/>
  <legacyDrawing r:id="rId2"/>
</worksheet>
</file>

<file path=xl/worksheets/sheet2.xml><?xml version="1.0" encoding="utf-8"?>
<worksheet xmlns:r="http://schemas.openxmlformats.org/officeDocument/2006/relationships" xmlns="http://schemas.openxmlformats.org/spreadsheetml/2006/main">
  <dimension ref="A1:E27"/>
  <sheetViews>
    <sheetView workbookViewId="0" showGridLines="0" defaultGridColor="1"/>
  </sheetViews>
  <sheetFormatPr defaultColWidth="11.4" defaultRowHeight="12.75" customHeight="1" outlineLevelRow="0" outlineLevelCol="0"/>
  <cols>
    <col min="1" max="1" width="117.422" style="6" customWidth="1"/>
    <col min="2" max="5" width="11.4219" style="6" customWidth="1"/>
    <col min="6" max="256" width="11.4219" style="6" customWidth="1"/>
  </cols>
  <sheetData>
    <row r="1" ht="44.25" customHeight="1">
      <c r="A1" s="7"/>
      <c r="B1" s="8"/>
      <c r="C1" s="8"/>
      <c r="D1" s="8"/>
      <c r="E1" s="8"/>
    </row>
    <row r="2" ht="18" customHeight="1">
      <c r="A2" t="s" s="9">
        <v>6</v>
      </c>
      <c r="B2" s="8"/>
      <c r="C2" s="8"/>
      <c r="D2" s="8"/>
      <c r="E2" s="8"/>
    </row>
    <row r="3" ht="12.75" customHeight="1">
      <c r="A3" s="10"/>
      <c r="B3" s="11"/>
      <c r="C3" s="8"/>
      <c r="D3" s="8"/>
      <c r="E3" s="8"/>
    </row>
    <row r="4" ht="12.75" customHeight="1">
      <c r="A4" t="s" s="12">
        <v>7</v>
      </c>
      <c r="B4" s="8"/>
      <c r="C4" s="8"/>
      <c r="D4" s="8"/>
      <c r="E4" s="8"/>
    </row>
    <row r="5" ht="12.75" customHeight="1">
      <c r="A5" t="s" s="13">
        <v>8</v>
      </c>
      <c r="B5" s="8"/>
      <c r="C5" s="8"/>
      <c r="D5" s="8"/>
      <c r="E5" s="8"/>
    </row>
    <row r="6" ht="12.75" customHeight="1">
      <c r="A6" t="s" s="14">
        <v>9</v>
      </c>
      <c r="B6" s="8"/>
      <c r="C6" s="8"/>
      <c r="D6" s="8"/>
      <c r="E6" s="8"/>
    </row>
    <row r="7" ht="12.75" customHeight="1">
      <c r="A7" s="10"/>
      <c r="B7" s="15"/>
      <c r="C7" s="8"/>
      <c r="D7" s="8"/>
      <c r="E7" s="8"/>
    </row>
    <row r="8" ht="12.75" customHeight="1">
      <c r="A8" t="s" s="12">
        <v>10</v>
      </c>
      <c r="B8" s="8"/>
      <c r="C8" s="8"/>
      <c r="D8" s="8"/>
      <c r="E8" s="8"/>
    </row>
    <row r="9" ht="12.75" customHeight="1">
      <c r="A9" t="s" s="13">
        <v>11</v>
      </c>
      <c r="B9" s="16"/>
      <c r="C9" s="8"/>
      <c r="D9" s="8"/>
      <c r="E9" s="8"/>
    </row>
    <row r="10" ht="12.75" customHeight="1">
      <c r="A10" s="17"/>
      <c r="B10" s="16"/>
      <c r="C10" s="8"/>
      <c r="D10" s="8"/>
      <c r="E10" s="8"/>
    </row>
    <row r="11" ht="12.75" customHeight="1">
      <c r="A11" t="s" s="12">
        <v>12</v>
      </c>
      <c r="B11" s="16"/>
      <c r="C11" s="8"/>
      <c r="D11" s="8"/>
      <c r="E11" s="8"/>
    </row>
    <row r="12" ht="12.75" customHeight="1">
      <c r="A12" t="s" s="13">
        <v>13</v>
      </c>
      <c r="B12" s="16"/>
      <c r="C12" s="8"/>
      <c r="D12" s="8"/>
      <c r="E12" s="8"/>
    </row>
    <row r="13" ht="12.75" customHeight="1">
      <c r="A13" t="s" s="13">
        <v>14</v>
      </c>
      <c r="B13" s="16"/>
      <c r="C13" s="8"/>
      <c r="D13" s="8"/>
      <c r="E13" s="8"/>
    </row>
    <row r="14" ht="12.75" customHeight="1">
      <c r="A14" t="s" s="13">
        <v>15</v>
      </c>
      <c r="B14" s="16"/>
      <c r="C14" s="8"/>
      <c r="D14" s="8"/>
      <c r="E14" s="8"/>
    </row>
    <row r="15" ht="12.75" customHeight="1">
      <c r="A15" t="s" s="13">
        <v>16</v>
      </c>
      <c r="B15" s="16"/>
      <c r="C15" s="8"/>
      <c r="D15" s="8"/>
      <c r="E15" s="8"/>
    </row>
    <row r="16" ht="12.75" customHeight="1">
      <c r="A16" s="8"/>
      <c r="B16" s="16"/>
      <c r="C16" s="8"/>
      <c r="D16" s="8"/>
      <c r="E16" s="8"/>
    </row>
    <row r="17" ht="12.75" customHeight="1">
      <c r="A17" t="s" s="12">
        <v>17</v>
      </c>
      <c r="B17" s="16"/>
      <c r="C17" s="8"/>
      <c r="D17" s="8"/>
      <c r="E17" s="8"/>
    </row>
    <row r="18" ht="12.75" customHeight="1">
      <c r="A18" t="s" s="13">
        <v>18</v>
      </c>
      <c r="B18" s="16"/>
      <c r="C18" s="8"/>
      <c r="D18" s="8"/>
      <c r="E18" s="8"/>
    </row>
    <row r="19" ht="12.75" customHeight="1">
      <c r="A19" t="s" s="13">
        <v>19</v>
      </c>
      <c r="B19" s="16"/>
      <c r="C19" s="8"/>
      <c r="D19" s="8"/>
      <c r="E19" s="8"/>
    </row>
    <row r="20" ht="12.75" customHeight="1">
      <c r="A20" t="s" s="13">
        <v>20</v>
      </c>
      <c r="B20" s="16"/>
      <c r="C20" s="8"/>
      <c r="D20" s="8"/>
      <c r="E20" s="8"/>
    </row>
    <row r="21" ht="12.75" customHeight="1">
      <c r="A21" s="8"/>
      <c r="B21" s="16"/>
      <c r="C21" s="8"/>
      <c r="D21" s="8"/>
      <c r="E21" s="8"/>
    </row>
    <row r="22" ht="12.75" customHeight="1">
      <c r="A22" t="s" s="12">
        <v>21</v>
      </c>
      <c r="B22" s="16"/>
      <c r="C22" s="8"/>
      <c r="D22" s="8"/>
      <c r="E22" s="8"/>
    </row>
    <row r="23" ht="12.75" customHeight="1">
      <c r="A23" t="s" s="13">
        <v>22</v>
      </c>
      <c r="B23" s="16"/>
      <c r="C23" s="8"/>
      <c r="D23" s="8"/>
      <c r="E23" s="8"/>
    </row>
    <row r="24" ht="12.75" customHeight="1">
      <c r="A24" s="8"/>
      <c r="B24" s="16"/>
      <c r="C24" s="8"/>
      <c r="D24" s="8"/>
      <c r="E24" s="8"/>
    </row>
    <row r="25" ht="12.75" customHeight="1">
      <c r="A25" s="18"/>
      <c r="B25" s="16"/>
      <c r="C25" s="8"/>
      <c r="D25" s="8"/>
      <c r="E25" s="8"/>
    </row>
    <row r="26" ht="12.75" customHeight="1">
      <c r="A26" t="s" s="13">
        <v>23</v>
      </c>
      <c r="B26" s="16"/>
      <c r="C26" s="8"/>
      <c r="D26" s="8"/>
      <c r="E26" s="8"/>
    </row>
    <row r="27" ht="12.75" customHeight="1">
      <c r="A27" t="s" s="13">
        <v>24</v>
      </c>
      <c r="B27" s="8"/>
      <c r="C27" s="8"/>
      <c r="D27" s="8"/>
      <c r="E27" s="8"/>
    </row>
  </sheetData>
  <hyperlinks>
    <hyperlink ref="A6" r:id="rId1" location="" tooltip="" display="http://www.ers.usda.gov/data-products/oil-crops-yearbook.aspx"/>
    <hyperlink ref="A9" location="'tab01'!R1C1" tooltip="" display="Table 1--Soybean stocks:  On-farm, off-farm, and total U.S., by quarter, 1999/00-2018/19"/>
    <hyperlink ref="A12" location="'tab02'!R1C1" tooltip="" display="Table 2--Soybeans:  Acreage planted, harvested, yield, production, value, and loan rate, U.S., 1960-2018"/>
    <hyperlink ref="A13" location="'tab3'!R1C1" tooltip="" display="Table 3--Soybeans:  Supply, disappearance, and price, U.S., 1980/81-2018/19"/>
    <hyperlink ref="A14" location="'tab4'!R1C1" tooltip="" display="Table 4--Soybean meal:  Supply, disappearance, and price, U.S., 1980/81-2018/19"/>
    <hyperlink ref="A15" location="'tab5'!R1C1" tooltip="" display="Table 5--Soybean oil:  Supply, disappearance, and price, U.S., 1980/81-2018/19"/>
    <hyperlink ref="A18" location="'tab6'!R1C1" tooltip="" display="Table 6--Soybeans: U.S. supply and disappearance, by crop year quarter, 2000/01-2018/19"/>
    <hyperlink ref="A19" location="'tab7'!R1C1" tooltip="" display="Table 7--Soybean meal:  Supply and disappearance, by month, U.S., 2007/08-2018/19"/>
    <hyperlink ref="A20" location="'tab8'!R1C1" tooltip="" display="Table 8--Soybean oil:  Supply and disappearance, by month, U.S., 2007/08-2018/19"/>
    <hyperlink ref="A23" location="'tab 9'!R1C1" tooltip="" display="Table 9--Soybeans: Monthly value of products per bushel of soybeans processed, and spot price spread, U.S., 1990/91-2018/19"/>
  </hyperlinks>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2"/>
</worksheet>
</file>

<file path=xl/worksheets/sheet3.xml><?xml version="1.0" encoding="utf-8"?>
<worksheet xmlns:r="http://schemas.openxmlformats.org/officeDocument/2006/relationships" xmlns="http://schemas.openxmlformats.org/spreadsheetml/2006/main">
  <sheetPr>
    <pageSetUpPr fitToPage="1"/>
  </sheetPr>
  <dimension ref="A1:K104"/>
  <sheetViews>
    <sheetView workbookViewId="0" showGridLines="0" defaultGridColor="1"/>
  </sheetViews>
  <sheetFormatPr defaultColWidth="9" defaultRowHeight="11.25" customHeight="1" outlineLevelRow="0" outlineLevelCol="0"/>
  <cols>
    <col min="1" max="1" width="20.8125" style="19" customWidth="1"/>
    <col min="2" max="4" width="26.8125" style="19" customWidth="1"/>
    <col min="5" max="11" width="9" style="19" customWidth="1"/>
    <col min="12" max="256" width="9" style="19" customWidth="1"/>
  </cols>
  <sheetData>
    <row r="1" ht="13" customHeight="1">
      <c r="A1" t="s" s="20">
        <v>26</v>
      </c>
      <c r="B1" s="21"/>
      <c r="C1" s="21"/>
      <c r="D1" s="21"/>
      <c r="E1" s="22"/>
      <c r="F1" s="22"/>
      <c r="G1" s="22"/>
      <c r="H1" s="22"/>
      <c r="I1" s="22"/>
      <c r="J1" s="22"/>
      <c r="K1" s="22"/>
    </row>
    <row r="2" ht="13" customHeight="1">
      <c r="A2" t="s" s="23">
        <v>27</v>
      </c>
      <c r="B2" t="s" s="24">
        <v>28</v>
      </c>
      <c r="C2" t="s" s="24">
        <v>29</v>
      </c>
      <c r="D2" t="s" s="24">
        <v>30</v>
      </c>
      <c r="E2" s="22"/>
      <c r="F2" s="22"/>
      <c r="G2" s="22"/>
      <c r="H2" s="22"/>
      <c r="I2" s="22"/>
      <c r="J2" s="22"/>
      <c r="K2" s="22"/>
    </row>
    <row r="3" ht="13" customHeight="1">
      <c r="A3" s="25"/>
      <c r="B3" s="25"/>
      <c r="C3" t="s" s="26">
        <v>31</v>
      </c>
      <c r="D3" s="27"/>
      <c r="E3" s="22"/>
      <c r="F3" s="22"/>
      <c r="G3" s="22"/>
      <c r="H3" s="22"/>
      <c r="I3" s="22"/>
      <c r="J3" s="22"/>
      <c r="K3" s="22"/>
    </row>
    <row r="4" ht="13" customHeight="1">
      <c r="A4" t="s" s="28">
        <v>32</v>
      </c>
      <c r="B4" s="29"/>
      <c r="C4" s="29"/>
      <c r="D4" s="29"/>
      <c r="E4" s="22"/>
      <c r="F4" s="22"/>
      <c r="G4" s="22"/>
      <c r="H4" s="22"/>
      <c r="I4" s="22"/>
      <c r="J4" s="22"/>
      <c r="K4" s="22"/>
    </row>
    <row r="5" ht="13" customHeight="1">
      <c r="A5" t="s" s="28">
        <v>33</v>
      </c>
      <c r="B5" s="29">
        <v>1150000</v>
      </c>
      <c r="C5" s="29">
        <v>1032666</v>
      </c>
      <c r="D5" s="29">
        <f>B5+C5</f>
        <v>2182666</v>
      </c>
      <c r="E5" s="22"/>
      <c r="F5" s="22"/>
      <c r="G5" s="22"/>
      <c r="H5" s="22"/>
      <c r="I5" s="22"/>
      <c r="J5" s="22"/>
      <c r="K5" s="22"/>
    </row>
    <row r="6" ht="13" customHeight="1">
      <c r="A6" t="s" s="28">
        <v>34</v>
      </c>
      <c r="B6" s="29">
        <v>730000</v>
      </c>
      <c r="C6" s="29">
        <v>665986</v>
      </c>
      <c r="D6" s="29">
        <f>B6+C6</f>
        <v>1395986</v>
      </c>
      <c r="E6" s="22"/>
      <c r="F6" s="22"/>
      <c r="G6" s="22"/>
      <c r="H6" s="22"/>
      <c r="I6" s="22"/>
      <c r="J6" s="22"/>
      <c r="K6" s="22"/>
    </row>
    <row r="7" ht="13" customHeight="1">
      <c r="A7" t="s" s="28">
        <v>35</v>
      </c>
      <c r="B7" s="29">
        <v>370000</v>
      </c>
      <c r="C7" s="29">
        <v>404425</v>
      </c>
      <c r="D7" s="29">
        <f>B7+C7</f>
        <v>774425</v>
      </c>
      <c r="E7" s="22"/>
      <c r="F7" s="22"/>
      <c r="G7" s="22"/>
      <c r="H7" s="22"/>
      <c r="I7" s="22"/>
      <c r="J7" s="22"/>
      <c r="K7" s="22"/>
    </row>
    <row r="8" ht="13" customHeight="1">
      <c r="A8" t="s" s="28">
        <v>36</v>
      </c>
      <c r="B8" s="29">
        <v>112500</v>
      </c>
      <c r="C8" s="29">
        <v>177662</v>
      </c>
      <c r="D8" s="29">
        <f>B8+C8</f>
        <v>290162</v>
      </c>
      <c r="E8" s="22"/>
      <c r="F8" s="22"/>
      <c r="G8" s="22"/>
      <c r="H8" s="22"/>
      <c r="I8" s="22"/>
      <c r="J8" s="22"/>
      <c r="K8" s="22"/>
    </row>
    <row r="9" ht="13" customHeight="1">
      <c r="A9" t="s" s="28">
        <v>37</v>
      </c>
      <c r="B9" s="29"/>
      <c r="C9" s="29"/>
      <c r="D9" s="29"/>
      <c r="E9" s="22"/>
      <c r="F9" s="22"/>
      <c r="G9" s="22"/>
      <c r="H9" s="22"/>
      <c r="I9" s="22"/>
      <c r="J9" s="22"/>
      <c r="K9" s="22"/>
    </row>
    <row r="10" ht="13" customHeight="1">
      <c r="A10" t="s" s="28">
        <v>33</v>
      </c>
      <c r="B10" s="29">
        <v>1217000</v>
      </c>
      <c r="C10" s="29">
        <v>1022991</v>
      </c>
      <c r="D10" s="29">
        <f>B10+C10</f>
        <v>2239991</v>
      </c>
      <c r="E10" s="22"/>
      <c r="F10" s="22"/>
      <c r="G10" s="22"/>
      <c r="H10" s="22"/>
      <c r="I10" s="22"/>
      <c r="J10" s="22"/>
      <c r="K10" s="22"/>
    </row>
    <row r="11" ht="13" customHeight="1">
      <c r="A11" t="s" s="28">
        <v>34</v>
      </c>
      <c r="B11" s="29">
        <v>780000</v>
      </c>
      <c r="C11" s="29">
        <v>623908</v>
      </c>
      <c r="D11" s="29">
        <f>B11+C11</f>
        <v>1403908</v>
      </c>
      <c r="E11" s="22"/>
      <c r="F11" s="22"/>
      <c r="G11" s="22"/>
      <c r="H11" s="22"/>
      <c r="I11" s="22"/>
      <c r="J11" s="22"/>
      <c r="K11" s="22"/>
    </row>
    <row r="12" ht="13" customHeight="1">
      <c r="A12" t="s" s="28">
        <v>35</v>
      </c>
      <c r="B12" s="29">
        <v>365000</v>
      </c>
      <c r="C12" s="29">
        <v>343180</v>
      </c>
      <c r="D12" s="29">
        <f>B12+C12</f>
        <v>708180</v>
      </c>
      <c r="E12" s="22"/>
      <c r="F12" s="22"/>
      <c r="G12" s="22"/>
      <c r="H12" s="22"/>
      <c r="I12" s="22"/>
      <c r="J12" s="22"/>
      <c r="K12" s="22"/>
    </row>
    <row r="13" ht="13" customHeight="1">
      <c r="A13" t="s" s="28">
        <v>36</v>
      </c>
      <c r="B13" s="29">
        <v>83500</v>
      </c>
      <c r="C13" s="29">
        <v>164247</v>
      </c>
      <c r="D13" s="29">
        <f>B13+C13</f>
        <v>247747</v>
      </c>
      <c r="E13" s="22"/>
      <c r="F13" s="22"/>
      <c r="G13" s="22"/>
      <c r="H13" s="22"/>
      <c r="I13" s="22"/>
      <c r="J13" s="22"/>
      <c r="K13" s="22"/>
    </row>
    <row r="14" ht="13" customHeight="1">
      <c r="A14" t="s" s="28">
        <v>38</v>
      </c>
      <c r="B14" s="29"/>
      <c r="C14" s="29"/>
      <c r="D14" s="30"/>
      <c r="E14" s="22"/>
      <c r="F14" s="22"/>
      <c r="G14" s="22"/>
      <c r="H14" s="22"/>
      <c r="I14" s="22"/>
      <c r="J14" s="22"/>
      <c r="K14" s="22"/>
    </row>
    <row r="15" ht="13" customHeight="1">
      <c r="A15" t="s" s="28">
        <v>33</v>
      </c>
      <c r="B15" s="29">
        <v>1240000</v>
      </c>
      <c r="C15" s="29">
        <v>1035618</v>
      </c>
      <c r="D15" s="29">
        <f>B15+C15</f>
        <v>2275618</v>
      </c>
      <c r="E15" s="22"/>
      <c r="F15" s="22"/>
      <c r="G15" s="22"/>
      <c r="H15" s="22"/>
      <c r="I15" s="22"/>
      <c r="J15" s="22"/>
      <c r="K15" s="22"/>
    </row>
    <row r="16" ht="13" customHeight="1">
      <c r="A16" t="s" s="28">
        <v>34</v>
      </c>
      <c r="B16" s="29">
        <v>687000</v>
      </c>
      <c r="C16" s="29">
        <v>648987</v>
      </c>
      <c r="D16" s="29">
        <f>B16+C16</f>
        <v>1335987</v>
      </c>
      <c r="E16" s="22"/>
      <c r="F16" s="22"/>
      <c r="G16" s="22"/>
      <c r="H16" s="22"/>
      <c r="I16" s="22"/>
      <c r="J16" s="22"/>
      <c r="K16" s="22"/>
    </row>
    <row r="17" ht="13" customHeight="1">
      <c r="A17" t="s" s="28">
        <v>35</v>
      </c>
      <c r="B17" s="29">
        <v>301200</v>
      </c>
      <c r="C17" s="29">
        <v>383721</v>
      </c>
      <c r="D17" s="29">
        <f>B17+C17</f>
        <v>684921</v>
      </c>
      <c r="E17" s="22"/>
      <c r="F17" s="22"/>
      <c r="G17" s="22"/>
      <c r="H17" s="22"/>
      <c r="I17" s="22"/>
      <c r="J17" s="22"/>
      <c r="K17" s="22"/>
    </row>
    <row r="18" ht="13" customHeight="1">
      <c r="A18" t="s" s="28">
        <v>36</v>
      </c>
      <c r="B18" s="29">
        <v>62700</v>
      </c>
      <c r="C18" s="29">
        <v>145361</v>
      </c>
      <c r="D18" s="29">
        <f>B18+C18</f>
        <v>208061</v>
      </c>
      <c r="E18" s="22"/>
      <c r="F18" s="22"/>
      <c r="G18" s="22"/>
      <c r="H18" s="22"/>
      <c r="I18" s="22"/>
      <c r="J18" s="22"/>
      <c r="K18" s="22"/>
    </row>
    <row r="19" ht="13" customHeight="1">
      <c r="A19" t="s" s="28">
        <v>39</v>
      </c>
      <c r="B19" s="29"/>
      <c r="C19" s="30"/>
      <c r="D19" s="30"/>
      <c r="E19" s="22"/>
      <c r="F19" s="22"/>
      <c r="G19" s="22"/>
      <c r="H19" s="22"/>
      <c r="I19" s="22"/>
      <c r="J19" s="22"/>
      <c r="K19" s="22"/>
    </row>
    <row r="20" ht="13" customHeight="1">
      <c r="A20" t="s" s="28">
        <v>33</v>
      </c>
      <c r="B20" s="29">
        <v>1172000</v>
      </c>
      <c r="C20" s="29">
        <v>943373</v>
      </c>
      <c r="D20" s="29">
        <f>B20+C20</f>
        <v>2115373</v>
      </c>
      <c r="E20" s="22"/>
      <c r="F20" s="22"/>
      <c r="G20" s="22"/>
      <c r="H20" s="22"/>
      <c r="I20" s="22"/>
      <c r="J20" s="22"/>
      <c r="K20" s="22"/>
    </row>
    <row r="21" ht="13" customHeight="1">
      <c r="A21" t="s" s="28">
        <v>34</v>
      </c>
      <c r="B21" s="29">
        <v>636500</v>
      </c>
      <c r="C21" s="29">
        <v>565528</v>
      </c>
      <c r="D21" s="29">
        <f>B21+C21</f>
        <v>1202028</v>
      </c>
      <c r="E21" s="22"/>
      <c r="F21" s="22"/>
      <c r="G21" s="22"/>
      <c r="H21" s="22"/>
      <c r="I21" s="22"/>
      <c r="J21" s="22"/>
      <c r="K21" s="22"/>
    </row>
    <row r="22" ht="13" customHeight="1">
      <c r="A22" t="s" s="28">
        <v>35</v>
      </c>
      <c r="B22" s="29">
        <v>272500</v>
      </c>
      <c r="C22" s="29">
        <v>329862</v>
      </c>
      <c r="D22" s="29">
        <f>B22+C22</f>
        <v>602362</v>
      </c>
      <c r="E22" s="22"/>
      <c r="F22" s="22"/>
      <c r="G22" s="22"/>
      <c r="H22" s="22"/>
      <c r="I22" s="22"/>
      <c r="J22" s="22"/>
      <c r="K22" s="22"/>
    </row>
    <row r="23" ht="13" customHeight="1">
      <c r="A23" t="s" s="28">
        <v>36</v>
      </c>
      <c r="B23" s="29">
        <v>58000</v>
      </c>
      <c r="C23" s="29">
        <v>120329</v>
      </c>
      <c r="D23" s="29">
        <f>B23+C23</f>
        <v>178329</v>
      </c>
      <c r="E23" s="22"/>
      <c r="F23" s="22"/>
      <c r="G23" s="22"/>
      <c r="H23" s="22"/>
      <c r="I23" s="22"/>
      <c r="J23" s="22"/>
      <c r="K23" s="22"/>
    </row>
    <row r="24" ht="13" customHeight="1">
      <c r="A24" t="s" s="28">
        <v>40</v>
      </c>
      <c r="B24" s="29"/>
      <c r="C24" s="29"/>
      <c r="D24" s="29"/>
      <c r="E24" s="22"/>
      <c r="F24" s="22"/>
      <c r="G24" s="22"/>
      <c r="H24" s="22"/>
      <c r="I24" s="22"/>
      <c r="J24" s="22"/>
      <c r="K24" s="22"/>
    </row>
    <row r="25" ht="13" customHeight="1">
      <c r="A25" t="s" s="28">
        <v>33</v>
      </c>
      <c r="B25" s="29">
        <v>820000</v>
      </c>
      <c r="C25" s="29">
        <v>868653</v>
      </c>
      <c r="D25" s="29">
        <f>B25+C25</f>
        <v>1688653</v>
      </c>
      <c r="E25" s="22"/>
      <c r="F25" s="22"/>
      <c r="G25" s="22"/>
      <c r="H25" s="22"/>
      <c r="I25" s="22"/>
      <c r="J25" s="22"/>
      <c r="K25" s="22"/>
    </row>
    <row r="26" ht="13" customHeight="1">
      <c r="A26" t="s" s="28">
        <v>34</v>
      </c>
      <c r="B26" s="29">
        <v>355900</v>
      </c>
      <c r="C26" s="29">
        <v>549947</v>
      </c>
      <c r="D26" s="29">
        <f>B26+C26</f>
        <v>905847</v>
      </c>
      <c r="E26" s="22"/>
      <c r="F26" s="22"/>
      <c r="G26" s="22"/>
      <c r="H26" s="22"/>
      <c r="I26" s="22"/>
      <c r="J26" s="22"/>
      <c r="K26" s="22"/>
    </row>
    <row r="27" ht="13" customHeight="1">
      <c r="A27" t="s" s="28">
        <v>35</v>
      </c>
      <c r="B27" s="29">
        <v>110000</v>
      </c>
      <c r="C27" s="29">
        <v>300604</v>
      </c>
      <c r="D27" s="29">
        <f>B27+C27</f>
        <v>410604</v>
      </c>
      <c r="E27" s="22"/>
      <c r="F27" s="22"/>
      <c r="G27" s="22"/>
      <c r="H27" s="22"/>
      <c r="I27" s="22"/>
      <c r="J27" s="22"/>
      <c r="K27" s="22"/>
    </row>
    <row r="28" ht="13" customHeight="1">
      <c r="A28" t="s" s="28">
        <v>36</v>
      </c>
      <c r="B28" s="29">
        <v>29400</v>
      </c>
      <c r="C28" s="29">
        <v>83014</v>
      </c>
      <c r="D28" s="29">
        <f>B28+C28</f>
        <v>112414</v>
      </c>
      <c r="E28" s="22"/>
      <c r="F28" s="22"/>
      <c r="G28" s="22"/>
      <c r="H28" s="22"/>
      <c r="I28" s="22"/>
      <c r="J28" s="22"/>
      <c r="K28" s="22"/>
    </row>
    <row r="29" ht="13" customHeight="1">
      <c r="A29" t="s" s="28">
        <v>41</v>
      </c>
      <c r="B29" s="29"/>
      <c r="C29" s="29"/>
      <c r="D29" s="29"/>
      <c r="E29" s="22"/>
      <c r="F29" s="22"/>
      <c r="G29" s="22"/>
      <c r="H29" s="22"/>
      <c r="I29" s="22"/>
      <c r="J29" s="22"/>
      <c r="K29" s="22"/>
    </row>
    <row r="30" ht="13" customHeight="1">
      <c r="A30" t="s" s="28">
        <v>33</v>
      </c>
      <c r="B30" s="29">
        <v>1300000</v>
      </c>
      <c r="C30" s="29">
        <v>1004640</v>
      </c>
      <c r="D30" s="29">
        <f>B30+C30</f>
        <v>2304640</v>
      </c>
      <c r="E30" s="22"/>
      <c r="F30" s="22"/>
      <c r="G30" s="22"/>
      <c r="H30" s="22"/>
      <c r="I30" s="22"/>
      <c r="J30" s="22"/>
      <c r="K30" s="22"/>
    </row>
    <row r="31" ht="13" customHeight="1">
      <c r="A31" t="s" s="28">
        <v>34</v>
      </c>
      <c r="B31" s="29">
        <v>795000</v>
      </c>
      <c r="C31" s="29">
        <v>586364</v>
      </c>
      <c r="D31" s="29">
        <f>B31+C31</f>
        <v>1381364</v>
      </c>
      <c r="E31" s="22"/>
      <c r="F31" s="22"/>
      <c r="G31" s="22"/>
      <c r="H31" s="22"/>
      <c r="I31" s="22"/>
      <c r="J31" s="22"/>
      <c r="K31" s="22"/>
    </row>
    <row r="32" ht="13" customHeight="1">
      <c r="A32" t="s" s="28">
        <v>35</v>
      </c>
      <c r="B32" s="29">
        <v>356100</v>
      </c>
      <c r="C32" s="29">
        <v>343174</v>
      </c>
      <c r="D32" s="29">
        <f>B32+C32</f>
        <v>699274</v>
      </c>
      <c r="E32" s="22"/>
      <c r="F32" s="22"/>
      <c r="G32" s="22"/>
      <c r="H32" s="22"/>
      <c r="I32" s="22"/>
      <c r="J32" s="22"/>
      <c r="K32" s="22"/>
    </row>
    <row r="33" ht="13" customHeight="1">
      <c r="A33" t="s" s="28">
        <v>36</v>
      </c>
      <c r="B33" s="29">
        <v>99700</v>
      </c>
      <c r="C33" s="29">
        <v>156038</v>
      </c>
      <c r="D33" s="29">
        <f>B33+C33</f>
        <v>255738</v>
      </c>
      <c r="E33" s="22"/>
      <c r="F33" s="22"/>
      <c r="G33" s="22"/>
      <c r="H33" s="22"/>
      <c r="I33" s="22"/>
      <c r="J33" s="22"/>
      <c r="K33" s="22"/>
    </row>
    <row r="34" ht="13" customHeight="1">
      <c r="A34" t="s" s="28">
        <v>42</v>
      </c>
      <c r="B34" s="29"/>
      <c r="C34" s="29"/>
      <c r="D34" s="29"/>
      <c r="E34" s="22"/>
      <c r="F34" s="22"/>
      <c r="G34" s="22"/>
      <c r="H34" s="22"/>
      <c r="I34" s="22"/>
      <c r="J34" s="22"/>
      <c r="K34" s="22"/>
    </row>
    <row r="35" ht="13" customHeight="1">
      <c r="A35" t="s" s="28">
        <v>33</v>
      </c>
      <c r="B35" s="29">
        <v>1345000</v>
      </c>
      <c r="C35" s="29">
        <v>1156426</v>
      </c>
      <c r="D35" s="29">
        <f>B35+C35</f>
        <v>2501426</v>
      </c>
      <c r="E35" s="22"/>
      <c r="F35" s="22"/>
      <c r="G35" s="22"/>
      <c r="H35" s="22"/>
      <c r="I35" s="22"/>
      <c r="J35" s="22"/>
      <c r="K35" s="22"/>
    </row>
    <row r="36" ht="13" customHeight="1">
      <c r="A36" t="s" s="28">
        <v>34</v>
      </c>
      <c r="B36" s="29">
        <v>872000</v>
      </c>
      <c r="C36" s="29">
        <v>797206</v>
      </c>
      <c r="D36" s="29">
        <f>B36+C36</f>
        <v>1669206</v>
      </c>
      <c r="E36" s="22"/>
      <c r="F36" s="22"/>
      <c r="G36" s="22"/>
      <c r="H36" s="22"/>
      <c r="I36" s="22"/>
      <c r="J36" s="22"/>
      <c r="K36" s="22"/>
    </row>
    <row r="37" ht="13" customHeight="1">
      <c r="A37" t="s" s="28">
        <v>35</v>
      </c>
      <c r="B37" s="29">
        <v>495500</v>
      </c>
      <c r="C37" s="29">
        <v>495199</v>
      </c>
      <c r="D37" s="29">
        <f>B37+C37</f>
        <v>990699</v>
      </c>
      <c r="E37" s="22"/>
      <c r="F37" s="22"/>
      <c r="G37" s="22"/>
      <c r="H37" s="22"/>
      <c r="I37" s="22"/>
      <c r="J37" s="22"/>
      <c r="K37" s="22"/>
    </row>
    <row r="38" ht="13" customHeight="1">
      <c r="A38" t="s" s="28">
        <v>36</v>
      </c>
      <c r="B38" s="29">
        <v>176300</v>
      </c>
      <c r="C38" s="29">
        <v>273026</v>
      </c>
      <c r="D38" s="29">
        <f>B38+C38</f>
        <v>449326</v>
      </c>
      <c r="E38" s="22"/>
      <c r="F38" s="22"/>
      <c r="G38" s="22"/>
      <c r="H38" s="22"/>
      <c r="I38" s="22"/>
      <c r="J38" s="22"/>
      <c r="K38" s="22"/>
    </row>
    <row r="39" ht="13" customHeight="1">
      <c r="A39" t="s" s="28">
        <v>43</v>
      </c>
      <c r="B39" s="29"/>
      <c r="C39" s="29"/>
      <c r="D39" s="29"/>
      <c r="E39" s="22"/>
      <c r="F39" s="22"/>
      <c r="G39" s="22"/>
      <c r="H39" s="22"/>
      <c r="I39" s="22"/>
      <c r="J39" s="22"/>
      <c r="K39" s="22"/>
    </row>
    <row r="40" ht="13" customHeight="1">
      <c r="A40" t="s" s="28">
        <v>33</v>
      </c>
      <c r="B40" s="29">
        <v>1461000</v>
      </c>
      <c r="C40" s="29">
        <v>1240366</v>
      </c>
      <c r="D40" s="29">
        <f>B40+C40</f>
        <v>2701366</v>
      </c>
      <c r="E40" s="22"/>
      <c r="F40" s="22"/>
      <c r="G40" s="22"/>
      <c r="H40" s="22"/>
      <c r="I40" s="22"/>
      <c r="J40" s="22"/>
      <c r="K40" s="22"/>
    </row>
    <row r="41" ht="13" customHeight="1">
      <c r="A41" t="s" s="28">
        <v>34</v>
      </c>
      <c r="B41" s="29">
        <v>910000</v>
      </c>
      <c r="C41" s="29">
        <v>876887</v>
      </c>
      <c r="D41" s="29">
        <f>B41+C41</f>
        <v>1786887</v>
      </c>
      <c r="E41" s="22"/>
      <c r="F41" s="22"/>
      <c r="G41" s="22"/>
      <c r="H41" s="22"/>
      <c r="I41" s="22"/>
      <c r="J41" s="22"/>
      <c r="K41" s="22"/>
    </row>
    <row r="42" ht="13" customHeight="1">
      <c r="A42" t="s" s="28">
        <v>35</v>
      </c>
      <c r="B42" s="29">
        <v>500000</v>
      </c>
      <c r="C42" s="29">
        <v>592185</v>
      </c>
      <c r="D42" s="29">
        <f>B42+C42</f>
        <v>1092185</v>
      </c>
      <c r="E42" s="22"/>
      <c r="F42" s="22"/>
      <c r="G42" s="22"/>
      <c r="H42" s="22"/>
      <c r="I42" s="22"/>
      <c r="J42" s="22"/>
      <c r="K42" s="22"/>
    </row>
    <row r="43" ht="13" customHeight="1">
      <c r="A43" t="s" s="28">
        <v>36</v>
      </c>
      <c r="B43" s="29">
        <v>143000</v>
      </c>
      <c r="C43" s="29">
        <v>430810</v>
      </c>
      <c r="D43" s="29">
        <f>B43+C43</f>
        <v>573810</v>
      </c>
      <c r="E43" s="22"/>
      <c r="F43" s="22"/>
      <c r="G43" s="22"/>
      <c r="H43" s="22"/>
      <c r="I43" s="22"/>
      <c r="J43" s="22"/>
      <c r="K43" s="22"/>
    </row>
    <row r="44" ht="13" customHeight="1">
      <c r="A44" t="s" s="28">
        <v>44</v>
      </c>
      <c r="B44" s="29"/>
      <c r="C44" s="29"/>
      <c r="D44" s="29"/>
      <c r="E44" s="22"/>
      <c r="F44" s="22"/>
      <c r="G44" s="22"/>
      <c r="H44" s="22"/>
      <c r="I44" s="22"/>
      <c r="J44" s="22"/>
      <c r="K44" s="22"/>
    </row>
    <row r="45" ht="13" customHeight="1">
      <c r="A45" t="s" s="28">
        <v>33</v>
      </c>
      <c r="B45" s="29">
        <v>1128500</v>
      </c>
      <c r="C45" s="29">
        <v>1231860</v>
      </c>
      <c r="D45" s="29">
        <f>B45+C45</f>
        <v>2360360</v>
      </c>
      <c r="E45" s="22"/>
      <c r="F45" s="22"/>
      <c r="G45" s="22"/>
      <c r="H45" s="22"/>
      <c r="I45" s="22"/>
      <c r="J45" s="22"/>
      <c r="K45" s="22"/>
    </row>
    <row r="46" ht="13" customHeight="1">
      <c r="A46" t="s" s="28">
        <v>34</v>
      </c>
      <c r="B46" s="29">
        <v>593000</v>
      </c>
      <c r="C46" s="29">
        <v>840982</v>
      </c>
      <c r="D46" s="29">
        <f>B46+C46</f>
        <v>1433982</v>
      </c>
      <c r="E46" s="22"/>
      <c r="F46" s="22"/>
      <c r="G46" s="22"/>
      <c r="H46" s="22"/>
      <c r="I46" s="22"/>
      <c r="J46" s="22"/>
      <c r="K46" s="22"/>
    </row>
    <row r="47" ht="13" customHeight="1">
      <c r="A47" t="s" s="28">
        <v>35</v>
      </c>
      <c r="B47" s="29">
        <v>226600</v>
      </c>
      <c r="C47" s="29">
        <v>449543</v>
      </c>
      <c r="D47" s="29">
        <f>B47+C47</f>
        <v>676143</v>
      </c>
      <c r="E47" s="22"/>
      <c r="F47" s="22"/>
      <c r="G47" s="22"/>
      <c r="H47" s="22"/>
      <c r="I47" s="22"/>
      <c r="J47" s="22"/>
      <c r="K47" s="22"/>
    </row>
    <row r="48" ht="13" customHeight="1">
      <c r="A48" t="s" s="28">
        <v>36</v>
      </c>
      <c r="B48" s="29">
        <v>47000</v>
      </c>
      <c r="C48" s="29">
        <v>158034</v>
      </c>
      <c r="D48" s="29">
        <f>B48+C48</f>
        <v>205034</v>
      </c>
      <c r="E48" s="22"/>
      <c r="F48" s="22"/>
      <c r="G48" s="22"/>
      <c r="H48" s="22"/>
      <c r="I48" s="22"/>
      <c r="J48" s="22"/>
      <c r="K48" s="22"/>
    </row>
    <row r="49" ht="13" customHeight="1">
      <c r="A49" t="s" s="28">
        <v>45</v>
      </c>
      <c r="B49" s="29"/>
      <c r="C49" s="29"/>
      <c r="D49" s="29"/>
      <c r="E49" s="22"/>
      <c r="F49" s="22"/>
      <c r="G49" s="22"/>
      <c r="H49" s="22"/>
      <c r="I49" s="22"/>
      <c r="J49" s="22"/>
      <c r="K49" s="22"/>
    </row>
    <row r="50" ht="13" customHeight="1">
      <c r="A50" t="s" s="28">
        <v>33</v>
      </c>
      <c r="B50" s="29">
        <v>1189000</v>
      </c>
      <c r="C50" s="29">
        <v>1086432</v>
      </c>
      <c r="D50" s="29">
        <f>B50+C50</f>
        <v>2275432</v>
      </c>
      <c r="E50" s="22"/>
      <c r="F50" s="22"/>
      <c r="G50" s="22"/>
      <c r="H50" s="22"/>
      <c r="I50" s="22"/>
      <c r="J50" s="22"/>
      <c r="K50" s="22"/>
    </row>
    <row r="51" ht="13" customHeight="1">
      <c r="A51" t="s" s="28">
        <v>34</v>
      </c>
      <c r="B51" s="29">
        <v>656500</v>
      </c>
      <c r="C51" s="29">
        <v>645289</v>
      </c>
      <c r="D51" s="29">
        <f>B51+C51</f>
        <v>1301789</v>
      </c>
      <c r="E51" s="22"/>
      <c r="F51" s="22"/>
      <c r="G51" s="22"/>
      <c r="H51" s="22"/>
      <c r="I51" s="22"/>
      <c r="J51" s="22"/>
      <c r="K51" s="22"/>
    </row>
    <row r="52" ht="13" customHeight="1">
      <c r="A52" t="s" s="28">
        <v>35</v>
      </c>
      <c r="B52" s="29">
        <v>226300</v>
      </c>
      <c r="C52" s="29">
        <v>369859</v>
      </c>
      <c r="D52" s="29">
        <f>B52+C52</f>
        <v>596159</v>
      </c>
      <c r="E52" s="22"/>
      <c r="F52" s="22"/>
      <c r="G52" s="22"/>
      <c r="H52" s="22"/>
      <c r="I52" s="22"/>
      <c r="J52" s="22"/>
      <c r="K52" s="22"/>
    </row>
    <row r="53" ht="13" customHeight="1">
      <c r="A53" t="s" s="28">
        <v>36</v>
      </c>
      <c r="B53" s="29">
        <v>35100</v>
      </c>
      <c r="C53" s="29">
        <v>103098</v>
      </c>
      <c r="D53" s="29">
        <f>B53+C53</f>
        <v>138198</v>
      </c>
      <c r="E53" s="22"/>
      <c r="F53" s="22"/>
      <c r="G53" s="22"/>
      <c r="H53" s="22"/>
      <c r="I53" s="22"/>
      <c r="J53" s="22"/>
      <c r="K53" s="22"/>
    </row>
    <row r="54" ht="13" customHeight="1">
      <c r="A54" t="s" s="28">
        <v>46</v>
      </c>
      <c r="B54" s="29"/>
      <c r="C54" s="29"/>
      <c r="D54" s="29"/>
      <c r="E54" s="22"/>
      <c r="F54" s="22"/>
      <c r="G54" s="22"/>
      <c r="H54" s="22"/>
      <c r="I54" s="22"/>
      <c r="J54" s="22"/>
      <c r="K54" s="22"/>
    </row>
    <row r="55" ht="13" customHeight="1">
      <c r="A55" t="s" s="28">
        <v>33</v>
      </c>
      <c r="B55" s="29">
        <v>1229500</v>
      </c>
      <c r="C55" s="29">
        <v>1109050</v>
      </c>
      <c r="D55" s="29">
        <f>B55+C55</f>
        <v>2338550</v>
      </c>
      <c r="E55" s="22"/>
      <c r="F55" s="22"/>
      <c r="G55" s="22"/>
      <c r="H55" s="22"/>
      <c r="I55" s="22"/>
      <c r="J55" s="22"/>
      <c r="K55" s="22"/>
    </row>
    <row r="56" ht="13" customHeight="1">
      <c r="A56" t="s" s="28">
        <v>34</v>
      </c>
      <c r="B56" s="29">
        <v>609200</v>
      </c>
      <c r="C56" s="29">
        <v>660868</v>
      </c>
      <c r="D56" s="29">
        <f>B56+C56</f>
        <v>1270068</v>
      </c>
      <c r="E56" s="22"/>
      <c r="F56" s="22"/>
      <c r="G56" s="22"/>
      <c r="H56" s="22"/>
      <c r="I56" s="22"/>
      <c r="J56" s="22"/>
      <c r="K56" s="22"/>
    </row>
    <row r="57" ht="13" customHeight="1">
      <c r="A57" t="s" s="28">
        <v>35</v>
      </c>
      <c r="B57" s="29">
        <v>232600</v>
      </c>
      <c r="C57" s="29">
        <v>338523</v>
      </c>
      <c r="D57" s="29">
        <f>B57+C57</f>
        <v>571123</v>
      </c>
      <c r="E57" s="22"/>
      <c r="F57" s="22"/>
      <c r="G57" s="22"/>
      <c r="H57" s="22"/>
      <c r="I57" s="22"/>
      <c r="J57" s="22"/>
      <c r="K57" s="22"/>
    </row>
    <row r="58" ht="13" customHeight="1">
      <c r="A58" t="s" s="28">
        <v>36</v>
      </c>
      <c r="B58" s="29">
        <v>35400</v>
      </c>
      <c r="C58" s="29">
        <v>115485</v>
      </c>
      <c r="D58" s="29">
        <f>B58+C58</f>
        <v>150885</v>
      </c>
      <c r="E58" s="22"/>
      <c r="F58" s="22"/>
      <c r="G58" s="22"/>
      <c r="H58" s="22"/>
      <c r="I58" s="22"/>
      <c r="J58" s="22"/>
      <c r="K58" s="22"/>
    </row>
    <row r="59" ht="13" customHeight="1">
      <c r="A59" t="s" s="28">
        <v>47</v>
      </c>
      <c r="B59" s="29"/>
      <c r="C59" s="29"/>
      <c r="D59" s="29"/>
      <c r="E59" s="22"/>
      <c r="F59" s="22"/>
      <c r="G59" s="22"/>
      <c r="H59" s="22"/>
      <c r="I59" s="22"/>
      <c r="J59" s="22"/>
      <c r="K59" s="22"/>
    </row>
    <row r="60" ht="13" customHeight="1">
      <c r="A60" t="s" s="28">
        <v>33</v>
      </c>
      <c r="B60" s="29">
        <v>1091000</v>
      </c>
      <c r="C60" s="29">
        <v>1187084</v>
      </c>
      <c r="D60" s="29">
        <f>B60+C60</f>
        <v>2278084</v>
      </c>
      <c r="E60" s="22"/>
      <c r="F60" s="22"/>
      <c r="G60" s="22"/>
      <c r="H60" s="22"/>
      <c r="I60" s="22"/>
      <c r="J60" s="22"/>
      <c r="K60" s="22"/>
    </row>
    <row r="61" ht="13" customHeight="1">
      <c r="A61" t="s" s="28">
        <v>34</v>
      </c>
      <c r="B61" s="29">
        <v>505000</v>
      </c>
      <c r="C61" s="29">
        <v>743800</v>
      </c>
      <c r="D61" s="29">
        <f>B61+C61</f>
        <v>1248800</v>
      </c>
      <c r="E61" s="22"/>
      <c r="F61" s="22"/>
      <c r="G61" s="22"/>
      <c r="H61" s="22"/>
      <c r="I61" s="22"/>
      <c r="J61" s="22"/>
      <c r="K61" s="22"/>
    </row>
    <row r="62" ht="13" customHeight="1">
      <c r="A62" t="s" s="28">
        <v>35</v>
      </c>
      <c r="B62" s="29">
        <v>217700</v>
      </c>
      <c r="C62" s="29">
        <v>401583</v>
      </c>
      <c r="D62" s="29">
        <f>B62+C62</f>
        <v>619283</v>
      </c>
      <c r="E62" s="22"/>
      <c r="F62" s="22"/>
      <c r="G62" s="22"/>
      <c r="H62" s="22"/>
      <c r="I62" s="22"/>
      <c r="J62" s="22"/>
      <c r="K62" s="22"/>
    </row>
    <row r="63" ht="13" customHeight="1">
      <c r="A63" t="s" s="28">
        <v>36</v>
      </c>
      <c r="B63" s="29">
        <v>48500</v>
      </c>
      <c r="C63" s="29">
        <v>166513</v>
      </c>
      <c r="D63" s="29">
        <f>B63+C63</f>
        <v>215013</v>
      </c>
      <c r="E63" s="22"/>
      <c r="F63" s="22"/>
      <c r="G63" s="22"/>
      <c r="H63" s="22"/>
      <c r="I63" s="22"/>
      <c r="J63" s="22"/>
      <c r="K63" s="22"/>
    </row>
    <row r="64" ht="13" customHeight="1">
      <c r="A64" t="s" s="28">
        <v>48</v>
      </c>
      <c r="B64" s="29"/>
      <c r="C64" s="29"/>
      <c r="D64" s="29"/>
      <c r="E64" s="22"/>
      <c r="F64" s="22"/>
      <c r="G64" s="22"/>
      <c r="H64" s="22"/>
      <c r="I64" s="22"/>
      <c r="J64" s="22"/>
      <c r="K64" s="22"/>
    </row>
    <row r="65" ht="13" customHeight="1">
      <c r="A65" t="s" s="28">
        <v>33</v>
      </c>
      <c r="B65" s="29">
        <v>1139000</v>
      </c>
      <c r="C65" s="29">
        <v>1230885</v>
      </c>
      <c r="D65" s="29">
        <f>B65+C65</f>
        <v>2369885</v>
      </c>
      <c r="E65" s="22"/>
      <c r="F65" s="22"/>
      <c r="G65" s="22"/>
      <c r="H65" s="22"/>
      <c r="I65" s="22"/>
      <c r="J65" s="22"/>
      <c r="K65" s="22"/>
    </row>
    <row r="66" ht="13" customHeight="1">
      <c r="A66" t="s" s="28">
        <v>34</v>
      </c>
      <c r="B66" s="29">
        <v>555000</v>
      </c>
      <c r="C66" s="29">
        <v>819488</v>
      </c>
      <c r="D66" s="29">
        <f>B66+C66</f>
        <v>1374488</v>
      </c>
      <c r="E66" s="22"/>
      <c r="F66" s="22"/>
      <c r="G66" s="22"/>
      <c r="H66" s="22"/>
      <c r="I66" s="22"/>
      <c r="J66" s="22"/>
      <c r="K66" s="22"/>
    </row>
    <row r="67" ht="13" customHeight="1">
      <c r="A67" t="s" s="28">
        <v>35</v>
      </c>
      <c r="B67" s="29">
        <v>179000</v>
      </c>
      <c r="C67" s="29">
        <v>488465</v>
      </c>
      <c r="D67" s="29">
        <f>B67+C67</f>
        <v>667465</v>
      </c>
      <c r="E67" s="22"/>
      <c r="F67" s="22"/>
      <c r="G67" s="22"/>
      <c r="H67" s="22"/>
      <c r="I67" s="22"/>
      <c r="J67" s="22"/>
      <c r="K67" s="22"/>
    </row>
    <row r="68" ht="13" customHeight="1">
      <c r="A68" t="s" s="28">
        <v>36</v>
      </c>
      <c r="B68" s="29">
        <v>38250</v>
      </c>
      <c r="C68" s="29">
        <v>131120</v>
      </c>
      <c r="D68" s="29">
        <f>B68+C68</f>
        <v>169370</v>
      </c>
      <c r="E68" s="22"/>
      <c r="F68" s="22"/>
      <c r="G68" s="22"/>
      <c r="H68" s="22"/>
      <c r="I68" s="22"/>
      <c r="J68" s="22"/>
      <c r="K68" s="22"/>
    </row>
    <row r="69" ht="13" customHeight="1">
      <c r="A69" t="s" s="28">
        <v>49</v>
      </c>
      <c r="B69" s="29"/>
      <c r="C69" s="29"/>
      <c r="D69" s="29"/>
      <c r="E69" s="22"/>
      <c r="F69" s="22"/>
      <c r="G69" s="22"/>
      <c r="H69" s="22"/>
      <c r="I69" s="22"/>
      <c r="J69" s="22"/>
      <c r="K69" s="22"/>
    </row>
    <row r="70" ht="13" customHeight="1">
      <c r="A70" t="s" s="28">
        <v>33</v>
      </c>
      <c r="B70" s="29">
        <v>910000</v>
      </c>
      <c r="C70" s="29">
        <v>1056161</v>
      </c>
      <c r="D70" s="29">
        <f>B70+C70</f>
        <v>1966161</v>
      </c>
      <c r="E70" s="22"/>
      <c r="F70" s="22"/>
      <c r="G70" s="22"/>
      <c r="H70" s="22"/>
      <c r="I70" s="22"/>
      <c r="J70" s="22"/>
      <c r="K70" s="22"/>
    </row>
    <row r="71" ht="13" customHeight="1">
      <c r="A71" t="s" s="28">
        <v>34</v>
      </c>
      <c r="B71" s="29">
        <v>456700</v>
      </c>
      <c r="C71" s="29">
        <v>541320</v>
      </c>
      <c r="D71" s="29">
        <f>B71+C71</f>
        <v>998020</v>
      </c>
      <c r="E71" s="22"/>
      <c r="F71" s="22"/>
      <c r="G71" s="22"/>
      <c r="H71" s="22"/>
      <c r="I71" s="22"/>
      <c r="J71" s="22"/>
      <c r="K71" s="22"/>
    </row>
    <row r="72" ht="13" customHeight="1">
      <c r="A72" t="s" s="28">
        <v>35</v>
      </c>
      <c r="B72" s="29">
        <v>171100</v>
      </c>
      <c r="C72" s="29">
        <v>263564</v>
      </c>
      <c r="D72" s="29">
        <f>B72+C72</f>
        <v>434664</v>
      </c>
      <c r="E72" s="22"/>
      <c r="F72" s="22"/>
      <c r="G72" s="22"/>
      <c r="H72" s="22"/>
      <c r="I72" s="22"/>
      <c r="J72" s="22"/>
      <c r="K72" s="22"/>
    </row>
    <row r="73" ht="13" customHeight="1">
      <c r="A73" t="s" s="28">
        <v>36</v>
      </c>
      <c r="B73" s="29">
        <v>39550</v>
      </c>
      <c r="C73" s="29">
        <v>101007</v>
      </c>
      <c r="D73" s="29">
        <f>B73+C73</f>
        <v>140557</v>
      </c>
      <c r="E73" s="22"/>
      <c r="F73" s="22"/>
      <c r="G73" s="22"/>
      <c r="H73" s="22"/>
      <c r="I73" s="22"/>
      <c r="J73" s="22"/>
      <c r="K73" s="22"/>
    </row>
    <row r="74" ht="13" customHeight="1">
      <c r="A74" t="s" s="28">
        <v>50</v>
      </c>
      <c r="B74" s="29"/>
      <c r="C74" s="29"/>
      <c r="D74" s="29"/>
      <c r="E74" s="22"/>
      <c r="F74" s="22"/>
      <c r="G74" s="22"/>
      <c r="H74" s="22"/>
      <c r="I74" s="22"/>
      <c r="J74" s="22"/>
      <c r="K74" s="22"/>
    </row>
    <row r="75" ht="13" customHeight="1">
      <c r="A75" t="s" s="28">
        <v>33</v>
      </c>
      <c r="B75" s="29">
        <v>955000</v>
      </c>
      <c r="C75" s="29">
        <v>1198621</v>
      </c>
      <c r="D75" s="29">
        <f>B75+C75</f>
        <v>2153621</v>
      </c>
      <c r="E75" s="22"/>
      <c r="F75" s="22"/>
      <c r="G75" s="22"/>
      <c r="H75" s="22"/>
      <c r="I75" s="22"/>
      <c r="J75" s="22"/>
      <c r="K75" s="22"/>
    </row>
    <row r="76" ht="13" customHeight="1">
      <c r="A76" t="s" s="28">
        <v>34</v>
      </c>
      <c r="B76" s="29">
        <v>381900</v>
      </c>
      <c r="C76" s="29">
        <v>611928</v>
      </c>
      <c r="D76" s="29">
        <f>B76+C76</f>
        <v>993828</v>
      </c>
      <c r="E76" s="22"/>
      <c r="F76" s="22"/>
      <c r="G76" s="22"/>
      <c r="H76" s="22"/>
      <c r="I76" s="22"/>
      <c r="J76" s="22"/>
      <c r="K76" s="22"/>
    </row>
    <row r="77" ht="13" customHeight="1">
      <c r="A77" t="s" s="28">
        <v>35</v>
      </c>
      <c r="B77" s="29">
        <v>109100</v>
      </c>
      <c r="C77" s="29">
        <v>295945</v>
      </c>
      <c r="D77" s="29">
        <f>B77+C77</f>
        <v>405045</v>
      </c>
      <c r="E77" s="22"/>
      <c r="F77" s="22"/>
      <c r="G77" s="22"/>
      <c r="H77" s="22"/>
      <c r="I77" s="22"/>
      <c r="J77" s="22"/>
      <c r="K77" s="22"/>
    </row>
    <row r="78" ht="13" customHeight="1">
      <c r="A78" t="s" s="28">
        <v>36</v>
      </c>
      <c r="B78" s="29">
        <v>21325</v>
      </c>
      <c r="C78" s="29">
        <v>70666</v>
      </c>
      <c r="D78" s="29">
        <f>B78+C78</f>
        <v>91991</v>
      </c>
      <c r="E78" s="22"/>
      <c r="F78" s="22"/>
      <c r="G78" s="22"/>
      <c r="H78" s="22"/>
      <c r="I78" s="22"/>
      <c r="J78" s="22"/>
      <c r="K78" s="22"/>
    </row>
    <row r="79" ht="13" customHeight="1">
      <c r="A79" t="s" s="28">
        <v>51</v>
      </c>
      <c r="B79" s="29"/>
      <c r="C79" s="29"/>
      <c r="D79" s="29"/>
      <c r="E79" s="22"/>
      <c r="F79" s="22"/>
      <c r="G79" s="22"/>
      <c r="H79" s="22"/>
      <c r="I79" s="22"/>
      <c r="J79" s="22"/>
      <c r="K79" s="22"/>
    </row>
    <row r="80" ht="13" customHeight="1">
      <c r="A80" t="s" s="28">
        <v>33</v>
      </c>
      <c r="B80" s="29">
        <v>1218000</v>
      </c>
      <c r="C80" s="29">
        <v>1309744</v>
      </c>
      <c r="D80" s="29">
        <f>B80+C80</f>
        <v>2527744</v>
      </c>
      <c r="E80" s="22"/>
      <c r="F80" s="22"/>
      <c r="G80" s="22"/>
      <c r="H80" s="22"/>
      <c r="I80" s="22"/>
      <c r="J80" s="22"/>
      <c r="K80" s="22"/>
    </row>
    <row r="81" ht="13" customHeight="1">
      <c r="A81" t="s" s="28">
        <v>34</v>
      </c>
      <c r="B81" s="29">
        <v>609200</v>
      </c>
      <c r="C81" s="29">
        <v>717399</v>
      </c>
      <c r="D81" s="29">
        <f>B81+C81</f>
        <v>1326599</v>
      </c>
      <c r="E81" s="22"/>
      <c r="F81" s="22"/>
      <c r="G81" s="22"/>
      <c r="H81" s="22"/>
      <c r="I81" s="22"/>
      <c r="J81" s="22"/>
      <c r="K81" s="22"/>
    </row>
    <row r="82" ht="13" customHeight="1">
      <c r="A82" t="s" s="28">
        <v>35</v>
      </c>
      <c r="B82" s="29">
        <v>246300</v>
      </c>
      <c r="C82" s="29">
        <v>380768</v>
      </c>
      <c r="D82" s="29">
        <f>B82+C82</f>
        <v>627068</v>
      </c>
      <c r="E82" s="22"/>
      <c r="F82" s="22"/>
      <c r="G82" s="22"/>
      <c r="H82" s="22"/>
      <c r="I82" s="22"/>
      <c r="J82" s="22"/>
      <c r="K82" s="22"/>
    </row>
    <row r="83" ht="13" customHeight="1">
      <c r="A83" t="s" s="28">
        <v>36</v>
      </c>
      <c r="B83" s="29">
        <v>49700</v>
      </c>
      <c r="C83" s="29">
        <v>140910</v>
      </c>
      <c r="D83" s="29">
        <f>B83+C83</f>
        <v>190610</v>
      </c>
      <c r="E83" s="22"/>
      <c r="F83" s="22"/>
      <c r="G83" s="22"/>
      <c r="H83" s="22"/>
      <c r="I83" s="22"/>
      <c r="J83" s="22"/>
      <c r="K83" s="22"/>
    </row>
    <row r="84" ht="13" customHeight="1">
      <c r="A84" t="s" s="28">
        <v>52</v>
      </c>
      <c r="B84" s="29"/>
      <c r="C84" s="29"/>
      <c r="D84" s="29"/>
      <c r="E84" s="22"/>
      <c r="F84" s="22"/>
      <c r="G84" s="22"/>
      <c r="H84" s="22"/>
      <c r="I84" s="22"/>
      <c r="J84" s="22"/>
      <c r="K84" s="22"/>
    </row>
    <row r="85" ht="13" customHeight="1">
      <c r="A85" t="s" s="28">
        <v>33</v>
      </c>
      <c r="B85" s="29">
        <v>1308500</v>
      </c>
      <c r="C85" s="29">
        <v>1405577</v>
      </c>
      <c r="D85" s="29">
        <f>B85+C85</f>
        <v>2714077</v>
      </c>
      <c r="E85" s="22"/>
      <c r="F85" s="22"/>
      <c r="G85" s="22"/>
      <c r="H85" s="22"/>
      <c r="I85" s="22"/>
      <c r="J85" s="22"/>
      <c r="K85" s="22"/>
    </row>
    <row r="86" ht="13" customHeight="1">
      <c r="A86" t="s" s="28">
        <v>34</v>
      </c>
      <c r="B86" s="29">
        <v>727500</v>
      </c>
      <c r="C86" s="29">
        <v>803406</v>
      </c>
      <c r="D86" s="29">
        <f>B86+C86</f>
        <v>1530906</v>
      </c>
      <c r="E86" s="22"/>
      <c r="F86" s="22"/>
      <c r="G86" s="22"/>
      <c r="H86" s="22"/>
      <c r="I86" s="22"/>
      <c r="J86" s="22"/>
      <c r="K86" s="22"/>
    </row>
    <row r="87" ht="13" customHeight="1">
      <c r="A87" t="s" s="28">
        <v>35</v>
      </c>
      <c r="B87" s="29">
        <v>281300</v>
      </c>
      <c r="C87" s="29">
        <v>590481</v>
      </c>
      <c r="D87" s="29">
        <f>B87+C87</f>
        <v>871781</v>
      </c>
      <c r="E87" s="22"/>
      <c r="F87" s="22"/>
      <c r="G87" s="22"/>
      <c r="H87" s="22"/>
      <c r="I87" s="22"/>
      <c r="J87" s="22"/>
      <c r="K87" s="22"/>
    </row>
    <row r="88" ht="13" customHeight="1">
      <c r="A88" t="s" s="28">
        <v>36</v>
      </c>
      <c r="B88" s="29">
        <v>41560</v>
      </c>
      <c r="C88" s="29">
        <v>155169</v>
      </c>
      <c r="D88" s="29">
        <f>B88+C88</f>
        <v>196729</v>
      </c>
      <c r="E88" s="22"/>
      <c r="F88" s="22"/>
      <c r="G88" s="22"/>
      <c r="H88" s="22"/>
      <c r="I88" s="22"/>
      <c r="J88" s="22"/>
      <c r="K88" s="22"/>
    </row>
    <row r="89" ht="13" customHeight="1">
      <c r="A89" t="s" s="28">
        <v>53</v>
      </c>
      <c r="B89" s="29"/>
      <c r="C89" s="29"/>
      <c r="D89" s="29"/>
      <c r="E89" s="22"/>
      <c r="F89" s="22"/>
      <c r="G89" s="22"/>
      <c r="H89" s="22"/>
      <c r="I89" s="22"/>
      <c r="J89" s="22"/>
      <c r="K89" s="22"/>
    </row>
    <row r="90" ht="13" customHeight="1">
      <c r="A90" t="s" s="28">
        <v>33</v>
      </c>
      <c r="B90" s="29">
        <v>1335000</v>
      </c>
      <c r="C90" s="29">
        <v>1564056</v>
      </c>
      <c r="D90" s="29">
        <f>B90+C90</f>
        <v>2899056</v>
      </c>
      <c r="E90" s="22"/>
      <c r="F90" s="22"/>
      <c r="G90" s="22"/>
      <c r="H90" s="22"/>
      <c r="I90" s="22"/>
      <c r="J90" s="22"/>
      <c r="K90" s="22"/>
    </row>
    <row r="91" ht="13" customHeight="1">
      <c r="A91" t="s" s="28">
        <v>34</v>
      </c>
      <c r="B91" s="29">
        <v>668500</v>
      </c>
      <c r="C91" s="29">
        <v>1070433</v>
      </c>
      <c r="D91" s="29">
        <f>B91+C91</f>
        <v>1738933</v>
      </c>
      <c r="E91" s="22"/>
      <c r="F91" s="22"/>
      <c r="G91" s="22"/>
      <c r="H91" s="22"/>
      <c r="I91" s="22"/>
      <c r="J91" s="22"/>
      <c r="K91" s="22"/>
    </row>
    <row r="92" ht="13" customHeight="1">
      <c r="A92" t="s" s="28">
        <v>35</v>
      </c>
      <c r="B92" s="29">
        <v>332500</v>
      </c>
      <c r="C92" s="29">
        <v>633356</v>
      </c>
      <c r="D92" s="29">
        <f>B92+C92</f>
        <v>965856</v>
      </c>
      <c r="E92" s="22"/>
      <c r="F92" s="22"/>
      <c r="G92" s="22"/>
      <c r="H92" s="22"/>
      <c r="I92" s="22"/>
      <c r="J92" s="22"/>
      <c r="K92" s="22"/>
    </row>
    <row r="93" ht="13" customHeight="1">
      <c r="A93" t="s" s="28">
        <v>36</v>
      </c>
      <c r="B93" s="29">
        <v>87900</v>
      </c>
      <c r="C93" s="29">
        <v>213695</v>
      </c>
      <c r="D93" s="29">
        <f>B93+C93</f>
        <v>301595</v>
      </c>
      <c r="E93" s="22"/>
      <c r="F93" s="22"/>
      <c r="G93" s="22"/>
      <c r="H93" s="22"/>
      <c r="I93" s="22"/>
      <c r="J93" s="22"/>
      <c r="K93" s="22"/>
    </row>
    <row r="94" ht="13" customHeight="1">
      <c r="A94" t="s" s="28">
        <v>54</v>
      </c>
      <c r="B94" s="29"/>
      <c r="C94" s="29"/>
      <c r="D94" s="29"/>
      <c r="E94" s="22"/>
      <c r="F94" s="22"/>
      <c r="G94" s="22"/>
      <c r="H94" s="22"/>
      <c r="I94" s="22"/>
      <c r="J94" s="22"/>
      <c r="K94" s="22"/>
    </row>
    <row r="95" ht="13" customHeight="1">
      <c r="A95" t="s" s="28">
        <v>33</v>
      </c>
      <c r="B95" s="29">
        <v>1485000</v>
      </c>
      <c r="C95" s="29">
        <v>1675679</v>
      </c>
      <c r="D95" s="29">
        <v>3160679</v>
      </c>
      <c r="E95" s="22"/>
      <c r="F95" s="22"/>
      <c r="G95" s="22"/>
      <c r="H95" s="22"/>
      <c r="I95" s="22"/>
      <c r="J95" s="22"/>
      <c r="K95" s="22"/>
    </row>
    <row r="96" ht="13" customHeight="1">
      <c r="A96" t="s" s="28">
        <v>34</v>
      </c>
      <c r="B96" s="29">
        <v>855000</v>
      </c>
      <c r="C96" s="29">
        <v>1254303</v>
      </c>
      <c r="D96" s="29">
        <v>2109303</v>
      </c>
      <c r="E96" s="22"/>
      <c r="F96" s="22"/>
      <c r="G96" s="22"/>
      <c r="H96" s="22"/>
      <c r="I96" s="22"/>
      <c r="J96" s="22"/>
      <c r="K96" s="22"/>
    </row>
    <row r="97" ht="13" customHeight="1">
      <c r="A97" t="s" s="28">
        <v>35</v>
      </c>
      <c r="B97" s="29">
        <v>377000</v>
      </c>
      <c r="C97" s="29">
        <v>842329</v>
      </c>
      <c r="D97" s="29">
        <v>1219329</v>
      </c>
      <c r="E97" s="22"/>
      <c r="F97" s="22"/>
      <c r="G97" s="22"/>
      <c r="H97" s="22"/>
      <c r="I97" s="22"/>
      <c r="J97" s="22"/>
      <c r="K97" s="22"/>
    </row>
    <row r="98" ht="13" customHeight="1">
      <c r="A98" t="s" s="28">
        <v>36</v>
      </c>
      <c r="B98" s="29">
        <v>101000</v>
      </c>
      <c r="C98" s="29">
        <v>337105</v>
      </c>
      <c r="D98" s="29">
        <v>438105</v>
      </c>
      <c r="E98" s="22"/>
      <c r="F98" s="22"/>
      <c r="G98" s="22"/>
      <c r="H98" s="22"/>
      <c r="I98" s="22"/>
      <c r="J98" s="22"/>
      <c r="K98" s="22"/>
    </row>
    <row r="99" ht="13" customHeight="1">
      <c r="A99" t="s" s="28">
        <v>55</v>
      </c>
      <c r="B99" s="29"/>
      <c r="C99" s="29"/>
      <c r="D99" s="29"/>
      <c r="E99" s="22"/>
      <c r="F99" s="22"/>
      <c r="G99" s="22"/>
      <c r="H99" s="22"/>
      <c r="I99" s="22"/>
      <c r="J99" s="22"/>
      <c r="K99" s="22"/>
    </row>
    <row r="100" ht="13" customHeight="1">
      <c r="A100" t="s" s="28">
        <v>33</v>
      </c>
      <c r="B100" s="29">
        <v>1935000</v>
      </c>
      <c r="C100" s="29">
        <v>1801212</v>
      </c>
      <c r="D100" s="29">
        <v>3736212</v>
      </c>
      <c r="E100" s="22"/>
      <c r="F100" s="22"/>
      <c r="G100" s="22"/>
      <c r="H100" s="22"/>
      <c r="I100" s="22"/>
      <c r="J100" s="22"/>
      <c r="K100" s="22"/>
    </row>
    <row r="101" ht="13" customHeight="1">
      <c r="A101" s="31"/>
      <c r="B101" s="31"/>
      <c r="C101" s="31"/>
      <c r="D101" s="31"/>
      <c r="E101" s="22"/>
      <c r="F101" s="22"/>
      <c r="G101" s="22"/>
      <c r="H101" s="22"/>
      <c r="I101" s="22"/>
      <c r="J101" s="22"/>
      <c r="K101" s="22"/>
    </row>
    <row r="102" ht="13.15" customHeight="1">
      <c r="A102" t="s" s="32">
        <v>56</v>
      </c>
      <c r="B102" s="25"/>
      <c r="C102" s="25"/>
      <c r="D102" s="25"/>
      <c r="E102" s="22"/>
      <c r="F102" s="22"/>
      <c r="G102" s="22"/>
      <c r="H102" s="22"/>
      <c r="I102" s="22"/>
      <c r="J102" s="22"/>
      <c r="K102" s="22"/>
    </row>
    <row r="103" ht="13" customHeight="1">
      <c r="A103" s="22"/>
      <c r="B103" s="22"/>
      <c r="C103" s="22"/>
      <c r="D103" t="s" s="33">
        <v>57</v>
      </c>
      <c r="E103" s="22"/>
      <c r="F103" s="22"/>
      <c r="G103" s="22"/>
      <c r="H103" s="22"/>
      <c r="I103" s="22"/>
      <c r="J103" s="22"/>
      <c r="K103" s="22"/>
    </row>
    <row r="104" ht="13" customHeight="1">
      <c r="A104" s="22"/>
      <c r="B104" s="34"/>
      <c r="C104" s="22"/>
      <c r="D104" s="22"/>
      <c r="E104" s="35"/>
      <c r="F104" s="35"/>
      <c r="G104" s="35"/>
      <c r="H104" s="35"/>
      <c r="I104" s="35"/>
      <c r="J104" s="35"/>
      <c r="K104" s="35"/>
    </row>
  </sheetData>
  <pageMargins left="0.667" right="0.667" top="0.667" bottom="0.833" header="0" footer="0"/>
  <pageSetup firstPageNumber="1" fitToHeight="1" fitToWidth="1" scale="68" useFirstPageNumber="0" orientation="portrait" pageOrder="downThenOver"/>
  <headerFooter>
    <oddFooter>&amp;C&amp;"Helvetica,Regular"&amp;8&amp;K000000&amp;P
Oil Crops Yearbook/OCS-2018
March 2018
Economic Research Service, USDA</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G71"/>
  <sheetViews>
    <sheetView workbookViewId="0" showGridLines="0" defaultGridColor="1"/>
  </sheetViews>
  <sheetFormatPr defaultColWidth="9" defaultRowHeight="11.25" customHeight="1" outlineLevelRow="0" outlineLevelCol="0"/>
  <cols>
    <col min="1" max="7" width="17.6016" style="36" customWidth="1"/>
    <col min="8" max="256" width="9" style="36" customWidth="1"/>
  </cols>
  <sheetData>
    <row r="1" ht="13" customHeight="1">
      <c r="A1" t="s" s="37">
        <v>59</v>
      </c>
      <c r="B1" s="21"/>
      <c r="C1" s="21"/>
      <c r="D1" s="21"/>
      <c r="E1" s="21"/>
      <c r="F1" s="21"/>
      <c r="G1" s="21"/>
    </row>
    <row r="2" ht="13" customHeight="1">
      <c r="A2" t="s" s="32">
        <v>60</v>
      </c>
      <c r="B2" t="s" s="26">
        <v>61</v>
      </c>
      <c r="C2" t="s" s="26">
        <v>62</v>
      </c>
      <c r="D2" t="s" s="26">
        <v>63</v>
      </c>
      <c r="E2" t="s" s="26">
        <v>64</v>
      </c>
      <c r="F2" t="s" s="26">
        <v>65</v>
      </c>
      <c r="G2" s="27"/>
    </row>
    <row r="3" ht="13" customHeight="1">
      <c r="A3" s="21"/>
      <c r="B3" s="38"/>
      <c r="C3" s="38"/>
      <c r="D3" t="s" s="39">
        <v>66</v>
      </c>
      <c r="E3" s="38"/>
      <c r="F3" s="38"/>
      <c r="G3" s="38"/>
    </row>
    <row r="4" ht="13" customHeight="1">
      <c r="A4" s="25"/>
      <c r="B4" t="s" s="40">
        <v>67</v>
      </c>
      <c r="C4" s="27"/>
      <c r="D4" t="s" s="26">
        <v>68</v>
      </c>
      <c r="E4" t="s" s="26">
        <v>31</v>
      </c>
      <c r="F4" s="41">
        <v>1000</v>
      </c>
      <c r="G4" s="27"/>
    </row>
    <row r="5" ht="13" customHeight="1">
      <c r="A5" s="22"/>
      <c r="B5" s="42"/>
      <c r="C5" s="42"/>
      <c r="D5" s="42"/>
      <c r="E5" s="42"/>
      <c r="F5" s="43"/>
      <c r="G5" s="42"/>
    </row>
    <row r="6" ht="13" customHeight="1">
      <c r="A6" t="s" s="28">
        <v>69</v>
      </c>
      <c r="B6" s="44">
        <v>24440</v>
      </c>
      <c r="C6" s="44">
        <v>23655</v>
      </c>
      <c r="D6" s="45">
        <f>E6/C6</f>
        <v>23.4658634538153</v>
      </c>
      <c r="E6" s="44">
        <v>555085</v>
      </c>
      <c r="F6" s="44">
        <v>1184910</v>
      </c>
      <c r="G6" s="46"/>
    </row>
    <row r="7" ht="13" customHeight="1">
      <c r="A7" t="s" s="28">
        <v>70</v>
      </c>
      <c r="B7" s="44">
        <v>27787</v>
      </c>
      <c r="C7" s="44">
        <v>27003</v>
      </c>
      <c r="D7" s="45">
        <f>E7/C7</f>
        <v>25.128837536570</v>
      </c>
      <c r="E7" s="44">
        <v>678554</v>
      </c>
      <c r="F7" s="44">
        <v>1543909</v>
      </c>
      <c r="G7" s="46"/>
    </row>
    <row r="8" ht="13" customHeight="1">
      <c r="A8" t="s" s="28">
        <v>71</v>
      </c>
      <c r="B8" s="44">
        <v>28418</v>
      </c>
      <c r="C8" s="44">
        <v>27608</v>
      </c>
      <c r="D8" s="45">
        <f>E8/C8</f>
        <v>24.2388438133874</v>
      </c>
      <c r="E8" s="44">
        <v>669186</v>
      </c>
      <c r="F8" s="44">
        <v>1564352</v>
      </c>
      <c r="G8" s="46"/>
    </row>
    <row r="9" ht="13" customHeight="1">
      <c r="A9" t="s" s="28">
        <v>72</v>
      </c>
      <c r="B9" s="44">
        <v>29462</v>
      </c>
      <c r="C9" s="44">
        <v>28615</v>
      </c>
      <c r="D9" s="45">
        <f>E9/C9</f>
        <v>24.4335138913157</v>
      </c>
      <c r="E9" s="44">
        <v>699165</v>
      </c>
      <c r="F9" s="44">
        <v>1755076</v>
      </c>
      <c r="G9" s="46"/>
    </row>
    <row r="10" ht="13" customHeight="1">
      <c r="A10" t="s" s="28">
        <v>73</v>
      </c>
      <c r="B10" s="44">
        <v>31721</v>
      </c>
      <c r="C10" s="44">
        <v>30793</v>
      </c>
      <c r="D10" s="45">
        <f>E10/C10</f>
        <v>22.7623485857175</v>
      </c>
      <c r="E10" s="44">
        <v>700921</v>
      </c>
      <c r="F10" s="44">
        <v>1836441</v>
      </c>
      <c r="G10" s="46"/>
    </row>
    <row r="11" ht="13" customHeight="1">
      <c r="A11" t="s" s="28">
        <v>74</v>
      </c>
      <c r="B11" s="44">
        <v>35227</v>
      </c>
      <c r="C11" s="44">
        <v>34449</v>
      </c>
      <c r="D11" s="45">
        <f>E11/C11</f>
        <v>24.5466631832564</v>
      </c>
      <c r="E11" s="44">
        <v>845608</v>
      </c>
      <c r="F11" s="44">
        <v>2151305</v>
      </c>
      <c r="G11" s="46"/>
    </row>
    <row r="12" ht="13" customHeight="1">
      <c r="A12" t="s" s="28">
        <v>75</v>
      </c>
      <c r="B12" s="44">
        <v>37294</v>
      </c>
      <c r="C12" s="44">
        <v>36546</v>
      </c>
      <c r="D12" s="45">
        <f>E12/C12</f>
        <v>25.4058173261096</v>
      </c>
      <c r="E12" s="44">
        <v>928481</v>
      </c>
      <c r="F12" s="44">
        <v>2553612</v>
      </c>
      <c r="G12" s="46"/>
    </row>
    <row r="13" ht="13" customHeight="1">
      <c r="A13" t="s" s="28">
        <v>76</v>
      </c>
      <c r="B13" s="44">
        <v>40819</v>
      </c>
      <c r="C13" s="44">
        <v>39805</v>
      </c>
      <c r="D13" s="45">
        <f>E13/C13</f>
        <v>24.5305614872503</v>
      </c>
      <c r="E13" s="44">
        <v>976439</v>
      </c>
      <c r="F13" s="44">
        <v>2433519</v>
      </c>
      <c r="G13" s="46"/>
    </row>
    <row r="14" ht="13" customHeight="1">
      <c r="A14" t="s" s="28">
        <v>77</v>
      </c>
      <c r="B14" s="44">
        <v>42265</v>
      </c>
      <c r="C14" s="44">
        <v>41391</v>
      </c>
      <c r="D14" s="45">
        <f>E14/C14</f>
        <v>26.7439298398203</v>
      </c>
      <c r="E14" s="44">
        <v>1106958</v>
      </c>
      <c r="F14" s="44">
        <v>2688571</v>
      </c>
      <c r="G14" s="46"/>
    </row>
    <row r="15" ht="13" customHeight="1">
      <c r="A15" t="s" s="28">
        <v>78</v>
      </c>
      <c r="B15" s="44">
        <v>42534</v>
      </c>
      <c r="C15" s="44">
        <v>41337</v>
      </c>
      <c r="D15" s="45">
        <f>E15/C15</f>
        <v>27.411761859835</v>
      </c>
      <c r="E15" s="44">
        <v>1133120</v>
      </c>
      <c r="F15" s="44">
        <v>2664204</v>
      </c>
      <c r="G15" s="46"/>
    </row>
    <row r="16" ht="13" customHeight="1">
      <c r="A16" t="s" s="28">
        <v>79</v>
      </c>
      <c r="B16" s="44">
        <v>43082</v>
      </c>
      <c r="C16" s="44">
        <v>42249</v>
      </c>
      <c r="D16" s="45">
        <f>E16/C16</f>
        <v>26.6775544983313</v>
      </c>
      <c r="E16" s="44">
        <v>1127100</v>
      </c>
      <c r="F16" s="44">
        <v>3214710</v>
      </c>
      <c r="G16" s="46"/>
    </row>
    <row r="17" ht="13" customHeight="1">
      <c r="A17" t="s" s="28">
        <v>80</v>
      </c>
      <c r="B17" s="44">
        <v>43476</v>
      </c>
      <c r="C17" s="44">
        <v>42705</v>
      </c>
      <c r="D17" s="45">
        <f>E17/C17</f>
        <v>27.5401241072474</v>
      </c>
      <c r="E17" s="44">
        <v>1176101</v>
      </c>
      <c r="F17" s="44">
        <v>3560022</v>
      </c>
      <c r="G17" s="46"/>
    </row>
    <row r="18" ht="13" customHeight="1">
      <c r="A18" t="s" s="28">
        <v>81</v>
      </c>
      <c r="B18" s="44">
        <v>46866</v>
      </c>
      <c r="C18" s="44">
        <v>45683</v>
      </c>
      <c r="D18" s="45">
        <f>E18/C18</f>
        <v>27.8135849221811</v>
      </c>
      <c r="E18" s="44">
        <v>1270608</v>
      </c>
      <c r="F18" s="44">
        <v>5550074</v>
      </c>
      <c r="G18" s="46"/>
    </row>
    <row r="19" ht="13" customHeight="1">
      <c r="A19" t="s" s="28">
        <v>82</v>
      </c>
      <c r="B19" s="44">
        <v>56549</v>
      </c>
      <c r="C19" s="44">
        <v>55667</v>
      </c>
      <c r="D19" s="45">
        <f>E19/C19</f>
        <v>27.8000071855857</v>
      </c>
      <c r="E19" s="44">
        <v>1547543</v>
      </c>
      <c r="F19" s="44">
        <v>8790042</v>
      </c>
      <c r="G19" s="46"/>
    </row>
    <row r="20" ht="13" customHeight="1">
      <c r="A20" t="s" s="28">
        <v>83</v>
      </c>
      <c r="B20" s="44">
        <v>52479</v>
      </c>
      <c r="C20" s="44">
        <v>51341</v>
      </c>
      <c r="D20" s="45">
        <f>E20/C20</f>
        <v>23.6903644260922</v>
      </c>
      <c r="E20" s="44">
        <v>1216287</v>
      </c>
      <c r="F20" s="44">
        <v>8078943</v>
      </c>
      <c r="G20" s="46"/>
    </row>
    <row r="21" ht="13" customHeight="1">
      <c r="A21" t="s" s="28">
        <v>84</v>
      </c>
      <c r="B21" s="44">
        <v>54590</v>
      </c>
      <c r="C21" s="44">
        <v>53617</v>
      </c>
      <c r="D21" s="45">
        <f>E21/C21</f>
        <v>28.8778559039111</v>
      </c>
      <c r="E21" s="44">
        <v>1548344</v>
      </c>
      <c r="F21" s="44">
        <v>7622493</v>
      </c>
      <c r="G21" s="22"/>
    </row>
    <row r="22" ht="13" customHeight="1">
      <c r="A22" t="s" s="28">
        <v>85</v>
      </c>
      <c r="B22" s="44">
        <v>50269</v>
      </c>
      <c r="C22" s="44">
        <v>49401</v>
      </c>
      <c r="D22" s="45">
        <f>E22/C22</f>
        <v>26.0846541567984</v>
      </c>
      <c r="E22" s="44">
        <v>1288608</v>
      </c>
      <c r="F22" s="44">
        <v>8775761</v>
      </c>
      <c r="G22" s="46"/>
    </row>
    <row r="23" ht="13" customHeight="1">
      <c r="A23" t="s" s="28">
        <v>86</v>
      </c>
      <c r="B23" s="44">
        <v>58978</v>
      </c>
      <c r="C23" s="44">
        <v>57830</v>
      </c>
      <c r="D23" s="45">
        <f>E23/C23</f>
        <v>30.5596922012796</v>
      </c>
      <c r="E23" s="44">
        <v>1767267</v>
      </c>
      <c r="F23" s="44">
        <v>10383377</v>
      </c>
      <c r="G23" s="46"/>
    </row>
    <row r="24" ht="13" customHeight="1">
      <c r="A24" t="s" s="28">
        <v>87</v>
      </c>
      <c r="B24" s="44">
        <v>64708</v>
      </c>
      <c r="C24" s="44">
        <v>63663</v>
      </c>
      <c r="D24" s="45">
        <f>E24/C24</f>
        <v>29.3538476037887</v>
      </c>
      <c r="E24" s="44">
        <v>1868754</v>
      </c>
      <c r="F24" s="44">
        <v>12449679</v>
      </c>
      <c r="G24" s="46"/>
    </row>
    <row r="25" ht="13" customHeight="1">
      <c r="A25" t="s" s="28">
        <v>88</v>
      </c>
      <c r="B25" s="44">
        <v>71411</v>
      </c>
      <c r="C25" s="44">
        <v>70343</v>
      </c>
      <c r="D25" s="45">
        <f>E25/C25</f>
        <v>32.1377393628364</v>
      </c>
      <c r="E25" s="44">
        <v>2260665</v>
      </c>
      <c r="F25" s="44">
        <v>14203660</v>
      </c>
      <c r="G25" s="46"/>
    </row>
    <row r="26" ht="13" customHeight="1">
      <c r="A26" t="s" s="28">
        <v>89</v>
      </c>
      <c r="B26" s="44">
        <v>69930</v>
      </c>
      <c r="C26" s="44">
        <v>67813</v>
      </c>
      <c r="D26" s="45">
        <f>E26/C26</f>
        <v>26.5073510978721</v>
      </c>
      <c r="E26" s="44">
        <v>1797543</v>
      </c>
      <c r="F26" s="44">
        <v>13601112</v>
      </c>
      <c r="G26" s="46"/>
    </row>
    <row r="27" ht="13" customHeight="1">
      <c r="A27" t="s" s="28">
        <v>90</v>
      </c>
      <c r="B27" s="44">
        <v>67543</v>
      </c>
      <c r="C27" s="44">
        <v>66163</v>
      </c>
      <c r="D27" s="45">
        <f>E27/C27</f>
        <v>30.0637818720433</v>
      </c>
      <c r="E27" s="44">
        <v>1989110</v>
      </c>
      <c r="F27" s="44">
        <v>12004638</v>
      </c>
      <c r="G27" s="46"/>
    </row>
    <row r="28" ht="13" customHeight="1">
      <c r="A28" t="s" s="28">
        <v>91</v>
      </c>
      <c r="B28" s="44">
        <v>70884</v>
      </c>
      <c r="C28" s="44">
        <v>69442</v>
      </c>
      <c r="D28" s="45">
        <f>E28/C28</f>
        <v>31.5413870568244</v>
      </c>
      <c r="E28" s="44">
        <v>2190297</v>
      </c>
      <c r="F28" s="44">
        <v>12483481</v>
      </c>
      <c r="G28" s="46"/>
    </row>
    <row r="29" ht="13" customHeight="1">
      <c r="A29" t="s" s="28">
        <v>92</v>
      </c>
      <c r="B29" s="44">
        <v>63779</v>
      </c>
      <c r="C29" s="44">
        <v>62525</v>
      </c>
      <c r="D29" s="45">
        <f>E29/C29</f>
        <v>26.161887245102</v>
      </c>
      <c r="E29" s="44">
        <v>1635772</v>
      </c>
      <c r="F29" s="44">
        <v>12978513</v>
      </c>
      <c r="G29" s="46"/>
    </row>
    <row r="30" ht="13" customHeight="1">
      <c r="A30" t="s" s="28">
        <v>93</v>
      </c>
      <c r="B30" s="44">
        <v>67755</v>
      </c>
      <c r="C30" s="44">
        <v>66113</v>
      </c>
      <c r="D30" s="45">
        <f>E30/C30</f>
        <v>28.1467033715003</v>
      </c>
      <c r="E30" s="44">
        <v>1860863</v>
      </c>
      <c r="F30" s="44">
        <v>10864686</v>
      </c>
      <c r="G30" s="46"/>
    </row>
    <row r="31" ht="13" customHeight="1">
      <c r="A31" t="s" s="28">
        <v>94</v>
      </c>
      <c r="B31" s="44">
        <v>63145</v>
      </c>
      <c r="C31" s="44">
        <v>61599</v>
      </c>
      <c r="D31" s="45">
        <f>E31/C31</f>
        <v>34.0761375996364</v>
      </c>
      <c r="E31" s="44">
        <v>2099056</v>
      </c>
      <c r="F31" s="44">
        <v>10583535</v>
      </c>
      <c r="G31" s="46"/>
    </row>
    <row r="32" ht="13" customHeight="1">
      <c r="A32" t="s" s="28">
        <v>95</v>
      </c>
      <c r="B32" s="44">
        <v>60405</v>
      </c>
      <c r="C32" s="44">
        <v>58312</v>
      </c>
      <c r="D32" s="45">
        <f>E32/C32</f>
        <v>33.3131773905886</v>
      </c>
      <c r="E32" s="44">
        <v>1942558</v>
      </c>
      <c r="F32" s="44">
        <v>9274487</v>
      </c>
      <c r="G32" s="46"/>
    </row>
    <row r="33" ht="13" customHeight="1">
      <c r="A33" t="s" s="28">
        <v>96</v>
      </c>
      <c r="B33" s="44">
        <v>58180</v>
      </c>
      <c r="C33" s="44">
        <v>57172</v>
      </c>
      <c r="D33" s="45">
        <f>E33/C33</f>
        <v>33.8928496466802</v>
      </c>
      <c r="E33" s="44">
        <v>1937722</v>
      </c>
      <c r="F33" s="44">
        <v>11391000</v>
      </c>
      <c r="G33" s="46"/>
    </row>
    <row r="34" ht="13" customHeight="1">
      <c r="A34" t="s" s="28">
        <v>97</v>
      </c>
      <c r="B34" s="44">
        <v>58840</v>
      </c>
      <c r="C34" s="44">
        <v>57373</v>
      </c>
      <c r="D34" s="45">
        <f>E34/C34</f>
        <v>26.9959911456609</v>
      </c>
      <c r="E34" s="44">
        <v>1548841</v>
      </c>
      <c r="F34" s="44">
        <v>11487742</v>
      </c>
      <c r="G34" s="46"/>
    </row>
    <row r="35" ht="13" customHeight="1">
      <c r="A35" t="s" s="28">
        <v>98</v>
      </c>
      <c r="B35" s="44">
        <v>60820</v>
      </c>
      <c r="C35" s="44">
        <v>59538</v>
      </c>
      <c r="D35" s="45">
        <f>E35/C35</f>
        <v>32.3098861231482</v>
      </c>
      <c r="E35" s="44">
        <v>1923666</v>
      </c>
      <c r="F35" s="44">
        <v>10916145</v>
      </c>
      <c r="G35" s="46"/>
    </row>
    <row r="36" ht="13" customHeight="1">
      <c r="A36" t="s" s="28">
        <v>99</v>
      </c>
      <c r="B36" s="44">
        <v>57795</v>
      </c>
      <c r="C36" s="44">
        <v>56512</v>
      </c>
      <c r="D36" s="45">
        <f>E36/C36</f>
        <v>34.0803192242356</v>
      </c>
      <c r="E36" s="44">
        <v>1925947</v>
      </c>
      <c r="F36" s="44">
        <v>11042010</v>
      </c>
      <c r="G36" s="46"/>
    </row>
    <row r="37" ht="13" customHeight="1">
      <c r="A37" t="s" s="28">
        <v>100</v>
      </c>
      <c r="B37" s="44">
        <v>59180</v>
      </c>
      <c r="C37" s="44">
        <v>58011</v>
      </c>
      <c r="D37" s="45">
        <f>E37/C37</f>
        <v>34.2441778283429</v>
      </c>
      <c r="E37" s="44">
        <v>1986539</v>
      </c>
      <c r="F37" s="44">
        <v>11091996</v>
      </c>
      <c r="G37" s="46"/>
    </row>
    <row r="38" ht="13" customHeight="1">
      <c r="A38" t="s" s="28">
        <v>101</v>
      </c>
      <c r="B38" s="44">
        <v>59180</v>
      </c>
      <c r="C38" s="44">
        <v>58233</v>
      </c>
      <c r="D38" s="45">
        <f>E38/C38</f>
        <v>37.6136211426511</v>
      </c>
      <c r="E38" s="44">
        <v>2190354</v>
      </c>
      <c r="F38" s="44">
        <v>12167564</v>
      </c>
      <c r="G38" s="46"/>
    </row>
    <row r="39" ht="13" customHeight="1">
      <c r="A39" t="s" s="28">
        <v>102</v>
      </c>
      <c r="B39" s="44">
        <v>60085</v>
      </c>
      <c r="C39" s="44">
        <v>57307</v>
      </c>
      <c r="D39" s="45">
        <f>E39/C39</f>
        <v>32.6263458216274</v>
      </c>
      <c r="E39" s="44">
        <v>1869718</v>
      </c>
      <c r="F39" s="44">
        <v>12167564</v>
      </c>
      <c r="G39" s="46"/>
    </row>
    <row r="40" ht="13" customHeight="1">
      <c r="A40" t="s" s="28">
        <v>103</v>
      </c>
      <c r="B40" s="44">
        <v>61620</v>
      </c>
      <c r="C40" s="44">
        <v>60809</v>
      </c>
      <c r="D40" s="45">
        <f>E40/C40</f>
        <v>41.3568550707954</v>
      </c>
      <c r="E40" s="44">
        <v>2514869</v>
      </c>
      <c r="F40" s="44">
        <v>13756328</v>
      </c>
      <c r="G40" s="46"/>
    </row>
    <row r="41" ht="13" customHeight="1">
      <c r="A41" t="s" s="28">
        <v>104</v>
      </c>
      <c r="B41" s="44">
        <v>62495</v>
      </c>
      <c r="C41" s="44">
        <v>61544</v>
      </c>
      <c r="D41" s="45">
        <f>E41/C41</f>
        <v>35.3284479396854</v>
      </c>
      <c r="E41" s="44">
        <v>2174254</v>
      </c>
      <c r="F41" s="44">
        <v>14616758</v>
      </c>
      <c r="G41" s="46"/>
    </row>
    <row r="42" ht="13" customHeight="1">
      <c r="A42" t="s" s="28">
        <v>105</v>
      </c>
      <c r="B42" s="44">
        <v>64195</v>
      </c>
      <c r="C42" s="44">
        <v>63349</v>
      </c>
      <c r="D42" s="45">
        <f>E42/C42</f>
        <v>37.5739790683357</v>
      </c>
      <c r="E42" s="44">
        <v>2380274</v>
      </c>
      <c r="F42" s="44">
        <v>17439971</v>
      </c>
      <c r="G42" s="46"/>
    </row>
    <row r="43" ht="13" customHeight="1">
      <c r="A43" t="s" s="28">
        <v>106</v>
      </c>
      <c r="B43" s="44">
        <v>70005</v>
      </c>
      <c r="C43" s="44">
        <v>69110</v>
      </c>
      <c r="D43" s="45">
        <f>E43/C43</f>
        <v>38.9053682535089</v>
      </c>
      <c r="E43" s="44">
        <v>2688750</v>
      </c>
      <c r="F43" s="44">
        <v>17372628</v>
      </c>
      <c r="G43" s="46"/>
    </row>
    <row r="44" ht="13" customHeight="1">
      <c r="A44" t="s" s="47">
        <v>107</v>
      </c>
      <c r="B44" s="44">
        <v>72025</v>
      </c>
      <c r="C44" s="44">
        <v>70441</v>
      </c>
      <c r="D44" s="45">
        <f>E44/C44</f>
        <v>38.912196022203</v>
      </c>
      <c r="E44" s="44">
        <v>2741014</v>
      </c>
      <c r="F44" s="44">
        <v>13493831</v>
      </c>
      <c r="G44" s="46"/>
    </row>
    <row r="45" ht="13" customHeight="1">
      <c r="A45" t="s" s="47">
        <v>108</v>
      </c>
      <c r="B45" s="44">
        <v>73730</v>
      </c>
      <c r="C45" s="44">
        <v>72446</v>
      </c>
      <c r="D45" s="45">
        <f>E45/C45</f>
        <v>36.6308422825277</v>
      </c>
      <c r="E45" s="44">
        <v>2653758</v>
      </c>
      <c r="F45" s="44">
        <v>12205532</v>
      </c>
      <c r="G45" s="46"/>
    </row>
    <row r="46" ht="13" customHeight="1">
      <c r="A46" s="48">
        <v>2000</v>
      </c>
      <c r="B46" s="44">
        <v>74266</v>
      </c>
      <c r="C46" s="44">
        <v>72408</v>
      </c>
      <c r="D46" s="45">
        <f>E46/C46</f>
        <v>38.0870898243288</v>
      </c>
      <c r="E46" s="44">
        <v>2757810</v>
      </c>
      <c r="F46" s="44">
        <v>12466572</v>
      </c>
      <c r="G46" s="46"/>
    </row>
    <row r="47" ht="13" customHeight="1">
      <c r="A47" s="48">
        <v>2001</v>
      </c>
      <c r="B47" s="44">
        <v>74075</v>
      </c>
      <c r="C47" s="44">
        <v>72975</v>
      </c>
      <c r="D47" s="45">
        <f>E47/C47</f>
        <v>39.6119492977047</v>
      </c>
      <c r="E47" s="44">
        <v>2890682</v>
      </c>
      <c r="F47" s="44">
        <v>12605717</v>
      </c>
      <c r="G47" s="46"/>
    </row>
    <row r="48" ht="13" customHeight="1">
      <c r="A48" s="48">
        <v>2002</v>
      </c>
      <c r="B48" s="44">
        <v>73963</v>
      </c>
      <c r="C48" s="44">
        <v>72497</v>
      </c>
      <c r="D48" s="45">
        <f>E48/C48</f>
        <v>38.0173938231927</v>
      </c>
      <c r="E48" s="44">
        <v>2756147</v>
      </c>
      <c r="F48" s="44">
        <v>15252691</v>
      </c>
      <c r="G48" s="46"/>
    </row>
    <row r="49" ht="13" customHeight="1">
      <c r="A49" s="48">
        <v>2003</v>
      </c>
      <c r="B49" s="44">
        <v>73404</v>
      </c>
      <c r="C49" s="44">
        <v>72476</v>
      </c>
      <c r="D49" s="45">
        <f>E49/C49</f>
        <v>33.8573458800155</v>
      </c>
      <c r="E49" s="44">
        <v>2453845</v>
      </c>
      <c r="F49" s="44">
        <v>18015097</v>
      </c>
      <c r="G49" s="46"/>
    </row>
    <row r="50" ht="13" customHeight="1">
      <c r="A50" s="48">
        <v>2004</v>
      </c>
      <c r="B50" s="44">
        <v>75208</v>
      </c>
      <c r="C50" s="44">
        <v>73958</v>
      </c>
      <c r="D50" s="45">
        <f>E50/C50</f>
        <v>42.2373509289056</v>
      </c>
      <c r="E50" s="44">
        <v>3123790</v>
      </c>
      <c r="F50" s="44">
        <v>17895510</v>
      </c>
      <c r="G50" s="46"/>
    </row>
    <row r="51" ht="13" customHeight="1">
      <c r="A51" s="48">
        <v>2005</v>
      </c>
      <c r="B51" s="44">
        <v>72032</v>
      </c>
      <c r="C51" s="44">
        <v>71251</v>
      </c>
      <c r="D51" s="45">
        <f>E51/C51</f>
        <v>43.0638447179689</v>
      </c>
      <c r="E51" s="44">
        <v>3068342</v>
      </c>
      <c r="F51" s="44">
        <v>17297137</v>
      </c>
      <c r="G51" s="46"/>
    </row>
    <row r="52" ht="13" customHeight="1">
      <c r="A52" s="48">
        <v>2006</v>
      </c>
      <c r="B52" s="44">
        <v>75522</v>
      </c>
      <c r="C52" s="44">
        <v>74602</v>
      </c>
      <c r="D52" s="45">
        <f>E52/C52</f>
        <v>42.850406155331</v>
      </c>
      <c r="E52" s="44">
        <v>3196726</v>
      </c>
      <c r="F52" s="44">
        <v>20468267</v>
      </c>
      <c r="G52" s="46"/>
    </row>
    <row r="53" ht="13" customHeight="1">
      <c r="A53" s="48">
        <v>2007</v>
      </c>
      <c r="B53" s="44">
        <v>64741</v>
      </c>
      <c r="C53" s="44">
        <v>64146</v>
      </c>
      <c r="D53" s="45">
        <f>E53/C53</f>
        <v>41.7347457362891</v>
      </c>
      <c r="E53" s="44">
        <v>2677117</v>
      </c>
      <c r="F53" s="44">
        <v>26974406</v>
      </c>
      <c r="G53" s="46"/>
    </row>
    <row r="54" ht="13" customHeight="1">
      <c r="A54" s="48">
        <v>2008</v>
      </c>
      <c r="B54" s="44">
        <v>75718</v>
      </c>
      <c r="C54" s="44">
        <v>74681</v>
      </c>
      <c r="D54" s="45">
        <f>E54/C54</f>
        <v>39.7290743294814</v>
      </c>
      <c r="E54" s="44">
        <v>2967007</v>
      </c>
      <c r="F54" s="44">
        <v>29458225</v>
      </c>
      <c r="G54" s="46"/>
    </row>
    <row r="55" ht="13" customHeight="1">
      <c r="A55" s="48">
        <v>2009</v>
      </c>
      <c r="B55" s="44">
        <v>77451</v>
      </c>
      <c r="C55" s="44">
        <v>76372</v>
      </c>
      <c r="D55" s="45">
        <f>E55/C55</f>
        <v>44.0073718116587</v>
      </c>
      <c r="E55" s="44">
        <v>3360931</v>
      </c>
      <c r="F55" s="44">
        <v>32163204</v>
      </c>
      <c r="G55" s="46"/>
    </row>
    <row r="56" ht="13" customHeight="1">
      <c r="A56" s="48">
        <v>2010</v>
      </c>
      <c r="B56" s="44">
        <v>77404</v>
      </c>
      <c r="C56" s="44">
        <v>76610</v>
      </c>
      <c r="D56" s="45">
        <f>E56/C56</f>
        <v>43.483957707871</v>
      </c>
      <c r="E56" s="44">
        <v>3331306</v>
      </c>
      <c r="F56" s="44">
        <v>37571277</v>
      </c>
      <c r="G56" s="46"/>
    </row>
    <row r="57" ht="13" customHeight="1">
      <c r="A57" s="48">
        <v>2011</v>
      </c>
      <c r="B57" s="44">
        <v>75046</v>
      </c>
      <c r="C57" s="44">
        <v>73776</v>
      </c>
      <c r="D57" s="45">
        <f>E57/C57</f>
        <v>41.9808474300586</v>
      </c>
      <c r="E57" s="44">
        <v>3097179</v>
      </c>
      <c r="F57" s="44">
        <v>38542177</v>
      </c>
      <c r="G57" s="46"/>
    </row>
    <row r="58" ht="13" customHeight="1">
      <c r="A58" s="48">
        <v>2012</v>
      </c>
      <c r="B58" s="44">
        <v>77198</v>
      </c>
      <c r="C58" s="44">
        <v>76144</v>
      </c>
      <c r="D58" s="45">
        <f>E58/C58</f>
        <v>39.9511977306157</v>
      </c>
      <c r="E58" s="44">
        <v>3042044</v>
      </c>
      <c r="F58" s="44">
        <v>43723144</v>
      </c>
      <c r="G58" s="46"/>
    </row>
    <row r="59" ht="13" customHeight="1">
      <c r="A59" s="48">
        <v>2013</v>
      </c>
      <c r="B59" s="44">
        <v>76820</v>
      </c>
      <c r="C59" s="44">
        <v>76233</v>
      </c>
      <c r="D59" s="45">
        <f>E59/C59</f>
        <v>44.0360998517702</v>
      </c>
      <c r="E59" s="44">
        <v>3357004</v>
      </c>
      <c r="F59" s="44">
        <v>43582901</v>
      </c>
      <c r="G59" s="46"/>
    </row>
    <row r="60" ht="13" customHeight="1">
      <c r="A60" s="48">
        <v>2014</v>
      </c>
      <c r="B60" s="44">
        <v>83296</v>
      </c>
      <c r="C60" s="44">
        <v>82611</v>
      </c>
      <c r="D60" s="45">
        <f>E60/C60</f>
        <v>47.5489946859377</v>
      </c>
      <c r="E60" s="44">
        <v>3928070</v>
      </c>
      <c r="F60" s="44">
        <v>39474861</v>
      </c>
      <c r="G60" s="46"/>
    </row>
    <row r="61" ht="13" customHeight="1">
      <c r="A61" s="48">
        <v>2015</v>
      </c>
      <c r="B61" s="44">
        <v>82660</v>
      </c>
      <c r="C61" s="44">
        <v>81742</v>
      </c>
      <c r="D61" s="45">
        <f>E61/C61</f>
        <v>48.0386949181571</v>
      </c>
      <c r="E61" s="44">
        <v>3926779</v>
      </c>
      <c r="F61" s="44">
        <v>35140734</v>
      </c>
      <c r="G61" s="46"/>
    </row>
    <row r="62" ht="13" customHeight="1">
      <c r="A62" s="48">
        <v>2016</v>
      </c>
      <c r="B62" s="44">
        <v>83453</v>
      </c>
      <c r="C62" s="44">
        <v>82706</v>
      </c>
      <c r="D62" s="45">
        <f>E62/C62</f>
        <v>51.9490242545885</v>
      </c>
      <c r="E62" s="44">
        <v>4296496</v>
      </c>
      <c r="F62" s="44">
        <v>40683934</v>
      </c>
      <c r="G62" s="46"/>
    </row>
    <row r="63" ht="13" customHeight="1">
      <c r="A63" s="48">
        <v>2017</v>
      </c>
      <c r="B63" s="44">
        <v>90162</v>
      </c>
      <c r="C63" s="44">
        <v>89542</v>
      </c>
      <c r="D63" s="45">
        <f>E63/C63</f>
        <v>49.2688682406022</v>
      </c>
      <c r="E63" s="44">
        <v>4411633</v>
      </c>
      <c r="F63" s="44">
        <v>40841443</v>
      </c>
      <c r="G63" s="46"/>
    </row>
    <row r="64" ht="13" customHeight="1">
      <c r="A64" s="49">
        <v>2018</v>
      </c>
      <c r="B64" s="50">
        <v>89196</v>
      </c>
      <c r="C64" s="50">
        <v>88110</v>
      </c>
      <c r="D64" s="51">
        <f>E64/C64</f>
        <v>51.5705708773125</v>
      </c>
      <c r="E64" s="50">
        <v>4543883</v>
      </c>
      <c r="F64" s="50">
        <f>E64*8.6</f>
        <v>39077393.8</v>
      </c>
      <c r="G64" s="52"/>
    </row>
    <row r="65" ht="13.15" customHeight="1">
      <c r="A65" t="s" s="32">
        <v>109</v>
      </c>
      <c r="B65" s="25"/>
      <c r="C65" s="25"/>
      <c r="D65" s="25"/>
      <c r="E65" s="25"/>
      <c r="F65" s="25"/>
      <c r="G65" s="25"/>
    </row>
    <row r="66" ht="13" customHeight="1">
      <c r="A66" t="s" s="28">
        <v>110</v>
      </c>
      <c r="B66" s="22"/>
      <c r="C66" s="22"/>
      <c r="D66" s="22"/>
      <c r="E66" s="22"/>
      <c r="F66" s="22"/>
      <c r="G66" s="22"/>
    </row>
    <row r="67" ht="13" customHeight="1">
      <c r="A67" t="s" s="28">
        <v>111</v>
      </c>
      <c r="B67" s="22"/>
      <c r="C67" s="22"/>
      <c r="D67" s="22"/>
      <c r="E67" s="22"/>
      <c r="F67" s="22"/>
      <c r="G67" s="22"/>
    </row>
    <row r="68" ht="13.15" customHeight="1">
      <c r="A68" t="s" s="28">
        <v>112</v>
      </c>
      <c r="B68" s="22"/>
      <c r="C68" s="22"/>
      <c r="D68" s="22"/>
      <c r="E68" s="22"/>
      <c r="F68" s="22"/>
      <c r="G68" s="22"/>
    </row>
    <row r="69" ht="10.15" customHeight="1">
      <c r="A69" t="s" s="53">
        <v>113</v>
      </c>
      <c r="B69" s="22"/>
      <c r="C69" s="22"/>
      <c r="D69" s="22"/>
      <c r="E69" s="22"/>
      <c r="F69" s="22"/>
      <c r="G69" s="22"/>
    </row>
    <row r="70" ht="13" customHeight="1">
      <c r="A70" s="22"/>
      <c r="B70" s="22"/>
      <c r="C70" s="22"/>
      <c r="D70" s="22"/>
      <c r="E70" s="22"/>
      <c r="F70" s="22"/>
      <c r="G70" s="54"/>
    </row>
    <row r="71" ht="13" customHeight="1">
      <c r="A71" s="55"/>
      <c r="B71" s="22"/>
      <c r="C71" s="22"/>
      <c r="D71" s="22"/>
      <c r="E71" s="22"/>
      <c r="F71" s="22"/>
      <c r="G71" s="22"/>
    </row>
  </sheetData>
  <conditionalFormatting sqref="F4:F5">
    <cfRule type="cellIs" dxfId="0" priority="1" operator="lessThan" stopIfTrue="1">
      <formula>0</formula>
    </cfRule>
  </conditionalFormatting>
  <pageMargins left="0.7" right="0.7" top="0.75" bottom="0.75" header="0.3" footer="0.3"/>
  <pageSetup firstPageNumber="1" fitToHeight="1" fitToWidth="1" scale="25" useFirstPageNumber="0" orientation="portrait" pageOrder="downThenOver"/>
  <headerFooter>
    <oddFooter>&amp;C&amp;"Helvetica,Regular"&amp;8&amp;K000000&amp;P
Oil Crops Yearbook/OCS-2018
March 2018
Economic Research Service, USDA</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M50"/>
  <sheetViews>
    <sheetView workbookViewId="0" showGridLines="0" defaultGridColor="1"/>
  </sheetViews>
  <sheetFormatPr defaultColWidth="9" defaultRowHeight="11.25" customHeight="1" outlineLevelRow="0" outlineLevelCol="0"/>
  <cols>
    <col min="1" max="1" width="10.6016" style="56" customWidth="1"/>
    <col min="2" max="5" width="11.6016" style="56" customWidth="1"/>
    <col min="6" max="6" width="2.60156" style="56" customWidth="1"/>
    <col min="7" max="11" width="11.6016" style="56" customWidth="1"/>
    <col min="12" max="12" width="12.8125" style="56" customWidth="1"/>
    <col min="13" max="13" width="9" style="56" customWidth="1"/>
    <col min="14" max="256" width="9" style="56" customWidth="1"/>
  </cols>
  <sheetData>
    <row r="1" ht="13" customHeight="1">
      <c r="A1" t="s" s="37">
        <v>115</v>
      </c>
      <c r="B1" s="21"/>
      <c r="C1" s="21"/>
      <c r="D1" s="21"/>
      <c r="E1" s="21"/>
      <c r="F1" s="21"/>
      <c r="G1" s="21"/>
      <c r="H1" s="21"/>
      <c r="I1" s="21"/>
      <c r="J1" s="21"/>
      <c r="K1" s="21"/>
      <c r="L1" s="21"/>
      <c r="M1" s="22"/>
    </row>
    <row r="2" ht="13" customHeight="1">
      <c r="A2" t="s" s="32">
        <v>116</v>
      </c>
      <c r="B2" s="57"/>
      <c r="C2" t="s" s="58">
        <v>117</v>
      </c>
      <c r="D2" s="57"/>
      <c r="E2" s="57"/>
      <c r="F2" s="25"/>
      <c r="G2" s="57"/>
      <c r="H2" t="s" s="58">
        <v>118</v>
      </c>
      <c r="I2" s="57"/>
      <c r="J2" s="57"/>
      <c r="K2" s="25"/>
      <c r="L2" t="s" s="24">
        <v>119</v>
      </c>
      <c r="M2" s="22"/>
    </row>
    <row r="3" ht="13" customHeight="1">
      <c r="A3" t="s" s="28">
        <v>120</v>
      </c>
      <c r="B3" t="s" s="26">
        <v>121</v>
      </c>
      <c r="C3" s="25"/>
      <c r="D3" s="25"/>
      <c r="E3" s="25"/>
      <c r="F3" s="22"/>
      <c r="G3" s="25"/>
      <c r="H3" s="25"/>
      <c r="I3" t="s" s="26">
        <v>122</v>
      </c>
      <c r="J3" s="25"/>
      <c r="K3" t="s" s="59">
        <v>123</v>
      </c>
      <c r="L3" t="s" s="26">
        <v>124</v>
      </c>
      <c r="M3" s="22"/>
    </row>
    <row r="4" ht="13" customHeight="1">
      <c r="A4" t="s" s="28">
        <v>125</v>
      </c>
      <c r="B4" t="s" s="59">
        <v>126</v>
      </c>
      <c r="C4" t="s" s="59">
        <v>64</v>
      </c>
      <c r="D4" t="s" s="59">
        <v>127</v>
      </c>
      <c r="E4" t="s" s="59">
        <v>128</v>
      </c>
      <c r="F4" s="22"/>
      <c r="G4" t="s" s="59">
        <v>129</v>
      </c>
      <c r="H4" t="s" s="59">
        <v>130</v>
      </c>
      <c r="I4" t="s" s="59">
        <v>131</v>
      </c>
      <c r="J4" t="s" s="59">
        <v>30</v>
      </c>
      <c r="K4" t="s" s="59">
        <v>126</v>
      </c>
      <c r="L4" t="s" s="59">
        <v>132</v>
      </c>
      <c r="M4" s="22"/>
    </row>
    <row r="5" ht="13" customHeight="1">
      <c r="A5" s="21"/>
      <c r="B5" s="21"/>
      <c r="C5" s="21"/>
      <c r="D5" s="21"/>
      <c r="E5" s="21"/>
      <c r="F5" s="21"/>
      <c r="G5" s="38"/>
      <c r="H5" s="38"/>
      <c r="I5" t="s" s="39">
        <v>133</v>
      </c>
      <c r="J5" s="38"/>
      <c r="K5" s="21"/>
      <c r="L5" t="s" s="39">
        <v>134</v>
      </c>
      <c r="M5" s="22"/>
    </row>
    <row r="6" ht="13" customHeight="1">
      <c r="A6" s="25"/>
      <c r="B6" s="25"/>
      <c r="C6" s="27"/>
      <c r="D6" s="27"/>
      <c r="E6" s="27"/>
      <c r="F6" s="27"/>
      <c r="G6" t="s" s="26">
        <v>135</v>
      </c>
      <c r="H6" s="27"/>
      <c r="I6" s="27"/>
      <c r="J6" s="27"/>
      <c r="K6" s="27"/>
      <c r="L6" t="s" s="26">
        <v>136</v>
      </c>
      <c r="M6" s="22"/>
    </row>
    <row r="7" ht="13" customHeight="1">
      <c r="A7" s="22"/>
      <c r="B7" s="42"/>
      <c r="C7" s="42"/>
      <c r="D7" s="42"/>
      <c r="E7" s="42"/>
      <c r="F7" s="42"/>
      <c r="G7" s="42"/>
      <c r="H7" s="42"/>
      <c r="I7" s="42"/>
      <c r="J7" s="42"/>
      <c r="K7" s="42"/>
      <c r="L7" s="42"/>
      <c r="M7" s="22"/>
    </row>
    <row r="8" ht="13" customHeight="1">
      <c r="A8" s="48">
        <v>1980</v>
      </c>
      <c r="B8" s="60">
        <v>358</v>
      </c>
      <c r="C8" s="60">
        <f>'tab02'!E26/1000</f>
        <v>1797.543</v>
      </c>
      <c r="D8" s="60">
        <v>0</v>
      </c>
      <c r="E8" s="60">
        <f>B8+C8+D8</f>
        <v>2155.543</v>
      </c>
      <c r="F8" s="60"/>
      <c r="G8" s="60">
        <v>1020</v>
      </c>
      <c r="H8" s="60">
        <v>724</v>
      </c>
      <c r="I8" s="60">
        <f>J8-G8-H8</f>
        <v>98.536</v>
      </c>
      <c r="J8" s="60">
        <f>E8-K8</f>
        <v>1842.536</v>
      </c>
      <c r="K8" s="60">
        <v>313.007</v>
      </c>
      <c r="L8" s="61">
        <v>7.57</v>
      </c>
      <c r="M8" s="22"/>
    </row>
    <row r="9" ht="13" customHeight="1">
      <c r="A9" s="48">
        <v>1981</v>
      </c>
      <c r="B9" s="60">
        <f>K8</f>
        <v>313.007</v>
      </c>
      <c r="C9" s="60">
        <f>'tab02'!E27/1000</f>
        <v>1989.11</v>
      </c>
      <c r="D9" s="60">
        <v>0</v>
      </c>
      <c r="E9" s="60">
        <f>B9+C9+D9</f>
        <v>2302.117</v>
      </c>
      <c r="F9" s="60"/>
      <c r="G9" s="60">
        <v>1030</v>
      </c>
      <c r="H9" s="60">
        <v>929</v>
      </c>
      <c r="I9" s="60">
        <f>J9-G9-H9</f>
        <v>88.60599999999999</v>
      </c>
      <c r="J9" s="60">
        <f>E9-K9</f>
        <v>2047.606</v>
      </c>
      <c r="K9" s="60">
        <v>254.511</v>
      </c>
      <c r="L9" s="61">
        <v>6.07</v>
      </c>
      <c r="M9" s="60"/>
    </row>
    <row r="10" ht="13" customHeight="1">
      <c r="A10" s="48">
        <v>1982</v>
      </c>
      <c r="B10" s="60">
        <f>K9</f>
        <v>254.511</v>
      </c>
      <c r="C10" s="60">
        <f>'tab02'!E28/1000</f>
        <v>2190.297</v>
      </c>
      <c r="D10" s="60">
        <v>0</v>
      </c>
      <c r="E10" s="60">
        <f>B10+C10+D10</f>
        <v>2444.808</v>
      </c>
      <c r="F10" s="60"/>
      <c r="G10" s="60">
        <v>1108</v>
      </c>
      <c r="H10" s="60">
        <v>905</v>
      </c>
      <c r="I10" s="60">
        <f>J10-G10-H10</f>
        <v>87.17400000000001</v>
      </c>
      <c r="J10" s="60">
        <f>E10-K10</f>
        <v>2100.174</v>
      </c>
      <c r="K10" s="60">
        <v>344.634</v>
      </c>
      <c r="L10" s="61">
        <v>5.71</v>
      </c>
      <c r="M10" s="60"/>
    </row>
    <row r="11" ht="13" customHeight="1">
      <c r="A11" s="48">
        <v>1983</v>
      </c>
      <c r="B11" s="60">
        <f>K10</f>
        <v>344.634</v>
      </c>
      <c r="C11" s="60">
        <f>'tab02'!E29/1000</f>
        <v>1635.772</v>
      </c>
      <c r="D11" s="60">
        <v>0</v>
      </c>
      <c r="E11" s="60">
        <f>B11+C11+D11</f>
        <v>1980.406</v>
      </c>
      <c r="F11" s="60"/>
      <c r="G11" s="60">
        <v>983</v>
      </c>
      <c r="H11" s="60">
        <v>743</v>
      </c>
      <c r="I11" s="60">
        <f>J11-G11-H11</f>
        <v>78.70999999999999</v>
      </c>
      <c r="J11" s="60">
        <f>E11-K11</f>
        <v>1804.71</v>
      </c>
      <c r="K11" s="60">
        <v>175.696</v>
      </c>
      <c r="L11" s="61">
        <v>7.83</v>
      </c>
      <c r="M11" s="60"/>
    </row>
    <row r="12" ht="13" customHeight="1">
      <c r="A12" s="48">
        <v>1984</v>
      </c>
      <c r="B12" s="60">
        <f>K11</f>
        <v>175.696</v>
      </c>
      <c r="C12" s="60">
        <f>'tab02'!E30/1000</f>
        <v>1860.863</v>
      </c>
      <c r="D12" s="60">
        <v>0</v>
      </c>
      <c r="E12" s="60">
        <f>B12+C12+D12</f>
        <v>2036.559</v>
      </c>
      <c r="F12" s="60"/>
      <c r="G12" s="60">
        <v>1030</v>
      </c>
      <c r="H12" s="60">
        <v>598</v>
      </c>
      <c r="I12" s="60">
        <f>J12-G12-H12</f>
        <v>92.502</v>
      </c>
      <c r="J12" s="60">
        <f>E12-K12</f>
        <v>1720.502</v>
      </c>
      <c r="K12" s="60">
        <v>316.057</v>
      </c>
      <c r="L12" s="61">
        <v>5.84</v>
      </c>
      <c r="M12" s="60"/>
    </row>
    <row r="13" ht="13" customHeight="1">
      <c r="A13" s="48">
        <v>1985</v>
      </c>
      <c r="B13" s="60">
        <f>K12</f>
        <v>316.057</v>
      </c>
      <c r="C13" s="60">
        <f>'tab02'!E31/1000</f>
        <v>2099.056</v>
      </c>
      <c r="D13" s="60">
        <v>1</v>
      </c>
      <c r="E13" s="60">
        <f>B13+C13+D13</f>
        <v>2416.113</v>
      </c>
      <c r="F13" s="60"/>
      <c r="G13" s="60">
        <v>1053</v>
      </c>
      <c r="H13" s="60">
        <v>741</v>
      </c>
      <c r="I13" s="60">
        <f>J13-G13-H13</f>
        <v>85.748</v>
      </c>
      <c r="J13" s="60">
        <f>E13-K13</f>
        <v>1879.748</v>
      </c>
      <c r="K13" s="60">
        <v>536.365</v>
      </c>
      <c r="L13" s="61">
        <v>5.05</v>
      </c>
      <c r="M13" s="60"/>
    </row>
    <row r="14" ht="13" customHeight="1">
      <c r="A14" s="48">
        <v>1986</v>
      </c>
      <c r="B14" s="60">
        <f>K13</f>
        <v>536.365</v>
      </c>
      <c r="C14" s="60">
        <f>'tab02'!E32/1000</f>
        <v>1942.558</v>
      </c>
      <c r="D14" s="60">
        <v>0</v>
      </c>
      <c r="E14" s="60">
        <f>B14+C14+D14</f>
        <v>2478.923</v>
      </c>
      <c r="F14" s="60"/>
      <c r="G14" s="60">
        <v>1179</v>
      </c>
      <c r="H14" s="60">
        <v>757</v>
      </c>
      <c r="I14" s="60">
        <f>J14-G14-H14</f>
        <v>106.476</v>
      </c>
      <c r="J14" s="60">
        <f>E14-K14</f>
        <v>2042.476</v>
      </c>
      <c r="K14" s="60">
        <v>436.447</v>
      </c>
      <c r="L14" s="61">
        <v>4.78</v>
      </c>
      <c r="M14" s="60"/>
    </row>
    <row r="15" ht="13" customHeight="1">
      <c r="A15" s="48">
        <v>1987</v>
      </c>
      <c r="B15" s="60">
        <f>K14</f>
        <v>436.447</v>
      </c>
      <c r="C15" s="60">
        <f>'tab02'!E33/1000</f>
        <v>1937.722</v>
      </c>
      <c r="D15" s="60">
        <v>1</v>
      </c>
      <c r="E15" s="60">
        <f>B15+C15+D15</f>
        <v>2375.169</v>
      </c>
      <c r="F15" s="60"/>
      <c r="G15" s="60">
        <v>1174</v>
      </c>
      <c r="H15" s="60">
        <v>804</v>
      </c>
      <c r="I15" s="60">
        <f>J15-G15-H15</f>
        <v>94.693</v>
      </c>
      <c r="J15" s="60">
        <f>E15-K15</f>
        <v>2072.693</v>
      </c>
      <c r="K15" s="60">
        <v>302.476</v>
      </c>
      <c r="L15" s="61">
        <v>5.88</v>
      </c>
      <c r="M15" s="60"/>
    </row>
    <row r="16" ht="13" customHeight="1">
      <c r="A16" s="48">
        <v>1988</v>
      </c>
      <c r="B16" s="60">
        <f>K15</f>
        <v>302.476</v>
      </c>
      <c r="C16" s="60">
        <f>'tab02'!E34/1000</f>
        <v>1548.841</v>
      </c>
      <c r="D16" s="60">
        <v>4</v>
      </c>
      <c r="E16" s="60">
        <f>B16+C16+D16</f>
        <v>1855.317</v>
      </c>
      <c r="F16" s="60"/>
      <c r="G16" s="60">
        <v>1058</v>
      </c>
      <c r="H16" s="60">
        <v>527</v>
      </c>
      <c r="I16" s="60">
        <f>J16-G16-H16</f>
        <v>88.288</v>
      </c>
      <c r="J16" s="60">
        <f>E16-K16</f>
        <v>1673.288</v>
      </c>
      <c r="K16" s="60">
        <v>182.029</v>
      </c>
      <c r="L16" s="61">
        <v>7.42</v>
      </c>
      <c r="M16" s="60"/>
    </row>
    <row r="17" ht="13" customHeight="1">
      <c r="A17" s="48">
        <v>1989</v>
      </c>
      <c r="B17" s="60">
        <f>K16</f>
        <v>182.029</v>
      </c>
      <c r="C17" s="60">
        <f>'tab02'!E35/1000</f>
        <v>1923.666</v>
      </c>
      <c r="D17" s="60">
        <v>1</v>
      </c>
      <c r="E17" s="60">
        <f>B17+C17+D17</f>
        <v>2106.695</v>
      </c>
      <c r="F17" s="60"/>
      <c r="G17" s="60">
        <v>1146</v>
      </c>
      <c r="H17" s="60">
        <v>622</v>
      </c>
      <c r="I17" s="60">
        <f>J17-G17-H17</f>
        <v>99.556</v>
      </c>
      <c r="J17" s="60">
        <f>E17-K17</f>
        <v>1867.556</v>
      </c>
      <c r="K17" s="60">
        <v>239.139</v>
      </c>
      <c r="L17" s="61">
        <v>5.69</v>
      </c>
      <c r="M17" s="60"/>
    </row>
    <row r="18" ht="13" customHeight="1">
      <c r="A18" s="48">
        <v>1990</v>
      </c>
      <c r="B18" s="60">
        <f>K17</f>
        <v>239.139</v>
      </c>
      <c r="C18" s="60">
        <f>'tab02'!E36/1000</f>
        <v>1925.947</v>
      </c>
      <c r="D18" s="60">
        <v>3</v>
      </c>
      <c r="E18" s="60">
        <f>B18+C18+D18</f>
        <v>2168.086</v>
      </c>
      <c r="F18" s="60"/>
      <c r="G18" s="60">
        <v>1187</v>
      </c>
      <c r="H18" s="60">
        <v>557</v>
      </c>
      <c r="I18" s="60">
        <f>J18-G18-H18</f>
        <v>95.044</v>
      </c>
      <c r="J18" s="60">
        <f>E18-K18</f>
        <v>1839.044</v>
      </c>
      <c r="K18" s="60">
        <v>329.042</v>
      </c>
      <c r="L18" s="61">
        <v>5.74</v>
      </c>
      <c r="M18" s="60"/>
    </row>
    <row r="19" ht="13" customHeight="1">
      <c r="A19" s="48">
        <v>1991</v>
      </c>
      <c r="B19" s="60">
        <f>K18</f>
        <v>329.042</v>
      </c>
      <c r="C19" s="60">
        <f>'tab02'!E37/1000</f>
        <v>1986.539</v>
      </c>
      <c r="D19" s="60">
        <v>3</v>
      </c>
      <c r="E19" s="60">
        <f>B19+C19+D19</f>
        <v>2318.581</v>
      </c>
      <c r="F19" s="60"/>
      <c r="G19" s="60">
        <v>1254</v>
      </c>
      <c r="H19" s="60">
        <v>684</v>
      </c>
      <c r="I19" s="60">
        <f>J19-G19-H19</f>
        <v>102.144</v>
      </c>
      <c r="J19" s="60">
        <f>E19-K19</f>
        <v>2040.144</v>
      </c>
      <c r="K19" s="60">
        <v>278.437</v>
      </c>
      <c r="L19" s="61">
        <v>5.58</v>
      </c>
      <c r="M19" s="60"/>
    </row>
    <row r="20" ht="13" customHeight="1">
      <c r="A20" s="48">
        <v>1992</v>
      </c>
      <c r="B20" s="60">
        <f>K19</f>
        <v>278.437</v>
      </c>
      <c r="C20" s="60">
        <f>'tab02'!E38/1000</f>
        <v>2190.354</v>
      </c>
      <c r="D20" s="60">
        <v>2.0567152327932</v>
      </c>
      <c r="E20" s="60">
        <f>B20+C20+D20</f>
        <v>2470.847715232790</v>
      </c>
      <c r="F20" s="60"/>
      <c r="G20" s="60">
        <v>1279</v>
      </c>
      <c r="H20" s="60">
        <v>771</v>
      </c>
      <c r="I20" s="60">
        <f>J20-G20-H20</f>
        <v>128.563715232790</v>
      </c>
      <c r="J20" s="60">
        <f>E20-K20</f>
        <v>2178.563715232790</v>
      </c>
      <c r="K20" s="60">
        <v>292.284</v>
      </c>
      <c r="L20" s="61">
        <v>5.56</v>
      </c>
      <c r="M20" s="60"/>
    </row>
    <row r="21" ht="13" customHeight="1">
      <c r="A21" s="48">
        <v>1993</v>
      </c>
      <c r="B21" s="60">
        <f>K20</f>
        <v>292.284</v>
      </c>
      <c r="C21" s="60">
        <f>'tab02'!E39/1000</f>
        <v>1869.718</v>
      </c>
      <c r="D21" s="60">
        <v>6.4164705762675</v>
      </c>
      <c r="E21" s="60">
        <f>B21+C21+D21</f>
        <v>2168.418470576270</v>
      </c>
      <c r="F21" s="60"/>
      <c r="G21" s="60">
        <v>1276</v>
      </c>
      <c r="H21" s="60">
        <v>588</v>
      </c>
      <c r="I21" s="60">
        <f>J21-G21-H21</f>
        <v>95.30147057627001</v>
      </c>
      <c r="J21" s="60">
        <f>E21-K21</f>
        <v>1959.301470576270</v>
      </c>
      <c r="K21" s="60">
        <v>209.117</v>
      </c>
      <c r="L21" s="61">
        <v>6.4</v>
      </c>
      <c r="M21" s="60"/>
    </row>
    <row r="22" ht="13" customHeight="1">
      <c r="A22" s="48">
        <v>1994</v>
      </c>
      <c r="B22" s="60">
        <f>K21</f>
        <v>209.117</v>
      </c>
      <c r="C22" s="60">
        <f>'tab02'!E40/1000</f>
        <v>2514.869</v>
      </c>
      <c r="D22" s="60">
        <v>5.4799449460455</v>
      </c>
      <c r="E22" s="60">
        <f>B22+C22+D22</f>
        <v>2729.465944946050</v>
      </c>
      <c r="F22" s="60"/>
      <c r="G22" s="60">
        <v>1405</v>
      </c>
      <c r="H22" s="60">
        <v>840</v>
      </c>
      <c r="I22" s="60">
        <f>J22-G22-H22</f>
        <v>149.651944946050</v>
      </c>
      <c r="J22" s="60">
        <f>E22-K22</f>
        <v>2394.651944946050</v>
      </c>
      <c r="K22" s="60">
        <v>334.814</v>
      </c>
      <c r="L22" s="61">
        <v>5.48</v>
      </c>
      <c r="M22" s="60"/>
    </row>
    <row r="23" ht="13" customHeight="1">
      <c r="A23" s="48">
        <v>1995</v>
      </c>
      <c r="B23" s="60">
        <f>K22</f>
        <v>334.814</v>
      </c>
      <c r="C23" s="60">
        <f>'tab02'!E41/1000</f>
        <v>2174.254</v>
      </c>
      <c r="D23" s="60">
        <v>4.4558110914513</v>
      </c>
      <c r="E23" s="60">
        <f>B23+C23+D23</f>
        <v>2513.523811091450</v>
      </c>
      <c r="F23" s="60"/>
      <c r="G23" s="60">
        <v>1370</v>
      </c>
      <c r="H23" s="60">
        <v>849</v>
      </c>
      <c r="I23" s="60">
        <f>J23-G23-H23</f>
        <v>111.065811091450</v>
      </c>
      <c r="J23" s="60">
        <f>E23-K23</f>
        <v>2330.065811091450</v>
      </c>
      <c r="K23" s="60">
        <v>183.458</v>
      </c>
      <c r="L23" s="61">
        <v>6.72</v>
      </c>
      <c r="M23" s="60"/>
    </row>
    <row r="24" ht="13" customHeight="1">
      <c r="A24" s="48">
        <v>1996</v>
      </c>
      <c r="B24" s="60">
        <f>K23</f>
        <v>183.458</v>
      </c>
      <c r="C24" s="60">
        <f>'tab02'!E42/1000</f>
        <v>2380.274</v>
      </c>
      <c r="D24" s="60">
        <v>8.9039324246229</v>
      </c>
      <c r="E24" s="60">
        <f>B24+C24+D24</f>
        <v>2572.635932424620</v>
      </c>
      <c r="F24" s="60"/>
      <c r="G24" s="60">
        <v>1436</v>
      </c>
      <c r="H24" s="60">
        <v>886</v>
      </c>
      <c r="I24" s="60">
        <f>J24-G24-H24</f>
        <v>118.802932424620</v>
      </c>
      <c r="J24" s="60">
        <f>E24-K24</f>
        <v>2440.802932424620</v>
      </c>
      <c r="K24" s="60">
        <v>131.833</v>
      </c>
      <c r="L24" s="61">
        <v>7.35</v>
      </c>
      <c r="M24" s="60"/>
    </row>
    <row r="25" ht="13" customHeight="1">
      <c r="A25" s="48">
        <v>1997</v>
      </c>
      <c r="B25" s="60">
        <f>K24</f>
        <v>131.833</v>
      </c>
      <c r="C25" s="60">
        <f>'tab02'!E43/1000</f>
        <v>2688.75</v>
      </c>
      <c r="D25" s="60">
        <v>5.0059507383774</v>
      </c>
      <c r="E25" s="60">
        <f>B25+C25+D25</f>
        <v>2825.588950738380</v>
      </c>
      <c r="F25" s="60"/>
      <c r="G25" s="60">
        <v>1597</v>
      </c>
      <c r="H25" s="60">
        <v>874</v>
      </c>
      <c r="I25" s="60">
        <f>J25-G25-H25</f>
        <v>154.789950738380</v>
      </c>
      <c r="J25" s="60">
        <f>E25-K25</f>
        <v>2625.789950738380</v>
      </c>
      <c r="K25" s="60">
        <v>199.799</v>
      </c>
      <c r="L25" s="61">
        <v>6.47</v>
      </c>
      <c r="M25" s="60"/>
    </row>
    <row r="26" ht="13" customHeight="1">
      <c r="A26" s="48">
        <v>1998</v>
      </c>
      <c r="B26" s="60">
        <f>K25</f>
        <v>199.799</v>
      </c>
      <c r="C26" s="60">
        <f>'tab02'!E44/1000</f>
        <v>2741.014</v>
      </c>
      <c r="D26" s="60">
        <v>3.5211952517805</v>
      </c>
      <c r="E26" s="60">
        <f>B26+C26+D26</f>
        <v>2944.334195251780</v>
      </c>
      <c r="F26" s="60"/>
      <c r="G26" s="60">
        <v>1590</v>
      </c>
      <c r="H26" s="60">
        <v>805</v>
      </c>
      <c r="I26" s="60">
        <f>J26-G26-H26</f>
        <v>200.852195251780</v>
      </c>
      <c r="J26" s="60">
        <f>E26-K26</f>
        <v>2595.852195251780</v>
      </c>
      <c r="K26" s="60">
        <v>348.482</v>
      </c>
      <c r="L26" s="61">
        <v>4.93</v>
      </c>
      <c r="M26" s="60"/>
    </row>
    <row r="27" ht="13" customHeight="1">
      <c r="A27" s="48">
        <v>1999</v>
      </c>
      <c r="B27" s="60">
        <f>K26</f>
        <v>348.482</v>
      </c>
      <c r="C27" s="60">
        <f>'tab02'!E45/1000</f>
        <v>2653.758</v>
      </c>
      <c r="D27" s="60">
        <v>4.1711473593153</v>
      </c>
      <c r="E27" s="60">
        <f>B27+C27+D27</f>
        <v>3006.411147359320</v>
      </c>
      <c r="F27" s="60"/>
      <c r="G27" s="60">
        <v>1578</v>
      </c>
      <c r="H27" s="60">
        <v>973</v>
      </c>
      <c r="I27" s="60">
        <f>J27-G27-H27</f>
        <v>165.249147359320</v>
      </c>
      <c r="J27" s="60">
        <f>E27-K27</f>
        <v>2716.249147359320</v>
      </c>
      <c r="K27" s="60">
        <f>'tab01'!D8/1000</f>
        <v>290.162</v>
      </c>
      <c r="L27" s="61">
        <v>4.63</v>
      </c>
      <c r="M27" s="60"/>
    </row>
    <row r="28" ht="13" customHeight="1">
      <c r="A28" s="48">
        <v>2000</v>
      </c>
      <c r="B28" s="60">
        <f>K27</f>
        <v>290.162</v>
      </c>
      <c r="C28" s="60">
        <f>'tab02'!E46/1000</f>
        <v>2757.81</v>
      </c>
      <c r="D28" s="60">
        <v>3.5678253219336</v>
      </c>
      <c r="E28" s="60">
        <f>B28+C28+D28</f>
        <v>3051.539825321930</v>
      </c>
      <c r="F28" s="60"/>
      <c r="G28" s="60">
        <f>'tab6'!F12/1000</f>
        <v>1639.67</v>
      </c>
      <c r="H28" s="60">
        <f>'tab6'!G12/1000</f>
        <v>995.8711884534</v>
      </c>
      <c r="I28" s="60">
        <f>J28-G28-H28</f>
        <v>168.251636868530</v>
      </c>
      <c r="J28" s="60">
        <f>E28-K28</f>
        <v>2803.792825321930</v>
      </c>
      <c r="K28" s="60">
        <f>'tab01'!D13/1000</f>
        <v>247.747</v>
      </c>
      <c r="L28" s="61">
        <v>4.54</v>
      </c>
      <c r="M28" s="60"/>
    </row>
    <row r="29" ht="13" customHeight="1">
      <c r="A29" s="48">
        <v>2001</v>
      </c>
      <c r="B29" s="60">
        <f>K28</f>
        <v>247.747</v>
      </c>
      <c r="C29" s="60">
        <f>'tab02'!E47/1000</f>
        <v>2890.682</v>
      </c>
      <c r="D29" s="60">
        <v>2.3197743674595</v>
      </c>
      <c r="E29" s="60">
        <f>B29+C29+D29</f>
        <v>3140.748774367460</v>
      </c>
      <c r="F29" s="60"/>
      <c r="G29" s="60">
        <f>'tab6'!F19/1000</f>
        <v>1699.7408</v>
      </c>
      <c r="H29" s="60">
        <f>'tab6'!G19/1000</f>
        <v>1063.6514467383</v>
      </c>
      <c r="I29" s="60">
        <f>J29-G29-H29</f>
        <v>169.295527629160</v>
      </c>
      <c r="J29" s="60">
        <f>E29-K29</f>
        <v>2932.687774367460</v>
      </c>
      <c r="K29" s="60">
        <f>'tab01'!D18/1000</f>
        <v>208.061</v>
      </c>
      <c r="L29" s="61">
        <v>4.38</v>
      </c>
      <c r="M29" s="60"/>
    </row>
    <row r="30" ht="13" customHeight="1">
      <c r="A30" s="48">
        <v>2002</v>
      </c>
      <c r="B30" s="60">
        <f>K29</f>
        <v>208.061</v>
      </c>
      <c r="C30" s="60">
        <f>'tab02'!E48/1000</f>
        <v>2756.147</v>
      </c>
      <c r="D30" s="60">
        <v>4.6609782486582</v>
      </c>
      <c r="E30" s="60">
        <f>B30+C30+D30</f>
        <v>2968.868978248660</v>
      </c>
      <c r="F30" s="60"/>
      <c r="G30" s="60">
        <f>'tab6'!F26/1000</f>
        <v>1614.787433333330</v>
      </c>
      <c r="H30" s="60">
        <f>'tab6'!G26/1000</f>
        <v>1044.3721008357</v>
      </c>
      <c r="I30" s="60">
        <f>J30-G30-H30</f>
        <v>131.380444079630</v>
      </c>
      <c r="J30" s="60">
        <f>E30-K30</f>
        <v>2790.539978248660</v>
      </c>
      <c r="K30" s="60">
        <f>'tab01'!D23/1000</f>
        <v>178.329</v>
      </c>
      <c r="L30" s="61">
        <v>5.53</v>
      </c>
      <c r="M30" s="60"/>
    </row>
    <row r="31" ht="13" customHeight="1">
      <c r="A31" s="48">
        <v>2003</v>
      </c>
      <c r="B31" s="60">
        <f>K30</f>
        <v>178.329</v>
      </c>
      <c r="C31" s="60">
        <f>'tab02'!E49/1000</f>
        <v>2453.845</v>
      </c>
      <c r="D31" s="60">
        <v>5.5615535121069</v>
      </c>
      <c r="E31" s="60">
        <f>B31+C31+D31</f>
        <v>2637.735553512110</v>
      </c>
      <c r="F31" s="60"/>
      <c r="G31" s="60">
        <f>'tab6'!F33/1000</f>
        <v>1529.698733333330</v>
      </c>
      <c r="H31" s="60">
        <f>'tab6'!G33/1000</f>
        <v>886.5505605956999</v>
      </c>
      <c r="I31" s="60">
        <f>J31-G31-H31</f>
        <v>109.072259583080</v>
      </c>
      <c r="J31" s="60">
        <f>E31-K31</f>
        <v>2525.321553512110</v>
      </c>
      <c r="K31" s="60">
        <f>'tab01'!D28/1000</f>
        <v>112.414</v>
      </c>
      <c r="L31" s="61">
        <v>7.34</v>
      </c>
      <c r="M31" s="60"/>
    </row>
    <row r="32" ht="13" customHeight="1">
      <c r="A32" s="48">
        <v>2004</v>
      </c>
      <c r="B32" s="60">
        <f>K31</f>
        <v>112.414</v>
      </c>
      <c r="C32" s="60">
        <f>'tab02'!E50/1000</f>
        <v>3123.79</v>
      </c>
      <c r="D32" s="60">
        <v>5.5775644691508</v>
      </c>
      <c r="E32" s="60">
        <f>B32+C32+D32</f>
        <v>3241.781564469150</v>
      </c>
      <c r="F32" s="60"/>
      <c r="G32" s="60">
        <f>'tab6'!F40/1000</f>
        <v>1696.081233333330</v>
      </c>
      <c r="H32" s="60">
        <f>'tab6'!G40/1000</f>
        <v>1097.1562998144</v>
      </c>
      <c r="I32" s="60">
        <f>J32-G32-H32</f>
        <v>192.806031321420</v>
      </c>
      <c r="J32" s="60">
        <f>E32-K32</f>
        <v>2986.043564469150</v>
      </c>
      <c r="K32" s="60">
        <f>'tab01'!D33/1000</f>
        <v>255.738</v>
      </c>
      <c r="L32" s="61">
        <v>5.74</v>
      </c>
      <c r="M32" s="60"/>
    </row>
    <row r="33" ht="13" customHeight="1">
      <c r="A33" s="48">
        <v>2005</v>
      </c>
      <c r="B33" s="60">
        <f>K32</f>
        <v>255.738</v>
      </c>
      <c r="C33" s="60">
        <f>'tab02'!E51/1000</f>
        <v>3068.342</v>
      </c>
      <c r="D33" s="60">
        <v>3.3720085912716</v>
      </c>
      <c r="E33" s="60">
        <f>B33+C33+D33</f>
        <v>3327.452008591270</v>
      </c>
      <c r="F33" s="60"/>
      <c r="G33" s="60">
        <f>'tab6'!F47/1000</f>
        <v>1738.851733333330</v>
      </c>
      <c r="H33" s="60">
        <f>'tab6'!G47/1000</f>
        <v>939.8787500529</v>
      </c>
      <c r="I33" s="60">
        <f>J33-G33-H33</f>
        <v>199.395525205040</v>
      </c>
      <c r="J33" s="60">
        <f>E33-K33</f>
        <v>2878.126008591270</v>
      </c>
      <c r="K33" s="60">
        <f>'tab01'!D38/1000</f>
        <v>449.326</v>
      </c>
      <c r="L33" s="61">
        <v>5.66</v>
      </c>
      <c r="M33" s="60"/>
    </row>
    <row r="34" ht="13" customHeight="1">
      <c r="A34" s="48">
        <v>2006</v>
      </c>
      <c r="B34" s="60">
        <f>K33</f>
        <v>449.326</v>
      </c>
      <c r="C34" s="60">
        <f>'tab02'!E52/1000</f>
        <v>3196.726</v>
      </c>
      <c r="D34" s="60">
        <v>9.0337511501685</v>
      </c>
      <c r="E34" s="60">
        <f>B34+C34+D34</f>
        <v>3655.085751150170</v>
      </c>
      <c r="F34" s="60"/>
      <c r="G34" s="60">
        <f>'tab6'!F54/1000</f>
        <v>1807.705642333330</v>
      </c>
      <c r="H34" s="60">
        <f>'tab6'!G54/1000</f>
        <v>1116.4958686413</v>
      </c>
      <c r="I34" s="60">
        <f>J34-G34-H34</f>
        <v>157.074240175540</v>
      </c>
      <c r="J34" s="60">
        <f>E34-K34</f>
        <v>3081.275751150170</v>
      </c>
      <c r="K34" s="60">
        <f>'tab01'!D43/1000</f>
        <v>573.8099999999999</v>
      </c>
      <c r="L34" s="61">
        <v>6.43</v>
      </c>
      <c r="M34" s="60"/>
    </row>
    <row r="35" ht="13" customHeight="1">
      <c r="A35" s="48">
        <v>2007</v>
      </c>
      <c r="B35" s="60">
        <f>K34</f>
        <v>573.8099999999999</v>
      </c>
      <c r="C35" s="60">
        <f>'tab02'!E53/1000</f>
        <v>2677.117</v>
      </c>
      <c r="D35" s="60">
        <v>9.8708029129773</v>
      </c>
      <c r="E35" s="60">
        <f>B35+C35+D35</f>
        <v>3260.797802912980</v>
      </c>
      <c r="F35" s="60"/>
      <c r="G35" s="60">
        <f>'tab6'!F61/1000</f>
        <v>1803.407337666670</v>
      </c>
      <c r="H35" s="60">
        <f>'tab6'!G61/1000</f>
        <v>1158.829057029</v>
      </c>
      <c r="I35" s="60">
        <f>J35-G35-H35</f>
        <v>93.527408217310</v>
      </c>
      <c r="J35" s="60">
        <f>E35-K35</f>
        <v>3055.763802912980</v>
      </c>
      <c r="K35" s="60">
        <f>'tab01'!D48/1000</f>
        <v>205.034</v>
      </c>
      <c r="L35" s="61">
        <v>10.1</v>
      </c>
      <c r="M35" s="60"/>
    </row>
    <row r="36" ht="13" customHeight="1">
      <c r="A36" s="48">
        <v>2008</v>
      </c>
      <c r="B36" s="60">
        <f>K35</f>
        <v>205.034</v>
      </c>
      <c r="C36" s="60">
        <f>'tab02'!E54/1000</f>
        <v>2967.007</v>
      </c>
      <c r="D36" s="60">
        <v>13.2631296312942</v>
      </c>
      <c r="E36" s="60">
        <f>B36+C36+D36</f>
        <v>3185.304129631290</v>
      </c>
      <c r="F36" s="60"/>
      <c r="G36" s="60">
        <f>'tab6'!F68/1000</f>
        <v>1661.922066666670</v>
      </c>
      <c r="H36" s="60">
        <f>'tab6'!G68/1000</f>
        <v>1279.2935714286</v>
      </c>
      <c r="I36" s="60">
        <f>J36-G36-H36</f>
        <v>105.890491536020</v>
      </c>
      <c r="J36" s="60">
        <f>E36-K36</f>
        <v>3047.106129631290</v>
      </c>
      <c r="K36" s="60">
        <f>'tab01'!D53/1000</f>
        <v>138.198</v>
      </c>
      <c r="L36" s="61">
        <v>9.970000000000001</v>
      </c>
      <c r="M36" s="60"/>
    </row>
    <row r="37" ht="13" customHeight="1">
      <c r="A37" s="48">
        <v>2009</v>
      </c>
      <c r="B37" s="60">
        <f>K36</f>
        <v>138.198</v>
      </c>
      <c r="C37" s="60">
        <f>'tab02'!E55/1000</f>
        <v>3360.931</v>
      </c>
      <c r="D37" s="60">
        <v>14.5881068286513</v>
      </c>
      <c r="E37" s="60">
        <f>B37+C37+D37</f>
        <v>3513.717106828650</v>
      </c>
      <c r="F37" s="60"/>
      <c r="G37" s="60">
        <f>'tab6'!F75/1000</f>
        <v>1751.686268333330</v>
      </c>
      <c r="H37" s="60">
        <f>'tab6'!G75/1000</f>
        <v>1499.0481245103</v>
      </c>
      <c r="I37" s="60">
        <f>J37-G37-H37</f>
        <v>112.097713985020</v>
      </c>
      <c r="J37" s="60">
        <f>E37-K37</f>
        <v>3362.832106828650</v>
      </c>
      <c r="K37" s="60">
        <f>'tab01'!D58/1000</f>
        <v>150.885</v>
      </c>
      <c r="L37" s="61">
        <v>9.59</v>
      </c>
      <c r="M37" s="60"/>
    </row>
    <row r="38" ht="13" customHeight="1">
      <c r="A38" s="48">
        <v>2010</v>
      </c>
      <c r="B38" s="60">
        <f>K37</f>
        <v>150.885</v>
      </c>
      <c r="C38" s="60">
        <f>'tab02'!E56/1000</f>
        <v>3331.306</v>
      </c>
      <c r="D38" s="60">
        <v>14.4490964828322</v>
      </c>
      <c r="E38" s="60">
        <f>B38+C38+D38</f>
        <v>3496.640096482830</v>
      </c>
      <c r="F38" s="60"/>
      <c r="G38" s="60">
        <f>'tab6'!F82/1000</f>
        <v>1648.042594666670</v>
      </c>
      <c r="H38" s="60">
        <f>'tab6'!G82/1000</f>
        <v>1504.9776390978</v>
      </c>
      <c r="I38" s="60">
        <f>J38-G38-H38</f>
        <v>128.606862718360</v>
      </c>
      <c r="J38" s="60">
        <f>E38-K38</f>
        <v>3281.627096482830</v>
      </c>
      <c r="K38" s="60">
        <f>'tab01'!D63/1000</f>
        <v>215.013</v>
      </c>
      <c r="L38" s="61">
        <v>11.3</v>
      </c>
      <c r="M38" s="60"/>
    </row>
    <row r="39" ht="13" customHeight="1">
      <c r="A39" s="48">
        <v>2011</v>
      </c>
      <c r="B39" s="60">
        <f>K38</f>
        <v>215.013</v>
      </c>
      <c r="C39" s="60">
        <f>'tab02'!E57/1000</f>
        <v>3097.179</v>
      </c>
      <c r="D39" s="60">
        <v>16.1320017045789</v>
      </c>
      <c r="E39" s="60">
        <f>B39+C39+D39</f>
        <v>3328.324001704580</v>
      </c>
      <c r="F39" s="60"/>
      <c r="G39" s="60">
        <f>'tab6'!F89/1000</f>
        <v>1703.019</v>
      </c>
      <c r="H39" s="60">
        <f>'tab6'!G89/1000</f>
        <v>1365.250981497810</v>
      </c>
      <c r="I39" s="60">
        <f>J39-G39-H39</f>
        <v>90.684020206770</v>
      </c>
      <c r="J39" s="60">
        <f>E39-K39</f>
        <v>3158.954001704580</v>
      </c>
      <c r="K39" s="60">
        <f>'tab01'!D68/1000</f>
        <v>169.37</v>
      </c>
      <c r="L39" s="61">
        <v>12.5</v>
      </c>
      <c r="M39" s="60"/>
    </row>
    <row r="40" ht="13" customHeight="1">
      <c r="A40" s="48">
        <v>2012</v>
      </c>
      <c r="B40" s="60">
        <f>K39</f>
        <v>169.37</v>
      </c>
      <c r="C40" s="60">
        <f>'tab02'!E58/1000</f>
        <v>3042.044</v>
      </c>
      <c r="D40" s="60">
        <v>40.5164411889762</v>
      </c>
      <c r="E40" s="60">
        <f>B40+C40+D40</f>
        <v>3251.930441188980</v>
      </c>
      <c r="F40" s="60"/>
      <c r="G40" s="60">
        <f>'tab6'!F96/1000</f>
        <v>1688.903</v>
      </c>
      <c r="H40" s="60">
        <f>'tab6'!G96/1000</f>
        <v>1327.526</v>
      </c>
      <c r="I40" s="60">
        <f>J40-G40-H40</f>
        <v>94.94444118897999</v>
      </c>
      <c r="J40" s="60">
        <f>E40-K40</f>
        <v>3111.373441188980</v>
      </c>
      <c r="K40" s="60">
        <f>'tab01'!D73/1000</f>
        <v>140.557</v>
      </c>
      <c r="L40" s="61">
        <v>14.4</v>
      </c>
      <c r="M40" s="60"/>
    </row>
    <row r="41" ht="13" customHeight="1">
      <c r="A41" s="48">
        <v>2013</v>
      </c>
      <c r="B41" s="60">
        <f>K40</f>
        <v>140.557</v>
      </c>
      <c r="C41" s="60">
        <f>'tab02'!E59/1000</f>
        <v>3357.004</v>
      </c>
      <c r="D41" s="60">
        <v>71.777046168786</v>
      </c>
      <c r="E41" s="60">
        <f>B41+C41+D41</f>
        <v>3569.338046168790</v>
      </c>
      <c r="F41" s="60"/>
      <c r="G41" s="60">
        <f>'tab6'!F103/1000</f>
        <v>1733.888</v>
      </c>
      <c r="H41" s="60">
        <f>'tab6'!G103/1000</f>
        <v>1638.558939769180</v>
      </c>
      <c r="I41" s="60">
        <f>J41-G41-H41</f>
        <v>104.900106399610</v>
      </c>
      <c r="J41" s="60">
        <f>E41-K41</f>
        <v>3477.347046168790</v>
      </c>
      <c r="K41" s="60">
        <f>'tab01'!D78/1000</f>
        <v>91.991</v>
      </c>
      <c r="L41" s="61">
        <v>13</v>
      </c>
      <c r="M41" s="60"/>
    </row>
    <row r="42" ht="13" customHeight="1">
      <c r="A42" s="48">
        <v>2014</v>
      </c>
      <c r="B42" s="60">
        <f>K41</f>
        <v>91.991</v>
      </c>
      <c r="C42" s="60">
        <f>'tab02'!E60/1000</f>
        <v>3928.07</v>
      </c>
      <c r="D42" s="60">
        <v>33.2246733981372</v>
      </c>
      <c r="E42" s="60">
        <f>B42+C42+D42</f>
        <v>4053.285673398140</v>
      </c>
      <c r="F42" s="60"/>
      <c r="G42" s="60">
        <f>'tab6'!F110/1000</f>
        <v>1873.493785158790</v>
      </c>
      <c r="H42" s="60">
        <f>'tab6'!G110/1000</f>
        <v>1842.422692592890</v>
      </c>
      <c r="I42" s="60">
        <f>J42-G42-H42</f>
        <v>146.759195646460</v>
      </c>
      <c r="J42" s="60">
        <f>E42-K42</f>
        <v>3862.675673398140</v>
      </c>
      <c r="K42" s="60">
        <f>'tab01'!D83/1000</f>
        <v>190.61</v>
      </c>
      <c r="L42" s="61">
        <v>10.1</v>
      </c>
      <c r="M42" s="60"/>
    </row>
    <row r="43" ht="13" customHeight="1">
      <c r="A43" s="48">
        <v>2015</v>
      </c>
      <c r="B43" s="60">
        <f>K42</f>
        <v>190.61</v>
      </c>
      <c r="C43" s="60">
        <f>'tab02'!E61/1000</f>
        <v>3926.779</v>
      </c>
      <c r="D43" s="60">
        <v>23.5406396308524</v>
      </c>
      <c r="E43" s="60">
        <f>B43+C43+D43</f>
        <v>4140.929639630850</v>
      </c>
      <c r="F43" s="60"/>
      <c r="G43" s="60">
        <f>'tab6'!F129/1000</f>
        <v>1886.2368</v>
      </c>
      <c r="H43" s="60">
        <f>'tab6'!G129/1000</f>
        <v>1942.6386441856</v>
      </c>
      <c r="I43" s="60">
        <v>115</v>
      </c>
      <c r="J43" s="60">
        <f>E43-K43</f>
        <v>3944.200639630850</v>
      </c>
      <c r="K43" s="60">
        <f>'tab01'!D88/1000</f>
        <v>196.729</v>
      </c>
      <c r="L43" s="61">
        <v>8.949999999999999</v>
      </c>
      <c r="M43" s="60"/>
    </row>
    <row r="44" ht="13" customHeight="1">
      <c r="A44" s="48">
        <v>2016</v>
      </c>
      <c r="B44" s="60">
        <f>K43</f>
        <v>196.729</v>
      </c>
      <c r="C44" s="60">
        <f>'tab02'!E62/1000</f>
        <v>4296.496</v>
      </c>
      <c r="D44" s="60">
        <v>22.2417765485223</v>
      </c>
      <c r="E44" s="60">
        <f>B44+C44+D44</f>
        <v>4515.466776548520</v>
      </c>
      <c r="F44" s="60"/>
      <c r="G44" s="60">
        <f>'tab6'!F148/1000</f>
        <v>1901.198066666670</v>
      </c>
      <c r="H44" s="60">
        <f>'tab6'!G148/1000</f>
        <v>2166.4169864061</v>
      </c>
      <c r="I44" s="60">
        <v>141</v>
      </c>
      <c r="J44" s="60">
        <f>E44-K44</f>
        <v>4213.466776548520</v>
      </c>
      <c r="K44" s="60">
        <v>302</v>
      </c>
      <c r="L44" s="61">
        <v>9.470000000000001</v>
      </c>
      <c r="M44" s="60"/>
    </row>
    <row r="45" ht="13" customHeight="1">
      <c r="A45" t="s" s="47">
        <v>137</v>
      </c>
      <c r="B45" s="60">
        <f>K44</f>
        <v>302</v>
      </c>
      <c r="C45" s="60">
        <f>'tab02'!E63/1000</f>
        <v>4411.633</v>
      </c>
      <c r="D45" s="60">
        <v>22</v>
      </c>
      <c r="E45" s="60">
        <f>B45+C45+D45</f>
        <v>4735.633</v>
      </c>
      <c r="F45" s="60"/>
      <c r="G45" s="60">
        <v>2055</v>
      </c>
      <c r="H45" s="60">
        <f>'tab6'!G167/1000</f>
        <v>2129.100544496770</v>
      </c>
      <c r="I45" s="60">
        <f>J45-G45-H45</f>
        <v>113.532455503230</v>
      </c>
      <c r="J45" s="60">
        <f>E45-K45</f>
        <v>4297.633</v>
      </c>
      <c r="K45" s="60">
        <v>438</v>
      </c>
      <c r="L45" s="61">
        <v>9.33</v>
      </c>
      <c r="M45" s="60"/>
    </row>
    <row r="46" ht="13" customHeight="1">
      <c r="A46" t="s" s="37">
        <v>138</v>
      </c>
      <c r="B46" s="62">
        <f>K45</f>
        <v>438</v>
      </c>
      <c r="C46" s="62">
        <f>'tab02'!E64/1000</f>
        <v>4543.883</v>
      </c>
      <c r="D46" s="62">
        <v>20</v>
      </c>
      <c r="E46" s="62">
        <f>B46+C46+D46</f>
        <v>5001.883</v>
      </c>
      <c r="F46" s="62"/>
      <c r="G46" s="62">
        <v>2100</v>
      </c>
      <c r="H46" s="62">
        <v>1875</v>
      </c>
      <c r="I46" s="62">
        <f>J46-G46-H46</f>
        <v>126.883</v>
      </c>
      <c r="J46" s="62">
        <f>E46-K46</f>
        <v>4101.883</v>
      </c>
      <c r="K46" s="62">
        <v>900</v>
      </c>
      <c r="L46" t="s" s="39">
        <v>139</v>
      </c>
      <c r="M46" s="60"/>
    </row>
    <row r="47" ht="13.15" customHeight="1">
      <c r="A47" t="s" s="32">
        <v>140</v>
      </c>
      <c r="B47" s="25"/>
      <c r="C47" s="25"/>
      <c r="D47" s="25"/>
      <c r="E47" s="63"/>
      <c r="F47" s="25"/>
      <c r="G47" s="63"/>
      <c r="H47" s="25"/>
      <c r="I47" s="63"/>
      <c r="J47" s="63"/>
      <c r="K47" s="25"/>
      <c r="L47" s="25"/>
      <c r="M47" s="22"/>
    </row>
    <row r="48" ht="13.15" customHeight="1">
      <c r="A48" t="s" s="47">
        <v>141</v>
      </c>
      <c r="B48" s="22"/>
      <c r="C48" s="22"/>
      <c r="D48" s="22"/>
      <c r="E48" s="22"/>
      <c r="F48" s="22"/>
      <c r="G48" s="22"/>
      <c r="H48" s="22"/>
      <c r="I48" s="22"/>
      <c r="J48" s="22"/>
      <c r="K48" s="22"/>
      <c r="L48" s="22"/>
      <c r="M48" s="22"/>
    </row>
    <row r="49" ht="13.15" customHeight="1">
      <c r="A49" t="s" s="47">
        <v>142</v>
      </c>
      <c r="B49" s="22"/>
      <c r="C49" s="22"/>
      <c r="D49" s="22"/>
      <c r="E49" s="22"/>
      <c r="F49" s="22"/>
      <c r="G49" s="22"/>
      <c r="H49" s="22"/>
      <c r="I49" s="22"/>
      <c r="J49" s="22"/>
      <c r="K49" s="22"/>
      <c r="L49" s="22"/>
      <c r="M49" s="22"/>
    </row>
    <row r="50" ht="10.15" customHeight="1">
      <c r="A50" s="22"/>
      <c r="B50" s="22"/>
      <c r="C50" s="22"/>
      <c r="D50" s="22"/>
      <c r="E50" s="22"/>
      <c r="F50" s="22"/>
      <c r="G50" s="22"/>
      <c r="H50" s="22"/>
      <c r="I50" s="22"/>
      <c r="J50" s="22"/>
      <c r="K50" s="54"/>
      <c r="L50" t="s" s="33">
        <v>57</v>
      </c>
      <c r="M50" s="22"/>
    </row>
  </sheetData>
  <pageMargins left="0.7" right="0.7" top="0.75" bottom="0.75" header="0.3" footer="0.3"/>
  <pageSetup firstPageNumber="1" fitToHeight="1" fitToWidth="1" scale="86" useFirstPageNumber="0" orientation="portrait" pageOrder="downThenOver"/>
  <headerFooter>
    <oddFooter>&amp;C&amp;"Helvetica,Regular"&amp;8&amp;K000000&amp;P
Oil Crops Yearbook/OCS-2018
March 2018
Economic Research Service, USDA</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M50"/>
  <sheetViews>
    <sheetView workbookViewId="0" showGridLines="0" defaultGridColor="1"/>
  </sheetViews>
  <sheetFormatPr defaultColWidth="9" defaultRowHeight="11.25" customHeight="1" outlineLevelRow="0" outlineLevelCol="0"/>
  <cols>
    <col min="1" max="1" width="10.4219" style="64" customWidth="1"/>
    <col min="2" max="5" width="13.6016" style="64" customWidth="1"/>
    <col min="6" max="6" width="1.60156" style="64" customWidth="1"/>
    <col min="7" max="11" width="13.6016" style="64" customWidth="1"/>
    <col min="12" max="12" width="9" style="64" customWidth="1"/>
    <col min="13" max="13" width="21" style="64" customWidth="1"/>
    <col min="14" max="256" width="9" style="64" customWidth="1"/>
  </cols>
  <sheetData>
    <row r="1" ht="13" customHeight="1">
      <c r="A1" t="s" s="37">
        <v>144</v>
      </c>
      <c r="B1" s="21"/>
      <c r="C1" s="21"/>
      <c r="D1" s="21"/>
      <c r="E1" s="21"/>
      <c r="F1" s="21"/>
      <c r="G1" s="21"/>
      <c r="H1" s="21"/>
      <c r="I1" s="21"/>
      <c r="J1" s="21"/>
      <c r="K1" s="21"/>
      <c r="L1" s="22"/>
      <c r="M1" s="22"/>
    </row>
    <row r="2" ht="13" customHeight="1">
      <c r="A2" t="s" s="32">
        <v>145</v>
      </c>
      <c r="B2" s="57"/>
      <c r="C2" t="s" s="58">
        <v>117</v>
      </c>
      <c r="D2" s="57"/>
      <c r="E2" s="57"/>
      <c r="F2" s="25"/>
      <c r="G2" s="57"/>
      <c r="H2" t="s" s="24">
        <v>118</v>
      </c>
      <c r="I2" s="57"/>
      <c r="J2" s="25"/>
      <c r="K2" t="s" s="24">
        <v>119</v>
      </c>
      <c r="L2" s="22"/>
      <c r="M2" s="22"/>
    </row>
    <row r="3" ht="13" customHeight="1">
      <c r="A3" t="s" s="28">
        <v>120</v>
      </c>
      <c r="B3" t="s" s="26">
        <v>121</v>
      </c>
      <c r="C3" s="25"/>
      <c r="D3" s="25"/>
      <c r="E3" s="25"/>
      <c r="F3" s="22"/>
      <c r="G3" s="25"/>
      <c r="H3" s="25"/>
      <c r="I3" s="25"/>
      <c r="J3" t="s" s="59">
        <v>123</v>
      </c>
      <c r="K3" t="s" s="26">
        <v>146</v>
      </c>
      <c r="L3" s="22"/>
      <c r="M3" s="22"/>
    </row>
    <row r="4" ht="13" customHeight="1">
      <c r="A4" t="s" s="28">
        <v>147</v>
      </c>
      <c r="B4" t="s" s="59">
        <v>148</v>
      </c>
      <c r="C4" t="s" s="59">
        <v>149</v>
      </c>
      <c r="D4" t="s" s="59">
        <v>127</v>
      </c>
      <c r="E4" t="s" s="59">
        <v>30</v>
      </c>
      <c r="F4" s="22"/>
      <c r="G4" t="s" s="59">
        <v>150</v>
      </c>
      <c r="H4" t="s" s="59">
        <v>130</v>
      </c>
      <c r="I4" t="s" s="47">
        <v>30</v>
      </c>
      <c r="J4" t="s" s="59">
        <v>148</v>
      </c>
      <c r="K4" t="s" s="59">
        <v>151</v>
      </c>
      <c r="L4" s="22"/>
      <c r="M4" s="22"/>
    </row>
    <row r="5" ht="13" customHeight="1">
      <c r="A5" s="21"/>
      <c r="B5" s="21"/>
      <c r="C5" s="21"/>
      <c r="D5" s="21"/>
      <c r="E5" s="21"/>
      <c r="F5" s="21"/>
      <c r="G5" s="21"/>
      <c r="H5" s="21"/>
      <c r="I5" s="21"/>
      <c r="J5" s="21"/>
      <c r="K5" t="s" s="39">
        <v>152</v>
      </c>
      <c r="L5" s="22"/>
      <c r="M5" s="22"/>
    </row>
    <row r="6" ht="13" customHeight="1">
      <c r="A6" s="25"/>
      <c r="B6" s="25"/>
      <c r="C6" s="27"/>
      <c r="D6" s="27"/>
      <c r="E6" t="s" s="40">
        <v>153</v>
      </c>
      <c r="F6" s="27"/>
      <c r="G6" s="27"/>
      <c r="H6" s="27"/>
      <c r="I6" s="27"/>
      <c r="J6" s="27"/>
      <c r="K6" t="s" s="26">
        <v>154</v>
      </c>
      <c r="L6" s="22"/>
      <c r="M6" s="22"/>
    </row>
    <row r="7" ht="13" customHeight="1">
      <c r="A7" s="22"/>
      <c r="B7" s="42"/>
      <c r="C7" s="42"/>
      <c r="D7" s="42"/>
      <c r="E7" s="42"/>
      <c r="F7" s="42"/>
      <c r="G7" s="42"/>
      <c r="H7" s="42"/>
      <c r="I7" s="42"/>
      <c r="J7" s="42"/>
      <c r="K7" s="42"/>
      <c r="L7" s="22"/>
      <c r="M7" s="22"/>
    </row>
    <row r="8" ht="13" customHeight="1">
      <c r="A8" s="48">
        <v>1980</v>
      </c>
      <c r="B8" s="60">
        <v>226</v>
      </c>
      <c r="C8" s="60">
        <v>24312</v>
      </c>
      <c r="D8" s="60">
        <v>0</v>
      </c>
      <c r="E8" s="60">
        <f>B8+C8+D8</f>
        <v>24538</v>
      </c>
      <c r="F8" s="60"/>
      <c r="G8" s="60">
        <f>I8-H8</f>
        <v>17591</v>
      </c>
      <c r="H8" s="60">
        <v>6784</v>
      </c>
      <c r="I8" s="60">
        <f>E8-J8</f>
        <v>24375</v>
      </c>
      <c r="J8" s="60">
        <v>163</v>
      </c>
      <c r="K8" s="61">
        <v>235.13</v>
      </c>
      <c r="L8" s="65"/>
      <c r="M8" s="65"/>
    </row>
    <row r="9" ht="13" customHeight="1">
      <c r="A9" s="48">
        <v>1981</v>
      </c>
      <c r="B9" s="60">
        <f>J8</f>
        <v>163</v>
      </c>
      <c r="C9" s="60">
        <v>24634</v>
      </c>
      <c r="D9" s="60">
        <v>0</v>
      </c>
      <c r="E9" s="60">
        <f>B9+C9+D9</f>
        <v>24797</v>
      </c>
      <c r="F9" s="60"/>
      <c r="G9" s="60">
        <f>I9-H9</f>
        <v>17714</v>
      </c>
      <c r="H9" s="60">
        <v>6908</v>
      </c>
      <c r="I9" s="60">
        <f>E9-J9</f>
        <v>24622</v>
      </c>
      <c r="J9" s="60">
        <v>175</v>
      </c>
      <c r="K9" s="61">
        <v>196.62</v>
      </c>
      <c r="L9" s="65"/>
      <c r="M9" s="65"/>
    </row>
    <row r="10" ht="13" customHeight="1">
      <c r="A10" s="48">
        <v>1982</v>
      </c>
      <c r="B10" s="60">
        <f>J9</f>
        <v>175</v>
      </c>
      <c r="C10" s="60">
        <v>26714</v>
      </c>
      <c r="D10" s="60">
        <v>0</v>
      </c>
      <c r="E10" s="60">
        <f>B10+C10+D10</f>
        <v>26889</v>
      </c>
      <c r="F10" s="60"/>
      <c r="G10" s="60">
        <f>I10-H10</f>
        <v>19306</v>
      </c>
      <c r="H10" s="60">
        <v>7109</v>
      </c>
      <c r="I10" s="60">
        <f>E10-J10</f>
        <v>26415</v>
      </c>
      <c r="J10" s="60">
        <v>474</v>
      </c>
      <c r="K10" s="61">
        <v>200.94</v>
      </c>
      <c r="L10" s="65"/>
      <c r="M10" s="65"/>
    </row>
    <row r="11" ht="13" customHeight="1">
      <c r="A11" s="48">
        <v>1983</v>
      </c>
      <c r="B11" s="60">
        <f>J10</f>
        <v>474</v>
      </c>
      <c r="C11" s="60">
        <v>22756</v>
      </c>
      <c r="D11" s="60">
        <v>0</v>
      </c>
      <c r="E11" s="60">
        <f>B11+C11+D11</f>
        <v>23230</v>
      </c>
      <c r="F11" s="60"/>
      <c r="G11" s="60">
        <f>I11-H11</f>
        <v>17615</v>
      </c>
      <c r="H11" s="60">
        <v>5360</v>
      </c>
      <c r="I11" s="60">
        <f>E11-J11</f>
        <v>22975</v>
      </c>
      <c r="J11" s="60">
        <v>255</v>
      </c>
      <c r="K11" s="61">
        <v>203.21</v>
      </c>
      <c r="L11" s="65"/>
      <c r="M11" s="65"/>
    </row>
    <row r="12" ht="13" customHeight="1">
      <c r="A12" s="48">
        <v>1984</v>
      </c>
      <c r="B12" s="60">
        <f>J11</f>
        <v>255</v>
      </c>
      <c r="C12" s="60">
        <v>24529</v>
      </c>
      <c r="D12" s="60">
        <v>0</v>
      </c>
      <c r="E12" s="60">
        <f>B12+C12+D12</f>
        <v>24784</v>
      </c>
      <c r="F12" s="60"/>
      <c r="G12" s="60">
        <f>I12-H12</f>
        <v>19518</v>
      </c>
      <c r="H12" s="60">
        <v>4879</v>
      </c>
      <c r="I12" s="60">
        <f>E12-J12</f>
        <v>24397</v>
      </c>
      <c r="J12" s="60">
        <v>387</v>
      </c>
      <c r="K12" s="61">
        <v>136.4</v>
      </c>
      <c r="L12" s="65"/>
      <c r="M12" s="65"/>
    </row>
    <row r="13" ht="13" customHeight="1">
      <c r="A13" s="48">
        <v>1985</v>
      </c>
      <c r="B13" s="60">
        <f>J12</f>
        <v>387</v>
      </c>
      <c r="C13" s="60">
        <v>24951</v>
      </c>
      <c r="D13" s="60">
        <v>0</v>
      </c>
      <c r="E13" s="60">
        <f>B13+C13+D13</f>
        <v>25338</v>
      </c>
      <c r="F13" s="60"/>
      <c r="G13" s="60">
        <f>I13-H13</f>
        <v>19090</v>
      </c>
      <c r="H13" s="60">
        <v>6036</v>
      </c>
      <c r="I13" s="60">
        <f>E13-J13</f>
        <v>25126</v>
      </c>
      <c r="J13" s="60">
        <v>212</v>
      </c>
      <c r="K13" s="61">
        <v>166.2</v>
      </c>
      <c r="L13" s="65"/>
      <c r="M13" s="65"/>
    </row>
    <row r="14" ht="13" customHeight="1">
      <c r="A14" s="48">
        <v>1986</v>
      </c>
      <c r="B14" s="60">
        <f>J13</f>
        <v>212</v>
      </c>
      <c r="C14" s="60">
        <v>27758</v>
      </c>
      <c r="D14" s="60">
        <v>0</v>
      </c>
      <c r="E14" s="60">
        <f>B14+C14+D14</f>
        <v>27970</v>
      </c>
      <c r="F14" s="60"/>
      <c r="G14" s="60">
        <f>I14-H14</f>
        <v>20435</v>
      </c>
      <c r="H14" s="60">
        <v>7295</v>
      </c>
      <c r="I14" s="60">
        <f>E14-J14</f>
        <v>27730</v>
      </c>
      <c r="J14" s="60">
        <v>240</v>
      </c>
      <c r="K14" s="61">
        <v>177.31</v>
      </c>
      <c r="L14" s="65"/>
      <c r="M14" s="65"/>
    </row>
    <row r="15" ht="13" customHeight="1">
      <c r="A15" s="48">
        <v>1987</v>
      </c>
      <c r="B15" s="60">
        <f>J14</f>
        <v>240</v>
      </c>
      <c r="C15" s="60">
        <v>28060</v>
      </c>
      <c r="D15" s="60">
        <v>0</v>
      </c>
      <c r="E15" s="60">
        <f>B15+C15+D15</f>
        <v>28300</v>
      </c>
      <c r="F15" s="60"/>
      <c r="G15" s="60">
        <f>I15-H15</f>
        <v>21323</v>
      </c>
      <c r="H15" s="60">
        <v>6824</v>
      </c>
      <c r="I15" s="60">
        <f>E15-J15</f>
        <v>28147</v>
      </c>
      <c r="J15" s="60">
        <v>153</v>
      </c>
      <c r="K15" s="61">
        <v>239.35</v>
      </c>
      <c r="L15" s="65"/>
      <c r="M15" s="65"/>
    </row>
    <row r="16" ht="13" customHeight="1">
      <c r="A16" s="48">
        <v>1988</v>
      </c>
      <c r="B16" s="60">
        <f>J15</f>
        <v>153</v>
      </c>
      <c r="C16" s="60">
        <v>24943</v>
      </c>
      <c r="D16" s="60">
        <v>17</v>
      </c>
      <c r="E16" s="60">
        <f>B16+C16+D16</f>
        <v>25113</v>
      </c>
      <c r="F16" s="60"/>
      <c r="G16" s="60">
        <f>I16-H16</f>
        <v>19497</v>
      </c>
      <c r="H16" s="60">
        <v>5443</v>
      </c>
      <c r="I16" s="60">
        <f>E16-J16</f>
        <v>24940</v>
      </c>
      <c r="J16" s="60">
        <v>173</v>
      </c>
      <c r="K16" s="61">
        <v>252.4</v>
      </c>
      <c r="L16" s="65"/>
      <c r="M16" s="65"/>
    </row>
    <row r="17" ht="13" customHeight="1">
      <c r="A17" s="48">
        <v>1989</v>
      </c>
      <c r="B17" s="60">
        <f>J16</f>
        <v>173</v>
      </c>
      <c r="C17" s="60">
        <v>27718.7</v>
      </c>
      <c r="D17" s="60">
        <v>36.779331835638</v>
      </c>
      <c r="E17" s="60">
        <f>B17+C17+D17</f>
        <v>27928.4793318356</v>
      </c>
      <c r="F17" s="60"/>
      <c r="G17" s="60">
        <f>I17-H17</f>
        <v>22193.7083559224</v>
      </c>
      <c r="H17" s="60">
        <v>5416.4709759132</v>
      </c>
      <c r="I17" s="60">
        <f>E17-J17</f>
        <v>27610.1793318356</v>
      </c>
      <c r="J17" s="60">
        <v>318.3</v>
      </c>
      <c r="K17" s="61">
        <v>186.48</v>
      </c>
      <c r="L17" s="65"/>
      <c r="M17" s="65"/>
    </row>
    <row r="18" ht="13" customHeight="1">
      <c r="A18" s="48">
        <v>1990</v>
      </c>
      <c r="B18" s="60">
        <f>J17</f>
        <v>318.3</v>
      </c>
      <c r="C18" s="60">
        <v>28325.2</v>
      </c>
      <c r="D18" s="60">
        <v>49.638329783028</v>
      </c>
      <c r="E18" s="60">
        <f>B18+C18+D18</f>
        <v>28693.138329783</v>
      </c>
      <c r="F18" s="60"/>
      <c r="G18" s="60">
        <f>I18-H18</f>
        <v>22775.0317162752</v>
      </c>
      <c r="H18" s="60">
        <v>5633.1066135078</v>
      </c>
      <c r="I18" s="60">
        <f>E18-J18</f>
        <v>28408.138329783</v>
      </c>
      <c r="J18" s="60">
        <v>285</v>
      </c>
      <c r="K18" s="61">
        <v>181.38</v>
      </c>
      <c r="L18" s="65"/>
      <c r="M18" s="65"/>
    </row>
    <row r="19" ht="13" customHeight="1">
      <c r="A19" s="48">
        <v>1991</v>
      </c>
      <c r="B19" s="60">
        <f>J18</f>
        <v>285</v>
      </c>
      <c r="C19" s="60">
        <v>29830.8</v>
      </c>
      <c r="D19" s="60">
        <v>68.86140564857401</v>
      </c>
      <c r="E19" s="60">
        <f>B19+C19+D19</f>
        <v>30184.6614056486</v>
      </c>
      <c r="F19" s="60"/>
      <c r="G19" s="60">
        <f>I19-H19</f>
        <v>22853.5351423014</v>
      </c>
      <c r="H19" s="60">
        <v>7101.1262633472</v>
      </c>
      <c r="I19" s="60">
        <f>E19-J19</f>
        <v>29954.6614056486</v>
      </c>
      <c r="J19" s="60">
        <v>230</v>
      </c>
      <c r="K19" s="61">
        <v>189.21</v>
      </c>
      <c r="L19" s="65"/>
      <c r="M19" s="65"/>
    </row>
    <row r="20" ht="13" customHeight="1">
      <c r="A20" s="48">
        <v>1992</v>
      </c>
      <c r="B20" s="60">
        <f>J19</f>
        <v>230</v>
      </c>
      <c r="C20" s="60">
        <v>30364.194</v>
      </c>
      <c r="D20" s="60">
        <v>94.648846034043</v>
      </c>
      <c r="E20" s="60">
        <f>B20+C20+D20</f>
        <v>30688.842846034</v>
      </c>
      <c r="F20" s="60"/>
      <c r="G20" s="60">
        <f>I20-H20</f>
        <v>24086.2110717347</v>
      </c>
      <c r="H20" s="60">
        <v>6398.1947742993</v>
      </c>
      <c r="I20" s="60">
        <f>E20-J20</f>
        <v>30484.405846034</v>
      </c>
      <c r="J20" s="60">
        <v>204.437</v>
      </c>
      <c r="K20" s="61">
        <v>193.75</v>
      </c>
      <c r="L20" s="65"/>
      <c r="M20" s="65"/>
    </row>
    <row r="21" ht="13" customHeight="1">
      <c r="A21" s="48">
        <v>1993</v>
      </c>
      <c r="B21" s="60">
        <f>J20</f>
        <v>204.437</v>
      </c>
      <c r="C21" s="60">
        <v>30514.129</v>
      </c>
      <c r="D21" s="60">
        <v>74.635889379849</v>
      </c>
      <c r="E21" s="60">
        <f>B21+C21+D21</f>
        <v>30793.2018893798</v>
      </c>
      <c r="F21" s="60"/>
      <c r="G21" s="60">
        <f>I21-H21</f>
        <v>25162.6500196298</v>
      </c>
      <c r="H21" s="60">
        <v>5480.96586975</v>
      </c>
      <c r="I21" s="60">
        <f>E21-J21</f>
        <v>30643.6158893798</v>
      </c>
      <c r="J21" s="60">
        <v>149.586</v>
      </c>
      <c r="K21" s="61">
        <v>192.86</v>
      </c>
      <c r="L21" s="65"/>
      <c r="M21" s="65"/>
    </row>
    <row r="22" ht="13" customHeight="1">
      <c r="A22" s="48">
        <v>1994</v>
      </c>
      <c r="B22" s="60">
        <f>J21</f>
        <v>149.586</v>
      </c>
      <c r="C22" s="60">
        <v>33269.41</v>
      </c>
      <c r="D22" s="60">
        <v>70.648626565314</v>
      </c>
      <c r="E22" s="60">
        <f>B22+C22+D22</f>
        <v>33489.6446265653</v>
      </c>
      <c r="F22" s="60"/>
      <c r="G22" s="60">
        <f>I22-H22</f>
        <v>26426.9307300033</v>
      </c>
      <c r="H22" s="60">
        <v>6839.334896562</v>
      </c>
      <c r="I22" s="60">
        <f>E22-J22</f>
        <v>33266.2656265653</v>
      </c>
      <c r="J22" s="60">
        <v>223.379</v>
      </c>
      <c r="K22" s="61">
        <v>162.6</v>
      </c>
      <c r="L22" s="65"/>
      <c r="M22" s="65"/>
    </row>
    <row r="23" ht="13" customHeight="1">
      <c r="A23" s="48">
        <v>1995</v>
      </c>
      <c r="B23" s="60">
        <f>J22</f>
        <v>223.379</v>
      </c>
      <c r="C23" s="60">
        <v>32527.04</v>
      </c>
      <c r="D23" s="60">
        <v>99.704516069151</v>
      </c>
      <c r="E23" s="60">
        <f>B23+C23+D23</f>
        <v>32850.1235160692</v>
      </c>
      <c r="F23" s="60"/>
      <c r="G23" s="60">
        <f>I23-H23</f>
        <v>26548.7488736583</v>
      </c>
      <c r="H23" s="60">
        <v>6088.9696424109</v>
      </c>
      <c r="I23" s="60">
        <f>E23-J23</f>
        <v>32637.7185160692</v>
      </c>
      <c r="J23" s="60">
        <v>212.405</v>
      </c>
      <c r="K23" s="61">
        <v>235.9</v>
      </c>
      <c r="L23" s="65"/>
      <c r="M23" s="65"/>
    </row>
    <row r="24" ht="13" customHeight="1">
      <c r="A24" s="48">
        <v>1996</v>
      </c>
      <c r="B24" s="60">
        <f>J23</f>
        <v>212.405</v>
      </c>
      <c r="C24" s="60">
        <v>34211.215</v>
      </c>
      <c r="D24" s="60">
        <v>119.205652089069</v>
      </c>
      <c r="E24" s="60">
        <f>B24+C24+D24</f>
        <v>34542.8256520891</v>
      </c>
      <c r="F24" s="60"/>
      <c r="G24" s="60">
        <f>I24-H24</f>
        <v>27222.0943935738</v>
      </c>
      <c r="H24" s="60">
        <v>7111.2312585153</v>
      </c>
      <c r="I24" s="60">
        <f>E24-J24</f>
        <v>34333.3256520891</v>
      </c>
      <c r="J24" s="60">
        <v>209.5</v>
      </c>
      <c r="K24" s="61">
        <v>270.9</v>
      </c>
      <c r="L24" s="65"/>
      <c r="M24" s="65"/>
    </row>
    <row r="25" ht="13" customHeight="1">
      <c r="A25" s="48">
        <v>1997</v>
      </c>
      <c r="B25" s="60">
        <f>J24</f>
        <v>209.5</v>
      </c>
      <c r="C25" s="60">
        <v>38176.416</v>
      </c>
      <c r="D25" s="60">
        <v>66.18141864368999</v>
      </c>
      <c r="E25" s="60">
        <f>B25+C25+D25</f>
        <v>38452.0974186437</v>
      </c>
      <c r="F25" s="60"/>
      <c r="G25" s="60">
        <f>I25-H25</f>
        <v>28619.3576236178</v>
      </c>
      <c r="H25" s="60">
        <v>9614.672795025899</v>
      </c>
      <c r="I25" s="60">
        <f>E25-J25</f>
        <v>38234.0304186437</v>
      </c>
      <c r="J25" s="60">
        <v>218.067</v>
      </c>
      <c r="K25" s="61">
        <v>185.3</v>
      </c>
      <c r="L25" s="65"/>
      <c r="M25" s="65"/>
    </row>
    <row r="26" ht="13" customHeight="1">
      <c r="A26" s="48">
        <v>1998</v>
      </c>
      <c r="B26" s="60">
        <f>J25</f>
        <v>218.067</v>
      </c>
      <c r="C26" s="60">
        <v>37796.553</v>
      </c>
      <c r="D26" s="60">
        <v>111.731033316987</v>
      </c>
      <c r="E26" s="60">
        <f>B26+C26+D26</f>
        <v>38126.351033317</v>
      </c>
      <c r="F26" s="60"/>
      <c r="G26" s="60">
        <f>I26-H26</f>
        <v>30102.7435099439</v>
      </c>
      <c r="H26" s="60">
        <v>7693.3835233731</v>
      </c>
      <c r="I26" s="60">
        <f>E26-J26</f>
        <v>37796.127033317</v>
      </c>
      <c r="J26" s="60">
        <v>330.224</v>
      </c>
      <c r="K26" s="61">
        <v>138.55</v>
      </c>
      <c r="L26" s="65"/>
      <c r="M26" s="65"/>
    </row>
    <row r="27" ht="13" customHeight="1">
      <c r="A27" s="48">
        <v>1999</v>
      </c>
      <c r="B27" s="60">
        <f>J26</f>
        <v>330.224</v>
      </c>
      <c r="C27" s="60">
        <v>37591.153</v>
      </c>
      <c r="D27" s="60">
        <v>71.143200441684</v>
      </c>
      <c r="E27" s="60">
        <f>B27+C27+D27</f>
        <v>37992.5202004417</v>
      </c>
      <c r="F27" s="60"/>
      <c r="G27" s="60">
        <f>I27-H27</f>
        <v>30080.3581954302</v>
      </c>
      <c r="H27" s="60">
        <v>7619.2800050115</v>
      </c>
      <c r="I27" s="60">
        <f>E27-J27</f>
        <v>37699.6382004417</v>
      </c>
      <c r="J27" s="60">
        <v>292.882</v>
      </c>
      <c r="K27" s="61">
        <v>167.7</v>
      </c>
      <c r="L27" s="65"/>
      <c r="M27" s="65"/>
    </row>
    <row r="28" ht="13" customHeight="1">
      <c r="A28" s="48">
        <v>2000</v>
      </c>
      <c r="B28" s="60">
        <f>J27</f>
        <v>292.882</v>
      </c>
      <c r="C28" s="60">
        <v>39385.067</v>
      </c>
      <c r="D28" s="60">
        <v>54.861085914894</v>
      </c>
      <c r="E28" s="60">
        <f>B28+C28+D28</f>
        <v>39732.8100859149</v>
      </c>
      <c r="F28" s="60"/>
      <c r="G28" s="60">
        <f>I28-H28</f>
        <v>31264.4905896628</v>
      </c>
      <c r="H28" s="60">
        <v>8085.0224962521</v>
      </c>
      <c r="I28" s="60">
        <f>E28-J28</f>
        <v>39349.5130859149</v>
      </c>
      <c r="J28" s="60">
        <v>383.297</v>
      </c>
      <c r="K28" s="61">
        <v>173.61</v>
      </c>
      <c r="L28" s="65"/>
      <c r="M28" s="65"/>
    </row>
    <row r="29" ht="13" customHeight="1">
      <c r="A29" s="48">
        <v>2001</v>
      </c>
      <c r="B29" s="60">
        <f>J28</f>
        <v>383.297</v>
      </c>
      <c r="C29" s="60">
        <v>40291.832</v>
      </c>
      <c r="D29" s="60">
        <v>147.588261057216</v>
      </c>
      <c r="E29" s="60">
        <f>B29+C29+D29</f>
        <v>40822.7172610572</v>
      </c>
      <c r="F29" s="60"/>
      <c r="G29" s="60">
        <f>I29-H29</f>
        <v>32567.4381956178</v>
      </c>
      <c r="H29" s="60">
        <v>8015.3060654394</v>
      </c>
      <c r="I29" s="60">
        <f>E29-J29</f>
        <v>40582.7442610572</v>
      </c>
      <c r="J29" s="60">
        <v>239.973</v>
      </c>
      <c r="K29" s="61">
        <v>167.72</v>
      </c>
      <c r="L29" s="65"/>
      <c r="M29" s="65"/>
    </row>
    <row r="30" ht="13" customHeight="1">
      <c r="A30" s="48">
        <v>2002</v>
      </c>
      <c r="B30" s="60">
        <f>J29</f>
        <v>239.973</v>
      </c>
      <c r="C30" s="60">
        <v>38194.364</v>
      </c>
      <c r="D30" s="60">
        <v>173.143711274247</v>
      </c>
      <c r="E30" s="60">
        <f>B30+C30+D30</f>
        <v>38607.4807112742</v>
      </c>
      <c r="F30" s="60"/>
      <c r="G30" s="60">
        <f>I30-H30</f>
        <v>32073.5608828586</v>
      </c>
      <c r="H30" s="60">
        <v>6313.9708284156</v>
      </c>
      <c r="I30" s="60">
        <f>E30-J30</f>
        <v>38387.5317112742</v>
      </c>
      <c r="J30" s="60">
        <v>219.949</v>
      </c>
      <c r="K30" s="61">
        <v>181.58</v>
      </c>
      <c r="L30" s="65"/>
      <c r="M30" s="65"/>
    </row>
    <row r="31" ht="13" customHeight="1">
      <c r="A31" s="48">
        <v>2003</v>
      </c>
      <c r="B31" s="60">
        <f>J30</f>
        <v>219.949</v>
      </c>
      <c r="C31" s="60">
        <v>36324.455</v>
      </c>
      <c r="D31" s="60">
        <v>285.230620186029</v>
      </c>
      <c r="E31" s="60">
        <f>B31+C31+D31</f>
        <v>36829.634620186</v>
      </c>
      <c r="F31" s="60"/>
      <c r="G31" s="60">
        <f>I31-H31</f>
        <v>31449.478319528</v>
      </c>
      <c r="H31" s="60">
        <v>5169.419300658</v>
      </c>
      <c r="I31" s="60">
        <f>E31-J31</f>
        <v>36618.897620186</v>
      </c>
      <c r="J31" s="60">
        <v>210.737</v>
      </c>
      <c r="K31" s="61">
        <v>256.05</v>
      </c>
      <c r="L31" s="65"/>
      <c r="M31" s="65"/>
    </row>
    <row r="32" ht="13" customHeight="1">
      <c r="A32" s="48">
        <v>2004</v>
      </c>
      <c r="B32" s="60">
        <f>J31</f>
        <v>210.737</v>
      </c>
      <c r="C32" s="60">
        <v>40715.441</v>
      </c>
      <c r="D32" s="60">
        <v>147.160753986708</v>
      </c>
      <c r="E32" s="60">
        <f>B32+C32+D32</f>
        <v>41073.3387539867</v>
      </c>
      <c r="F32" s="60"/>
      <c r="G32" s="60">
        <f>I32-H32</f>
        <v>33561.139775323</v>
      </c>
      <c r="H32" s="60">
        <v>7340.402978663710</v>
      </c>
      <c r="I32" s="60">
        <f>E32-J32</f>
        <v>40901.5427539867</v>
      </c>
      <c r="J32" s="60">
        <v>171.796</v>
      </c>
      <c r="K32" s="61">
        <v>182.9</v>
      </c>
      <c r="L32" s="65"/>
      <c r="M32" s="65"/>
    </row>
    <row r="33" ht="13" customHeight="1">
      <c r="A33" s="48">
        <v>2005</v>
      </c>
      <c r="B33" s="60">
        <f>J32</f>
        <v>171.796</v>
      </c>
      <c r="C33" s="60">
        <v>41243.914</v>
      </c>
      <c r="D33" s="60">
        <v>140.796088536789</v>
      </c>
      <c r="E33" s="60">
        <f>B33+C33+D33</f>
        <v>41556.5060885368</v>
      </c>
      <c r="F33" s="60"/>
      <c r="G33" s="60">
        <f>I33-H33</f>
        <v>33194.9393853458</v>
      </c>
      <c r="H33" s="60">
        <v>8047.801703191</v>
      </c>
      <c r="I33" s="60">
        <f>E33-J33</f>
        <v>41242.7410885368</v>
      </c>
      <c r="J33" s="60">
        <v>313.765</v>
      </c>
      <c r="K33" s="61">
        <v>174.17</v>
      </c>
      <c r="L33" s="22"/>
      <c r="M33" s="22"/>
    </row>
    <row r="34" ht="13" customHeight="1">
      <c r="A34" s="48">
        <v>2006</v>
      </c>
      <c r="B34" s="60">
        <f>J33</f>
        <v>313.765</v>
      </c>
      <c r="C34" s="60">
        <v>43031.54657</v>
      </c>
      <c r="D34" s="60">
        <v>156.362490168255</v>
      </c>
      <c r="E34" s="60">
        <f>B34+C34+D34</f>
        <v>43501.6740601683</v>
      </c>
      <c r="F34" s="60"/>
      <c r="G34" s="60">
        <f>I34-H34</f>
        <v>34354.7535365869</v>
      </c>
      <c r="H34" s="60">
        <v>8803.9515235814</v>
      </c>
      <c r="I34" s="60">
        <f>E34-J34</f>
        <v>43158.7050601683</v>
      </c>
      <c r="J34" s="60">
        <v>342.969</v>
      </c>
      <c r="K34" s="61">
        <v>205.44</v>
      </c>
      <c r="L34" s="22"/>
      <c r="M34" s="22"/>
    </row>
    <row r="35" ht="13" customHeight="1">
      <c r="A35" s="48">
        <v>2007</v>
      </c>
      <c r="B35" s="60">
        <f>J34</f>
        <v>342.969</v>
      </c>
      <c r="C35" s="60">
        <f>'tab7'!C20</f>
        <v>42284.07646</v>
      </c>
      <c r="D35" s="60">
        <f>'tab7'!D20</f>
        <v>140.621930012655</v>
      </c>
      <c r="E35" s="60">
        <f>B35+C35+D35</f>
        <v>42767.6673900127</v>
      </c>
      <c r="F35" s="60"/>
      <c r="G35" s="60">
        <f>I35-H35</f>
        <v>33231.8555377861</v>
      </c>
      <c r="H35" s="60">
        <f>'tab7'!H20</f>
        <v>9241.967852226649</v>
      </c>
      <c r="I35" s="60">
        <f>E35-J35</f>
        <v>42473.8233900127</v>
      </c>
      <c r="J35" s="60">
        <f>'tab7'!J19</f>
        <v>293.844</v>
      </c>
      <c r="K35" s="61">
        <v>335.94</v>
      </c>
      <c r="L35" s="22"/>
      <c r="M35" s="22"/>
    </row>
    <row r="36" ht="13" customHeight="1">
      <c r="A36" s="48">
        <v>2008</v>
      </c>
      <c r="B36" s="60">
        <f>J35</f>
        <v>293.844</v>
      </c>
      <c r="C36" s="60">
        <v>39102.4331</v>
      </c>
      <c r="D36" s="60">
        <v>87.724852550370</v>
      </c>
      <c r="E36" s="60">
        <f>B36+C36+D36</f>
        <v>39484.0019525504</v>
      </c>
      <c r="F36" s="60"/>
      <c r="G36" s="60">
        <f>I36-H36</f>
        <v>30752.2037931974</v>
      </c>
      <c r="H36" s="60">
        <f>'tab7'!H34</f>
        <v>8497.067159353001</v>
      </c>
      <c r="I36" s="60">
        <f>E36-J36</f>
        <v>39249.2709525504</v>
      </c>
      <c r="J36" s="60">
        <f>'tab7'!J33</f>
        <v>234.731</v>
      </c>
      <c r="K36" s="61">
        <v>331.17</v>
      </c>
      <c r="L36" s="22"/>
      <c r="M36" s="22"/>
    </row>
    <row r="37" ht="13" customHeight="1">
      <c r="A37" s="48">
        <v>2009</v>
      </c>
      <c r="B37" s="60">
        <f>J36</f>
        <v>234.731</v>
      </c>
      <c r="C37" s="60">
        <v>41706.52225</v>
      </c>
      <c r="D37" s="60">
        <v>160.003937078181</v>
      </c>
      <c r="E37" s="60">
        <f>B37+C37+D37</f>
        <v>42101.2571870782</v>
      </c>
      <c r="F37" s="60"/>
      <c r="G37" s="60">
        <f>I37-H37</f>
        <v>30640.2349877462</v>
      </c>
      <c r="H37" s="60">
        <f>'tab7'!H48</f>
        <v>11159.468199332</v>
      </c>
      <c r="I37" s="60">
        <f>E37-J37</f>
        <v>41799.7031870782</v>
      </c>
      <c r="J37" s="60">
        <f>'tab7'!J47</f>
        <v>301.554</v>
      </c>
      <c r="K37" s="61">
        <v>311.27</v>
      </c>
      <c r="L37" s="22"/>
      <c r="M37" s="22"/>
    </row>
    <row r="38" ht="13" customHeight="1">
      <c r="A38" s="48">
        <v>2010</v>
      </c>
      <c r="B38" s="60">
        <f>J37</f>
        <v>301.554</v>
      </c>
      <c r="C38" s="60">
        <v>39250.93051</v>
      </c>
      <c r="D38" s="60">
        <v>179.6542058556</v>
      </c>
      <c r="E38" s="60">
        <f>B38+C38+D38</f>
        <v>39732.1387158556</v>
      </c>
      <c r="F38" s="60"/>
      <c r="G38" s="60">
        <f>I38-H38</f>
        <v>30301.1935322825</v>
      </c>
      <c r="H38" s="60">
        <v>9080.945183573111</v>
      </c>
      <c r="I38" s="60">
        <f>E38-J38</f>
        <v>39382.1387158556</v>
      </c>
      <c r="J38" s="60">
        <f>'tab7'!J61</f>
        <v>350</v>
      </c>
      <c r="K38" s="61">
        <v>345.52</v>
      </c>
      <c r="L38" s="22"/>
      <c r="M38" s="22"/>
    </row>
    <row r="39" ht="13" customHeight="1">
      <c r="A39" s="48">
        <v>2011</v>
      </c>
      <c r="B39" s="60">
        <f>J38</f>
        <v>350</v>
      </c>
      <c r="C39" s="60">
        <v>41035.72243555</v>
      </c>
      <c r="D39" s="60">
        <v>215.849014134957</v>
      </c>
      <c r="E39" s="60">
        <f>B39+C39+D39</f>
        <v>41601.571449685</v>
      </c>
      <c r="F39" s="60"/>
      <c r="G39" s="60">
        <f>I39-H39</f>
        <v>31551.8537051357</v>
      </c>
      <c r="H39" s="60">
        <v>9749.683330424350</v>
      </c>
      <c r="I39" s="60">
        <f>E39-J39</f>
        <v>41301.53703556</v>
      </c>
      <c r="J39" s="60">
        <v>300.034414125</v>
      </c>
      <c r="K39" s="61">
        <v>395.53</v>
      </c>
      <c r="L39" s="22"/>
      <c r="M39" s="22"/>
    </row>
    <row r="40" ht="13" customHeight="1">
      <c r="A40" s="48">
        <v>2012</v>
      </c>
      <c r="B40" s="60">
        <f>J39</f>
        <v>300.034414125</v>
      </c>
      <c r="C40" s="60">
        <v>39875.1646755</v>
      </c>
      <c r="D40" s="60">
        <v>244.785218017347</v>
      </c>
      <c r="E40" s="60">
        <f>B40+C40+D40</f>
        <v>40419.9843076423</v>
      </c>
      <c r="F40" s="60"/>
      <c r="G40" s="60">
        <f>I40-H40</f>
        <v>28999.0280800743</v>
      </c>
      <c r="H40" s="60">
        <v>11146</v>
      </c>
      <c r="I40" s="60">
        <f>E40-J40</f>
        <v>40145.0280800743</v>
      </c>
      <c r="J40" s="60">
        <v>274.956227568</v>
      </c>
      <c r="K40" s="61">
        <v>468.11</v>
      </c>
      <c r="L40" s="22"/>
      <c r="M40" s="22"/>
    </row>
    <row r="41" ht="13" customHeight="1">
      <c r="A41" s="48">
        <v>2013</v>
      </c>
      <c r="B41" s="60">
        <f>J40</f>
        <v>274.956227568</v>
      </c>
      <c r="C41" s="60">
        <v>40684.650893</v>
      </c>
      <c r="D41" s="60">
        <v>382.647821088582</v>
      </c>
      <c r="E41" s="60">
        <f>B41+C41+D41</f>
        <v>41342.2549416566</v>
      </c>
      <c r="F41" s="60"/>
      <c r="G41" s="60">
        <f>I41-H41</f>
        <v>29514.1217475083</v>
      </c>
      <c r="H41" s="60">
        <v>11578.1331941483</v>
      </c>
      <c r="I41" s="60">
        <f>E41-J41</f>
        <v>41092.2549416566</v>
      </c>
      <c r="J41" s="60">
        <v>250</v>
      </c>
      <c r="K41" s="61">
        <v>489.94</v>
      </c>
      <c r="L41" s="22"/>
      <c r="M41" s="22"/>
    </row>
    <row r="42" ht="13" customHeight="1">
      <c r="A42" s="48">
        <v>2014</v>
      </c>
      <c r="B42" s="60">
        <f>J41</f>
        <v>250</v>
      </c>
      <c r="C42" s="60">
        <v>45062</v>
      </c>
      <c r="D42" s="60">
        <v>332.950302716409</v>
      </c>
      <c r="E42" s="60">
        <f>B42+C42+D42</f>
        <v>45644.9503027164</v>
      </c>
      <c r="F42" s="60"/>
      <c r="G42" s="60">
        <f>I42-H42</f>
        <v>32277.0935262431</v>
      </c>
      <c r="H42" s="60">
        <v>13107.3927764733</v>
      </c>
      <c r="I42" s="60">
        <f>E42-J42</f>
        <v>45384.4863027164</v>
      </c>
      <c r="J42" s="60">
        <v>260.464</v>
      </c>
      <c r="K42" s="61">
        <v>368.49</v>
      </c>
      <c r="L42" s="22"/>
      <c r="M42" s="22"/>
    </row>
    <row r="43" ht="13" customHeight="1">
      <c r="A43" s="48">
        <v>2015</v>
      </c>
      <c r="B43" s="60">
        <f>J42</f>
        <v>260.464</v>
      </c>
      <c r="C43" s="60">
        <f>'tab7'!C76</f>
        <v>44671.662</v>
      </c>
      <c r="D43" s="60">
        <f>'tab7'!D76</f>
        <v>403.422756835392</v>
      </c>
      <c r="E43" s="60">
        <f>B43+C43+D43</f>
        <v>45335.5487568354</v>
      </c>
      <c r="F43" s="60"/>
      <c r="G43" s="60">
        <f>I43-H43</f>
        <v>33117.8131085507</v>
      </c>
      <c r="H43" s="60">
        <f>'tab7'!H76</f>
        <v>11953.8496482847</v>
      </c>
      <c r="I43" s="60">
        <f>E43-J43</f>
        <v>45071.6627568354</v>
      </c>
      <c r="J43" s="60">
        <f>'tab7'!J75</f>
        <v>263.886</v>
      </c>
      <c r="K43" s="61">
        <v>324.56</v>
      </c>
      <c r="L43" s="22"/>
      <c r="M43" s="22"/>
    </row>
    <row r="44" ht="13" customHeight="1">
      <c r="A44" s="48">
        <v>2016</v>
      </c>
      <c r="B44" s="60">
        <f>J43</f>
        <v>263.886</v>
      </c>
      <c r="C44" s="60">
        <f>'tab7'!C90</f>
        <v>44787.017</v>
      </c>
      <c r="D44" s="60">
        <f>'tab7'!D90</f>
        <v>349.553099354697</v>
      </c>
      <c r="E44" s="60">
        <f>B44+C44+D44</f>
        <v>45400.4560993547</v>
      </c>
      <c r="F44" s="60"/>
      <c r="G44" s="60">
        <f>I44-H44</f>
        <v>33419.951499752</v>
      </c>
      <c r="H44" s="60">
        <f>'tab7'!H90</f>
        <v>11579.8745996027</v>
      </c>
      <c r="I44" s="60">
        <f>E44-J44</f>
        <v>44999.8260993547</v>
      </c>
      <c r="J44" s="60">
        <f>'tab7'!J89</f>
        <v>400.63</v>
      </c>
      <c r="K44" s="61">
        <v>316.88</v>
      </c>
      <c r="L44" s="22"/>
      <c r="M44" s="22"/>
    </row>
    <row r="45" ht="13" customHeight="1">
      <c r="A45" t="s" s="47">
        <v>155</v>
      </c>
      <c r="B45" s="60">
        <f>J44</f>
        <v>400.63</v>
      </c>
      <c r="C45" s="60">
        <v>49225.606</v>
      </c>
      <c r="D45" s="60">
        <v>300</v>
      </c>
      <c r="E45" s="60">
        <f>B45+C45+D45</f>
        <v>49926.236</v>
      </c>
      <c r="F45" s="60"/>
      <c r="G45" s="60">
        <f>I45-H45</f>
        <v>36971.236</v>
      </c>
      <c r="H45" s="60">
        <v>12400</v>
      </c>
      <c r="I45" s="60">
        <f>E45-J45</f>
        <v>49371.236</v>
      </c>
      <c r="J45" s="60">
        <v>555</v>
      </c>
      <c r="K45" s="61">
        <v>345.02</v>
      </c>
      <c r="L45" s="22"/>
      <c r="M45" s="22"/>
    </row>
    <row r="46" ht="13" customHeight="1">
      <c r="A46" t="s" s="37">
        <v>156</v>
      </c>
      <c r="B46" s="62">
        <f>J45</f>
        <v>555</v>
      </c>
      <c r="C46" s="62">
        <v>49147</v>
      </c>
      <c r="D46" s="62">
        <v>450</v>
      </c>
      <c r="E46" s="62">
        <f>B46+C46+D46</f>
        <v>50152</v>
      </c>
      <c r="F46" s="62"/>
      <c r="G46" s="62">
        <f>I46-H46</f>
        <v>35952</v>
      </c>
      <c r="H46" s="62">
        <v>13750</v>
      </c>
      <c r="I46" s="62">
        <f>E46-J46</f>
        <v>49702</v>
      </c>
      <c r="J46" s="62">
        <v>450</v>
      </c>
      <c r="K46" t="s" s="39">
        <v>157</v>
      </c>
      <c r="L46" s="22"/>
      <c r="M46" s="22"/>
    </row>
    <row r="47" ht="13.15" customHeight="1">
      <c r="A47" t="s" s="32">
        <v>158</v>
      </c>
      <c r="B47" s="25"/>
      <c r="C47" s="25"/>
      <c r="D47" s="25"/>
      <c r="E47" s="25"/>
      <c r="F47" s="25"/>
      <c r="G47" s="25"/>
      <c r="H47" s="25"/>
      <c r="I47" s="25"/>
      <c r="J47" s="25"/>
      <c r="K47" s="25"/>
      <c r="L47" s="22"/>
      <c r="M47" s="22"/>
    </row>
    <row r="48" ht="13.15" customHeight="1">
      <c r="A48" t="s" s="28">
        <v>159</v>
      </c>
      <c r="B48" s="22"/>
      <c r="C48" s="22"/>
      <c r="D48" s="22"/>
      <c r="E48" s="22"/>
      <c r="F48" s="22"/>
      <c r="G48" s="22"/>
      <c r="H48" s="22"/>
      <c r="I48" s="22"/>
      <c r="J48" s="22"/>
      <c r="K48" s="22"/>
      <c r="L48" s="22"/>
      <c r="M48" s="22"/>
    </row>
    <row r="49" ht="13.15" customHeight="1">
      <c r="A49" t="s" s="53">
        <v>160</v>
      </c>
      <c r="B49" s="22"/>
      <c r="C49" s="22"/>
      <c r="D49" s="22"/>
      <c r="E49" s="22"/>
      <c r="F49" s="22"/>
      <c r="G49" s="22"/>
      <c r="H49" s="22"/>
      <c r="I49" s="22"/>
      <c r="J49" s="22"/>
      <c r="K49" s="22"/>
      <c r="L49" s="22"/>
      <c r="M49" s="22"/>
    </row>
    <row r="50" ht="13" customHeight="1">
      <c r="A50" s="22"/>
      <c r="B50" s="22"/>
      <c r="C50" s="22"/>
      <c r="D50" s="22"/>
      <c r="E50" s="22"/>
      <c r="F50" s="22"/>
      <c r="G50" s="22"/>
      <c r="H50" s="22"/>
      <c r="I50" s="22"/>
      <c r="J50" s="22"/>
      <c r="K50" t="s" s="33">
        <v>57</v>
      </c>
      <c r="L50" s="22"/>
      <c r="M50" s="22"/>
    </row>
  </sheetData>
  <pageMargins left="0.7" right="0.7" top="0.75" bottom="0.75" header="0.3" footer="0.3"/>
  <pageSetup firstPageNumber="1" fitToHeight="1" fitToWidth="1" scale="80" useFirstPageNumber="0" orientation="portrait" pageOrder="downThenOver"/>
  <headerFooter>
    <oddFooter>&amp;C&amp;"Helvetica,Regular"&amp;8&amp;K000000&amp;P
Oil Crops Yearbook/OCS-2018
March 2018
Economic Research Service, USDA</oddFooter>
  </headerFooter>
  <drawing r:id="rId1"/>
  <legacyDrawing r:id="rId2"/>
</worksheet>
</file>

<file path=xl/worksheets/sheet7.xml><?xml version="1.0" encoding="utf-8"?>
<worksheet xmlns:r="http://schemas.openxmlformats.org/officeDocument/2006/relationships" xmlns="http://schemas.openxmlformats.org/spreadsheetml/2006/main">
  <sheetPr>
    <pageSetUpPr fitToPage="1"/>
  </sheetPr>
  <dimension ref="A1:L49"/>
  <sheetViews>
    <sheetView workbookViewId="0" showGridLines="0" defaultGridColor="1"/>
  </sheetViews>
  <sheetFormatPr defaultColWidth="9" defaultRowHeight="11.25" customHeight="1" outlineLevelRow="0" outlineLevelCol="0"/>
  <cols>
    <col min="1" max="1" width="9.60156" style="66" customWidth="1"/>
    <col min="2" max="5" width="12.6016" style="66" customWidth="1"/>
    <col min="6" max="6" width="2.60156" style="66" customWidth="1"/>
    <col min="7" max="12" width="12.6016" style="66" customWidth="1"/>
    <col min="13" max="256" width="9" style="66" customWidth="1"/>
  </cols>
  <sheetData>
    <row r="1" ht="13" customHeight="1">
      <c r="A1" t="s" s="37">
        <v>162</v>
      </c>
      <c r="B1" s="21"/>
      <c r="C1" s="21"/>
      <c r="D1" s="21"/>
      <c r="E1" s="21"/>
      <c r="F1" s="21"/>
      <c r="G1" s="21"/>
      <c r="H1" s="21"/>
      <c r="I1" s="21"/>
      <c r="J1" s="21"/>
      <c r="K1" s="21"/>
      <c r="L1" s="21"/>
    </row>
    <row r="2" ht="13" customHeight="1">
      <c r="A2" t="s" s="32">
        <v>145</v>
      </c>
      <c r="B2" s="57"/>
      <c r="C2" t="s" s="58">
        <v>117</v>
      </c>
      <c r="D2" s="57"/>
      <c r="E2" s="57"/>
      <c r="F2" s="27"/>
      <c r="G2" s="57"/>
      <c r="H2" t="s" s="58">
        <v>118</v>
      </c>
      <c r="I2" s="57"/>
      <c r="J2" s="57"/>
      <c r="K2" s="25"/>
      <c r="L2" t="s" s="24">
        <v>119</v>
      </c>
    </row>
    <row r="3" ht="13" customHeight="1">
      <c r="A3" t="s" s="28">
        <v>120</v>
      </c>
      <c r="B3" t="s" s="26">
        <v>121</v>
      </c>
      <c r="C3" s="25"/>
      <c r="D3" s="25"/>
      <c r="E3" s="25"/>
      <c r="F3" s="22"/>
      <c r="G3" t="s" s="58">
        <v>150</v>
      </c>
      <c r="H3" s="67"/>
      <c r="I3" s="25"/>
      <c r="J3" s="25"/>
      <c r="K3" t="s" s="59">
        <v>123</v>
      </c>
      <c r="L3" t="s" s="26">
        <v>163</v>
      </c>
    </row>
    <row r="4" ht="13" customHeight="1">
      <c r="A4" t="s" s="20">
        <v>147</v>
      </c>
      <c r="B4" t="s" s="39">
        <v>126</v>
      </c>
      <c r="C4" t="s" s="39">
        <v>64</v>
      </c>
      <c r="D4" t="s" s="37">
        <v>127</v>
      </c>
      <c r="E4" t="s" s="39">
        <v>30</v>
      </c>
      <c r="F4" s="38"/>
      <c r="G4" t="s" s="24">
        <v>30</v>
      </c>
      <c r="H4" t="s" s="24">
        <v>164</v>
      </c>
      <c r="I4" t="s" s="39">
        <v>130</v>
      </c>
      <c r="J4" t="s" s="39">
        <v>30</v>
      </c>
      <c r="K4" t="s" s="39">
        <v>126</v>
      </c>
      <c r="L4" t="s" s="39">
        <v>151</v>
      </c>
    </row>
    <row r="5" ht="13" customHeight="1">
      <c r="A5" s="25"/>
      <c r="B5" s="25"/>
      <c r="C5" s="25"/>
      <c r="D5" s="25"/>
      <c r="E5" s="25"/>
      <c r="F5" s="25"/>
      <c r="G5" t="s" s="26">
        <v>165</v>
      </c>
      <c r="H5" s="25"/>
      <c r="I5" s="25"/>
      <c r="J5" s="25"/>
      <c r="K5" s="25"/>
      <c r="L5" t="s" s="26">
        <v>166</v>
      </c>
    </row>
    <row r="6" ht="13" customHeight="1">
      <c r="A6" s="22"/>
      <c r="B6" s="22"/>
      <c r="C6" s="22"/>
      <c r="D6" s="22"/>
      <c r="E6" s="22"/>
      <c r="F6" s="22"/>
      <c r="G6" s="22"/>
      <c r="H6" s="22"/>
      <c r="I6" s="22"/>
      <c r="J6" s="22"/>
      <c r="K6" s="22"/>
      <c r="L6" s="42"/>
    </row>
    <row r="7" ht="13" customHeight="1">
      <c r="A7" s="48">
        <v>1980</v>
      </c>
      <c r="B7" s="60">
        <v>1210</v>
      </c>
      <c r="C7" s="60">
        <v>11270.18</v>
      </c>
      <c r="D7" s="60">
        <v>0.01</v>
      </c>
      <c r="E7" s="60">
        <f>B7+C7+D7</f>
        <v>12480.19</v>
      </c>
      <c r="F7" s="60"/>
      <c r="G7" s="60">
        <f>J7-I7</f>
        <v>9113.072</v>
      </c>
      <c r="H7" t="s" s="59">
        <v>167</v>
      </c>
      <c r="I7" s="60">
        <v>1631</v>
      </c>
      <c r="J7" s="60">
        <f>E7-K7</f>
        <v>10744.072</v>
      </c>
      <c r="K7" s="60">
        <v>1736.118</v>
      </c>
      <c r="L7" s="61">
        <v>22.73</v>
      </c>
    </row>
    <row r="8" ht="13" customHeight="1">
      <c r="A8" s="48">
        <v>1981</v>
      </c>
      <c r="B8" s="60">
        <f>K7</f>
        <v>1736.118</v>
      </c>
      <c r="C8" s="60">
        <v>10979.425</v>
      </c>
      <c r="D8" s="60">
        <v>0.028</v>
      </c>
      <c r="E8" s="60">
        <f>B8+C8+D8</f>
        <v>12715.571</v>
      </c>
      <c r="F8" s="60"/>
      <c r="G8" s="60">
        <f>J8-I8</f>
        <v>9536.022999999999</v>
      </c>
      <c r="H8" t="s" s="59">
        <v>167</v>
      </c>
      <c r="I8" s="60">
        <v>2077</v>
      </c>
      <c r="J8" s="60">
        <f>E8-K8</f>
        <v>11613.023</v>
      </c>
      <c r="K8" s="60">
        <v>1102.548</v>
      </c>
      <c r="L8" s="61">
        <v>18.95</v>
      </c>
    </row>
    <row r="9" ht="13" customHeight="1">
      <c r="A9" s="48">
        <v>1982</v>
      </c>
      <c r="B9" s="60">
        <f>K8</f>
        <v>1102.548</v>
      </c>
      <c r="C9" s="60">
        <v>12040.358</v>
      </c>
      <c r="D9" s="60">
        <v>0.092</v>
      </c>
      <c r="E9" s="60">
        <f>B9+C9+D9</f>
        <v>13142.998</v>
      </c>
      <c r="F9" s="60"/>
      <c r="G9" s="60">
        <f>J9-I9</f>
        <v>9857.052</v>
      </c>
      <c r="H9" t="s" s="59">
        <v>167</v>
      </c>
      <c r="I9" s="60">
        <v>2025</v>
      </c>
      <c r="J9" s="60">
        <f>E9-K9</f>
        <v>11882.052</v>
      </c>
      <c r="K9" s="60">
        <v>1260.946</v>
      </c>
      <c r="L9" s="61">
        <v>20.62</v>
      </c>
    </row>
    <row r="10" ht="13" customHeight="1">
      <c r="A10" s="48">
        <v>1983</v>
      </c>
      <c r="B10" s="60">
        <f>K9</f>
        <v>1260.946</v>
      </c>
      <c r="C10" s="60">
        <v>10862.793</v>
      </c>
      <c r="D10" s="60">
        <v>0.079</v>
      </c>
      <c r="E10" s="60">
        <f>B10+C10+D10</f>
        <v>12123.818</v>
      </c>
      <c r="F10" s="60"/>
      <c r="G10" s="60">
        <f>J10-I10</f>
        <v>9579.308999999999</v>
      </c>
      <c r="H10" t="s" s="59">
        <v>167</v>
      </c>
      <c r="I10" s="60">
        <v>1824</v>
      </c>
      <c r="J10" s="60">
        <f>E10-K10</f>
        <v>11403.309</v>
      </c>
      <c r="K10" s="60">
        <v>720.509</v>
      </c>
      <c r="L10" s="61">
        <v>30.55</v>
      </c>
    </row>
    <row r="11" ht="13" customHeight="1">
      <c r="A11" s="48">
        <v>1984</v>
      </c>
      <c r="B11" s="60">
        <f>K10</f>
        <v>720.509</v>
      </c>
      <c r="C11" s="60">
        <v>11467.944</v>
      </c>
      <c r="D11" s="60">
        <v>20.401</v>
      </c>
      <c r="E11" s="60">
        <f>B11+C11+D11</f>
        <v>12208.854</v>
      </c>
      <c r="F11" s="60"/>
      <c r="G11" s="60">
        <f>J11-I11</f>
        <v>9916.360000000001</v>
      </c>
      <c r="H11" t="s" s="59">
        <v>167</v>
      </c>
      <c r="I11" s="60">
        <v>1660</v>
      </c>
      <c r="J11" s="60">
        <f>E11-K11</f>
        <v>11576.36</v>
      </c>
      <c r="K11" s="60">
        <v>632.494</v>
      </c>
      <c r="L11" s="61">
        <v>29.52</v>
      </c>
    </row>
    <row r="12" ht="13" customHeight="1">
      <c r="A12" s="48">
        <v>1985</v>
      </c>
      <c r="B12" s="60">
        <f>K11</f>
        <v>632.494</v>
      </c>
      <c r="C12" s="60">
        <v>11617.272</v>
      </c>
      <c r="D12" s="60">
        <v>7.703</v>
      </c>
      <c r="E12" s="60">
        <f>B12+C12+D12</f>
        <v>12257.469</v>
      </c>
      <c r="F12" s="60"/>
      <c r="G12" s="60">
        <f>J12-I12</f>
        <v>10053.876</v>
      </c>
      <c r="H12" t="s" s="59">
        <v>167</v>
      </c>
      <c r="I12" s="60">
        <v>1257</v>
      </c>
      <c r="J12" s="60">
        <f>E12-K12</f>
        <v>11310.876</v>
      </c>
      <c r="K12" s="60">
        <v>946.593</v>
      </c>
      <c r="L12" s="61">
        <v>18.02</v>
      </c>
    </row>
    <row r="13" ht="13" customHeight="1">
      <c r="A13" s="48">
        <v>1986</v>
      </c>
      <c r="B13" s="60">
        <f>K12</f>
        <v>946.593</v>
      </c>
      <c r="C13" s="60">
        <v>12783.104</v>
      </c>
      <c r="D13" s="60">
        <v>15</v>
      </c>
      <c r="E13" s="60">
        <f>B13+C13+D13</f>
        <v>13744.697</v>
      </c>
      <c r="F13" s="60"/>
      <c r="G13" s="60">
        <f>J13-I13</f>
        <v>10832.699</v>
      </c>
      <c r="H13" t="s" s="59">
        <v>167</v>
      </c>
      <c r="I13" s="60">
        <v>1187</v>
      </c>
      <c r="J13" s="60">
        <f>E13-K13</f>
        <v>12019.699</v>
      </c>
      <c r="K13" s="60">
        <v>1724.998</v>
      </c>
      <c r="L13" s="61">
        <v>15.36</v>
      </c>
    </row>
    <row r="14" ht="13" customHeight="1">
      <c r="A14" s="48">
        <v>1987</v>
      </c>
      <c r="B14" s="60">
        <f>K13</f>
        <v>1724.998</v>
      </c>
      <c r="C14" s="60">
        <v>12974.542</v>
      </c>
      <c r="D14" s="60">
        <v>193.8722</v>
      </c>
      <c r="E14" s="60">
        <f>B14+C14+D14</f>
        <v>14893.4122</v>
      </c>
      <c r="F14" s="60"/>
      <c r="G14" s="60">
        <f>J14-I14</f>
        <v>10927.1732</v>
      </c>
      <c r="H14" t="s" s="59">
        <v>167</v>
      </c>
      <c r="I14" s="60">
        <v>1874</v>
      </c>
      <c r="J14" s="60">
        <f>E14-K14</f>
        <v>12801.1732</v>
      </c>
      <c r="K14" s="60">
        <v>2092.239</v>
      </c>
      <c r="L14" s="61">
        <v>22.67</v>
      </c>
    </row>
    <row r="15" ht="13" customHeight="1">
      <c r="A15" s="48">
        <v>1988</v>
      </c>
      <c r="B15" s="60">
        <f>K14</f>
        <v>2092.239</v>
      </c>
      <c r="C15" s="60">
        <v>11737.045</v>
      </c>
      <c r="D15" s="60">
        <v>137.672252230632</v>
      </c>
      <c r="E15" s="60">
        <f>B15+C15+D15</f>
        <v>13966.9562522306</v>
      </c>
      <c r="F15" s="60"/>
      <c r="G15" s="60">
        <f>J15-I15</f>
        <v>10590.5392522306</v>
      </c>
      <c r="H15" t="s" s="59">
        <v>167</v>
      </c>
      <c r="I15" s="60">
        <v>1661</v>
      </c>
      <c r="J15" s="60">
        <f>E15-K15</f>
        <v>12251.5392522306</v>
      </c>
      <c r="K15" s="60">
        <v>1715.417</v>
      </c>
      <c r="L15" s="61">
        <v>21.09</v>
      </c>
    </row>
    <row r="16" ht="13" customHeight="1">
      <c r="A16" s="48">
        <v>1989</v>
      </c>
      <c r="B16" s="60">
        <f>K15</f>
        <v>1715.417</v>
      </c>
      <c r="C16" s="60">
        <v>13003.582</v>
      </c>
      <c r="D16" s="60">
        <v>21.51594</v>
      </c>
      <c r="E16" s="60">
        <f>B16+C16+D16</f>
        <v>14740.51494</v>
      </c>
      <c r="F16" s="60"/>
      <c r="G16" s="60">
        <f>J16-I16</f>
        <v>12082.49094</v>
      </c>
      <c r="H16" t="s" s="59">
        <v>167</v>
      </c>
      <c r="I16" s="60">
        <v>1353</v>
      </c>
      <c r="J16" s="60">
        <f>E16-K16</f>
        <v>13435.49094</v>
      </c>
      <c r="K16" s="60">
        <v>1305.024</v>
      </c>
      <c r="L16" s="61">
        <v>22.28</v>
      </c>
    </row>
    <row r="17" ht="13" customHeight="1">
      <c r="A17" s="48">
        <v>1990</v>
      </c>
      <c r="B17" s="60">
        <f>K16</f>
        <v>1305.024</v>
      </c>
      <c r="C17" s="60">
        <v>13408.047</v>
      </c>
      <c r="D17" s="60">
        <v>17.351088417648</v>
      </c>
      <c r="E17" s="60">
        <f>B17+C17+D17</f>
        <v>14730.4220884176</v>
      </c>
      <c r="F17" s="60"/>
      <c r="G17" s="60">
        <f>J17-I17</f>
        <v>12136.1280884176</v>
      </c>
      <c r="H17" t="s" s="59">
        <v>167</v>
      </c>
      <c r="I17" s="60">
        <v>808</v>
      </c>
      <c r="J17" s="60">
        <f>E17-K17</f>
        <v>12944.1280884176</v>
      </c>
      <c r="K17" s="60">
        <v>1786.294</v>
      </c>
      <c r="L17" s="61">
        <v>20.98</v>
      </c>
    </row>
    <row r="18" ht="13" customHeight="1">
      <c r="A18" s="48">
        <v>1991</v>
      </c>
      <c r="B18" s="60">
        <f>K17</f>
        <v>1786.294</v>
      </c>
      <c r="C18" s="60">
        <v>14344.699</v>
      </c>
      <c r="D18" s="60">
        <v>0.5408898231680001</v>
      </c>
      <c r="E18" s="60">
        <f>B18+C18+D18</f>
        <v>16131.5338898232</v>
      </c>
      <c r="F18" s="60"/>
      <c r="G18" s="60">
        <f>J18-I18</f>
        <v>12248.1518898232</v>
      </c>
      <c r="H18" t="s" s="59">
        <v>167</v>
      </c>
      <c r="I18" s="60">
        <v>1644</v>
      </c>
      <c r="J18" s="60">
        <f>E18-K18</f>
        <v>13892.1518898232</v>
      </c>
      <c r="K18" s="60">
        <v>2239.382</v>
      </c>
      <c r="L18" s="61">
        <v>19.13</v>
      </c>
    </row>
    <row r="19" ht="13" customHeight="1">
      <c r="A19" s="48">
        <v>1992</v>
      </c>
      <c r="B19" s="60">
        <f>K18</f>
        <v>2239.382</v>
      </c>
      <c r="C19" s="60">
        <v>13778.489</v>
      </c>
      <c r="D19" s="60">
        <v>9.949287</v>
      </c>
      <c r="E19" s="60">
        <f>B19+C19+D19</f>
        <v>16027.820287</v>
      </c>
      <c r="F19" s="60"/>
      <c r="G19" s="60">
        <f>J19-I19</f>
        <v>13012.032287</v>
      </c>
      <c r="H19" t="s" s="59">
        <v>167</v>
      </c>
      <c r="I19" s="60">
        <v>1461</v>
      </c>
      <c r="J19" s="60">
        <f>E19-K19</f>
        <v>14473.032287</v>
      </c>
      <c r="K19" s="60">
        <v>1554.788</v>
      </c>
      <c r="L19" s="61">
        <v>21.24</v>
      </c>
    </row>
    <row r="20" ht="13" customHeight="1">
      <c r="A20" s="48">
        <v>1993</v>
      </c>
      <c r="B20" s="60">
        <f>K19</f>
        <v>1554.788</v>
      </c>
      <c r="C20" s="60">
        <v>13951.211</v>
      </c>
      <c r="D20" s="60">
        <v>67.638728</v>
      </c>
      <c r="E20" s="60">
        <f>B20+C20+D20</f>
        <v>15573.637728</v>
      </c>
      <c r="F20" s="60"/>
      <c r="G20" s="60">
        <f>J20-I20</f>
        <v>12939.544728</v>
      </c>
      <c r="H20" t="s" s="59">
        <v>167</v>
      </c>
      <c r="I20" s="60">
        <v>1531</v>
      </c>
      <c r="J20" s="60">
        <f>E20-K20</f>
        <v>14470.544728</v>
      </c>
      <c r="K20" s="60">
        <v>1103.093</v>
      </c>
      <c r="L20" s="61">
        <v>26.96</v>
      </c>
    </row>
    <row r="21" ht="13" customHeight="1">
      <c r="A21" s="48">
        <v>1994</v>
      </c>
      <c r="B21" s="60">
        <f>K20</f>
        <v>1103.093</v>
      </c>
      <c r="C21" s="60">
        <v>15612.856</v>
      </c>
      <c r="D21" s="60">
        <v>17.2667122193</v>
      </c>
      <c r="E21" s="60">
        <f>B21+C21+D21</f>
        <v>16733.2157122193</v>
      </c>
      <c r="F21" s="60"/>
      <c r="G21" s="60">
        <f>J21-I21</f>
        <v>12913.5327122193</v>
      </c>
      <c r="H21" t="s" s="59">
        <v>167</v>
      </c>
      <c r="I21" s="60">
        <v>2683</v>
      </c>
      <c r="J21" s="60">
        <f>E21-K21</f>
        <v>15596.5327122193</v>
      </c>
      <c r="K21" s="60">
        <v>1136.683</v>
      </c>
      <c r="L21" s="61">
        <v>27.51</v>
      </c>
    </row>
    <row r="22" ht="13" customHeight="1">
      <c r="A22" s="48">
        <v>1995</v>
      </c>
      <c r="B22" s="60">
        <f>K21</f>
        <v>1136.683</v>
      </c>
      <c r="C22" s="60">
        <v>15239.949</v>
      </c>
      <c r="D22" s="60">
        <v>95.399291646666</v>
      </c>
      <c r="E22" s="60">
        <f>B22+C22+D22</f>
        <v>16472.0312916467</v>
      </c>
      <c r="F22" s="60"/>
      <c r="G22" s="60">
        <f>J22-I22</f>
        <v>13464.7803018041</v>
      </c>
      <c r="H22" t="s" s="59">
        <v>167</v>
      </c>
      <c r="I22" s="60">
        <v>991.8069898426201</v>
      </c>
      <c r="J22" s="60">
        <f>E22-K22</f>
        <v>14456.5872916467</v>
      </c>
      <c r="K22" s="60">
        <v>2015.444</v>
      </c>
      <c r="L22" s="61">
        <v>24.7</v>
      </c>
    </row>
    <row r="23" ht="13" customHeight="1">
      <c r="A23" s="48">
        <v>1996</v>
      </c>
      <c r="B23" s="60">
        <f>K22</f>
        <v>2015.444</v>
      </c>
      <c r="C23" s="60">
        <v>15752.1</v>
      </c>
      <c r="D23" s="60">
        <v>53.115589674126</v>
      </c>
      <c r="E23" s="60">
        <f>B23+C23+D23</f>
        <v>17820.6595896741</v>
      </c>
      <c r="F23" s="60"/>
      <c r="G23" s="60">
        <f>J23-I23</f>
        <v>14267.1376209243</v>
      </c>
      <c r="H23" t="s" s="59">
        <v>167</v>
      </c>
      <c r="I23" s="60">
        <v>2033.338968749840</v>
      </c>
      <c r="J23" s="60">
        <f>E23-K23</f>
        <v>16300.4765896741</v>
      </c>
      <c r="K23" s="60">
        <v>1520.183</v>
      </c>
      <c r="L23" s="61">
        <v>22.51</v>
      </c>
    </row>
    <row r="24" ht="13" customHeight="1">
      <c r="A24" s="48">
        <v>1997</v>
      </c>
      <c r="B24" s="60">
        <f>K23</f>
        <v>1520.183</v>
      </c>
      <c r="C24" s="60">
        <v>18142.796</v>
      </c>
      <c r="D24" s="60">
        <v>60.375334962978</v>
      </c>
      <c r="E24" s="60">
        <f>B24+C24+D24</f>
        <v>19723.354334963</v>
      </c>
      <c r="F24" s="60"/>
      <c r="G24" s="60">
        <f>J24-I24</f>
        <v>15261.7453873799</v>
      </c>
      <c r="H24" t="s" s="59">
        <v>167</v>
      </c>
      <c r="I24" s="60">
        <v>3079.211947583060</v>
      </c>
      <c r="J24" s="60">
        <f>E24-K24</f>
        <v>18340.957334963</v>
      </c>
      <c r="K24" s="60">
        <v>1382.397</v>
      </c>
      <c r="L24" s="61">
        <v>25.83</v>
      </c>
    </row>
    <row r="25" ht="13" customHeight="1">
      <c r="A25" s="48">
        <v>1998</v>
      </c>
      <c r="B25" s="60">
        <f>K24</f>
        <v>1382.397</v>
      </c>
      <c r="C25" s="60">
        <v>18078.1</v>
      </c>
      <c r="D25" s="60">
        <v>82.652998385160</v>
      </c>
      <c r="E25" s="60">
        <f>B25+C25+D25</f>
        <v>19543.1499983852</v>
      </c>
      <c r="F25" s="60"/>
      <c r="G25" s="60">
        <f>J25-I25</f>
        <v>15651.9511653831</v>
      </c>
      <c r="H25" t="s" s="59">
        <v>167</v>
      </c>
      <c r="I25" s="60">
        <v>2371.622833002150</v>
      </c>
      <c r="J25" s="60">
        <f>E25-K25</f>
        <v>18023.5739983852</v>
      </c>
      <c r="K25" s="60">
        <v>1519.576</v>
      </c>
      <c r="L25" s="61">
        <v>19.8</v>
      </c>
    </row>
    <row r="26" ht="13" customHeight="1">
      <c r="A26" s="48">
        <v>1999</v>
      </c>
      <c r="B26" s="60">
        <f>K25</f>
        <v>1519.576</v>
      </c>
      <c r="C26" s="60">
        <v>17824.747</v>
      </c>
      <c r="D26" s="60">
        <v>82.80843746389201</v>
      </c>
      <c r="E26" s="60">
        <f>B26+C26+D26</f>
        <v>19427.1314374639</v>
      </c>
      <c r="F26" s="60"/>
      <c r="G26" s="60">
        <f>J26-I26</f>
        <v>16059.0959258426</v>
      </c>
      <c r="H26" t="s" s="59">
        <v>167</v>
      </c>
      <c r="I26" s="60">
        <v>1374.592511621320</v>
      </c>
      <c r="J26" s="60">
        <f>E26-K26</f>
        <v>17433.6884374639</v>
      </c>
      <c r="K26" s="60">
        <v>1993.443</v>
      </c>
      <c r="L26" s="61">
        <v>15.59</v>
      </c>
    </row>
    <row r="27" ht="13" customHeight="1">
      <c r="A27" s="48">
        <v>2000</v>
      </c>
      <c r="B27" s="60">
        <f>K26</f>
        <v>1993.443</v>
      </c>
      <c r="C27" s="60">
        <v>18419.7</v>
      </c>
      <c r="D27" s="60">
        <v>72.998</v>
      </c>
      <c r="E27" s="60">
        <f>B27+C27+D27</f>
        <v>20486.141</v>
      </c>
      <c r="F27" s="60"/>
      <c r="G27" s="60">
        <f>J27-I27</f>
        <v>16318.2198162515</v>
      </c>
      <c r="H27" t="s" s="59">
        <v>167</v>
      </c>
      <c r="I27" s="60">
        <v>1401.022183748540</v>
      </c>
      <c r="J27" s="60">
        <f>E27-K27</f>
        <v>17719.242</v>
      </c>
      <c r="K27" s="60">
        <v>2766.899</v>
      </c>
      <c r="L27" s="61">
        <v>14.09</v>
      </c>
    </row>
    <row r="28" ht="13" customHeight="1">
      <c r="A28" s="48">
        <v>2001</v>
      </c>
      <c r="B28" s="60">
        <f>K27</f>
        <v>2766.899</v>
      </c>
      <c r="C28" s="60">
        <v>18898.235</v>
      </c>
      <c r="D28" s="60">
        <v>45.958</v>
      </c>
      <c r="E28" s="60">
        <f>B28+C28+D28</f>
        <v>21711.092</v>
      </c>
      <c r="F28" s="60"/>
      <c r="G28" s="60">
        <f>J28-I28</f>
        <v>16833.150143196</v>
      </c>
      <c r="H28" t="s" s="59">
        <v>167</v>
      </c>
      <c r="I28" s="60">
        <v>2519.341856804050</v>
      </c>
      <c r="J28" s="60">
        <f>E28-K28</f>
        <v>19352.492</v>
      </c>
      <c r="K28" s="60">
        <v>2358.6</v>
      </c>
      <c r="L28" s="61">
        <v>16.46</v>
      </c>
    </row>
    <row r="29" ht="13" customHeight="1">
      <c r="A29" s="48">
        <v>2002</v>
      </c>
      <c r="B29" s="60">
        <f>K28</f>
        <v>2358.6</v>
      </c>
      <c r="C29" s="60">
        <v>18430.248</v>
      </c>
      <c r="D29" s="60">
        <v>46.027</v>
      </c>
      <c r="E29" s="60">
        <f>B29+C29+D29</f>
        <v>20834.875</v>
      </c>
      <c r="F29" s="60"/>
      <c r="G29" s="60">
        <f>J29-I29</f>
        <v>17080.8955172632</v>
      </c>
      <c r="H29" t="s" s="59">
        <v>167</v>
      </c>
      <c r="I29" s="60">
        <v>2263.348482736820</v>
      </c>
      <c r="J29" s="60">
        <f>E29-K29</f>
        <v>19344.244</v>
      </c>
      <c r="K29" s="60">
        <v>1490.631</v>
      </c>
      <c r="L29" s="61">
        <v>22.04</v>
      </c>
    </row>
    <row r="30" ht="13" customHeight="1">
      <c r="A30" s="48">
        <v>2003</v>
      </c>
      <c r="B30" s="60">
        <f>K29</f>
        <v>1490.631</v>
      </c>
      <c r="C30" s="60">
        <v>17080.411</v>
      </c>
      <c r="D30" s="60">
        <v>306.186873966918</v>
      </c>
      <c r="E30" s="60">
        <f>B30+C30+D30</f>
        <v>18877.2288739669</v>
      </c>
      <c r="F30" s="60"/>
      <c r="G30" s="60">
        <f>J30-I30</f>
        <v>16865.6177399802</v>
      </c>
      <c r="H30" s="60">
        <v>137.4</v>
      </c>
      <c r="I30" s="60">
        <v>935.980133986674</v>
      </c>
      <c r="J30" s="60">
        <f>E30-K30</f>
        <v>17801.5978739669</v>
      </c>
      <c r="K30" s="60">
        <v>1075.631</v>
      </c>
      <c r="L30" s="61">
        <v>29.97</v>
      </c>
    </row>
    <row r="31" ht="13" customHeight="1">
      <c r="A31" s="48">
        <v>2004</v>
      </c>
      <c r="B31" s="60">
        <f>K30</f>
        <v>1075.631</v>
      </c>
      <c r="C31" s="60">
        <v>19359.734</v>
      </c>
      <c r="D31" s="60">
        <v>26.268284978334</v>
      </c>
      <c r="E31" s="60">
        <f>B31+C31+D31</f>
        <v>20461.6332849783</v>
      </c>
      <c r="F31" s="60"/>
      <c r="G31" s="60">
        <f>J31-I31</f>
        <v>17438.951194781</v>
      </c>
      <c r="H31" s="60">
        <v>445.23</v>
      </c>
      <c r="I31" s="60">
        <v>1323.652090197280</v>
      </c>
      <c r="J31" s="60">
        <f>E31-K31</f>
        <v>18762.6032849783</v>
      </c>
      <c r="K31" s="60">
        <v>1699.03</v>
      </c>
      <c r="L31" s="61">
        <v>23.01</v>
      </c>
    </row>
    <row r="32" ht="13" customHeight="1">
      <c r="A32" s="48">
        <v>2005</v>
      </c>
      <c r="B32" s="60">
        <f>K31</f>
        <v>1699.03</v>
      </c>
      <c r="C32" s="60">
        <v>20387.421</v>
      </c>
      <c r="D32" s="60">
        <v>35.337008598444</v>
      </c>
      <c r="E32" s="60">
        <f>B32+C32+D32</f>
        <v>22121.7880085984</v>
      </c>
      <c r="F32" s="60"/>
      <c r="G32" s="60">
        <f>J32-I32</f>
        <v>17958.6075519606</v>
      </c>
      <c r="H32" s="60">
        <v>1555.026</v>
      </c>
      <c r="I32" s="60">
        <v>1153.354456637840</v>
      </c>
      <c r="J32" s="60">
        <f>E32-K32</f>
        <v>19111.9620085984</v>
      </c>
      <c r="K32" s="60">
        <v>3009.826</v>
      </c>
      <c r="L32" s="61">
        <v>23.41</v>
      </c>
    </row>
    <row r="33" ht="13" customHeight="1">
      <c r="A33" s="48">
        <v>2006</v>
      </c>
      <c r="B33" s="60">
        <f>K32</f>
        <v>3009.826</v>
      </c>
      <c r="C33" s="60">
        <v>20488.99351</v>
      </c>
      <c r="D33" s="60">
        <v>37.473177085344</v>
      </c>
      <c r="E33" s="60">
        <f>B33+C33+D33</f>
        <v>23536.2926870853</v>
      </c>
      <c r="F33" s="60"/>
      <c r="G33" s="60">
        <f>J33-I33</f>
        <v>18574.4481886141</v>
      </c>
      <c r="H33" s="60">
        <v>2761.493</v>
      </c>
      <c r="I33" s="60">
        <v>1876.619498471170</v>
      </c>
      <c r="J33" s="60">
        <f>E33-K33</f>
        <v>20451.0676870853</v>
      </c>
      <c r="K33" s="60">
        <v>3085.225</v>
      </c>
      <c r="L33" s="61">
        <v>31.02</v>
      </c>
    </row>
    <row r="34" ht="13" customHeight="1">
      <c r="A34" s="48">
        <v>2007</v>
      </c>
      <c r="B34" s="60">
        <f>K33</f>
        <v>3085.225</v>
      </c>
      <c r="C34" s="60">
        <f>'tab8'!C20/1000</f>
        <v>20579.83078</v>
      </c>
      <c r="D34" s="60">
        <f>'tab8'!D20/1000</f>
        <v>65.355102067248</v>
      </c>
      <c r="E34" s="60">
        <f>B34+C34+D34</f>
        <v>23730.4108820672</v>
      </c>
      <c r="F34" s="60"/>
      <c r="G34" s="60">
        <f>J34-I34</f>
        <v>18334.7654256043</v>
      </c>
      <c r="H34" s="60">
        <v>3245.292</v>
      </c>
      <c r="I34" s="60">
        <f>'tab8'!I20/1000</f>
        <v>2911.0484564629</v>
      </c>
      <c r="J34" s="60">
        <f>E34-K34</f>
        <v>21245.8138820672</v>
      </c>
      <c r="K34" s="60">
        <f>'tab8'!K19/1000</f>
        <v>2484.597</v>
      </c>
      <c r="L34" s="61">
        <v>52.03</v>
      </c>
    </row>
    <row r="35" ht="13" customHeight="1">
      <c r="A35" s="48">
        <v>2008</v>
      </c>
      <c r="B35" s="60">
        <f>K34</f>
        <v>2484.597</v>
      </c>
      <c r="C35" s="60">
        <f>'tab8'!C34/1000</f>
        <v>18744.96784</v>
      </c>
      <c r="D35" s="60">
        <f>'tab8'!D34/1000</f>
        <v>89.577464760252</v>
      </c>
      <c r="E35" s="60">
        <f>B35+C35+D35</f>
        <v>21319.1423047603</v>
      </c>
      <c r="F35" s="60"/>
      <c r="G35" s="60">
        <f>J35-I35</f>
        <v>16265.2038847864</v>
      </c>
      <c r="H35" s="60">
        <v>2068.752</v>
      </c>
      <c r="I35" s="60">
        <f>'tab8'!I34/1000</f>
        <v>2193.438419973860</v>
      </c>
      <c r="J35" s="60">
        <f>E35-K35</f>
        <v>18458.6423047603</v>
      </c>
      <c r="K35" s="60">
        <f>'tab8'!K33/1000</f>
        <v>2860.5</v>
      </c>
      <c r="L35" s="61">
        <v>32.16</v>
      </c>
    </row>
    <row r="36" ht="13" customHeight="1">
      <c r="A36" s="48">
        <v>2009</v>
      </c>
      <c r="B36" s="60">
        <f>K35</f>
        <v>2860.5</v>
      </c>
      <c r="C36" s="60">
        <f>'tab8'!C48/1000</f>
        <v>19615.31352</v>
      </c>
      <c r="D36" s="60">
        <f>'tab8'!D48/1000</f>
        <v>102.579604404858</v>
      </c>
      <c r="E36" s="60">
        <f>B36+C36+D36</f>
        <v>22578.3931244049</v>
      </c>
      <c r="F36" s="60"/>
      <c r="G36" s="60">
        <f>J36-I36</f>
        <v>15813.9461537012</v>
      </c>
      <c r="H36" s="60">
        <v>1680.303</v>
      </c>
      <c r="I36" s="60">
        <f>'tab8'!I48/1000</f>
        <v>3358.6669707037</v>
      </c>
      <c r="J36" s="60">
        <f>E36-K36</f>
        <v>19172.6131244049</v>
      </c>
      <c r="K36" s="60">
        <f>'tab8'!K47/1000</f>
        <v>3405.78</v>
      </c>
      <c r="L36" s="61">
        <v>35.95</v>
      </c>
    </row>
    <row r="37" ht="13" customHeight="1">
      <c r="A37" s="48">
        <v>2010</v>
      </c>
      <c r="B37" s="60">
        <f>K36</f>
        <v>3405.78</v>
      </c>
      <c r="C37" s="60">
        <f>'tab8'!C62/1000</f>
        <v>18887.58252</v>
      </c>
      <c r="D37" s="60">
        <f>'tab8'!D62/1000</f>
        <v>159.001291527246</v>
      </c>
      <c r="E37" s="60">
        <f>B37+C37+D37</f>
        <v>22452.3638115272</v>
      </c>
      <c r="F37" s="60"/>
      <c r="G37" s="60">
        <f>J37-I37</f>
        <v>16544.4294141324</v>
      </c>
      <c r="H37" s="60">
        <v>2737</v>
      </c>
      <c r="I37" s="60">
        <f>'tab8'!I62/1000</f>
        <v>3232.934397394760</v>
      </c>
      <c r="J37" s="60">
        <f>E37-K37</f>
        <v>19777.3638115272</v>
      </c>
      <c r="K37" s="60">
        <v>2675</v>
      </c>
      <c r="L37" s="61">
        <v>53.2</v>
      </c>
    </row>
    <row r="38" ht="13" customHeight="1">
      <c r="A38" s="48">
        <v>2011</v>
      </c>
      <c r="B38" s="60">
        <f>K37</f>
        <v>2675</v>
      </c>
      <c r="C38" s="60">
        <v>19740</v>
      </c>
      <c r="D38" s="60">
        <v>149.136403945788</v>
      </c>
      <c r="E38" s="60">
        <f>B38+C38+D38</f>
        <v>22564.1364039458</v>
      </c>
      <c r="F38" s="60"/>
      <c r="G38" s="60">
        <f>J38-I38</f>
        <v>18510.0236661652</v>
      </c>
      <c r="H38" s="60">
        <v>4874</v>
      </c>
      <c r="I38" s="60">
        <v>1464.112737780590</v>
      </c>
      <c r="J38" s="60">
        <f>E38-K38</f>
        <v>19974.1364039458</v>
      </c>
      <c r="K38" s="60">
        <v>2590</v>
      </c>
      <c r="L38" s="61">
        <v>51.9</v>
      </c>
    </row>
    <row r="39" ht="13" customHeight="1">
      <c r="A39" s="48">
        <v>2012</v>
      </c>
      <c r="B39" s="60">
        <f>K38</f>
        <v>2590</v>
      </c>
      <c r="C39" s="60">
        <v>19820</v>
      </c>
      <c r="D39" s="60">
        <v>195.589623290368</v>
      </c>
      <c r="E39" s="60">
        <f>B39+C39+D39</f>
        <v>22605.5896232904</v>
      </c>
      <c r="F39" s="60"/>
      <c r="G39" s="60">
        <f>J39-I39</f>
        <v>18787.0957131169</v>
      </c>
      <c r="H39" s="60">
        <v>4689</v>
      </c>
      <c r="I39" s="60">
        <v>2163.493910173550</v>
      </c>
      <c r="J39" s="60">
        <f>E39-K39</f>
        <v>20950.5896232904</v>
      </c>
      <c r="K39" s="60">
        <v>1655</v>
      </c>
      <c r="L39" s="61">
        <v>47.13</v>
      </c>
    </row>
    <row r="40" ht="13" customHeight="1">
      <c r="A40" s="48">
        <v>2013</v>
      </c>
      <c r="B40" s="60">
        <f>K39</f>
        <v>1655</v>
      </c>
      <c r="C40" s="60">
        <v>20130</v>
      </c>
      <c r="D40" s="60">
        <v>165.035849886155</v>
      </c>
      <c r="E40" s="60">
        <f>B40+C40+D40</f>
        <v>21950.0358498862</v>
      </c>
      <c r="F40" s="60"/>
      <c r="G40" s="60">
        <f>J40-I40</f>
        <v>18907.9535725971</v>
      </c>
      <c r="H40" s="60">
        <v>5010.29</v>
      </c>
      <c r="I40" s="60">
        <v>1877.082277289060</v>
      </c>
      <c r="J40" s="60">
        <f>E40-K40</f>
        <v>20785.0358498862</v>
      </c>
      <c r="K40" s="60">
        <v>1165</v>
      </c>
      <c r="L40" s="61">
        <v>38.23</v>
      </c>
    </row>
    <row r="41" ht="13" customHeight="1">
      <c r="A41" s="48">
        <v>2014</v>
      </c>
      <c r="B41" s="60">
        <f>K40</f>
        <v>1165</v>
      </c>
      <c r="C41" s="60">
        <v>21399</v>
      </c>
      <c r="D41" s="60">
        <v>264.332918960838</v>
      </c>
      <c r="E41" s="60">
        <f>B41+C41+D41</f>
        <v>22828.3329189608</v>
      </c>
      <c r="F41" s="60"/>
      <c r="G41" s="60">
        <f>J41-I41</f>
        <v>18959.4348004777</v>
      </c>
      <c r="H41" s="60">
        <v>5038.59</v>
      </c>
      <c r="I41" s="60">
        <v>2014.0801184831</v>
      </c>
      <c r="J41" s="60">
        <f>E41-K41</f>
        <v>20973.5149189608</v>
      </c>
      <c r="K41" s="60">
        <v>1854.818</v>
      </c>
      <c r="L41" s="61">
        <v>31.6</v>
      </c>
    </row>
    <row r="42" ht="13" customHeight="1">
      <c r="A42" s="48">
        <v>2015</v>
      </c>
      <c r="B42" s="60">
        <f>K41</f>
        <v>1854.818</v>
      </c>
      <c r="C42" s="60">
        <f>'tab8'!C76/1000</f>
        <v>21950.231</v>
      </c>
      <c r="D42" s="60">
        <f>'tab8'!D76/1000</f>
        <v>286.553154184542</v>
      </c>
      <c r="E42" s="60">
        <f>B42+C42+D42</f>
        <v>24091.6021541845</v>
      </c>
      <c r="F42" s="60"/>
      <c r="G42" s="60">
        <f>J42-I42</f>
        <v>20162.2479225438</v>
      </c>
      <c r="H42" s="60">
        <f>'tab8'!H76/1000</f>
        <v>5670.21</v>
      </c>
      <c r="I42" s="60">
        <f>'tab8'!I76/1000</f>
        <v>2242.541231640740</v>
      </c>
      <c r="J42" s="60">
        <f>E42-K42</f>
        <v>22404.7891541845</v>
      </c>
      <c r="K42" s="60">
        <f>'tab8'!K75/1000</f>
        <v>1686.813</v>
      </c>
      <c r="L42" s="61">
        <v>29.86</v>
      </c>
    </row>
    <row r="43" ht="13" customHeight="1">
      <c r="A43" s="48">
        <v>2016</v>
      </c>
      <c r="B43" s="60">
        <f>K42</f>
        <v>1686.813</v>
      </c>
      <c r="C43" s="60">
        <f>'tab8'!C90/1000</f>
        <v>22123.409</v>
      </c>
      <c r="D43" s="60">
        <f>'tab8'!D90/1000</f>
        <v>318.708767573532</v>
      </c>
      <c r="E43" s="60">
        <f>B43+C43+D43</f>
        <v>24128.9307675735</v>
      </c>
      <c r="F43" s="60"/>
      <c r="G43" s="60">
        <f>J43-I43</f>
        <v>19862.3145349372</v>
      </c>
      <c r="H43" s="60">
        <f>'tab8'!H90/1000</f>
        <v>6200.3</v>
      </c>
      <c r="I43" s="60">
        <f>'tab8'!I90/1000</f>
        <v>2555.662232636350</v>
      </c>
      <c r="J43" s="60">
        <f>E43-K43</f>
        <v>22417.9767675735</v>
      </c>
      <c r="K43" s="60">
        <f>'tab8'!K89/1000</f>
        <v>1710.954</v>
      </c>
      <c r="L43" s="61">
        <v>32.55</v>
      </c>
    </row>
    <row r="44" ht="13" customHeight="1">
      <c r="A44" t="s" s="47">
        <v>168</v>
      </c>
      <c r="B44" s="60">
        <f>K43</f>
        <v>1710.954</v>
      </c>
      <c r="C44" s="60">
        <v>23772.428</v>
      </c>
      <c r="D44" s="60">
        <v>335</v>
      </c>
      <c r="E44" s="60">
        <f>B44+C44+D44</f>
        <v>25818.382</v>
      </c>
      <c r="F44" s="60"/>
      <c r="G44" s="60">
        <f>J44-I44</f>
        <v>21376</v>
      </c>
      <c r="H44" s="60">
        <f>'tab8'!H104/1000</f>
        <v>7133.69</v>
      </c>
      <c r="I44" s="60">
        <v>2447</v>
      </c>
      <c r="J44" s="60">
        <v>23823</v>
      </c>
      <c r="K44" s="60">
        <v>1995</v>
      </c>
      <c r="L44" s="61">
        <v>30.04</v>
      </c>
    </row>
    <row r="45" ht="13" customHeight="1">
      <c r="A45" t="s" s="37">
        <v>169</v>
      </c>
      <c r="B45" s="62">
        <f>K44</f>
        <v>1995</v>
      </c>
      <c r="C45" s="62">
        <v>24570</v>
      </c>
      <c r="D45" s="62">
        <v>300</v>
      </c>
      <c r="E45" s="62">
        <f>B45+C45+D45</f>
        <v>26865</v>
      </c>
      <c r="F45" s="62"/>
      <c r="G45" s="62">
        <f>J45-I45</f>
        <v>22605</v>
      </c>
      <c r="H45" s="62">
        <v>8200</v>
      </c>
      <c r="I45" s="62">
        <v>2250</v>
      </c>
      <c r="J45" s="62">
        <v>24855</v>
      </c>
      <c r="K45" s="62">
        <v>2010</v>
      </c>
      <c r="L45" t="s" s="39">
        <v>170</v>
      </c>
    </row>
    <row r="46" ht="13.15" customHeight="1">
      <c r="A46" t="s" s="32">
        <v>171</v>
      </c>
      <c r="B46" s="25"/>
      <c r="C46" s="25"/>
      <c r="D46" s="25"/>
      <c r="E46" s="25"/>
      <c r="F46" s="25"/>
      <c r="G46" s="25"/>
      <c r="H46" s="25"/>
      <c r="I46" s="25"/>
      <c r="J46" s="25"/>
      <c r="K46" s="25"/>
      <c r="L46" s="25"/>
    </row>
    <row r="47" ht="13.15" customHeight="1">
      <c r="A47" t="s" s="28">
        <v>172</v>
      </c>
      <c r="B47" s="22"/>
      <c r="C47" s="22"/>
      <c r="D47" s="22"/>
      <c r="E47" s="22"/>
      <c r="F47" s="22"/>
      <c r="G47" s="22"/>
      <c r="H47" s="22"/>
      <c r="I47" s="22"/>
      <c r="J47" s="22"/>
      <c r="K47" s="22"/>
      <c r="L47" s="22"/>
    </row>
    <row r="48" ht="13.15" customHeight="1">
      <c r="A48" t="s" s="53">
        <v>173</v>
      </c>
      <c r="B48" s="22"/>
      <c r="C48" s="22"/>
      <c r="D48" s="22"/>
      <c r="E48" s="22"/>
      <c r="F48" s="22"/>
      <c r="G48" s="22"/>
      <c r="H48" s="22"/>
      <c r="I48" s="22"/>
      <c r="J48" s="22"/>
      <c r="K48" s="22"/>
      <c r="L48" s="22"/>
    </row>
    <row r="49" ht="13" customHeight="1">
      <c r="A49" t="s" s="28">
        <v>174</v>
      </c>
      <c r="B49" s="22"/>
      <c r="C49" s="22"/>
      <c r="D49" s="22"/>
      <c r="E49" s="22"/>
      <c r="F49" s="22"/>
      <c r="G49" s="22"/>
      <c r="H49" s="22"/>
      <c r="I49" s="22"/>
      <c r="J49" s="22"/>
      <c r="K49" s="22"/>
      <c r="L49" t="s" s="33">
        <v>57</v>
      </c>
    </row>
  </sheetData>
  <pageMargins left="0.7" right="0.7" top="0.75" bottom="0.75" header="0.3" footer="0.3"/>
  <pageSetup firstPageNumber="1" fitToHeight="1" fitToWidth="1" scale="81" useFirstPageNumber="0" orientation="portrait" pageOrder="downThenOver"/>
  <headerFooter>
    <oddFooter>&amp;C&amp;"Helvetica,Regular"&amp;8&amp;K000000&amp;P
Oil Crops Yearbook/OCS-2018
March 2018
Economic Research Service, USDA</oddFooter>
  </headerFooter>
  <drawing r:id="rId1"/>
  <legacyDrawing r:id="rId2"/>
</worksheet>
</file>

<file path=xl/worksheets/sheet8.xml><?xml version="1.0" encoding="utf-8"?>
<worksheet xmlns:r="http://schemas.openxmlformats.org/officeDocument/2006/relationships" xmlns="http://schemas.openxmlformats.org/spreadsheetml/2006/main">
  <sheetPr>
    <pageSetUpPr fitToPage="1"/>
  </sheetPr>
  <dimension ref="A1:J359"/>
  <sheetViews>
    <sheetView workbookViewId="0" showGridLines="0" defaultGridColor="1"/>
  </sheetViews>
  <sheetFormatPr defaultColWidth="9" defaultRowHeight="11.25" customHeight="1" outlineLevelRow="0" outlineLevelCol="0"/>
  <cols>
    <col min="1" max="1" width="12.4219" style="68" customWidth="1"/>
    <col min="2" max="3" width="16.8125" style="68" customWidth="1"/>
    <col min="4" max="4" width="15.6016" style="68" customWidth="1"/>
    <col min="5" max="5" width="16.8125" style="68" customWidth="1"/>
    <col min="6" max="8" width="15.6016" style="68" customWidth="1"/>
    <col min="9" max="10" width="16.8125" style="68" customWidth="1"/>
    <col min="11" max="256" width="9" style="68" customWidth="1"/>
  </cols>
  <sheetData>
    <row r="1" ht="13" customHeight="1">
      <c r="A1" t="s" s="37">
        <v>176</v>
      </c>
      <c r="B1" s="69"/>
      <c r="C1" s="69"/>
      <c r="D1" s="69"/>
      <c r="E1" s="69"/>
      <c r="F1" s="69"/>
      <c r="G1" s="69"/>
      <c r="H1" s="69"/>
      <c r="I1" s="69"/>
      <c r="J1" s="69"/>
    </row>
    <row r="2" ht="13" customHeight="1">
      <c r="A2" s="25"/>
      <c r="B2" s="57"/>
      <c r="C2" t="s" s="58">
        <v>117</v>
      </c>
      <c r="D2" s="57"/>
      <c r="E2" s="57"/>
      <c r="F2" s="57"/>
      <c r="G2" t="s" s="58">
        <v>118</v>
      </c>
      <c r="H2" s="57"/>
      <c r="I2" s="57"/>
      <c r="J2" s="25"/>
    </row>
    <row r="3" ht="13" customHeight="1">
      <c r="A3" t="s" s="28">
        <v>177</v>
      </c>
      <c r="B3" t="s" s="40">
        <v>121</v>
      </c>
      <c r="C3" s="27"/>
      <c r="D3" s="27"/>
      <c r="E3" s="27"/>
      <c r="F3" s="27"/>
      <c r="G3" s="27"/>
      <c r="H3" s="27"/>
      <c r="I3" s="27"/>
      <c r="J3" t="s" s="47">
        <v>123</v>
      </c>
    </row>
    <row r="4" ht="13" customHeight="1">
      <c r="A4" t="s" s="28">
        <v>120</v>
      </c>
      <c r="B4" t="s" s="47">
        <v>126</v>
      </c>
      <c r="C4" t="s" s="47">
        <v>64</v>
      </c>
      <c r="D4" t="s" s="59">
        <v>127</v>
      </c>
      <c r="E4" t="s" s="47">
        <v>178</v>
      </c>
      <c r="F4" t="s" s="47">
        <v>129</v>
      </c>
      <c r="G4" t="s" s="47">
        <v>130</v>
      </c>
      <c r="H4" t="s" s="47">
        <v>179</v>
      </c>
      <c r="I4" t="s" s="47">
        <v>178</v>
      </c>
      <c r="J4" t="s" s="47">
        <v>126</v>
      </c>
    </row>
    <row r="5" ht="13" customHeight="1">
      <c r="A5" t="s" s="20">
        <v>180</v>
      </c>
      <c r="B5" s="21"/>
      <c r="C5" s="21"/>
      <c r="D5" s="21"/>
      <c r="E5" s="21"/>
      <c r="F5" s="21"/>
      <c r="G5" s="21"/>
      <c r="H5" t="s" s="37">
        <v>181</v>
      </c>
      <c r="I5" s="21"/>
      <c r="J5" s="21"/>
    </row>
    <row r="6" ht="13" customHeight="1">
      <c r="A6" s="25"/>
      <c r="B6" s="25"/>
      <c r="C6" s="27"/>
      <c r="D6" s="27"/>
      <c r="E6" s="27"/>
      <c r="F6" t="s" s="26">
        <v>31</v>
      </c>
      <c r="G6" s="27"/>
      <c r="H6" s="27"/>
      <c r="I6" s="27"/>
      <c r="J6" s="27"/>
    </row>
    <row r="7" ht="13" customHeight="1">
      <c r="A7" t="s" s="28">
        <v>37</v>
      </c>
      <c r="B7" s="70"/>
      <c r="C7" s="70"/>
      <c r="D7" s="70"/>
      <c r="E7" s="70"/>
      <c r="F7" s="70"/>
      <c r="G7" s="70"/>
      <c r="H7" s="70"/>
      <c r="I7" s="70"/>
      <c r="J7" s="70"/>
    </row>
    <row r="8" ht="13" customHeight="1">
      <c r="A8" t="s" s="28">
        <v>182</v>
      </c>
      <c r="B8" s="70">
        <v>290162</v>
      </c>
      <c r="C8" s="70">
        <v>2757810</v>
      </c>
      <c r="D8" s="70">
        <v>901.0336778499</v>
      </c>
      <c r="E8" s="70">
        <f>SUM(B8:D8)</f>
        <v>3048873.03367785</v>
      </c>
      <c r="F8" s="70">
        <v>421136.666666667</v>
      </c>
      <c r="G8" s="70">
        <v>315767.6048793</v>
      </c>
      <c r="H8" s="70">
        <f>I8-F8-G8</f>
        <v>71977.762131883006</v>
      </c>
      <c r="I8" s="70">
        <f>E8-J8</f>
        <v>808882.03367785</v>
      </c>
      <c r="J8" s="70">
        <f>'tab01'!D10</f>
        <v>2239991</v>
      </c>
    </row>
    <row r="9" ht="13" customHeight="1">
      <c r="A9" t="s" s="28">
        <v>183</v>
      </c>
      <c r="B9" s="70">
        <f>J8</f>
        <v>2239991</v>
      </c>
      <c r="C9" t="s" s="59">
        <v>167</v>
      </c>
      <c r="D9" s="70">
        <v>800.0195145327</v>
      </c>
      <c r="E9" s="70">
        <f>SUM(B9:D9)</f>
        <v>2240791.01951453</v>
      </c>
      <c r="F9" s="70">
        <v>417936.666666667</v>
      </c>
      <c r="G9" s="70">
        <v>336291.0924639</v>
      </c>
      <c r="H9" s="70">
        <f>I9-F9-G9</f>
        <v>82655.260383963</v>
      </c>
      <c r="I9" s="70">
        <f>E9-J9</f>
        <v>836883.01951453</v>
      </c>
      <c r="J9" s="70">
        <f>'tab01'!D11</f>
        <v>1403908</v>
      </c>
    </row>
    <row r="10" ht="13" customHeight="1">
      <c r="A10" t="s" s="28">
        <v>184</v>
      </c>
      <c r="B10" s="70">
        <f>J9</f>
        <v>1403908</v>
      </c>
      <c r="C10" t="s" s="59">
        <v>167</v>
      </c>
      <c r="D10" s="70">
        <v>813.3667003014</v>
      </c>
      <c r="E10" s="70">
        <f>SUM(B10:D10)</f>
        <v>1404721.3667003</v>
      </c>
      <c r="F10" s="70">
        <v>405486.666666667</v>
      </c>
      <c r="G10" s="70">
        <v>227730.2508348</v>
      </c>
      <c r="H10" s="70">
        <f>I10-F10-G10</f>
        <v>63324.449198833</v>
      </c>
      <c r="I10" s="70">
        <f>E10-J10</f>
        <v>696541.3667003</v>
      </c>
      <c r="J10" s="70">
        <f>'tab01'!D12</f>
        <v>708180</v>
      </c>
    </row>
    <row r="11" ht="13" customHeight="1">
      <c r="A11" t="s" s="28">
        <v>185</v>
      </c>
      <c r="B11" s="70">
        <f>J10</f>
        <v>708180</v>
      </c>
      <c r="C11" t="s" s="59">
        <v>167</v>
      </c>
      <c r="D11" s="70">
        <v>1053.4054292496</v>
      </c>
      <c r="E11" s="70">
        <f>SUM(B11:D11)</f>
        <v>709233.40542925</v>
      </c>
      <c r="F11" s="70">
        <v>395110</v>
      </c>
      <c r="G11" s="70">
        <v>116082.2402754</v>
      </c>
      <c r="H11" s="70">
        <f>I11-F11-G11</f>
        <v>-49705.83484615</v>
      </c>
      <c r="I11" s="70">
        <f>E11-J11</f>
        <v>461486.40542925</v>
      </c>
      <c r="J11" s="70">
        <f>'tab01'!D13</f>
        <v>247747</v>
      </c>
    </row>
    <row r="12" ht="13" customHeight="1">
      <c r="A12" t="s" s="28">
        <v>186</v>
      </c>
      <c r="B12" s="70"/>
      <c r="C12" s="70">
        <f>SUM(C8:C11)</f>
        <v>2757810</v>
      </c>
      <c r="D12" s="70">
        <f>SUM(D8:D11)</f>
        <v>3567.8253219336</v>
      </c>
      <c r="E12" s="70">
        <f>B8+D12+C12</f>
        <v>3051539.82532193</v>
      </c>
      <c r="F12" s="70">
        <f>SUM(F8:F11)</f>
        <v>1639670</v>
      </c>
      <c r="G12" s="70">
        <f>SUM(G8:G11)</f>
        <v>995871.1884534</v>
      </c>
      <c r="H12" s="70">
        <f>SUM(H8:H11)</f>
        <v>168251.636868529</v>
      </c>
      <c r="I12" s="70">
        <f>SUM(I8:I11)</f>
        <v>2803792.82532193</v>
      </c>
      <c r="J12" s="70"/>
    </row>
    <row r="13" ht="13" customHeight="1">
      <c r="A13" s="22"/>
      <c r="B13" s="70"/>
      <c r="C13" s="70"/>
      <c r="D13" s="70"/>
      <c r="E13" s="70"/>
      <c r="F13" s="70"/>
      <c r="G13" s="70"/>
      <c r="H13" s="70"/>
      <c r="I13" s="70"/>
      <c r="J13" s="70"/>
    </row>
    <row r="14" ht="13" customHeight="1">
      <c r="A14" t="s" s="28">
        <v>38</v>
      </c>
      <c r="B14" s="70"/>
      <c r="C14" s="70"/>
      <c r="D14" s="70"/>
      <c r="E14" s="70"/>
      <c r="F14" s="70"/>
      <c r="G14" s="70"/>
      <c r="H14" s="70"/>
      <c r="I14" s="70"/>
      <c r="J14" s="70"/>
    </row>
    <row r="15" ht="13" customHeight="1">
      <c r="A15" t="s" s="28">
        <v>187</v>
      </c>
      <c r="B15" s="70">
        <f>J11</f>
        <v>247747</v>
      </c>
      <c r="C15" s="70">
        <v>2890682</v>
      </c>
      <c r="D15" s="70">
        <v>845.7440361993</v>
      </c>
      <c r="E15" s="70">
        <f>SUM(B15:D15)</f>
        <v>3139274.7440362</v>
      </c>
      <c r="F15" s="70">
        <v>427540</v>
      </c>
      <c r="G15" s="70">
        <v>348619.3754316</v>
      </c>
      <c r="H15" s="70">
        <f>I15-F15-G15</f>
        <v>87497.368604599993</v>
      </c>
      <c r="I15" s="70">
        <f>E15-J15</f>
        <v>863656.7440362</v>
      </c>
      <c r="J15" s="70">
        <f>'tab01'!D15</f>
        <v>2275618</v>
      </c>
    </row>
    <row r="16" ht="13" customHeight="1">
      <c r="A16" t="s" s="28">
        <v>188</v>
      </c>
      <c r="B16" s="70">
        <f>J15</f>
        <v>2275618</v>
      </c>
      <c r="C16" t="s" s="59">
        <v>167</v>
      </c>
      <c r="D16" s="70">
        <v>637.5636383865</v>
      </c>
      <c r="E16" s="70">
        <f>SUM(B16:D16)</f>
        <v>2276255.56363839</v>
      </c>
      <c r="F16" s="70">
        <v>447596.733333333</v>
      </c>
      <c r="G16" s="70">
        <v>422449.300203</v>
      </c>
      <c r="H16" s="70">
        <f>I16-F16-G16</f>
        <v>70222.530102057</v>
      </c>
      <c r="I16" s="70">
        <f>E16-J16</f>
        <v>940268.56363839</v>
      </c>
      <c r="J16" s="70">
        <f>'tab01'!D16</f>
        <v>1335987</v>
      </c>
    </row>
    <row r="17" ht="13" customHeight="1">
      <c r="A17" t="s" s="28">
        <v>184</v>
      </c>
      <c r="B17" s="70">
        <f>J16</f>
        <v>1335987</v>
      </c>
      <c r="C17" t="s" s="59">
        <v>167</v>
      </c>
      <c r="D17" s="70">
        <v>461.7375381717</v>
      </c>
      <c r="E17" s="70">
        <f>SUM(B17:D17)</f>
        <v>1336448.73753817</v>
      </c>
      <c r="F17" s="70">
        <v>429615.9</v>
      </c>
      <c r="G17" s="70">
        <v>155298.1298988</v>
      </c>
      <c r="H17" s="70">
        <f>I17-F17-G17</f>
        <v>66613.70763937</v>
      </c>
      <c r="I17" s="70">
        <f>E17-J17</f>
        <v>651527.73753817</v>
      </c>
      <c r="J17" s="70">
        <f>'tab01'!D17</f>
        <v>684921</v>
      </c>
    </row>
    <row r="18" ht="13" customHeight="1">
      <c r="A18" t="s" s="28">
        <v>185</v>
      </c>
      <c r="B18" s="70">
        <f>J17</f>
        <v>684921</v>
      </c>
      <c r="C18" t="s" s="59">
        <v>167</v>
      </c>
      <c r="D18" s="70">
        <v>374.729154702</v>
      </c>
      <c r="E18" s="70">
        <f>SUM(B18:D18)</f>
        <v>685295.729154702</v>
      </c>
      <c r="F18" s="70">
        <v>394988.166666667</v>
      </c>
      <c r="G18" s="70">
        <v>137284.6412049</v>
      </c>
      <c r="H18" s="70">
        <f>I18-F18-G18</f>
        <v>-55038.078716865</v>
      </c>
      <c r="I18" s="70">
        <f>E18-J18</f>
        <v>477234.729154702</v>
      </c>
      <c r="J18" s="70">
        <f>'tab01'!D18</f>
        <v>208061</v>
      </c>
    </row>
    <row r="19" ht="13" customHeight="1">
      <c r="A19" t="s" s="28">
        <v>186</v>
      </c>
      <c r="B19" s="70"/>
      <c r="C19" s="70">
        <f>SUM(C15:C18)</f>
        <v>2890682</v>
      </c>
      <c r="D19" s="70">
        <f>SUM(D15:D18)</f>
        <v>2319.7743674595</v>
      </c>
      <c r="E19" s="70">
        <f>B15+D19+C19</f>
        <v>3140748.77436746</v>
      </c>
      <c r="F19" s="70">
        <f>SUM(F15:F18)</f>
        <v>1699740.8</v>
      </c>
      <c r="G19" s="70">
        <f>SUM(G15:G18)</f>
        <v>1063651.4467383</v>
      </c>
      <c r="H19" s="70">
        <f>SUM(H15:H18)</f>
        <v>169295.527629162</v>
      </c>
      <c r="I19" s="70">
        <f>SUM(I15:I18)</f>
        <v>2932687.77436746</v>
      </c>
      <c r="J19" s="70"/>
    </row>
    <row r="20" ht="13" customHeight="1">
      <c r="A20" s="22"/>
      <c r="B20" s="70"/>
      <c r="C20" s="70"/>
      <c r="D20" s="70"/>
      <c r="E20" s="70"/>
      <c r="F20" s="70"/>
      <c r="G20" s="70"/>
      <c r="H20" s="70"/>
      <c r="I20" s="70"/>
      <c r="J20" s="70"/>
    </row>
    <row r="21" ht="13" customHeight="1">
      <c r="A21" t="s" s="28">
        <v>39</v>
      </c>
      <c r="B21" s="70"/>
      <c r="C21" s="70"/>
      <c r="D21" s="70"/>
      <c r="E21" s="70"/>
      <c r="F21" s="70"/>
      <c r="G21" s="70"/>
      <c r="H21" s="70"/>
      <c r="I21" s="70"/>
      <c r="J21" s="70"/>
    </row>
    <row r="22" ht="13" customHeight="1">
      <c r="A22" t="s" s="28">
        <v>187</v>
      </c>
      <c r="B22" s="70">
        <f>J18</f>
        <v>208061</v>
      </c>
      <c r="C22" s="70">
        <v>2756147</v>
      </c>
      <c r="D22" s="70">
        <v>1412.6551980156</v>
      </c>
      <c r="E22" s="70">
        <f>SUM(B22:D22)</f>
        <v>2965620.65519802</v>
      </c>
      <c r="F22" s="70">
        <v>417505.5</v>
      </c>
      <c r="G22" s="70">
        <v>320403.8514579</v>
      </c>
      <c r="H22" s="70">
        <f>I22-F22-G22</f>
        <v>112338.30374012</v>
      </c>
      <c r="I22" s="70">
        <f>E22-J22</f>
        <v>850247.65519802</v>
      </c>
      <c r="J22" s="70">
        <f>'tab01'!D20</f>
        <v>2115373</v>
      </c>
    </row>
    <row r="23" ht="13" customHeight="1">
      <c r="A23" t="s" s="28">
        <v>188</v>
      </c>
      <c r="B23" s="70">
        <f>J22</f>
        <v>2115373</v>
      </c>
      <c r="C23" t="s" s="59">
        <v>167</v>
      </c>
      <c r="D23" s="70">
        <v>1094.9477462385</v>
      </c>
      <c r="E23" s="70">
        <f>SUM(B23:D23)</f>
        <v>2116467.94774624</v>
      </c>
      <c r="F23" s="70">
        <v>422028.2</v>
      </c>
      <c r="G23" s="70">
        <v>425471.3225532</v>
      </c>
      <c r="H23" s="70">
        <f>I23-F23-G23</f>
        <v>66940.425193040006</v>
      </c>
      <c r="I23" s="70">
        <f>E23-J23</f>
        <v>914439.94774624</v>
      </c>
      <c r="J23" s="70">
        <f>'tab01'!D21</f>
        <v>1202028</v>
      </c>
    </row>
    <row r="24" ht="13" customHeight="1">
      <c r="A24" t="s" s="28">
        <v>184</v>
      </c>
      <c r="B24" s="70">
        <f>J23</f>
        <v>1202028</v>
      </c>
      <c r="C24" t="s" s="59">
        <v>167</v>
      </c>
      <c r="D24" s="70">
        <v>1242.2369620794</v>
      </c>
      <c r="E24" s="70">
        <f>SUM(B24:D24)</f>
        <v>1203270.23696208</v>
      </c>
      <c r="F24" s="70">
        <v>399520</v>
      </c>
      <c r="G24" s="70">
        <v>194410.181826</v>
      </c>
      <c r="H24" s="70">
        <f>I24-F24-G24</f>
        <v>6978.05513608</v>
      </c>
      <c r="I24" s="70">
        <f>E24-J24</f>
        <v>600908.23696208</v>
      </c>
      <c r="J24" s="70">
        <f>'tab01'!D22</f>
        <v>602362</v>
      </c>
    </row>
    <row r="25" ht="13" customHeight="1">
      <c r="A25" t="s" s="28">
        <v>185</v>
      </c>
      <c r="B25" s="70">
        <f>J24</f>
        <v>602362</v>
      </c>
      <c r="C25" t="s" s="59">
        <v>167</v>
      </c>
      <c r="D25" s="70">
        <v>911.1383423247</v>
      </c>
      <c r="E25" s="70">
        <f>SUM(B25:D25)</f>
        <v>603273.138342325</v>
      </c>
      <c r="F25" s="70">
        <v>375733.733333333</v>
      </c>
      <c r="G25" s="70">
        <v>104086.7449986</v>
      </c>
      <c r="H25" s="70">
        <f>I25-F25-G25</f>
        <v>-54876.339989608</v>
      </c>
      <c r="I25" s="70">
        <f>E25-J25</f>
        <v>424944.138342325</v>
      </c>
      <c r="J25" s="70">
        <f>'tab01'!D23</f>
        <v>178329</v>
      </c>
    </row>
    <row r="26" ht="13" customHeight="1">
      <c r="A26" t="s" s="28">
        <v>189</v>
      </c>
      <c r="B26" s="70"/>
      <c r="C26" s="70">
        <f>SUM(C22:C25)</f>
        <v>2756147</v>
      </c>
      <c r="D26" s="70">
        <f>SUM(D22:D25)</f>
        <v>4660.9782486582</v>
      </c>
      <c r="E26" s="70">
        <f>B22+D26+C26</f>
        <v>2968868.97824866</v>
      </c>
      <c r="F26" s="70">
        <f>SUM(F22:F25)</f>
        <v>1614787.43333333</v>
      </c>
      <c r="G26" s="70">
        <f>SUM(G22:G25)</f>
        <v>1044372.1008357</v>
      </c>
      <c r="H26" s="70">
        <f>SUM(H22:H25)</f>
        <v>131380.444079632</v>
      </c>
      <c r="I26" s="70">
        <f>SUM(I22:I25)</f>
        <v>2790539.97824867</v>
      </c>
      <c r="J26" s="70"/>
    </row>
    <row r="27" ht="13" customHeight="1">
      <c r="A27" s="22"/>
      <c r="B27" s="70"/>
      <c r="C27" s="70"/>
      <c r="D27" s="70"/>
      <c r="E27" s="70"/>
      <c r="F27" s="70"/>
      <c r="G27" s="70"/>
      <c r="H27" s="70"/>
      <c r="I27" s="70"/>
      <c r="J27" s="70"/>
    </row>
    <row r="28" ht="13" customHeight="1">
      <c r="A28" t="s" s="28">
        <v>40</v>
      </c>
      <c r="B28" s="70"/>
      <c r="C28" s="70"/>
      <c r="D28" s="70"/>
      <c r="E28" s="70"/>
      <c r="F28" s="70"/>
      <c r="G28" s="70"/>
      <c r="H28" s="70"/>
      <c r="I28" s="70"/>
      <c r="J28" s="70"/>
    </row>
    <row r="29" ht="13" customHeight="1">
      <c r="A29" t="s" s="28">
        <v>187</v>
      </c>
      <c r="B29" s="70">
        <f>J25</f>
        <v>178329</v>
      </c>
      <c r="C29" s="70">
        <v>2453845</v>
      </c>
      <c r="D29" s="70">
        <v>2246.2969250022</v>
      </c>
      <c r="E29" s="70">
        <f>SUM(B29:D29)</f>
        <v>2634420.296925</v>
      </c>
      <c r="F29" s="70">
        <v>419401.433333333</v>
      </c>
      <c r="G29" s="70">
        <v>383501.3088963</v>
      </c>
      <c r="H29" s="70">
        <f>I29-F29-G29</f>
        <v>142864.554695367</v>
      </c>
      <c r="I29" s="70">
        <f>E29-J29</f>
        <v>945767.296925</v>
      </c>
      <c r="J29" s="70">
        <f>'tab01'!D25</f>
        <v>1688653</v>
      </c>
    </row>
    <row r="30" ht="13" customHeight="1">
      <c r="A30" t="s" s="28">
        <v>188</v>
      </c>
      <c r="B30" s="70">
        <f>J29</f>
        <v>1688653</v>
      </c>
      <c r="C30" t="s" s="59">
        <v>167</v>
      </c>
      <c r="D30" s="70">
        <v>1383.1406372721</v>
      </c>
      <c r="E30" s="70">
        <f>SUM(B30:D30)</f>
        <v>1690036.14063727</v>
      </c>
      <c r="F30" s="70">
        <v>423116.966666667</v>
      </c>
      <c r="G30" s="70">
        <v>333885.592656</v>
      </c>
      <c r="H30" s="70">
        <f>I30-F30-G30</f>
        <v>27186.581314603</v>
      </c>
      <c r="I30" s="70">
        <f>E30-J30</f>
        <v>784189.1406372699</v>
      </c>
      <c r="J30" s="70">
        <f>'tab01'!D26</f>
        <v>905847</v>
      </c>
    </row>
    <row r="31" ht="13" customHeight="1">
      <c r="A31" t="s" s="28">
        <v>184</v>
      </c>
      <c r="B31" s="70">
        <f>J30</f>
        <v>905847</v>
      </c>
      <c r="C31" t="s" s="59">
        <v>167</v>
      </c>
      <c r="D31" s="70">
        <v>994.0990398023999</v>
      </c>
      <c r="E31" s="70">
        <f>SUM(B31:D31)</f>
        <v>906841.099039802</v>
      </c>
      <c r="F31" s="70">
        <v>359570.866666667</v>
      </c>
      <c r="G31" s="70">
        <v>123367.2299559</v>
      </c>
      <c r="H31" s="70">
        <f>I31-F31-G31</f>
        <v>13299.002417235</v>
      </c>
      <c r="I31" s="70">
        <f>E31-J31</f>
        <v>496237.099039802</v>
      </c>
      <c r="J31" s="70">
        <f>'tab01'!D27</f>
        <v>410604</v>
      </c>
    </row>
    <row r="32" ht="13" customHeight="1">
      <c r="A32" t="s" s="28">
        <v>185</v>
      </c>
      <c r="B32" s="70">
        <f>J31</f>
        <v>410604</v>
      </c>
      <c r="C32" t="s" s="59">
        <v>167</v>
      </c>
      <c r="D32" s="70">
        <v>938.0169100302001</v>
      </c>
      <c r="E32" s="70">
        <f>SUM(B32:D32)</f>
        <v>411542.01691003</v>
      </c>
      <c r="F32" s="70">
        <v>327609.466666667</v>
      </c>
      <c r="G32" s="70">
        <v>45796.4290875</v>
      </c>
      <c r="H32" s="70">
        <f>I32-F32-G32</f>
        <v>-74277.878844137</v>
      </c>
      <c r="I32" s="70">
        <f>E32-J32</f>
        <v>299128.01691003</v>
      </c>
      <c r="J32" s="70">
        <f>'tab01'!D28</f>
        <v>112414</v>
      </c>
    </row>
    <row r="33" ht="13" customHeight="1">
      <c r="A33" t="s" s="28">
        <v>189</v>
      </c>
      <c r="B33" s="70"/>
      <c r="C33" s="70">
        <f>SUM(C29:C32)</f>
        <v>2453845</v>
      </c>
      <c r="D33" s="70">
        <f>SUM(D29:D32)</f>
        <v>5561.5535121069</v>
      </c>
      <c r="E33" s="70">
        <f>B29+D33+C33</f>
        <v>2637735.55351211</v>
      </c>
      <c r="F33" s="70">
        <f>SUM(F29:F32)</f>
        <v>1529698.73333333</v>
      </c>
      <c r="G33" s="70">
        <f>SUM(G29:G32)</f>
        <v>886550.5605957001</v>
      </c>
      <c r="H33" s="70">
        <f>SUM(H29:H32)</f>
        <v>109072.259583068</v>
      </c>
      <c r="I33" s="70">
        <f>SUM(I29:I32)</f>
        <v>2525321.5535121</v>
      </c>
      <c r="J33" s="70"/>
    </row>
    <row r="34" ht="13" customHeight="1">
      <c r="A34" s="22"/>
      <c r="B34" s="70"/>
      <c r="C34" s="70"/>
      <c r="D34" s="70"/>
      <c r="E34" s="70"/>
      <c r="F34" s="70"/>
      <c r="G34" s="70"/>
      <c r="H34" s="70"/>
      <c r="I34" s="70"/>
      <c r="J34" s="70"/>
    </row>
    <row r="35" ht="13" customHeight="1">
      <c r="A35" t="s" s="28">
        <v>41</v>
      </c>
      <c r="B35" s="70"/>
      <c r="C35" s="70"/>
      <c r="D35" s="70"/>
      <c r="E35" s="70"/>
      <c r="F35" s="70"/>
      <c r="G35" s="70"/>
      <c r="H35" s="70"/>
      <c r="I35" s="70"/>
      <c r="J35" s="70"/>
    </row>
    <row r="36" ht="13" customHeight="1">
      <c r="A36" t="s" s="28">
        <v>187</v>
      </c>
      <c r="B36" s="70">
        <f>J32</f>
        <v>112414</v>
      </c>
      <c r="C36" s="70">
        <v>3123790</v>
      </c>
      <c r="D36" s="70">
        <v>970.5727468227</v>
      </c>
      <c r="E36" s="70">
        <f>SUM(B36:D36)</f>
        <v>3237174.57274682</v>
      </c>
      <c r="F36" s="70">
        <v>427364.033333333</v>
      </c>
      <c r="G36" s="70">
        <v>405776.2584288</v>
      </c>
      <c r="H36" s="70">
        <f>I36-F36-G36</f>
        <v>99394.280984686993</v>
      </c>
      <c r="I36" s="70">
        <f>E36-J36</f>
        <v>932534.57274682</v>
      </c>
      <c r="J36" s="70">
        <f>'tab01'!D30</f>
        <v>2304640</v>
      </c>
    </row>
    <row r="37" ht="13" customHeight="1">
      <c r="A37" t="s" s="28">
        <v>188</v>
      </c>
      <c r="B37" s="70">
        <f>J36</f>
        <v>2304640</v>
      </c>
      <c r="C37" t="s" s="59">
        <v>167</v>
      </c>
      <c r="D37" s="70">
        <v>1377.3180835953</v>
      </c>
      <c r="E37" s="70">
        <f>SUM(B37:D37)</f>
        <v>2306017.3180836</v>
      </c>
      <c r="F37" s="70">
        <v>436184.8</v>
      </c>
      <c r="G37" s="70">
        <v>410684.1879252</v>
      </c>
      <c r="H37" s="70">
        <f>I37-F37-G37</f>
        <v>77784.3301584</v>
      </c>
      <c r="I37" s="70">
        <f>E37-J37</f>
        <v>924653.3180836</v>
      </c>
      <c r="J37" s="70">
        <f>'tab01'!D31</f>
        <v>1381364</v>
      </c>
    </row>
    <row r="38" ht="13" customHeight="1">
      <c r="A38" t="s" s="28">
        <v>184</v>
      </c>
      <c r="B38" s="70">
        <f>J37</f>
        <v>1381364</v>
      </c>
      <c r="C38" t="s" s="59">
        <v>167</v>
      </c>
      <c r="D38" s="70">
        <v>969.6559547639999</v>
      </c>
      <c r="E38" s="70">
        <f>SUM(B38:D38)</f>
        <v>1382333.65595476</v>
      </c>
      <c r="F38" s="70">
        <v>430721.9</v>
      </c>
      <c r="G38" s="70">
        <v>197913.1792092</v>
      </c>
      <c r="H38" s="70">
        <f>I38-F38-G38</f>
        <v>54424.57674556</v>
      </c>
      <c r="I38" s="70">
        <f>E38-J38</f>
        <v>683059.65595476</v>
      </c>
      <c r="J38" s="70">
        <f>'tab01'!D32</f>
        <v>699274</v>
      </c>
    </row>
    <row r="39" ht="13" customHeight="1">
      <c r="A39" t="s" s="28">
        <v>185</v>
      </c>
      <c r="B39" s="70">
        <f>J38</f>
        <v>699274</v>
      </c>
      <c r="C39" t="s" s="59">
        <v>167</v>
      </c>
      <c r="D39" s="70">
        <v>2260.0176839688</v>
      </c>
      <c r="E39" s="70">
        <f>SUM(B39:D39)</f>
        <v>701534.017683969</v>
      </c>
      <c r="F39" s="70">
        <v>401810.5</v>
      </c>
      <c r="G39" s="70">
        <v>82782.674251200006</v>
      </c>
      <c r="H39" s="70">
        <f>I39-F39-G39</f>
        <v>-38797.156567231</v>
      </c>
      <c r="I39" s="70">
        <f>E39-J39</f>
        <v>445796.017683969</v>
      </c>
      <c r="J39" s="70">
        <f>'tab01'!D33</f>
        <v>255738</v>
      </c>
    </row>
    <row r="40" ht="13" customHeight="1">
      <c r="A40" t="s" s="28">
        <v>189</v>
      </c>
      <c r="B40" s="70"/>
      <c r="C40" s="70">
        <f>SUM(C36:C39)</f>
        <v>3123790</v>
      </c>
      <c r="D40" s="70">
        <f>SUM(D36:D39)</f>
        <v>5577.5644691508</v>
      </c>
      <c r="E40" s="70">
        <f>B36+D40+C40</f>
        <v>3241781.56446915</v>
      </c>
      <c r="F40" s="70">
        <f>SUM(F36:F39)</f>
        <v>1696081.23333333</v>
      </c>
      <c r="G40" s="70">
        <f>SUM(G36:G39)</f>
        <v>1097156.2998144</v>
      </c>
      <c r="H40" s="70">
        <f>SUM(H36:H39)</f>
        <v>192806.031321416</v>
      </c>
      <c r="I40" s="70">
        <f>SUM(I36:I39)</f>
        <v>2986043.56446915</v>
      </c>
      <c r="J40" s="70"/>
    </row>
    <row r="41" ht="13" customHeight="1">
      <c r="A41" s="22"/>
      <c r="B41" s="70"/>
      <c r="C41" s="70"/>
      <c r="D41" s="70"/>
      <c r="E41" s="70"/>
      <c r="F41" s="70"/>
      <c r="G41" s="70"/>
      <c r="H41" s="70"/>
      <c r="I41" s="70"/>
      <c r="J41" s="70"/>
    </row>
    <row r="42" ht="13" customHeight="1">
      <c r="A42" t="s" s="28">
        <v>42</v>
      </c>
      <c r="B42" s="70"/>
      <c r="C42" s="70"/>
      <c r="D42" s="70"/>
      <c r="E42" s="70"/>
      <c r="F42" s="70"/>
      <c r="G42" s="70"/>
      <c r="H42" s="70"/>
      <c r="I42" s="70"/>
      <c r="J42" s="70"/>
    </row>
    <row r="43" ht="13" customHeight="1">
      <c r="A43" t="s" s="28">
        <v>187</v>
      </c>
      <c r="B43" s="70">
        <f>J39</f>
        <v>255738</v>
      </c>
      <c r="C43" s="70">
        <v>3068342</v>
      </c>
      <c r="D43" s="70">
        <v>587.6246878173</v>
      </c>
      <c r="E43" s="70">
        <f>SUM(B43:D43)</f>
        <v>3324667.62468782</v>
      </c>
      <c r="F43" s="70">
        <v>442350.633333333</v>
      </c>
      <c r="G43" s="70">
        <v>312634.2123744</v>
      </c>
      <c r="H43" s="70">
        <f>I43-F43-G43</f>
        <v>68256.778980086994</v>
      </c>
      <c r="I43" s="70">
        <f>E43-J43</f>
        <v>823241.62468782</v>
      </c>
      <c r="J43" s="70">
        <f>'tab01'!D35</f>
        <v>2501426</v>
      </c>
    </row>
    <row r="44" ht="13" customHeight="1">
      <c r="A44" t="s" s="28">
        <v>188</v>
      </c>
      <c r="B44" s="70">
        <f>J43</f>
        <v>2501426</v>
      </c>
      <c r="C44" t="s" s="59">
        <v>167</v>
      </c>
      <c r="D44" s="70">
        <v>777.7380246215999</v>
      </c>
      <c r="E44" s="70">
        <f>SUM(B44:D44)</f>
        <v>2502203.73802462</v>
      </c>
      <c r="F44" s="70">
        <v>437154.7</v>
      </c>
      <c r="G44" s="70">
        <v>305219.627664</v>
      </c>
      <c r="H44" s="70">
        <f>I44-F44-G44</f>
        <v>90623.410360619993</v>
      </c>
      <c r="I44" s="70">
        <f>E44-J44</f>
        <v>832997.73802462</v>
      </c>
      <c r="J44" s="70">
        <f>'tab01'!D36</f>
        <v>1669206</v>
      </c>
    </row>
    <row r="45" ht="13" customHeight="1">
      <c r="A45" t="s" s="28">
        <v>184</v>
      </c>
      <c r="B45" s="70">
        <f>J44</f>
        <v>1669206</v>
      </c>
      <c r="C45" t="s" s="59">
        <v>167</v>
      </c>
      <c r="D45" s="70">
        <v>956.1889477896</v>
      </c>
      <c r="E45" s="70">
        <f>SUM(B45:D45)</f>
        <v>1670162.18894779</v>
      </c>
      <c r="F45" s="70">
        <v>431251.766666667</v>
      </c>
      <c r="G45" s="70">
        <v>184313.4172467</v>
      </c>
      <c r="H45" s="70">
        <f>I45-F45-G45</f>
        <v>63898.005034423</v>
      </c>
      <c r="I45" s="70">
        <f>E45-J45</f>
        <v>679463.18894779</v>
      </c>
      <c r="J45" s="70">
        <f>'tab01'!D37</f>
        <v>990699</v>
      </c>
    </row>
    <row r="46" ht="13" customHeight="1">
      <c r="A46" t="s" s="28">
        <v>185</v>
      </c>
      <c r="B46" s="70">
        <f>J45</f>
        <v>990699</v>
      </c>
      <c r="C46" t="s" s="59">
        <v>167</v>
      </c>
      <c r="D46" s="70">
        <v>1050.4569310431</v>
      </c>
      <c r="E46" s="70">
        <f>SUM(B46:D46)</f>
        <v>991749.456931043</v>
      </c>
      <c r="F46" s="70">
        <v>428094.633333333</v>
      </c>
      <c r="G46" s="70">
        <v>137711.4927678</v>
      </c>
      <c r="H46" s="70">
        <f>I46-F46-G46</f>
        <v>-23382.66917009</v>
      </c>
      <c r="I46" s="70">
        <f>E46-J46</f>
        <v>542423.456931043</v>
      </c>
      <c r="J46" s="70">
        <f>'tab01'!D38</f>
        <v>449326</v>
      </c>
    </row>
    <row r="47" ht="13" customHeight="1">
      <c r="A47" t="s" s="28">
        <v>189</v>
      </c>
      <c r="B47" s="70"/>
      <c r="C47" s="70">
        <f>SUM(C43:C46)</f>
        <v>3068342</v>
      </c>
      <c r="D47" s="70">
        <f>SUM(D43:D46)</f>
        <v>3372.0085912716</v>
      </c>
      <c r="E47" s="70">
        <f>B43+D47+C47</f>
        <v>3327452.00859127</v>
      </c>
      <c r="F47" s="70">
        <f>SUM(F43:F46)</f>
        <v>1738851.73333333</v>
      </c>
      <c r="G47" s="70">
        <f>SUM(G43:G46)</f>
        <v>939878.7500529001</v>
      </c>
      <c r="H47" s="70">
        <f>SUM(H43:H46)</f>
        <v>199395.52520504</v>
      </c>
      <c r="I47" s="70">
        <f>SUM(I43:I46)</f>
        <v>2878126.00859127</v>
      </c>
      <c r="J47" s="70"/>
    </row>
    <row r="48" ht="13" customHeight="1">
      <c r="A48" s="22"/>
      <c r="B48" s="70"/>
      <c r="C48" s="70"/>
      <c r="D48" s="70"/>
      <c r="E48" s="70"/>
      <c r="F48" s="70"/>
      <c r="G48" s="70"/>
      <c r="H48" s="70"/>
      <c r="I48" s="70"/>
      <c r="J48" s="70"/>
    </row>
    <row r="49" ht="13" customHeight="1">
      <c r="A49" t="s" s="28">
        <v>43</v>
      </c>
      <c r="B49" s="70"/>
      <c r="C49" s="70"/>
      <c r="D49" s="70"/>
      <c r="E49" s="70"/>
      <c r="F49" s="70"/>
      <c r="G49" s="70"/>
      <c r="H49" s="70"/>
      <c r="I49" s="70"/>
      <c r="J49" s="70"/>
    </row>
    <row r="50" ht="13" customHeight="1">
      <c r="A50" t="s" s="28">
        <v>187</v>
      </c>
      <c r="B50" s="70">
        <f>J46</f>
        <v>449326</v>
      </c>
      <c r="C50" s="70">
        <v>3196726</v>
      </c>
      <c r="D50" s="70">
        <v>1520.960634186</v>
      </c>
      <c r="E50" s="70">
        <f>SUM(B50:D50)</f>
        <v>3647572.96063419</v>
      </c>
      <c r="F50" s="70">
        <v>459203.3</v>
      </c>
      <c r="G50" s="70">
        <v>373814.7877275</v>
      </c>
      <c r="H50" s="70">
        <f>I50-F50-G50</f>
        <v>113188.87290669</v>
      </c>
      <c r="I50" s="70">
        <f>E50-J50</f>
        <v>946206.96063419</v>
      </c>
      <c r="J50" s="70">
        <f>'tab01'!D40</f>
        <v>2701366</v>
      </c>
    </row>
    <row r="51" ht="13" customHeight="1">
      <c r="A51" t="s" s="28">
        <v>188</v>
      </c>
      <c r="B51" s="70">
        <f>J50</f>
        <v>2701366</v>
      </c>
      <c r="C51" t="s" s="59">
        <v>167</v>
      </c>
      <c r="D51" s="70">
        <v>1910.4139815579</v>
      </c>
      <c r="E51" s="70">
        <f>SUM(B51:D51)</f>
        <v>2703276.41398156</v>
      </c>
      <c r="F51" s="70">
        <v>449817.453</v>
      </c>
      <c r="G51" s="70">
        <v>396317.3644815</v>
      </c>
      <c r="H51" s="70">
        <f>I51-F51-G51</f>
        <v>70254.59650006</v>
      </c>
      <c r="I51" s="70">
        <f>E51-J51</f>
        <v>916389.41398156</v>
      </c>
      <c r="J51" s="70">
        <f>'tab01'!D41</f>
        <v>1786887</v>
      </c>
    </row>
    <row r="52" ht="13" customHeight="1">
      <c r="A52" t="s" s="28">
        <v>184</v>
      </c>
      <c r="B52" s="70">
        <f>J51</f>
        <v>1786887</v>
      </c>
      <c r="C52" t="s" s="59">
        <v>167</v>
      </c>
      <c r="D52" s="70">
        <v>2568.6628165527</v>
      </c>
      <c r="E52" s="70">
        <f>SUM(B52:D52)</f>
        <v>1789455.66281655</v>
      </c>
      <c r="F52" s="70">
        <v>453227.996333333</v>
      </c>
      <c r="G52" s="70">
        <v>210005.310417</v>
      </c>
      <c r="H52" s="70">
        <f>I52-F52-G52</f>
        <v>34037.356066217</v>
      </c>
      <c r="I52" s="70">
        <f>E52-J52</f>
        <v>697270.66281655</v>
      </c>
      <c r="J52" s="70">
        <f>'tab01'!D42</f>
        <v>1092185</v>
      </c>
    </row>
    <row r="53" ht="13" customHeight="1">
      <c r="A53" t="s" s="28">
        <v>185</v>
      </c>
      <c r="B53" s="70">
        <f>J52</f>
        <v>1092185</v>
      </c>
      <c r="C53" t="s" s="59">
        <v>167</v>
      </c>
      <c r="D53" s="70">
        <v>3033.7137178719</v>
      </c>
      <c r="E53" s="70">
        <f>SUM(B53:D53)</f>
        <v>1095218.71371787</v>
      </c>
      <c r="F53" s="70">
        <v>445456.893</v>
      </c>
      <c r="G53" s="70">
        <v>136358.4060153</v>
      </c>
      <c r="H53" s="70">
        <f>I53-F53-G53</f>
        <v>-60406.58529743</v>
      </c>
      <c r="I53" s="70">
        <f>E53-J53</f>
        <v>521408.71371787</v>
      </c>
      <c r="J53" s="70">
        <f>'tab01'!D43</f>
        <v>573810</v>
      </c>
    </row>
    <row r="54" ht="13" customHeight="1">
      <c r="A54" t="s" s="28">
        <v>189</v>
      </c>
      <c r="B54" s="70"/>
      <c r="C54" s="70">
        <f>SUM(C50:C53)</f>
        <v>3196726</v>
      </c>
      <c r="D54" s="70">
        <f>SUM(D50:D53)</f>
        <v>9033.7511501685</v>
      </c>
      <c r="E54" s="70">
        <f>B50+D54+C54</f>
        <v>3655085.75115017</v>
      </c>
      <c r="F54" s="70">
        <f>SUM(F50:F53)</f>
        <v>1807705.64233333</v>
      </c>
      <c r="G54" s="70">
        <f>SUM(G50:G53)</f>
        <v>1116495.8686413</v>
      </c>
      <c r="H54" s="70">
        <f>SUM(H50:H53)</f>
        <v>157074.240175537</v>
      </c>
      <c r="I54" s="70">
        <f>SUM(I50:I53)</f>
        <v>3081275.75115017</v>
      </c>
      <c r="J54" s="70"/>
    </row>
    <row r="55" ht="13" customHeight="1">
      <c r="A55" s="22"/>
      <c r="B55" s="70"/>
      <c r="C55" s="70"/>
      <c r="D55" s="70"/>
      <c r="E55" s="70"/>
      <c r="F55" s="70"/>
      <c r="G55" s="70"/>
      <c r="H55" s="70"/>
      <c r="I55" s="70"/>
      <c r="J55" s="70"/>
    </row>
    <row r="56" ht="13" customHeight="1">
      <c r="A56" t="s" s="28">
        <v>44</v>
      </c>
      <c r="B56" s="70"/>
      <c r="C56" s="70"/>
      <c r="D56" s="70"/>
      <c r="E56" s="70"/>
      <c r="F56" s="70"/>
      <c r="G56" s="70"/>
      <c r="H56" s="70"/>
      <c r="I56" s="70"/>
      <c r="J56" s="70"/>
    </row>
    <row r="57" ht="13" customHeight="1">
      <c r="A57" t="s" s="28">
        <v>187</v>
      </c>
      <c r="B57" s="70">
        <f>J53</f>
        <v>573810</v>
      </c>
      <c r="C57" s="70">
        <f>'tab02'!E53</f>
        <v>2677117</v>
      </c>
      <c r="D57" s="70">
        <v>1568.744713725</v>
      </c>
      <c r="E57" s="70">
        <f>SUM(B57:D57)</f>
        <v>3252495.74471373</v>
      </c>
      <c r="F57" s="70">
        <v>467364.811</v>
      </c>
      <c r="G57" s="70">
        <v>328060.3566891</v>
      </c>
      <c r="H57" s="70">
        <f>I57-F57-G57</f>
        <v>96710.577024629994</v>
      </c>
      <c r="I57" s="70">
        <f>E57-J57</f>
        <v>892135.7447137299</v>
      </c>
      <c r="J57" s="70">
        <f>'tab01'!D45</f>
        <v>2360360</v>
      </c>
    </row>
    <row r="58" ht="13" customHeight="1">
      <c r="A58" t="s" s="28">
        <v>188</v>
      </c>
      <c r="B58" s="70">
        <f>J57</f>
        <v>2360360</v>
      </c>
      <c r="C58" t="s" s="59">
        <v>167</v>
      </c>
      <c r="D58" s="70">
        <v>3726.7765839738</v>
      </c>
      <c r="E58" s="70">
        <f>SUM(B58:D58)</f>
        <v>2364086.77658397</v>
      </c>
      <c r="F58" s="70">
        <v>471037.226666667</v>
      </c>
      <c r="G58" s="70">
        <v>431289.3200112</v>
      </c>
      <c r="H58" s="70">
        <f>I58-F58-G58</f>
        <v>27778.229906103</v>
      </c>
      <c r="I58" s="70">
        <f>E58-J58</f>
        <v>930104.7765839699</v>
      </c>
      <c r="J58" s="70">
        <f>'tab01'!D46</f>
        <v>1433982</v>
      </c>
    </row>
    <row r="59" ht="13" customHeight="1">
      <c r="A59" t="s" s="28">
        <v>184</v>
      </c>
      <c r="B59" s="70">
        <f>J58</f>
        <v>1433982</v>
      </c>
      <c r="C59" t="s" s="59">
        <v>167</v>
      </c>
      <c r="D59" s="70">
        <v>2237.1732070863</v>
      </c>
      <c r="E59" s="70">
        <f>SUM(B59:D59)</f>
        <v>1436219.17320709</v>
      </c>
      <c r="F59" s="70">
        <v>456013.5</v>
      </c>
      <c r="G59" s="70">
        <v>243753.1495812</v>
      </c>
      <c r="H59" s="70">
        <f>I59-F59-G59</f>
        <v>60309.52362589</v>
      </c>
      <c r="I59" s="70">
        <f>E59-J59</f>
        <v>760076.17320709</v>
      </c>
      <c r="J59" s="70">
        <f>'tab01'!D47</f>
        <v>676143</v>
      </c>
    </row>
    <row r="60" ht="13" customHeight="1">
      <c r="A60" t="s" s="28">
        <v>185</v>
      </c>
      <c r="B60" s="70">
        <f>J59</f>
        <v>676143</v>
      </c>
      <c r="C60" t="s" s="59">
        <v>167</v>
      </c>
      <c r="D60" s="70">
        <v>2338.1084081922</v>
      </c>
      <c r="E60" s="70">
        <f>SUM(B60:D60)</f>
        <v>678481.1084081921</v>
      </c>
      <c r="F60" s="70">
        <v>408991.8</v>
      </c>
      <c r="G60" s="70">
        <v>155726.2307475</v>
      </c>
      <c r="H60" s="70">
        <f>I60-F60-G60</f>
        <v>-91270.922339308</v>
      </c>
      <c r="I60" s="70">
        <f>E60-J60</f>
        <v>473447.108408192</v>
      </c>
      <c r="J60" s="70">
        <f>'tab01'!D48</f>
        <v>205034</v>
      </c>
    </row>
    <row r="61" ht="13" customHeight="1">
      <c r="A61" t="s" s="28">
        <v>189</v>
      </c>
      <c r="B61" s="70"/>
      <c r="C61" s="70">
        <f>SUM(C57:C60)</f>
        <v>2677117</v>
      </c>
      <c r="D61" s="70">
        <f>SUM(D57:D60)</f>
        <v>9870.8029129773</v>
      </c>
      <c r="E61" s="70">
        <f>B57+D61+C61</f>
        <v>3260797.80291298</v>
      </c>
      <c r="F61" s="70">
        <f>SUM(F57:F60)</f>
        <v>1803407.33766667</v>
      </c>
      <c r="G61" s="70">
        <f>SUM(G57:G60)</f>
        <v>1158829.057029</v>
      </c>
      <c r="H61" s="70">
        <f>SUM(H57:H60)</f>
        <v>93527.408217314995</v>
      </c>
      <c r="I61" s="70">
        <f>SUM(I57:I60)</f>
        <v>3055763.80291298</v>
      </c>
      <c r="J61" s="70"/>
    </row>
    <row r="62" ht="13.15" customHeight="1">
      <c r="A62" s="22"/>
      <c r="B62" s="70"/>
      <c r="C62" s="70"/>
      <c r="D62" s="70"/>
      <c r="E62" s="70"/>
      <c r="F62" s="70"/>
      <c r="G62" s="70"/>
      <c r="H62" s="70"/>
      <c r="I62" s="70"/>
      <c r="J62" s="70"/>
    </row>
    <row r="63" ht="13" customHeight="1">
      <c r="A63" t="s" s="28">
        <v>45</v>
      </c>
      <c r="B63" s="70"/>
      <c r="C63" s="70"/>
      <c r="D63" s="70"/>
      <c r="E63" s="70"/>
      <c r="F63" s="70"/>
      <c r="G63" s="70"/>
      <c r="H63" s="70"/>
      <c r="I63" s="70"/>
      <c r="J63" s="70"/>
    </row>
    <row r="64" ht="13" customHeight="1">
      <c r="A64" t="s" s="28">
        <v>187</v>
      </c>
      <c r="B64" s="70">
        <f>J60</f>
        <v>205034</v>
      </c>
      <c r="C64" s="70">
        <f>'tab02'!E54</f>
        <v>2967007</v>
      </c>
      <c r="D64" s="70">
        <v>2760.0435538011</v>
      </c>
      <c r="E64" s="70">
        <f>SUM(B64:D64)</f>
        <v>3174801.0435538</v>
      </c>
      <c r="F64" s="70">
        <v>420422.066666667</v>
      </c>
      <c r="G64" s="70">
        <v>386933.7216318</v>
      </c>
      <c r="H64" s="70">
        <f>I64-F64-G64</f>
        <v>92013.255255333</v>
      </c>
      <c r="I64" s="70">
        <f>E64-J64</f>
        <v>899369.0435538</v>
      </c>
      <c r="J64" s="70">
        <f>'tab01'!D50</f>
        <v>2275432</v>
      </c>
    </row>
    <row r="65" ht="13" customHeight="1">
      <c r="A65" t="s" s="28">
        <v>188</v>
      </c>
      <c r="B65" s="70">
        <f>J64</f>
        <v>2275432</v>
      </c>
      <c r="C65" t="s" s="59">
        <v>167</v>
      </c>
      <c r="D65" s="70">
        <v>4596.0753527766</v>
      </c>
      <c r="E65" s="70">
        <f>SUM(B65:D65)</f>
        <v>2280028.07535278</v>
      </c>
      <c r="F65" s="70">
        <v>421926.733333333</v>
      </c>
      <c r="G65" s="70">
        <v>482875.2701892</v>
      </c>
      <c r="H65" s="70">
        <f>I65-F65-G65</f>
        <v>73437.071830247</v>
      </c>
      <c r="I65" s="70">
        <f>E65-J65</f>
        <v>978239.0753527801</v>
      </c>
      <c r="J65" s="70">
        <f>'tab01'!D51</f>
        <v>1301789</v>
      </c>
    </row>
    <row r="66" ht="13" customHeight="1">
      <c r="A66" t="s" s="28">
        <v>184</v>
      </c>
      <c r="B66" s="70">
        <f>J65</f>
        <v>1301789</v>
      </c>
      <c r="C66" t="s" s="59">
        <v>167</v>
      </c>
      <c r="D66" s="70">
        <v>3771.817599333</v>
      </c>
      <c r="E66" s="70">
        <f>SUM(B66:D66)</f>
        <v>1305560.81759933</v>
      </c>
      <c r="F66" s="70">
        <v>430856.666666667</v>
      </c>
      <c r="G66" s="70">
        <v>243683.3732949</v>
      </c>
      <c r="H66" s="70">
        <f>I66-F66-G66</f>
        <v>34861.777637763</v>
      </c>
      <c r="I66" s="70">
        <f>E66-J66</f>
        <v>709401.81759933</v>
      </c>
      <c r="J66" s="70">
        <f>'tab01'!D52</f>
        <v>596159</v>
      </c>
    </row>
    <row r="67" ht="13" customHeight="1">
      <c r="A67" t="s" s="28">
        <v>185</v>
      </c>
      <c r="B67" s="70">
        <f>J66</f>
        <v>596159</v>
      </c>
      <c r="C67" t="s" s="59">
        <v>167</v>
      </c>
      <c r="D67" s="70">
        <v>2135.1931253835</v>
      </c>
      <c r="E67" s="70">
        <f>SUM(B67:D67)</f>
        <v>598294.193125384</v>
      </c>
      <c r="F67" s="70">
        <v>388716.6</v>
      </c>
      <c r="G67" s="70">
        <v>165801.2063127</v>
      </c>
      <c r="H67" s="70">
        <f>I67-F67-G67</f>
        <v>-94421.613187316</v>
      </c>
      <c r="I67" s="70">
        <f>E67-J67</f>
        <v>460096.193125384</v>
      </c>
      <c r="J67" s="70">
        <f>'tab01'!D53</f>
        <v>138198</v>
      </c>
    </row>
    <row r="68" ht="13" customHeight="1">
      <c r="A68" t="s" s="28">
        <v>189</v>
      </c>
      <c r="B68" s="70"/>
      <c r="C68" s="70">
        <f>SUM(C64:C67)</f>
        <v>2967007</v>
      </c>
      <c r="D68" s="70">
        <f>SUM(D64:D67)</f>
        <v>13263.1296312942</v>
      </c>
      <c r="E68" s="70">
        <f>B64+D68+C68</f>
        <v>3185304.12963129</v>
      </c>
      <c r="F68" s="70">
        <f>SUM(F64:F67)</f>
        <v>1661922.06666667</v>
      </c>
      <c r="G68" s="70">
        <f>SUM(G64:G67)</f>
        <v>1279293.5714286</v>
      </c>
      <c r="H68" s="70">
        <f>SUM(H64:H67)</f>
        <v>105890.491536027</v>
      </c>
      <c r="I68" s="70">
        <f>SUM(I64:I67)</f>
        <v>3047106.12963129</v>
      </c>
      <c r="J68" s="70"/>
    </row>
    <row r="69" ht="13" customHeight="1">
      <c r="A69" s="22"/>
      <c r="B69" s="70"/>
      <c r="C69" s="70"/>
      <c r="D69" s="70"/>
      <c r="E69" s="70"/>
      <c r="F69" s="70"/>
      <c r="G69" s="70"/>
      <c r="H69" s="70"/>
      <c r="I69" s="70"/>
      <c r="J69" s="70"/>
    </row>
    <row r="70" ht="13" customHeight="1">
      <c r="A70" t="s" s="28">
        <v>46</v>
      </c>
      <c r="B70" s="70"/>
      <c r="C70" s="70"/>
      <c r="D70" s="70"/>
      <c r="E70" s="70"/>
      <c r="F70" s="70"/>
      <c r="G70" s="70"/>
      <c r="H70" s="70"/>
      <c r="I70" s="70"/>
      <c r="J70" s="70"/>
    </row>
    <row r="71" ht="13" customHeight="1">
      <c r="A71" t="s" s="28">
        <v>187</v>
      </c>
      <c r="B71" s="70">
        <f>J67</f>
        <v>138198</v>
      </c>
      <c r="C71" s="70">
        <f>'tab02'!E55</f>
        <v>3360931</v>
      </c>
      <c r="D71" s="70">
        <v>3171.0505351308</v>
      </c>
      <c r="E71" s="70">
        <f>SUM(B71:D71)</f>
        <v>3502300.05053513</v>
      </c>
      <c r="F71" s="70">
        <v>445062.333333333</v>
      </c>
      <c r="G71" s="70">
        <v>535978.2575091</v>
      </c>
      <c r="H71" s="70">
        <f>I71-F71-G71</f>
        <v>182709.459692697</v>
      </c>
      <c r="I71" s="70">
        <f>E71-J71</f>
        <v>1163750.05053513</v>
      </c>
      <c r="J71" s="70">
        <f>'tab01'!D55</f>
        <v>2338550</v>
      </c>
    </row>
    <row r="72" ht="13" customHeight="1">
      <c r="A72" t="s" s="28">
        <v>188</v>
      </c>
      <c r="B72" s="70">
        <f>J71</f>
        <v>2338550</v>
      </c>
      <c r="C72" t="s" s="59">
        <v>167</v>
      </c>
      <c r="D72" s="70">
        <v>5609.5613607789</v>
      </c>
      <c r="E72" s="70">
        <f>SUM(B72:D72)</f>
        <v>2344159.56136078</v>
      </c>
      <c r="F72" s="70">
        <v>494208.206666667</v>
      </c>
      <c r="G72" s="70">
        <v>622287.1511619</v>
      </c>
      <c r="H72" s="70">
        <f>I72-F72-G72</f>
        <v>-42403.796467787</v>
      </c>
      <c r="I72" s="70">
        <f>E72-J72</f>
        <v>1074091.56136078</v>
      </c>
      <c r="J72" s="70">
        <f>'tab01'!D56</f>
        <v>1270068</v>
      </c>
    </row>
    <row r="73" ht="13" customHeight="1">
      <c r="A73" t="s" s="28">
        <v>184</v>
      </c>
      <c r="B73" s="70">
        <f>J72</f>
        <v>1270068</v>
      </c>
      <c r="C73" t="s" s="59">
        <v>167</v>
      </c>
      <c r="D73" s="70">
        <v>3181.7533502979</v>
      </c>
      <c r="E73" s="70">
        <f>SUM(B73:D73)</f>
        <v>1273249.7533503</v>
      </c>
      <c r="F73" s="70">
        <v>425468.538333333</v>
      </c>
      <c r="G73" s="70">
        <v>218940.7168704</v>
      </c>
      <c r="H73" s="70">
        <f>I73-F73-G73</f>
        <v>57717.498146567</v>
      </c>
      <c r="I73" s="70">
        <f>E73-J73</f>
        <v>702126.7533503</v>
      </c>
      <c r="J73" s="70">
        <f>'tab01'!D57</f>
        <v>571123</v>
      </c>
    </row>
    <row r="74" ht="13" customHeight="1">
      <c r="A74" t="s" s="28">
        <v>185</v>
      </c>
      <c r="B74" s="70">
        <f>J73</f>
        <v>571123</v>
      </c>
      <c r="C74" t="s" s="59">
        <v>167</v>
      </c>
      <c r="D74" s="70">
        <v>2625.7415824437</v>
      </c>
      <c r="E74" s="70">
        <f>SUM(B74:D74)</f>
        <v>573748.7415824441</v>
      </c>
      <c r="F74" s="70">
        <v>386947.19</v>
      </c>
      <c r="G74" s="70">
        <v>121841.9989689</v>
      </c>
      <c r="H74" s="70">
        <f>I74-F74-G74</f>
        <v>-85925.447386456</v>
      </c>
      <c r="I74" s="70">
        <f>E74-J74</f>
        <v>422863.741582444</v>
      </c>
      <c r="J74" s="70">
        <f>'tab01'!D58</f>
        <v>150885</v>
      </c>
    </row>
    <row r="75" ht="13" customHeight="1">
      <c r="A75" t="s" s="28">
        <v>190</v>
      </c>
      <c r="B75" s="70"/>
      <c r="C75" s="70">
        <f>SUM(C71:C74)</f>
        <v>3360931</v>
      </c>
      <c r="D75" s="70">
        <f>SUM(D71:D74)</f>
        <v>14588.1068286513</v>
      </c>
      <c r="E75" s="70">
        <f>B71+D75+C75</f>
        <v>3513717.10682865</v>
      </c>
      <c r="F75" s="70">
        <f>SUM(F71:F74)</f>
        <v>1751686.26833333</v>
      </c>
      <c r="G75" s="70">
        <f>SUM(G71:G74)</f>
        <v>1499048.1245103</v>
      </c>
      <c r="H75" s="70">
        <f>SUM(H71:H74)</f>
        <v>112097.713985021</v>
      </c>
      <c r="I75" s="70">
        <f>SUM(I71:I74)</f>
        <v>3362832.10682865</v>
      </c>
      <c r="J75" s="70"/>
    </row>
    <row r="76" ht="13" customHeight="1">
      <c r="A76" s="22"/>
      <c r="B76" s="70"/>
      <c r="C76" s="70"/>
      <c r="D76" s="70"/>
      <c r="E76" s="70"/>
      <c r="F76" s="70"/>
      <c r="G76" s="70"/>
      <c r="H76" s="70"/>
      <c r="I76" s="70"/>
      <c r="J76" s="70"/>
    </row>
    <row r="77" ht="13" customHeight="1">
      <c r="A77" t="s" s="28">
        <v>47</v>
      </c>
      <c r="B77" s="70"/>
      <c r="C77" s="70"/>
      <c r="D77" s="70"/>
      <c r="E77" s="70"/>
      <c r="F77" s="70"/>
      <c r="G77" s="70"/>
      <c r="H77" s="70"/>
      <c r="I77" s="70"/>
      <c r="J77" s="70"/>
    </row>
    <row r="78" ht="13" customHeight="1">
      <c r="A78" t="s" s="28">
        <v>187</v>
      </c>
      <c r="B78" s="70">
        <f>J74</f>
        <v>150885</v>
      </c>
      <c r="C78" s="70">
        <f>'tab02'!E56</f>
        <v>3331306</v>
      </c>
      <c r="D78" s="70">
        <v>3739.2416269929</v>
      </c>
      <c r="E78" s="70">
        <f>SUM(B78:D78)</f>
        <v>3485930.24162699</v>
      </c>
      <c r="F78" s="70">
        <v>442633.999666667</v>
      </c>
      <c r="G78" s="70">
        <v>622063.49226</v>
      </c>
      <c r="H78" s="70">
        <f>I78-F78-G78</f>
        <v>143148.749700323</v>
      </c>
      <c r="I78" s="70">
        <f>E78-J78</f>
        <v>1207846.24162699</v>
      </c>
      <c r="J78" s="70">
        <f>'tab01'!D60</f>
        <v>2278084</v>
      </c>
    </row>
    <row r="79" ht="13" customHeight="1">
      <c r="A79" t="s" s="28">
        <v>188</v>
      </c>
      <c r="B79" s="70">
        <f>J78</f>
        <v>2278084</v>
      </c>
      <c r="C79" t="s" s="59">
        <v>167</v>
      </c>
      <c r="D79" s="70">
        <v>4874.7842171721</v>
      </c>
      <c r="E79" s="70">
        <f>SUM(B79:D79)</f>
        <v>2282958.78421717</v>
      </c>
      <c r="F79" s="70">
        <v>430928.328333333</v>
      </c>
      <c r="G79" s="70">
        <v>550535.0091381</v>
      </c>
      <c r="H79" s="70">
        <f>I79-F79-G79</f>
        <v>52695.446745737</v>
      </c>
      <c r="I79" s="70">
        <f>E79-J79</f>
        <v>1034158.78421717</v>
      </c>
      <c r="J79" s="70">
        <f>'tab01'!D61</f>
        <v>1248800</v>
      </c>
    </row>
    <row r="80" ht="13" customHeight="1">
      <c r="A80" t="s" s="28">
        <v>184</v>
      </c>
      <c r="B80" s="70">
        <f>J79</f>
        <v>1248800</v>
      </c>
      <c r="C80" t="s" s="59">
        <v>167</v>
      </c>
      <c r="D80" s="70">
        <v>2933.2424794659</v>
      </c>
      <c r="E80" s="70">
        <f>SUM(B80:D80)</f>
        <v>1251733.24247947</v>
      </c>
      <c r="F80" s="70">
        <v>396293.866666667</v>
      </c>
      <c r="G80" s="70">
        <v>226853.1787158</v>
      </c>
      <c r="H80" s="70">
        <f>I80-F80-G80</f>
        <v>9303.197097003</v>
      </c>
      <c r="I80" s="70">
        <f>E80-J80</f>
        <v>632450.24247947</v>
      </c>
      <c r="J80" s="70">
        <f>'tab01'!D62</f>
        <v>619283</v>
      </c>
    </row>
    <row r="81" ht="13" customHeight="1">
      <c r="A81" t="s" s="28">
        <v>185</v>
      </c>
      <c r="B81" s="70">
        <f>J80</f>
        <v>619283</v>
      </c>
      <c r="C81" t="s" s="59">
        <v>167</v>
      </c>
      <c r="D81" s="70">
        <v>2901.8281592013</v>
      </c>
      <c r="E81" s="70">
        <f>SUM(B81:D81)</f>
        <v>622184.828159201</v>
      </c>
      <c r="F81" s="70">
        <v>378186.4</v>
      </c>
      <c r="G81" s="70">
        <v>105525.9589839</v>
      </c>
      <c r="H81" s="70">
        <f>I81-F81-G81</f>
        <v>-76540.530824699</v>
      </c>
      <c r="I81" s="70">
        <f>E81-J81</f>
        <v>407171.828159201</v>
      </c>
      <c r="J81" s="70">
        <f>'tab01'!D63</f>
        <v>215013</v>
      </c>
    </row>
    <row r="82" ht="13" customHeight="1">
      <c r="A82" t="s" s="28">
        <v>190</v>
      </c>
      <c r="B82" s="70"/>
      <c r="C82" s="70">
        <f>SUM(C78:C81)</f>
        <v>3331306</v>
      </c>
      <c r="D82" s="70">
        <f>SUM(D78:D81)</f>
        <v>14449.0964828322</v>
      </c>
      <c r="E82" s="70">
        <f>B78+D82+C82</f>
        <v>3496640.09648283</v>
      </c>
      <c r="F82" s="70">
        <f>SUM(F78:F81)</f>
        <v>1648042.59466667</v>
      </c>
      <c r="G82" s="70">
        <f>SUM(G78:G81)</f>
        <v>1504977.6390978</v>
      </c>
      <c r="H82" s="70">
        <f>SUM(H78:H81)</f>
        <v>128606.862718364</v>
      </c>
      <c r="I82" s="70">
        <f>SUM(I78:I81)</f>
        <v>3281627.09648283</v>
      </c>
      <c r="J82" s="70"/>
    </row>
    <row r="83" ht="13" customHeight="1">
      <c r="A83" s="22"/>
      <c r="B83" s="70"/>
      <c r="C83" s="70"/>
      <c r="D83" s="70"/>
      <c r="E83" s="70"/>
      <c r="F83" s="70"/>
      <c r="G83" s="70"/>
      <c r="H83" s="70"/>
      <c r="I83" s="70"/>
      <c r="J83" s="70"/>
    </row>
    <row r="84" ht="13" customHeight="1">
      <c r="A84" t="s" s="28">
        <v>48</v>
      </c>
      <c r="B84" s="70"/>
      <c r="C84" s="70"/>
      <c r="D84" s="70"/>
      <c r="E84" s="70"/>
      <c r="F84" s="70"/>
      <c r="G84" s="70"/>
      <c r="H84" s="70"/>
      <c r="I84" s="70"/>
      <c r="J84" s="70"/>
    </row>
    <row r="85" ht="13" customHeight="1">
      <c r="A85" t="s" s="28">
        <v>187</v>
      </c>
      <c r="B85" s="70">
        <f>J81</f>
        <v>215013</v>
      </c>
      <c r="C85" s="70">
        <f>'tab02'!E57</f>
        <v>3097179</v>
      </c>
      <c r="D85" s="70">
        <v>2844.1205983722</v>
      </c>
      <c r="E85" s="70">
        <f>SUM(B85:D85)</f>
        <v>3315036.12059837</v>
      </c>
      <c r="F85" t="s" s="59">
        <v>191</v>
      </c>
      <c r="G85" s="70">
        <v>424831.5045051</v>
      </c>
      <c r="H85" t="s" s="59">
        <v>191</v>
      </c>
      <c r="I85" s="70">
        <f>E85-J85</f>
        <v>945151.12059837</v>
      </c>
      <c r="J85" s="70">
        <f>'tab01'!D65</f>
        <v>2369885</v>
      </c>
    </row>
    <row r="86" ht="13" customHeight="1">
      <c r="A86" t="s" s="28">
        <v>188</v>
      </c>
      <c r="B86" s="70">
        <f>J85</f>
        <v>2369885</v>
      </c>
      <c r="C86" t="s" s="59">
        <v>167</v>
      </c>
      <c r="D86" s="70">
        <v>3141.6916574442</v>
      </c>
      <c r="E86" s="70">
        <f>SUM(B86:D86)</f>
        <v>2373026.69165744</v>
      </c>
      <c r="F86" t="s" s="59">
        <v>191</v>
      </c>
      <c r="G86" s="70">
        <v>479457.930785007</v>
      </c>
      <c r="H86" t="s" s="59">
        <v>191</v>
      </c>
      <c r="I86" s="70">
        <f>E86-J86</f>
        <v>998538.69165744</v>
      </c>
      <c r="J86" s="70">
        <f>'tab01'!D66</f>
        <v>1374488</v>
      </c>
    </row>
    <row r="87" ht="13" customHeight="1">
      <c r="A87" t="s" s="28">
        <v>184</v>
      </c>
      <c r="B87" s="70">
        <f>J86</f>
        <v>1374488</v>
      </c>
      <c r="C87" t="s" s="59">
        <v>167</v>
      </c>
      <c r="D87" s="70">
        <v>5330.7780169035</v>
      </c>
      <c r="E87" s="70">
        <f>SUM(B87:D87)</f>
        <v>1379818.7780169</v>
      </c>
      <c r="F87" t="s" s="59">
        <v>191</v>
      </c>
      <c r="G87" s="70">
        <v>256979.2281147</v>
      </c>
      <c r="H87" t="s" s="59">
        <v>191</v>
      </c>
      <c r="I87" s="70">
        <f>E87-J87</f>
        <v>712353.7780168999</v>
      </c>
      <c r="J87" s="70">
        <f>'tab01'!D67</f>
        <v>667465</v>
      </c>
    </row>
    <row r="88" ht="13" customHeight="1">
      <c r="A88" t="s" s="28">
        <v>185</v>
      </c>
      <c r="B88" s="70">
        <f>J87</f>
        <v>667465</v>
      </c>
      <c r="C88" t="s" s="59">
        <v>167</v>
      </c>
      <c r="D88" s="70">
        <v>4815.411431859</v>
      </c>
      <c r="E88" s="70">
        <f>SUM(B88:D88)</f>
        <v>672280.411431859</v>
      </c>
      <c r="F88" t="s" s="59">
        <v>191</v>
      </c>
      <c r="G88" s="70">
        <v>203982.318093002</v>
      </c>
      <c r="H88" t="s" s="59">
        <v>191</v>
      </c>
      <c r="I88" s="70">
        <f>E88-J88</f>
        <v>502910.411431859</v>
      </c>
      <c r="J88" s="70">
        <f>'tab01'!D68</f>
        <v>169370</v>
      </c>
    </row>
    <row r="89" ht="13" customHeight="1">
      <c r="A89" t="s" s="28">
        <v>190</v>
      </c>
      <c r="B89" s="70"/>
      <c r="C89" s="70">
        <f>SUM(C85:C88)</f>
        <v>3097179</v>
      </c>
      <c r="D89" s="70">
        <f>SUM(D85:D88)</f>
        <v>16132.0017045789</v>
      </c>
      <c r="E89" s="70">
        <f>B85+D89+C89</f>
        <v>3328324.00170458</v>
      </c>
      <c r="F89" s="70">
        <v>1703019</v>
      </c>
      <c r="G89" s="70">
        <f>SUM(G85:G88)</f>
        <v>1365250.98149781</v>
      </c>
      <c r="H89" s="70">
        <f>I89-F89-G89</f>
        <v>90684.02020676</v>
      </c>
      <c r="I89" s="70">
        <f>SUM(I85:I88)</f>
        <v>3158954.00170457</v>
      </c>
      <c r="J89" s="70"/>
    </row>
    <row r="90" ht="13" customHeight="1">
      <c r="A90" s="22"/>
      <c r="B90" s="70"/>
      <c r="C90" s="70"/>
      <c r="D90" s="70"/>
      <c r="E90" s="70"/>
      <c r="F90" s="70"/>
      <c r="G90" s="70"/>
      <c r="H90" s="70"/>
      <c r="I90" s="70"/>
      <c r="J90" s="70"/>
    </row>
    <row r="91" ht="13" customHeight="1">
      <c r="A91" t="s" s="28">
        <v>49</v>
      </c>
      <c r="B91" s="70"/>
      <c r="C91" s="70"/>
      <c r="D91" s="70"/>
      <c r="E91" s="70"/>
      <c r="F91" s="70"/>
      <c r="G91" s="70"/>
      <c r="H91" s="70"/>
      <c r="I91" s="70"/>
      <c r="J91" s="70"/>
    </row>
    <row r="92" ht="13" customHeight="1">
      <c r="A92" t="s" s="28">
        <v>187</v>
      </c>
      <c r="B92" s="70">
        <f>J88</f>
        <v>169370</v>
      </c>
      <c r="C92" s="70">
        <f>'tab02'!E58</f>
        <v>3042044</v>
      </c>
      <c r="D92" s="70">
        <v>4286.3493307698</v>
      </c>
      <c r="E92" s="70">
        <f>SUM(B92:D92)</f>
        <v>3215700.34933077</v>
      </c>
      <c r="F92" t="s" s="59">
        <v>191</v>
      </c>
      <c r="G92" s="70">
        <v>626178</v>
      </c>
      <c r="H92" t="s" s="59">
        <v>191</v>
      </c>
      <c r="I92" s="70">
        <f>E92-J92</f>
        <v>1249539.34933077</v>
      </c>
      <c r="J92" s="70">
        <f>'tab01'!D70</f>
        <v>1966161</v>
      </c>
    </row>
    <row r="93" ht="13" customHeight="1">
      <c r="A93" t="s" s="28">
        <v>188</v>
      </c>
      <c r="B93" s="70">
        <f>J92</f>
        <v>1966161</v>
      </c>
      <c r="C93" t="s" s="59">
        <v>167</v>
      </c>
      <c r="D93" s="70">
        <v>4718.1036423045</v>
      </c>
      <c r="E93" s="70">
        <f>SUM(B93:D93)</f>
        <v>1970879.1036423</v>
      </c>
      <c r="F93" t="s" s="59">
        <v>191</v>
      </c>
      <c r="G93" s="70">
        <v>522187</v>
      </c>
      <c r="H93" t="s" s="59">
        <v>191</v>
      </c>
      <c r="I93" s="70">
        <f>E93-J93</f>
        <v>972859.1036423</v>
      </c>
      <c r="J93" s="70">
        <f>'tab01'!D71</f>
        <v>998020</v>
      </c>
    </row>
    <row r="94" ht="13" customHeight="1">
      <c r="A94" t="s" s="28">
        <v>184</v>
      </c>
      <c r="B94" s="70">
        <f>J93</f>
        <v>998020</v>
      </c>
      <c r="C94" t="s" s="59">
        <v>167</v>
      </c>
      <c r="D94" s="70">
        <v>7837.8888527835</v>
      </c>
      <c r="E94" s="70">
        <f>SUM(B94:D94)</f>
        <v>1005857.88885278</v>
      </c>
      <c r="F94" t="s" s="59">
        <v>191</v>
      </c>
      <c r="G94" s="70">
        <v>128665</v>
      </c>
      <c r="H94" t="s" s="59">
        <v>191</v>
      </c>
      <c r="I94" s="70">
        <f>E94-J94</f>
        <v>571193.88885278</v>
      </c>
      <c r="J94" s="70">
        <f>'tab01'!D72</f>
        <v>434664</v>
      </c>
    </row>
    <row r="95" ht="13" customHeight="1">
      <c r="A95" t="s" s="28">
        <v>185</v>
      </c>
      <c r="B95" s="70">
        <f>J94</f>
        <v>434664</v>
      </c>
      <c r="C95" t="s" s="59">
        <v>167</v>
      </c>
      <c r="D95" s="70">
        <v>23674</v>
      </c>
      <c r="E95" s="70">
        <f>SUM(B95:D95)</f>
        <v>458338</v>
      </c>
      <c r="F95" t="s" s="59">
        <v>191</v>
      </c>
      <c r="G95" s="70">
        <v>50496</v>
      </c>
      <c r="H95" t="s" s="59">
        <v>191</v>
      </c>
      <c r="I95" s="70">
        <f>E95-J95</f>
        <v>317781</v>
      </c>
      <c r="J95" s="70">
        <f>'tab01'!D73</f>
        <v>140557</v>
      </c>
    </row>
    <row r="96" ht="13" customHeight="1">
      <c r="A96" t="s" s="28">
        <v>190</v>
      </c>
      <c r="B96" s="70"/>
      <c r="C96" s="70">
        <f>SUM(C92:C95)</f>
        <v>3042044</v>
      </c>
      <c r="D96" s="70">
        <f>SUM(D92:D95)</f>
        <v>40516.3418258578</v>
      </c>
      <c r="E96" s="70">
        <f>B92+D96+C96</f>
        <v>3251930.34182586</v>
      </c>
      <c r="F96" s="70">
        <v>1688903</v>
      </c>
      <c r="G96" s="70">
        <f>SUM(G92:G95)</f>
        <v>1327526</v>
      </c>
      <c r="H96" s="70">
        <f>I96-F96-G96</f>
        <v>94944.34182585</v>
      </c>
      <c r="I96" s="70">
        <f>SUM(I92:I95)</f>
        <v>3111373.34182585</v>
      </c>
      <c r="J96" s="70"/>
    </row>
    <row r="97" ht="13" customHeight="1">
      <c r="A97" s="22"/>
      <c r="B97" s="70"/>
      <c r="C97" s="70"/>
      <c r="D97" s="70"/>
      <c r="E97" s="70"/>
      <c r="F97" s="71"/>
      <c r="G97" s="70"/>
      <c r="H97" s="71"/>
      <c r="I97" s="70"/>
      <c r="J97" s="70"/>
    </row>
    <row r="98" ht="13" customHeight="1">
      <c r="A98" t="s" s="28">
        <v>50</v>
      </c>
      <c r="B98" s="70"/>
      <c r="C98" s="70"/>
      <c r="D98" s="70"/>
      <c r="E98" s="70"/>
      <c r="F98" s="71"/>
      <c r="G98" s="70"/>
      <c r="H98" s="71"/>
      <c r="I98" s="70"/>
      <c r="J98" s="70"/>
    </row>
    <row r="99" ht="13" customHeight="1">
      <c r="A99" t="s" s="28">
        <v>187</v>
      </c>
      <c r="B99" s="70">
        <f>J95</f>
        <v>140557</v>
      </c>
      <c r="C99" s="70">
        <f>'tab02'!E59</f>
        <v>3357004</v>
      </c>
      <c r="D99" s="70">
        <v>7488.2060411865</v>
      </c>
      <c r="E99" s="70">
        <f>SUM(B99:D99)</f>
        <v>3505049.20604119</v>
      </c>
      <c r="F99" t="s" s="59">
        <v>191</v>
      </c>
      <c r="G99" s="70">
        <v>676505.787628619</v>
      </c>
      <c r="H99" t="s" s="59">
        <v>191</v>
      </c>
      <c r="I99" s="70">
        <f>E99-J99</f>
        <v>1351428.20604119</v>
      </c>
      <c r="J99" s="70">
        <f>'tab01'!D75</f>
        <v>2153621</v>
      </c>
    </row>
    <row r="100" ht="13" customHeight="1">
      <c r="A100" t="s" s="28">
        <v>188</v>
      </c>
      <c r="B100" s="70">
        <f>J99</f>
        <v>2153621</v>
      </c>
      <c r="C100" t="s" s="59">
        <v>167</v>
      </c>
      <c r="D100" s="70">
        <v>8415.7309346565</v>
      </c>
      <c r="E100" s="70">
        <f>SUM(B100:D100)</f>
        <v>2162036.73093466</v>
      </c>
      <c r="F100" t="s" s="59">
        <v>191</v>
      </c>
      <c r="G100" s="70">
        <v>712229.046589362</v>
      </c>
      <c r="H100" t="s" s="59">
        <v>191</v>
      </c>
      <c r="I100" s="70">
        <f>E100-J100</f>
        <v>1168208.73093466</v>
      </c>
      <c r="J100" s="70">
        <f>'tab01'!D76</f>
        <v>993828</v>
      </c>
    </row>
    <row r="101" ht="13" customHeight="1">
      <c r="A101" t="s" s="28">
        <v>184</v>
      </c>
      <c r="B101" s="70">
        <f>J100</f>
        <v>993828</v>
      </c>
      <c r="C101" t="s" s="59">
        <v>167</v>
      </c>
      <c r="D101" s="70">
        <v>25586.9457776163</v>
      </c>
      <c r="E101" s="70">
        <f>SUM(B101:D101)</f>
        <v>1019414.94577762</v>
      </c>
      <c r="F101" t="s" s="59">
        <v>191</v>
      </c>
      <c r="G101" s="70">
        <v>192044.265087518</v>
      </c>
      <c r="H101" t="s" s="59">
        <v>191</v>
      </c>
      <c r="I101" s="70">
        <f>E101-J101</f>
        <v>614369.94577762</v>
      </c>
      <c r="J101" s="70">
        <f>'tab01'!D77</f>
        <v>405045</v>
      </c>
    </row>
    <row r="102" ht="13" customHeight="1">
      <c r="A102" t="s" s="28">
        <v>185</v>
      </c>
      <c r="B102" s="70">
        <f>J101</f>
        <v>405045</v>
      </c>
      <c r="C102" t="s" s="59">
        <v>167</v>
      </c>
      <c r="D102" s="70">
        <v>30286.1634153267</v>
      </c>
      <c r="E102" s="70">
        <f>SUM(B102:D102)</f>
        <v>435331.163415327</v>
      </c>
      <c r="F102" t="s" s="59">
        <v>191</v>
      </c>
      <c r="G102" s="70">
        <v>57779.840463681</v>
      </c>
      <c r="H102" t="s" s="59">
        <v>191</v>
      </c>
      <c r="I102" s="70">
        <f>E102-J102</f>
        <v>343340.163415327</v>
      </c>
      <c r="J102" s="70">
        <f>'tab01'!D78</f>
        <v>91991</v>
      </c>
    </row>
    <row r="103" ht="13" customHeight="1">
      <c r="A103" t="s" s="28">
        <v>190</v>
      </c>
      <c r="B103" s="70"/>
      <c r="C103" s="70">
        <f>SUM(C99:C102)</f>
        <v>3357004</v>
      </c>
      <c r="D103" s="70">
        <f>SUM(D99:D102)</f>
        <v>71777.046168785993</v>
      </c>
      <c r="E103" s="70">
        <f>B99+D103+C103</f>
        <v>3569338.04616879</v>
      </c>
      <c r="F103" s="70">
        <v>1733888</v>
      </c>
      <c r="G103" s="70">
        <f>SUM(G99:G102)</f>
        <v>1638558.93976918</v>
      </c>
      <c r="H103" s="70">
        <f>I103-F103-G103</f>
        <v>104900.10639962</v>
      </c>
      <c r="I103" s="70">
        <f>SUM(I99:I102)</f>
        <v>3477347.0461688</v>
      </c>
      <c r="J103" s="70"/>
    </row>
    <row r="104" ht="13" customHeight="1">
      <c r="A104" s="22"/>
      <c r="B104" s="70"/>
      <c r="C104" s="70"/>
      <c r="D104" s="70"/>
      <c r="E104" s="70"/>
      <c r="F104" s="70"/>
      <c r="G104" s="70"/>
      <c r="H104" s="70"/>
      <c r="I104" s="70"/>
      <c r="J104" s="70"/>
    </row>
    <row r="105" ht="13" customHeight="1">
      <c r="A105" t="s" s="28">
        <v>51</v>
      </c>
      <c r="B105" s="70"/>
      <c r="C105" s="70"/>
      <c r="D105" s="70"/>
      <c r="E105" s="70"/>
      <c r="F105" s="71"/>
      <c r="G105" s="70"/>
      <c r="H105" s="71"/>
      <c r="I105" s="70"/>
      <c r="J105" s="70"/>
    </row>
    <row r="106" ht="13" customHeight="1">
      <c r="A106" t="s" s="28">
        <v>187</v>
      </c>
      <c r="B106" s="70">
        <f>J102</f>
        <v>91991</v>
      </c>
      <c r="C106" s="70">
        <f>'tab02'!E60</f>
        <v>3928070</v>
      </c>
      <c r="D106" s="70">
        <v>7626.5134432809</v>
      </c>
      <c r="E106" s="70">
        <f>SUM(B106:D106)</f>
        <v>4027687.51344328</v>
      </c>
      <c r="F106" t="s" s="59">
        <v>191</v>
      </c>
      <c r="G106" s="70">
        <v>812568.949710342</v>
      </c>
      <c r="H106" t="s" s="59">
        <v>191</v>
      </c>
      <c r="I106" s="70">
        <f>E106-J106</f>
        <v>1499943.51344328</v>
      </c>
      <c r="J106" s="70">
        <f>'tab01'!D80</f>
        <v>2527744</v>
      </c>
    </row>
    <row r="107" ht="13" customHeight="1">
      <c r="A107" t="s" s="28">
        <v>188</v>
      </c>
      <c r="B107" s="70">
        <f>J106</f>
        <v>2527744</v>
      </c>
      <c r="C107" t="s" s="59">
        <v>167</v>
      </c>
      <c r="D107" s="70">
        <v>8698.935868415099</v>
      </c>
      <c r="E107" s="70">
        <f>SUM(B107:D107)</f>
        <v>2536442.93586842</v>
      </c>
      <c r="F107" t="s" s="59">
        <v>191</v>
      </c>
      <c r="G107" s="70">
        <v>725406.552229571</v>
      </c>
      <c r="H107" t="s" s="59">
        <v>191</v>
      </c>
      <c r="I107" s="70">
        <f>E107-J107</f>
        <v>1209843.93586842</v>
      </c>
      <c r="J107" s="70">
        <f>'tab01'!D81</f>
        <v>1326599</v>
      </c>
    </row>
    <row r="108" ht="13" customHeight="1">
      <c r="A108" t="s" s="28">
        <v>184</v>
      </c>
      <c r="B108" s="70">
        <f>J107</f>
        <v>1326599</v>
      </c>
      <c r="C108" t="s" s="59">
        <v>167</v>
      </c>
      <c r="D108" s="70">
        <v>8256.071107105499</v>
      </c>
      <c r="E108" s="70">
        <f>SUM(B108:D108)</f>
        <v>1334855.07110711</v>
      </c>
      <c r="F108" t="s" s="59">
        <v>191</v>
      </c>
      <c r="G108" s="70">
        <v>187766.048644049</v>
      </c>
      <c r="H108" t="s" s="59">
        <v>191</v>
      </c>
      <c r="I108" s="70">
        <f>E108-J108</f>
        <v>707787.07110711</v>
      </c>
      <c r="J108" s="70">
        <f>'tab01'!D82</f>
        <v>627068</v>
      </c>
    </row>
    <row r="109" ht="13" customHeight="1">
      <c r="A109" t="s" s="28">
        <v>185</v>
      </c>
      <c r="B109" s="70">
        <f>J108</f>
        <v>627068</v>
      </c>
      <c r="C109" t="s" s="59">
        <v>167</v>
      </c>
      <c r="D109" s="70">
        <v>8663.341180657801</v>
      </c>
      <c r="E109" s="70">
        <f>SUM(B109:D109)</f>
        <v>635731.341180658</v>
      </c>
      <c r="F109" s="70">
        <v>451978.8</v>
      </c>
      <c r="G109" s="70">
        <v>116681.142008928</v>
      </c>
      <c r="H109" s="70">
        <f>I109-F109-G109</f>
        <v>-123538.60082827</v>
      </c>
      <c r="I109" s="70">
        <f>E109-J109</f>
        <v>445121.341180658</v>
      </c>
      <c r="J109" s="70">
        <f>'tab01'!D83</f>
        <v>190610</v>
      </c>
    </row>
    <row r="110" ht="13" customHeight="1">
      <c r="A110" t="s" s="28">
        <v>190</v>
      </c>
      <c r="B110" s="70"/>
      <c r="C110" s="70">
        <f>SUM(C106:C109)</f>
        <v>3928070</v>
      </c>
      <c r="D110" s="70">
        <f>SUM(D106:D109)</f>
        <v>33244.8615994593</v>
      </c>
      <c r="E110" s="70">
        <f>B106+D110+C110</f>
        <v>4053305.86159946</v>
      </c>
      <c r="F110" s="70">
        <v>1873493.78515879</v>
      </c>
      <c r="G110" s="70">
        <f>SUM(G106:G109)</f>
        <v>1842422.69259289</v>
      </c>
      <c r="H110" s="70">
        <f>I110-F110-G110</f>
        <v>146779.38384779</v>
      </c>
      <c r="I110" s="70">
        <f>SUM(I106:I109)</f>
        <v>3862695.86159947</v>
      </c>
      <c r="J110" s="70"/>
    </row>
    <row r="111" ht="13" customHeight="1">
      <c r="A111" s="22"/>
      <c r="B111" s="70"/>
      <c r="C111" s="70"/>
      <c r="D111" s="70"/>
      <c r="E111" s="70"/>
      <c r="F111" s="70"/>
      <c r="G111" s="70"/>
      <c r="H111" s="70"/>
      <c r="I111" s="70"/>
      <c r="J111" s="70"/>
    </row>
    <row r="112" ht="13" customHeight="1">
      <c r="A112" t="s" s="28">
        <v>52</v>
      </c>
      <c r="B112" s="70"/>
      <c r="C112" s="70"/>
      <c r="D112" s="70"/>
      <c r="E112" s="70"/>
      <c r="F112" s="70"/>
      <c r="G112" s="70"/>
      <c r="H112" s="70"/>
      <c r="I112" s="70"/>
      <c r="J112" s="70"/>
    </row>
    <row r="113" ht="13" customHeight="1">
      <c r="A113" t="s" s="28">
        <v>192</v>
      </c>
      <c r="B113" s="70"/>
      <c r="C113" s="70"/>
      <c r="D113" s="70">
        <v>2448.1465302798</v>
      </c>
      <c r="E113" s="70"/>
      <c r="F113" s="70">
        <f>4036.896*2000/60</f>
        <v>134563.2</v>
      </c>
      <c r="G113" s="70">
        <v>86331.8810994192</v>
      </c>
      <c r="H113" s="70"/>
      <c r="I113" s="70"/>
      <c r="J113" s="70"/>
    </row>
    <row r="114" ht="13" customHeight="1">
      <c r="A114" t="s" s="28">
        <v>193</v>
      </c>
      <c r="B114" s="70"/>
      <c r="C114" s="70"/>
      <c r="D114" s="70">
        <v>2214.0286076622</v>
      </c>
      <c r="E114" s="70"/>
      <c r="F114" s="70">
        <f>5104.01*2000/60</f>
        <v>170133.666666667</v>
      </c>
      <c r="G114" s="70">
        <v>368108.326689443</v>
      </c>
      <c r="H114" s="70"/>
      <c r="I114" s="70"/>
      <c r="J114" s="70"/>
    </row>
    <row r="115" ht="13" customHeight="1">
      <c r="A115" t="s" s="28">
        <v>194</v>
      </c>
      <c r="B115" s="70"/>
      <c r="C115" s="70"/>
      <c r="D115" s="70">
        <v>1842.7726512027</v>
      </c>
      <c r="E115" s="70"/>
      <c r="F115" s="70">
        <f>4973.534*2000/60</f>
        <v>165784.466666667</v>
      </c>
      <c r="G115" s="70">
        <v>336912.875932422</v>
      </c>
      <c r="H115" s="70"/>
      <c r="I115" s="70"/>
      <c r="J115" s="70"/>
    </row>
    <row r="116" ht="13" customHeight="1">
      <c r="A116" t="s" s="28">
        <v>187</v>
      </c>
      <c r="B116" s="70">
        <f>J109</f>
        <v>190610</v>
      </c>
      <c r="C116" s="70">
        <f>'tab02'!E61</f>
        <v>3926779</v>
      </c>
      <c r="D116" s="70">
        <f>D113+D114+D115</f>
        <v>6504.9477891447</v>
      </c>
      <c r="E116" s="70">
        <f>SUM(B116:D116)</f>
        <v>4123893.94778914</v>
      </c>
      <c r="F116" s="70">
        <f>F113+F114+F115</f>
        <v>470481.333333334</v>
      </c>
      <c r="G116" s="70">
        <f>G113+G114+G115</f>
        <v>791353.0837212841</v>
      </c>
      <c r="H116" s="70">
        <f>I116-F116-G116</f>
        <v>147982.530734522</v>
      </c>
      <c r="I116" s="70">
        <f>E116-J116</f>
        <v>1409816.94778914</v>
      </c>
      <c r="J116" s="70">
        <f>'tab01'!D85</f>
        <v>2714077</v>
      </c>
    </row>
    <row r="117" ht="13" customHeight="1">
      <c r="A117" t="s" s="28">
        <v>195</v>
      </c>
      <c r="B117" s="70"/>
      <c r="C117" s="70"/>
      <c r="D117" s="70">
        <v>2144.566994409</v>
      </c>
      <c r="E117" s="70"/>
      <c r="F117" s="70">
        <f>5011.324*2000/60</f>
        <v>167044.133333333</v>
      </c>
      <c r="G117" s="70">
        <v>249794.177844292</v>
      </c>
      <c r="H117" s="70"/>
      <c r="I117" s="70"/>
      <c r="J117" s="70"/>
    </row>
    <row r="118" ht="13" customHeight="1">
      <c r="A118" t="s" s="28">
        <v>196</v>
      </c>
      <c r="B118" s="70"/>
      <c r="C118" s="70"/>
      <c r="D118" s="70">
        <v>2859.6502864335</v>
      </c>
      <c r="E118" s="70"/>
      <c r="F118" s="70">
        <f>4814.044*2000/60</f>
        <v>160468.133333333</v>
      </c>
      <c r="G118" s="70">
        <v>223610.147492831</v>
      </c>
      <c r="H118" s="70"/>
      <c r="I118" s="70"/>
      <c r="J118" s="70"/>
    </row>
    <row r="119" ht="13" customHeight="1">
      <c r="A119" t="s" s="28">
        <v>197</v>
      </c>
      <c r="B119" s="70"/>
      <c r="C119" s="70"/>
      <c r="D119" s="70">
        <v>1242.3071425464</v>
      </c>
      <c r="E119" s="70"/>
      <c r="F119" s="70">
        <f>4638.663*2000/60</f>
        <v>154622.1</v>
      </c>
      <c r="G119" s="70">
        <v>208885.593338411</v>
      </c>
      <c r="H119" s="70"/>
      <c r="I119" s="70"/>
      <c r="J119" s="70"/>
    </row>
    <row r="120" ht="13" customHeight="1">
      <c r="A120" t="s" s="28">
        <v>188</v>
      </c>
      <c r="B120" s="70">
        <f>J116</f>
        <v>2714077</v>
      </c>
      <c r="C120" t="s" s="59">
        <v>167</v>
      </c>
      <c r="D120" s="70">
        <f>D117+D118+D119</f>
        <v>6246.5244233889</v>
      </c>
      <c r="E120" s="70">
        <f>SUM(B120:D120)</f>
        <v>2720323.52442339</v>
      </c>
      <c r="F120" s="70">
        <f>F117+F118+F119</f>
        <v>482134.366666666</v>
      </c>
      <c r="G120" s="70">
        <f>G117+G118+G119</f>
        <v>682289.918675534</v>
      </c>
      <c r="H120" s="70">
        <f>I120-F120-G120</f>
        <v>24993.23908119</v>
      </c>
      <c r="I120" s="70">
        <f>E120-J120</f>
        <v>1189417.52442339</v>
      </c>
      <c r="J120" s="70">
        <f>'tab01'!D86</f>
        <v>1530906</v>
      </c>
    </row>
    <row r="121" ht="13" customHeight="1">
      <c r="A121" t="s" s="28">
        <v>198</v>
      </c>
      <c r="B121" s="70"/>
      <c r="C121" s="70"/>
      <c r="D121" s="70">
        <v>2495.6786215242</v>
      </c>
      <c r="E121" s="70"/>
      <c r="F121" s="70">
        <f>4991.626*2000/60</f>
        <v>166387.533333333</v>
      </c>
      <c r="G121" s="70">
        <v>97067.288810268</v>
      </c>
      <c r="H121" s="70"/>
      <c r="I121" s="70"/>
      <c r="J121" s="70"/>
    </row>
    <row r="122" ht="13" customHeight="1">
      <c r="A122" t="s" s="28">
        <v>199</v>
      </c>
      <c r="B122" s="70"/>
      <c r="C122" s="70"/>
      <c r="D122" s="70">
        <v>1828.4996711688</v>
      </c>
      <c r="E122" s="70"/>
      <c r="F122" s="70">
        <f>4745.09*2000/60</f>
        <v>158169.666666667</v>
      </c>
      <c r="G122" s="70">
        <v>49977.14931972</v>
      </c>
      <c r="H122" s="70"/>
      <c r="I122" s="70"/>
      <c r="J122" s="70"/>
    </row>
    <row r="123" ht="13" customHeight="1">
      <c r="A123" t="s" s="28">
        <v>200</v>
      </c>
      <c r="B123" s="70"/>
      <c r="C123" s="70"/>
      <c r="D123" s="70">
        <v>829.7104082925</v>
      </c>
      <c r="E123" s="70"/>
      <c r="F123" s="70">
        <f>4825.833*2000/60</f>
        <v>160861.1</v>
      </c>
      <c r="G123" s="70">
        <v>32603.9077668486</v>
      </c>
      <c r="H123" s="70"/>
      <c r="I123" s="70"/>
      <c r="J123" s="70"/>
    </row>
    <row r="124" ht="13" customHeight="1">
      <c r="A124" t="s" s="28">
        <v>184</v>
      </c>
      <c r="B124" s="70">
        <f>J120</f>
        <v>1530906</v>
      </c>
      <c r="C124" t="s" s="59">
        <v>167</v>
      </c>
      <c r="D124" s="70">
        <f>D121+D122+D123</f>
        <v>5153.8887009855</v>
      </c>
      <c r="E124" s="70">
        <f>SUM(B124:D124)</f>
        <v>1536059.88870099</v>
      </c>
      <c r="F124" s="70">
        <f>F121+F122+F123</f>
        <v>485418.3</v>
      </c>
      <c r="G124" s="70">
        <f>G121+G122+G123</f>
        <v>179648.345896837</v>
      </c>
      <c r="H124" s="70">
        <f>I124-F124-G124</f>
        <v>-787.757195847</v>
      </c>
      <c r="I124" s="70">
        <f>E124-J124</f>
        <v>664278.88870099</v>
      </c>
      <c r="J124" s="70">
        <f>'tab01'!D87</f>
        <v>871781</v>
      </c>
    </row>
    <row r="125" ht="13" customHeight="1">
      <c r="A125" t="s" s="28">
        <v>201</v>
      </c>
      <c r="B125" s="70"/>
      <c r="C125" s="70"/>
      <c r="D125" s="70">
        <v>2389.5244555014</v>
      </c>
      <c r="E125" s="70"/>
      <c r="F125" s="70">
        <f>4623.752*2000/60</f>
        <v>154125.066666667</v>
      </c>
      <c r="G125" s="70">
        <v>38656.9949815875</v>
      </c>
      <c r="H125" s="70"/>
      <c r="I125" s="70"/>
      <c r="J125" s="70"/>
    </row>
    <row r="126" ht="13" customHeight="1">
      <c r="A126" t="s" s="28">
        <v>202</v>
      </c>
      <c r="B126" s="70"/>
      <c r="C126" s="70"/>
      <c r="D126" s="70">
        <v>1433.572357602</v>
      </c>
      <c r="E126" s="70"/>
      <c r="F126" s="70">
        <f>4603.543*2000/60</f>
        <v>153451.433333333</v>
      </c>
      <c r="G126" s="70">
        <v>97796.7438126483</v>
      </c>
      <c r="H126" s="70"/>
      <c r="I126" s="70"/>
      <c r="J126" s="70"/>
    </row>
    <row r="127" ht="13" customHeight="1">
      <c r="A127" t="s" s="28">
        <v>203</v>
      </c>
      <c r="B127" s="70"/>
      <c r="C127" s="70"/>
      <c r="D127" s="70">
        <v>1812.4517867064</v>
      </c>
      <c r="E127" s="70"/>
      <c r="F127" s="70">
        <f>4218.789*2000/60</f>
        <v>140626.3</v>
      </c>
      <c r="G127" s="70">
        <v>152893.557097707</v>
      </c>
      <c r="H127" s="70"/>
      <c r="I127" s="70"/>
      <c r="J127" s="70"/>
    </row>
    <row r="128" ht="13" customHeight="1">
      <c r="A128" t="s" s="28">
        <v>185</v>
      </c>
      <c r="B128" s="70">
        <f>J124</f>
        <v>871781</v>
      </c>
      <c r="C128" t="s" s="59">
        <v>167</v>
      </c>
      <c r="D128" s="70">
        <f>D125+D126+D127</f>
        <v>5635.5485998098</v>
      </c>
      <c r="E128" s="70">
        <f>SUM(B128:D128)</f>
        <v>877416.54859981</v>
      </c>
      <c r="F128" s="70">
        <f>F125+F126+F127</f>
        <v>448202.8</v>
      </c>
      <c r="G128" s="70">
        <f>G125+G126+G127</f>
        <v>289347.295891943</v>
      </c>
      <c r="H128" s="70">
        <f>I128-F128-G128</f>
        <v>-56862.547292133</v>
      </c>
      <c r="I128" s="70">
        <f>E128-J128</f>
        <v>680687.54859981</v>
      </c>
      <c r="J128" s="70">
        <f>'tab01'!D88</f>
        <v>196729</v>
      </c>
    </row>
    <row r="129" ht="13" customHeight="1">
      <c r="A129" t="s" s="28">
        <v>190</v>
      </c>
      <c r="B129" s="70"/>
      <c r="C129" s="70">
        <f>SUM(C116:C128)</f>
        <v>3926779</v>
      </c>
      <c r="D129" s="70">
        <f>D116+D120+D124+D128</f>
        <v>23540.9095133289</v>
      </c>
      <c r="E129" s="70">
        <f>B116+D129+C129</f>
        <v>4140929.90951333</v>
      </c>
      <c r="F129" s="70">
        <f>F116+F120+F124+F128</f>
        <v>1886236.8</v>
      </c>
      <c r="G129" s="70">
        <f>G116+G120+G124+G128</f>
        <v>1942638.6441856</v>
      </c>
      <c r="H129" s="70">
        <f>H116+H120+H124+H128</f>
        <v>115325.465327732</v>
      </c>
      <c r="I129" s="70">
        <f>I116+I120+I124+I128</f>
        <v>3944200.90951333</v>
      </c>
      <c r="J129" s="70"/>
    </row>
    <row r="130" ht="13" customHeight="1">
      <c r="A130" s="22"/>
      <c r="B130" s="70"/>
      <c r="C130" s="70"/>
      <c r="D130" s="70"/>
      <c r="E130" s="70"/>
      <c r="F130" s="70"/>
      <c r="G130" s="70"/>
      <c r="H130" s="70"/>
      <c r="I130" s="70"/>
      <c r="J130" s="70"/>
    </row>
    <row r="131" ht="13" customHeight="1">
      <c r="A131" t="s" s="28">
        <v>53</v>
      </c>
      <c r="B131" s="70"/>
      <c r="C131" s="70"/>
      <c r="D131" s="70"/>
      <c r="E131" s="70"/>
      <c r="F131" s="70"/>
      <c r="G131" s="70"/>
      <c r="H131" s="70"/>
      <c r="I131" s="70"/>
      <c r="J131" s="70"/>
    </row>
    <row r="132" ht="13" customHeight="1">
      <c r="A132" t="s" s="28">
        <v>192</v>
      </c>
      <c r="B132" s="70"/>
      <c r="C132" s="70"/>
      <c r="D132" s="70">
        <v>2308.2878459151</v>
      </c>
      <c r="E132" s="70"/>
      <c r="F132" s="70">
        <f>4148.008*2000/60</f>
        <v>138266.933333333</v>
      </c>
      <c r="G132" s="70">
        <v>137740.791385819</v>
      </c>
      <c r="H132" s="70"/>
      <c r="I132" s="70"/>
      <c r="J132" s="70"/>
    </row>
    <row r="133" ht="13" customHeight="1">
      <c r="A133" t="s" s="28">
        <v>193</v>
      </c>
      <c r="B133" s="70"/>
      <c r="C133" s="70"/>
      <c r="D133" s="70">
        <v>1773.0930008337</v>
      </c>
      <c r="E133" s="70"/>
      <c r="F133" s="70">
        <f>5276.415*2000/60</f>
        <v>175880.5</v>
      </c>
      <c r="G133" s="70">
        <v>410399.208050269</v>
      </c>
      <c r="H133" s="70"/>
      <c r="I133" s="70"/>
      <c r="J133" s="70"/>
    </row>
    <row r="134" ht="13" customHeight="1">
      <c r="A134" t="s" s="28">
        <v>194</v>
      </c>
      <c r="B134" s="70"/>
      <c r="C134" s="70"/>
      <c r="D134" s="70">
        <v>1382.3862523674</v>
      </c>
      <c r="E134" s="70"/>
      <c r="F134" s="70">
        <f>5122.038*2000/60</f>
        <v>170734.6</v>
      </c>
      <c r="G134" s="70">
        <v>380766.73181307</v>
      </c>
      <c r="H134" s="70"/>
      <c r="I134" s="70"/>
      <c r="J134" s="70"/>
    </row>
    <row r="135" ht="13" customHeight="1">
      <c r="A135" t="s" s="28">
        <v>187</v>
      </c>
      <c r="B135" s="70">
        <f>J128</f>
        <v>196729</v>
      </c>
      <c r="C135" s="70">
        <f>'tab02'!E62</f>
        <v>4296496</v>
      </c>
      <c r="D135" s="70">
        <f>D132+D133+D134</f>
        <v>5463.7670991162</v>
      </c>
      <c r="E135" s="70">
        <f>SUM(B135:D135)</f>
        <v>4498688.76709912</v>
      </c>
      <c r="F135" s="70">
        <f>F132+F133+F134</f>
        <v>484882.033333333</v>
      </c>
      <c r="G135" s="70">
        <f>G132+G133+G134</f>
        <v>928906.731249158</v>
      </c>
      <c r="H135" s="70">
        <f>I135-F135-G135</f>
        <v>185844.002516629</v>
      </c>
      <c r="I135" s="70">
        <f>E135-J135</f>
        <v>1599632.76709912</v>
      </c>
      <c r="J135" s="70">
        <f>'tab01'!D90</f>
        <v>2899056</v>
      </c>
    </row>
    <row r="136" ht="13" customHeight="1">
      <c r="A136" t="s" s="28">
        <v>195</v>
      </c>
      <c r="B136" s="70"/>
      <c r="C136" s="70"/>
      <c r="D136" s="70">
        <v>1171.241446326</v>
      </c>
      <c r="E136" s="70"/>
      <c r="F136" s="70">
        <f>5071.493*2000/60</f>
        <v>169049.766666667</v>
      </c>
      <c r="G136" s="70">
        <v>293211.86903035</v>
      </c>
      <c r="H136" s="70"/>
      <c r="I136" s="70"/>
      <c r="J136" s="70"/>
    </row>
    <row r="137" ht="13" customHeight="1">
      <c r="A137" t="s" s="28">
        <v>196</v>
      </c>
      <c r="B137" s="70"/>
      <c r="C137" s="70"/>
      <c r="D137" s="70">
        <v>3212.977154478</v>
      </c>
      <c r="E137" s="70"/>
      <c r="F137" s="70">
        <f>5139.706*2000/60</f>
        <v>171323.533333333</v>
      </c>
      <c r="G137" s="70">
        <v>257791.513264192</v>
      </c>
      <c r="H137" s="70"/>
      <c r="I137" s="70"/>
      <c r="J137" s="70"/>
    </row>
    <row r="138" ht="13" customHeight="1">
      <c r="A138" t="s" s="28">
        <v>197</v>
      </c>
      <c r="B138" s="70"/>
      <c r="C138" s="70"/>
      <c r="D138" s="70">
        <v>2258.4492056469</v>
      </c>
      <c r="E138" s="70"/>
      <c r="F138" s="70">
        <f>4542.336*2000/60</f>
        <v>151411.2</v>
      </c>
      <c r="G138" s="70">
        <v>163859.376430898</v>
      </c>
      <c r="H138" s="70"/>
      <c r="I138" s="70"/>
      <c r="J138" s="70"/>
    </row>
    <row r="139" ht="13" customHeight="1">
      <c r="A139" t="s" s="28">
        <v>188</v>
      </c>
      <c r="B139" s="70">
        <f>J135</f>
        <v>2899056</v>
      </c>
      <c r="C139" t="s" s="59">
        <v>167</v>
      </c>
      <c r="D139" s="70">
        <f>D136+D137+D138</f>
        <v>6642.6678064509</v>
      </c>
      <c r="E139" s="70">
        <f>SUM(B139:D139)</f>
        <v>2905698.66780645</v>
      </c>
      <c r="F139" s="70">
        <f>F136+F137+F138</f>
        <v>491784.5</v>
      </c>
      <c r="G139" s="70">
        <f>G136+G137+G138</f>
        <v>714862.75872544</v>
      </c>
      <c r="H139" s="70">
        <f>I139-F139-G139</f>
        <v>-39881.59091899</v>
      </c>
      <c r="I139" s="70">
        <f>E139-J139</f>
        <v>1166765.66780645</v>
      </c>
      <c r="J139" s="70">
        <f>'tab01'!D91</f>
        <v>1738933</v>
      </c>
    </row>
    <row r="140" ht="13" customHeight="1">
      <c r="A140" t="s" s="28">
        <v>198</v>
      </c>
      <c r="B140" s="70"/>
      <c r="C140" s="70"/>
      <c r="D140" s="70">
        <v>2220.493073778</v>
      </c>
      <c r="E140" s="70"/>
      <c r="F140" s="70">
        <f>4822.961*2000/60</f>
        <v>160765.366666667</v>
      </c>
      <c r="G140" s="70">
        <v>118298.735120206</v>
      </c>
      <c r="H140" s="70"/>
      <c r="I140" s="70"/>
      <c r="J140" s="70"/>
    </row>
    <row r="141" ht="13" customHeight="1">
      <c r="A141" t="s" s="28">
        <v>199</v>
      </c>
      <c r="B141" s="70"/>
      <c r="C141" s="70"/>
      <c r="D141" s="70">
        <v>1603.848909831</v>
      </c>
      <c r="E141" s="70"/>
      <c r="F141" s="70">
        <f>4509.463*2000/60</f>
        <v>150315.433333333</v>
      </c>
      <c r="G141" s="70">
        <v>90342.257722157694</v>
      </c>
      <c r="H141" s="70"/>
      <c r="I141" s="70"/>
      <c r="J141" s="70"/>
    </row>
    <row r="142" ht="13" customHeight="1">
      <c r="A142" t="s" s="28">
        <v>200</v>
      </c>
      <c r="B142" s="70"/>
      <c r="C142" s="70"/>
      <c r="D142" s="70">
        <v>2125.1002556364</v>
      </c>
      <c r="E142" s="70"/>
      <c r="F142" s="70">
        <f>4739.387*2000/60</f>
        <v>157979.566666667</v>
      </c>
      <c r="G142" s="70">
        <v>53312.5144478052</v>
      </c>
      <c r="H142" s="70"/>
      <c r="I142" s="70"/>
      <c r="J142" s="70"/>
    </row>
    <row r="143" ht="13" customHeight="1">
      <c r="A143" t="s" s="28">
        <v>184</v>
      </c>
      <c r="B143" s="70">
        <f>J139</f>
        <v>1738933</v>
      </c>
      <c r="C143" t="s" s="59">
        <v>167</v>
      </c>
      <c r="D143" s="70">
        <f>D140+D141+D142</f>
        <v>5949.4422392454</v>
      </c>
      <c r="E143" s="70">
        <f>SUM(B143:D143)</f>
        <v>1744882.44223925</v>
      </c>
      <c r="F143" s="70">
        <f>F140+F141+F142</f>
        <v>469060.366666667</v>
      </c>
      <c r="G143" s="70">
        <f>G140+G141+G142</f>
        <v>261953.507290169</v>
      </c>
      <c r="H143" s="70">
        <f>I143-F143-G143</f>
        <v>48012.568282414</v>
      </c>
      <c r="I143" s="70">
        <f>E143-J143</f>
        <v>779026.4422392501</v>
      </c>
      <c r="J143" s="70">
        <f>'tab01'!D92</f>
        <v>965856</v>
      </c>
    </row>
    <row r="144" ht="13" customHeight="1">
      <c r="A144" t="s" s="28">
        <v>201</v>
      </c>
      <c r="B144" s="70"/>
      <c r="C144" s="70"/>
      <c r="D144" s="70">
        <v>1053.7651133289</v>
      </c>
      <c r="E144" s="70"/>
      <c r="F144" s="70">
        <f>4446.863*2000/60</f>
        <v>148228.766666667</v>
      </c>
      <c r="G144" s="70">
        <v>65633.7275601882</v>
      </c>
      <c r="H144" s="70"/>
      <c r="I144" s="70"/>
      <c r="J144" s="70"/>
    </row>
    <row r="145" ht="13" customHeight="1">
      <c r="A145" t="s" s="28">
        <v>202</v>
      </c>
      <c r="B145" s="70"/>
      <c r="C145" s="70"/>
      <c r="D145" s="70">
        <v>1718.3292350175</v>
      </c>
      <c r="E145" s="70"/>
      <c r="F145" s="70">
        <f>4668.68*2000/60</f>
        <v>155622.666666667</v>
      </c>
      <c r="G145" s="70">
        <v>85190.735425683306</v>
      </c>
      <c r="H145" s="70"/>
      <c r="I145" s="70"/>
      <c r="J145" s="70"/>
    </row>
    <row r="146" ht="13" customHeight="1">
      <c r="A146" t="s" s="28">
        <v>203</v>
      </c>
      <c r="B146" s="70"/>
      <c r="C146" s="70"/>
      <c r="D146" s="70">
        <v>1452.9044307141</v>
      </c>
      <c r="E146" s="70"/>
      <c r="F146" s="70">
        <f>4548.592*2000/60</f>
        <v>151619.733333333</v>
      </c>
      <c r="G146" s="70">
        <v>109869.526155465</v>
      </c>
      <c r="H146" s="70"/>
      <c r="I146" s="70"/>
      <c r="J146" s="70"/>
    </row>
    <row r="147" ht="13" customHeight="1">
      <c r="A147" t="s" s="28">
        <v>185</v>
      </c>
      <c r="B147" s="70">
        <f>J143</f>
        <v>965856</v>
      </c>
      <c r="C147" t="s" s="59">
        <v>167</v>
      </c>
      <c r="D147" s="70">
        <f>D144+D145+D146</f>
        <v>4224.9987790605</v>
      </c>
      <c r="E147" s="70">
        <f>SUM(B147:D147)</f>
        <v>970080.998779061</v>
      </c>
      <c r="F147" s="70">
        <f>F144+F145+F146</f>
        <v>455471.166666667</v>
      </c>
      <c r="G147" s="70">
        <f>G144+G145+G146</f>
        <v>260693.989141337</v>
      </c>
      <c r="H147" s="70">
        <f>I147-F147-G147</f>
        <v>-47679.157028943</v>
      </c>
      <c r="I147" s="70">
        <f>E147-J147</f>
        <v>668485.998779061</v>
      </c>
      <c r="J147" s="70">
        <f>'tab01'!D93</f>
        <v>301595</v>
      </c>
    </row>
    <row r="148" ht="13" customHeight="1">
      <c r="A148" t="s" s="28">
        <v>190</v>
      </c>
      <c r="B148" s="70"/>
      <c r="C148" s="70">
        <f>SUM(C135:C147)</f>
        <v>4296496</v>
      </c>
      <c r="D148" s="70">
        <f>D135+D139+D143+D147</f>
        <v>22280.875923873</v>
      </c>
      <c r="E148" s="70">
        <f>B135+D148+C148</f>
        <v>4515505.87592387</v>
      </c>
      <c r="F148" s="70">
        <f>F135+F139+F143+F147</f>
        <v>1901198.06666667</v>
      </c>
      <c r="G148" s="70">
        <f>G135+G139+G143+G147</f>
        <v>2166416.9864061</v>
      </c>
      <c r="H148" s="70">
        <f>H135+H139+H143+H147</f>
        <v>146295.82285111</v>
      </c>
      <c r="I148" s="70">
        <f>I135+I139+I143+I147</f>
        <v>4213910.87592388</v>
      </c>
      <c r="J148" s="70"/>
    </row>
    <row r="149" ht="13" customHeight="1">
      <c r="A149" s="22"/>
      <c r="B149" s="70"/>
      <c r="C149" s="70"/>
      <c r="D149" s="70"/>
      <c r="E149" s="70"/>
      <c r="F149" s="70"/>
      <c r="G149" s="70"/>
      <c r="H149" s="70"/>
      <c r="I149" s="70"/>
      <c r="J149" s="70"/>
    </row>
    <row r="150" ht="13" customHeight="1">
      <c r="A150" t="s" s="28">
        <v>54</v>
      </c>
      <c r="B150" s="70"/>
      <c r="C150" s="70"/>
      <c r="D150" s="70"/>
      <c r="E150" s="70"/>
      <c r="F150" s="70"/>
      <c r="G150" s="70"/>
      <c r="H150" s="70"/>
      <c r="I150" s="70"/>
      <c r="J150" s="70"/>
    </row>
    <row r="151" ht="13" customHeight="1">
      <c r="A151" t="s" s="28">
        <v>192</v>
      </c>
      <c r="B151" s="70"/>
      <c r="C151" s="70"/>
      <c r="D151" s="70">
        <v>1351.7034256824</v>
      </c>
      <c r="E151" s="70"/>
      <c r="F151" s="70">
        <v>145373.566666667</v>
      </c>
      <c r="G151" s="70">
        <v>164076.911113345</v>
      </c>
      <c r="H151" s="70"/>
      <c r="I151" s="70"/>
      <c r="J151" s="70"/>
    </row>
    <row r="152" ht="13" customHeight="1">
      <c r="A152" t="s" s="28">
        <v>193</v>
      </c>
      <c r="B152" s="70"/>
      <c r="C152" s="70"/>
      <c r="D152" s="70">
        <v>2841.7166785434</v>
      </c>
      <c r="E152" s="70"/>
      <c r="F152" s="70">
        <v>175913.233333333</v>
      </c>
      <c r="G152" s="70">
        <v>354410.589451334</v>
      </c>
      <c r="H152" s="70"/>
      <c r="I152" s="70"/>
      <c r="J152" s="70"/>
    </row>
    <row r="153" ht="13" customHeight="1">
      <c r="A153" t="s" s="28">
        <v>194</v>
      </c>
      <c r="B153" s="70"/>
      <c r="C153" s="70"/>
      <c r="D153" s="70">
        <v>1428.3813913845</v>
      </c>
      <c r="E153" s="70"/>
      <c r="F153" s="70">
        <v>173348.733333333</v>
      </c>
      <c r="G153" s="70">
        <v>337644.106206668</v>
      </c>
      <c r="H153" s="70"/>
      <c r="I153" s="70"/>
      <c r="J153" s="70"/>
    </row>
    <row r="154" ht="13" customHeight="1">
      <c r="A154" t="s" s="28">
        <v>187</v>
      </c>
      <c r="B154" s="70">
        <f>J147</f>
        <v>301595</v>
      </c>
      <c r="C154" s="70">
        <f>'tab02'!E63</f>
        <v>4411633</v>
      </c>
      <c r="D154" s="70">
        <f>D151+D152+D153</f>
        <v>5621.8014956103</v>
      </c>
      <c r="E154" s="70">
        <f>SUM(B154:D154)</f>
        <v>4718849.80149561</v>
      </c>
      <c r="F154" s="70">
        <f>F151+F152+F153</f>
        <v>494635.533333333</v>
      </c>
      <c r="G154" s="70">
        <f>G151+G152+G153</f>
        <v>856131.606771347</v>
      </c>
      <c r="H154" s="70">
        <f>I154-F154-G154</f>
        <v>207403.66139093</v>
      </c>
      <c r="I154" s="70">
        <f>E154-J154</f>
        <v>1558170.80149561</v>
      </c>
      <c r="J154" s="70">
        <f>'tab01'!D95</f>
        <v>3160679</v>
      </c>
    </row>
    <row r="155" ht="13" customHeight="1">
      <c r="A155" t="s" s="28">
        <v>195</v>
      </c>
      <c r="B155" s="70"/>
      <c r="C155" s="70"/>
      <c r="D155" s="70">
        <v>2330.214906096</v>
      </c>
      <c r="E155" s="70"/>
      <c r="F155" s="70">
        <v>176340.5</v>
      </c>
      <c r="G155" s="70">
        <v>228628.158799578</v>
      </c>
      <c r="H155" s="70"/>
      <c r="I155" s="70"/>
      <c r="J155" s="70"/>
    </row>
    <row r="156" ht="13" customHeight="1">
      <c r="A156" t="s" s="28">
        <v>196</v>
      </c>
      <c r="B156" s="70"/>
      <c r="C156" s="70"/>
      <c r="D156" s="70">
        <v>1462.6674522663</v>
      </c>
      <c r="E156" s="70"/>
      <c r="F156" s="70">
        <v>174660.9</v>
      </c>
      <c r="G156" s="70">
        <v>211748.681328673</v>
      </c>
      <c r="H156" s="70"/>
      <c r="I156" s="70"/>
      <c r="J156" s="70"/>
    </row>
    <row r="157" ht="13" customHeight="1">
      <c r="A157" t="s" s="28">
        <v>197</v>
      </c>
      <c r="B157" s="70"/>
      <c r="C157" s="70"/>
      <c r="D157" s="70">
        <v>1179.9668257902</v>
      </c>
      <c r="E157" s="70"/>
      <c r="F157" s="70">
        <v>164959.066666667</v>
      </c>
      <c r="G157" s="70">
        <v>154794.776703214</v>
      </c>
      <c r="H157" s="70"/>
      <c r="I157" s="70"/>
      <c r="J157" s="70"/>
    </row>
    <row r="158" ht="13" customHeight="1">
      <c r="A158" t="s" s="28">
        <v>188</v>
      </c>
      <c r="B158" s="70">
        <f>J154</f>
        <v>3160679</v>
      </c>
      <c r="C158" t="s" s="59">
        <v>167</v>
      </c>
      <c r="D158" s="70">
        <f>D155+D156+D157</f>
        <v>4972.8491841525</v>
      </c>
      <c r="E158" s="70">
        <f>SUM(B158:D158)</f>
        <v>3165651.84918415</v>
      </c>
      <c r="F158" s="70">
        <f>F155+F156+F157</f>
        <v>515960.466666667</v>
      </c>
      <c r="G158" s="70">
        <f>G155+G156+G157</f>
        <v>595171.616831465</v>
      </c>
      <c r="H158" s="70"/>
      <c r="I158" s="70"/>
      <c r="J158" s="70">
        <f>'tab01'!D96</f>
        <v>2109303</v>
      </c>
    </row>
    <row r="159" ht="13" customHeight="1">
      <c r="A159" t="s" s="28">
        <v>198</v>
      </c>
      <c r="B159" s="70"/>
      <c r="C159" s="70"/>
      <c r="D159" s="70">
        <v>2135.1899654253</v>
      </c>
      <c r="E159" s="70"/>
      <c r="F159" s="70">
        <v>182174.666666667</v>
      </c>
      <c r="G159" s="70">
        <v>118996.966134688</v>
      </c>
      <c r="H159" s="70"/>
      <c r="I159" s="70"/>
      <c r="J159" s="70"/>
    </row>
    <row r="160" ht="13" customHeight="1">
      <c r="A160" t="s" s="28">
        <v>199</v>
      </c>
      <c r="B160" s="70"/>
      <c r="C160" s="70"/>
      <c r="D160" s="70">
        <v>2421.026225772</v>
      </c>
      <c r="E160" s="70"/>
      <c r="F160" s="70">
        <v>171638.233333333</v>
      </c>
      <c r="G160" s="70">
        <v>79637.047490460594</v>
      </c>
      <c r="H160" s="70"/>
      <c r="I160" s="70"/>
      <c r="J160" s="70"/>
    </row>
    <row r="161" ht="13" customHeight="1">
      <c r="A161" t="s" s="28">
        <v>200</v>
      </c>
      <c r="B161" s="70"/>
      <c r="C161" s="70"/>
      <c r="D161" s="70">
        <v>1855.4540778711</v>
      </c>
      <c r="E161" s="70"/>
      <c r="F161" s="70">
        <v>172468</v>
      </c>
      <c r="G161" s="70">
        <v>109892.866157886</v>
      </c>
      <c r="H161" s="70"/>
      <c r="I161" s="70"/>
      <c r="J161" s="70"/>
    </row>
    <row r="162" ht="13" customHeight="1">
      <c r="A162" t="s" s="28">
        <v>184</v>
      </c>
      <c r="B162" s="70">
        <f>J158</f>
        <v>2109303</v>
      </c>
      <c r="C162" t="s" s="59">
        <v>167</v>
      </c>
      <c r="D162" s="70">
        <f>D159+D160+D161</f>
        <v>6411.6702690684</v>
      </c>
      <c r="E162" s="70">
        <f>SUM(B162:D162)</f>
        <v>2115714.67026907</v>
      </c>
      <c r="F162" s="70">
        <f>F159+F160+F161</f>
        <v>526280.9</v>
      </c>
      <c r="G162" s="70">
        <f>G159+G160+G161</f>
        <v>308526.879783035</v>
      </c>
      <c r="H162" s="70"/>
      <c r="I162" s="70"/>
      <c r="J162" s="70">
        <f>'tab01'!D97</f>
        <v>1219329</v>
      </c>
    </row>
    <row r="163" ht="13" customHeight="1">
      <c r="A163" t="s" s="28">
        <v>201</v>
      </c>
      <c r="B163" s="70"/>
      <c r="C163" s="70"/>
      <c r="D163" s="70">
        <v>1901.9346746526</v>
      </c>
      <c r="E163" s="70"/>
      <c r="F163" s="70">
        <v>169564.7</v>
      </c>
      <c r="G163" s="70">
        <v>119629.515984978</v>
      </c>
      <c r="H163" s="70"/>
      <c r="I163" s="70"/>
      <c r="J163" s="70"/>
    </row>
    <row r="164" ht="13" customHeight="1">
      <c r="A164" t="s" s="28">
        <v>202</v>
      </c>
      <c r="B164" s="70"/>
      <c r="C164" s="70"/>
      <c r="D164" s="70">
        <v>2162.371521681</v>
      </c>
      <c r="E164" s="70"/>
      <c r="F164" s="70">
        <v>178860.933333333</v>
      </c>
      <c r="G164" s="70">
        <v>125906.152237954</v>
      </c>
      <c r="H164" s="70"/>
      <c r="I164" s="70"/>
      <c r="J164" s="70"/>
    </row>
    <row r="165" ht="13" customHeight="1">
      <c r="A165" t="s" s="28">
        <v>203</v>
      </c>
      <c r="B165" s="70"/>
      <c r="C165" s="70"/>
      <c r="D165" s="70">
        <v>751.2508140648</v>
      </c>
      <c r="E165" s="70"/>
      <c r="F165" s="70">
        <v>169629.466666667</v>
      </c>
      <c r="G165" s="70">
        <v>123734.772887987</v>
      </c>
      <c r="H165" s="70"/>
      <c r="I165" s="70"/>
      <c r="J165" s="70"/>
    </row>
    <row r="166" ht="13" customHeight="1">
      <c r="A166" t="s" s="28">
        <v>185</v>
      </c>
      <c r="B166" s="70">
        <f>J162</f>
        <v>1219329</v>
      </c>
      <c r="C166" t="s" s="59">
        <v>167</v>
      </c>
      <c r="D166" s="70">
        <f>D163+D164+D165</f>
        <v>4815.5570103984</v>
      </c>
      <c r="E166" s="70">
        <f>SUM(B166:D166)</f>
        <v>1224144.5570104</v>
      </c>
      <c r="F166" s="70">
        <f>F163+F164+F165</f>
        <v>518055.1</v>
      </c>
      <c r="G166" s="70">
        <f>G163+G164+G165</f>
        <v>369270.441110919</v>
      </c>
      <c r="H166" s="70"/>
      <c r="I166" s="70"/>
      <c r="J166" s="70">
        <f>'tab01'!D98</f>
        <v>438105</v>
      </c>
    </row>
    <row r="167" ht="13" customHeight="1">
      <c r="A167" t="s" s="28">
        <v>190</v>
      </c>
      <c r="B167" s="70"/>
      <c r="C167" s="70">
        <f>SUM(C154:C166)</f>
        <v>4411633</v>
      </c>
      <c r="D167" s="70">
        <f>D154+D158+D162+D166</f>
        <v>21821.8779592296</v>
      </c>
      <c r="E167" s="70">
        <f>B154+D167+C167</f>
        <v>4735049.87795923</v>
      </c>
      <c r="F167" s="70">
        <f>F154+F158+F162+F166</f>
        <v>2054932</v>
      </c>
      <c r="G167" s="70">
        <f>G154+G158+G162+G166</f>
        <v>2129100.54449677</v>
      </c>
      <c r="H167" s="70">
        <f>I167-F167-G167</f>
        <v>551017.33346246</v>
      </c>
      <c r="I167" s="70">
        <f>E167-J167</f>
        <v>4735049.87795923</v>
      </c>
      <c r="J167" s="70"/>
    </row>
    <row r="168" ht="13" customHeight="1">
      <c r="A168" s="22"/>
      <c r="B168" s="70"/>
      <c r="C168" s="70"/>
      <c r="D168" s="70"/>
      <c r="E168" s="70"/>
      <c r="F168" s="70"/>
      <c r="G168" s="70"/>
      <c r="H168" s="70"/>
      <c r="I168" s="70"/>
      <c r="J168" s="70"/>
    </row>
    <row r="169" ht="13" customHeight="1">
      <c r="A169" t="s" s="28">
        <v>55</v>
      </c>
      <c r="B169" s="70"/>
      <c r="C169" s="70"/>
      <c r="D169" s="70"/>
      <c r="E169" s="70"/>
      <c r="F169" s="70"/>
      <c r="G169" s="70"/>
      <c r="H169" s="70"/>
      <c r="I169" s="70"/>
      <c r="J169" s="70"/>
    </row>
    <row r="170" ht="13" customHeight="1">
      <c r="A170" t="s" s="28">
        <v>192</v>
      </c>
      <c r="B170" s="70"/>
      <c r="C170" s="70"/>
      <c r="D170" s="70">
        <v>1029.7592415768</v>
      </c>
      <c r="E170" s="70"/>
      <c r="F170" s="70">
        <v>169649.333333333</v>
      </c>
      <c r="G170" s="70">
        <v>118950.72639286</v>
      </c>
      <c r="H170" s="70"/>
      <c r="I170" s="70"/>
      <c r="J170" s="70"/>
    </row>
    <row r="171" ht="13" customHeight="1">
      <c r="A171" t="s" s="28">
        <v>193</v>
      </c>
      <c r="B171" s="70"/>
      <c r="C171" s="70"/>
      <c r="D171" s="70">
        <v>776.1540037146</v>
      </c>
      <c r="E171" s="70"/>
      <c r="F171" s="70">
        <v>183558.433333333</v>
      </c>
      <c r="G171" s="70">
        <v>205035.206244443</v>
      </c>
      <c r="H171" s="70"/>
      <c r="I171" s="70"/>
      <c r="J171" s="70"/>
    </row>
    <row r="172" ht="13" customHeight="1">
      <c r="A172" t="s" s="28">
        <v>194</v>
      </c>
      <c r="B172" s="70"/>
      <c r="C172" s="70"/>
      <c r="D172" s="70">
        <v>1836.0585851328</v>
      </c>
      <c r="E172" s="70"/>
      <c r="F172" s="70">
        <v>178101.766666667</v>
      </c>
      <c r="G172" s="70">
        <v>186177.383590575</v>
      </c>
      <c r="H172" s="70"/>
      <c r="I172" s="70"/>
      <c r="J172" s="70"/>
    </row>
    <row r="173" ht="13" customHeight="1">
      <c r="A173" t="s" s="28">
        <v>187</v>
      </c>
      <c r="B173" s="70">
        <f>J166</f>
        <v>438105</v>
      </c>
      <c r="C173" s="70">
        <f>'tab02'!E64</f>
        <v>4543883</v>
      </c>
      <c r="D173" s="70">
        <f>D170+D171+D172</f>
        <v>3641.9718304242</v>
      </c>
      <c r="E173" s="70">
        <f>SUM(B173:D173)</f>
        <v>4985629.97183042</v>
      </c>
      <c r="F173" s="70">
        <f>F170+F171+F172</f>
        <v>531309.533333333</v>
      </c>
      <c r="G173" s="70">
        <f>G170+G171+G172</f>
        <v>510163.316227878</v>
      </c>
      <c r="H173" s="70">
        <f>I173-F173-G173</f>
        <v>3944157.12226921</v>
      </c>
      <c r="I173" s="70">
        <f>E173-J173</f>
        <v>4985629.97183042</v>
      </c>
      <c r="J173" s="70"/>
    </row>
    <row r="174" ht="13" customHeight="1">
      <c r="A174" s="21"/>
      <c r="B174" s="72"/>
      <c r="C174" s="73"/>
      <c r="D174" s="72"/>
      <c r="E174" s="72"/>
      <c r="F174" s="72"/>
      <c r="G174" s="72"/>
      <c r="H174" s="72"/>
      <c r="I174" s="72"/>
      <c r="J174" s="72"/>
    </row>
    <row r="175" ht="13" customHeight="1">
      <c r="A175" t="s" s="32">
        <v>204</v>
      </c>
      <c r="B175" s="74"/>
      <c r="C175" s="75"/>
      <c r="D175" s="74"/>
      <c r="E175" s="74"/>
      <c r="F175" s="74"/>
      <c r="G175" s="74"/>
      <c r="H175" s="74"/>
      <c r="I175" s="74"/>
      <c r="J175" s="74"/>
    </row>
    <row r="176" ht="10.15" customHeight="1">
      <c r="A176" t="s" s="28">
        <v>205</v>
      </c>
      <c r="B176" s="70"/>
      <c r="C176" s="71"/>
      <c r="D176" s="70"/>
      <c r="E176" s="70"/>
      <c r="F176" s="70"/>
      <c r="G176" s="70"/>
      <c r="H176" s="70"/>
      <c r="I176" s="22"/>
      <c r="J176" t="s" s="33">
        <v>57</v>
      </c>
    </row>
    <row r="177" ht="13" customHeight="1">
      <c r="A177" s="22"/>
      <c r="B177" s="70"/>
      <c r="C177" s="70"/>
      <c r="D177" s="70"/>
      <c r="E177" s="70"/>
      <c r="F177" s="70"/>
      <c r="G177" s="70"/>
      <c r="H177" s="70"/>
      <c r="I177" s="22"/>
      <c r="J177" s="22"/>
    </row>
    <row r="178" ht="13" customHeight="1">
      <c r="A178" s="22"/>
      <c r="B178" s="70"/>
      <c r="C178" s="70"/>
      <c r="D178" s="70"/>
      <c r="E178" s="70"/>
      <c r="F178" s="70"/>
      <c r="G178" s="70"/>
      <c r="H178" s="70"/>
      <c r="I178" s="70"/>
      <c r="J178" s="70"/>
    </row>
    <row r="179" ht="13" customHeight="1">
      <c r="A179" s="22"/>
      <c r="B179" s="70"/>
      <c r="C179" s="70"/>
      <c r="D179" s="70"/>
      <c r="E179" s="70"/>
      <c r="F179" s="70"/>
      <c r="G179" s="70"/>
      <c r="H179" s="70"/>
      <c r="I179" s="70"/>
      <c r="J179" s="70"/>
    </row>
    <row r="180" ht="13" customHeight="1">
      <c r="A180" s="22"/>
      <c r="B180" s="70"/>
      <c r="C180" s="70"/>
      <c r="D180" s="70"/>
      <c r="E180" s="70"/>
      <c r="F180" s="70"/>
      <c r="G180" s="70"/>
      <c r="H180" s="70"/>
      <c r="I180" s="70"/>
      <c r="J180" s="70"/>
    </row>
    <row r="181" ht="13" customHeight="1">
      <c r="A181" s="22"/>
      <c r="B181" s="70"/>
      <c r="C181" s="71"/>
      <c r="D181" s="70"/>
      <c r="E181" s="70"/>
      <c r="F181" s="70"/>
      <c r="G181" s="70"/>
      <c r="H181" s="70"/>
      <c r="I181" s="70"/>
      <c r="J181" s="70"/>
    </row>
    <row r="182" ht="13" customHeight="1">
      <c r="A182" s="22"/>
      <c r="B182" s="70"/>
      <c r="C182" s="71"/>
      <c r="D182" s="70"/>
      <c r="E182" s="70"/>
      <c r="F182" s="70"/>
      <c r="G182" s="70"/>
      <c r="H182" s="70"/>
      <c r="I182" s="70"/>
      <c r="J182" s="70"/>
    </row>
    <row r="183" ht="13" customHeight="1">
      <c r="A183" s="22"/>
      <c r="B183" s="70"/>
      <c r="C183" s="71"/>
      <c r="D183" s="70"/>
      <c r="E183" s="70"/>
      <c r="F183" s="70"/>
      <c r="G183" s="70"/>
      <c r="H183" s="70"/>
      <c r="I183" s="70"/>
      <c r="J183" s="70"/>
    </row>
    <row r="184" ht="13" customHeight="1">
      <c r="A184" s="22"/>
      <c r="B184" s="70"/>
      <c r="C184" s="70"/>
      <c r="D184" s="70"/>
      <c r="E184" s="70"/>
      <c r="F184" s="70"/>
      <c r="G184" s="70"/>
      <c r="H184" s="70"/>
      <c r="I184" s="70"/>
      <c r="J184" s="70"/>
    </row>
    <row r="185" ht="13" customHeight="1">
      <c r="A185" s="22"/>
      <c r="B185" s="70"/>
      <c r="C185" s="70"/>
      <c r="D185" s="70"/>
      <c r="E185" s="70"/>
      <c r="F185" s="70"/>
      <c r="G185" s="70"/>
      <c r="H185" s="70"/>
      <c r="I185" s="70"/>
      <c r="J185" s="70"/>
    </row>
    <row r="186" ht="13" customHeight="1">
      <c r="A186" s="22"/>
      <c r="B186" s="70"/>
      <c r="C186" s="70"/>
      <c r="D186" s="70"/>
      <c r="E186" s="70"/>
      <c r="F186" s="70"/>
      <c r="G186" s="70"/>
      <c r="H186" s="70"/>
      <c r="I186" s="70"/>
      <c r="J186" s="70"/>
    </row>
    <row r="187" ht="13" customHeight="1">
      <c r="A187" s="22"/>
      <c r="B187" s="70"/>
      <c r="C187" s="70"/>
      <c r="D187" s="70"/>
      <c r="E187" s="70"/>
      <c r="F187" s="70"/>
      <c r="G187" s="70"/>
      <c r="H187" s="70"/>
      <c r="I187" s="70"/>
      <c r="J187" s="70"/>
    </row>
    <row r="188" ht="13" customHeight="1">
      <c r="A188" s="22"/>
      <c r="B188" s="70"/>
      <c r="C188" s="71"/>
      <c r="D188" s="70"/>
      <c r="E188" s="70"/>
      <c r="F188" s="70"/>
      <c r="G188" s="70"/>
      <c r="H188" s="70"/>
      <c r="I188" s="70"/>
      <c r="J188" s="70"/>
    </row>
    <row r="189" ht="13" customHeight="1">
      <c r="A189" s="22"/>
      <c r="B189" s="70"/>
      <c r="C189" s="71"/>
      <c r="D189" s="70"/>
      <c r="E189" s="70"/>
      <c r="F189" s="70"/>
      <c r="G189" s="70"/>
      <c r="H189" s="70"/>
      <c r="I189" s="70"/>
      <c r="J189" s="70"/>
    </row>
    <row r="190" ht="13" customHeight="1">
      <c r="A190" s="22"/>
      <c r="B190" s="70"/>
      <c r="C190" s="71"/>
      <c r="D190" s="70"/>
      <c r="E190" s="70"/>
      <c r="F190" s="70"/>
      <c r="G190" s="70"/>
      <c r="H190" s="70"/>
      <c r="I190" s="70"/>
      <c r="J190" s="70"/>
    </row>
    <row r="191" ht="13" customHeight="1">
      <c r="A191" s="22"/>
      <c r="B191" s="70"/>
      <c r="C191" s="70"/>
      <c r="D191" s="70"/>
      <c r="E191" s="70"/>
      <c r="F191" s="70"/>
      <c r="G191" s="70"/>
      <c r="H191" s="70"/>
      <c r="I191" s="70"/>
      <c r="J191" s="70"/>
    </row>
    <row r="192" ht="13" customHeight="1">
      <c r="A192" s="22"/>
      <c r="B192" s="70"/>
      <c r="C192" s="70"/>
      <c r="D192" s="70"/>
      <c r="E192" s="70"/>
      <c r="F192" s="70"/>
      <c r="G192" s="70"/>
      <c r="H192" s="70"/>
      <c r="I192" s="70"/>
      <c r="J192" s="70"/>
    </row>
    <row r="193" ht="13" customHeight="1">
      <c r="A193" s="22"/>
      <c r="B193" s="70"/>
      <c r="C193" s="70"/>
      <c r="D193" s="70"/>
      <c r="E193" s="70"/>
      <c r="F193" s="70"/>
      <c r="G193" s="70"/>
      <c r="H193" s="70"/>
      <c r="I193" s="70"/>
      <c r="J193" s="70"/>
    </row>
    <row r="194" ht="13" customHeight="1">
      <c r="A194" s="22"/>
      <c r="B194" s="70"/>
      <c r="C194" s="70"/>
      <c r="D194" s="70"/>
      <c r="E194" s="70"/>
      <c r="F194" s="70"/>
      <c r="G194" s="70"/>
      <c r="H194" s="70"/>
      <c r="I194" s="70"/>
      <c r="J194" s="70"/>
    </row>
    <row r="195" ht="13" customHeight="1">
      <c r="A195" s="22"/>
      <c r="B195" s="70"/>
      <c r="C195" s="71"/>
      <c r="D195" s="70"/>
      <c r="E195" s="70"/>
      <c r="F195" s="70"/>
      <c r="G195" s="70"/>
      <c r="H195" s="70"/>
      <c r="I195" s="70"/>
      <c r="J195" s="70"/>
    </row>
    <row r="196" ht="13" customHeight="1">
      <c r="A196" s="22"/>
      <c r="B196" s="70"/>
      <c r="C196" s="71"/>
      <c r="D196" s="70"/>
      <c r="E196" s="70"/>
      <c r="F196" s="70"/>
      <c r="G196" s="70"/>
      <c r="H196" s="70"/>
      <c r="I196" s="70"/>
      <c r="J196" s="70"/>
    </row>
    <row r="197" ht="13" customHeight="1">
      <c r="A197" s="22"/>
      <c r="B197" s="70"/>
      <c r="C197" s="71"/>
      <c r="D197" s="70"/>
      <c r="E197" s="70"/>
      <c r="F197" s="70"/>
      <c r="G197" s="70"/>
      <c r="H197" s="70"/>
      <c r="I197" s="70"/>
      <c r="J197" s="70"/>
    </row>
    <row r="198" ht="13" customHeight="1">
      <c r="A198" s="22"/>
      <c r="B198" s="70"/>
      <c r="C198" s="70"/>
      <c r="D198" s="70"/>
      <c r="E198" s="70"/>
      <c r="F198" s="70"/>
      <c r="G198" s="70"/>
      <c r="H198" s="70"/>
      <c r="I198" s="70"/>
      <c r="J198" s="70"/>
    </row>
    <row r="199" ht="13" customHeight="1">
      <c r="A199" s="22"/>
      <c r="B199" s="70"/>
      <c r="C199" s="70"/>
      <c r="D199" s="70"/>
      <c r="E199" s="70"/>
      <c r="F199" s="70"/>
      <c r="G199" s="70"/>
      <c r="H199" s="70"/>
      <c r="I199" s="70"/>
      <c r="J199" s="70"/>
    </row>
    <row r="200" ht="13" customHeight="1">
      <c r="A200" s="22"/>
      <c r="B200" s="70"/>
      <c r="C200" s="70"/>
      <c r="D200" s="70"/>
      <c r="E200" s="70"/>
      <c r="F200" s="70"/>
      <c r="G200" s="70"/>
      <c r="H200" s="70"/>
      <c r="I200" s="70"/>
      <c r="J200" s="70"/>
    </row>
    <row r="201" ht="13" customHeight="1">
      <c r="A201" s="22"/>
      <c r="B201" s="70"/>
      <c r="C201" s="70"/>
      <c r="D201" s="70"/>
      <c r="E201" s="70"/>
      <c r="F201" s="70"/>
      <c r="G201" s="70"/>
      <c r="H201" s="70"/>
      <c r="I201" s="70"/>
      <c r="J201" s="70"/>
    </row>
    <row r="202" ht="13" customHeight="1">
      <c r="A202" s="22"/>
      <c r="B202" s="70"/>
      <c r="C202" s="71"/>
      <c r="D202" s="70"/>
      <c r="E202" s="70"/>
      <c r="F202" s="70"/>
      <c r="G202" s="70"/>
      <c r="H202" s="70"/>
      <c r="I202" s="70"/>
      <c r="J202" s="70"/>
    </row>
    <row r="203" ht="13" customHeight="1">
      <c r="A203" s="22"/>
      <c r="B203" s="70"/>
      <c r="C203" s="71"/>
      <c r="D203" s="70"/>
      <c r="E203" s="70"/>
      <c r="F203" s="70"/>
      <c r="G203" s="70"/>
      <c r="H203" s="70"/>
      <c r="I203" s="70"/>
      <c r="J203" s="70"/>
    </row>
    <row r="204" ht="13" customHeight="1">
      <c r="A204" s="22"/>
      <c r="B204" s="70"/>
      <c r="C204" s="71"/>
      <c r="D204" s="70"/>
      <c r="E204" s="70"/>
      <c r="F204" s="70"/>
      <c r="G204" s="70"/>
      <c r="H204" s="70"/>
      <c r="I204" s="70"/>
      <c r="J204" s="70"/>
    </row>
    <row r="205" ht="13" customHeight="1">
      <c r="A205" s="22"/>
      <c r="B205" s="70"/>
      <c r="C205" s="70"/>
      <c r="D205" s="70"/>
      <c r="E205" s="70"/>
      <c r="F205" s="70"/>
      <c r="G205" s="70"/>
      <c r="H205" s="70"/>
      <c r="I205" s="70"/>
      <c r="J205" s="70"/>
    </row>
    <row r="206" ht="13" customHeight="1">
      <c r="A206" s="22"/>
      <c r="B206" s="70"/>
      <c r="C206" s="70"/>
      <c r="D206" s="70"/>
      <c r="E206" s="70"/>
      <c r="F206" s="70"/>
      <c r="G206" s="70"/>
      <c r="H206" s="70"/>
      <c r="I206" s="70"/>
      <c r="J206" s="70"/>
    </row>
    <row r="207" ht="13" customHeight="1">
      <c r="A207" s="22"/>
      <c r="B207" s="70"/>
      <c r="C207" s="70"/>
      <c r="D207" s="70"/>
      <c r="E207" s="70"/>
      <c r="F207" s="70"/>
      <c r="G207" s="70"/>
      <c r="H207" s="70"/>
      <c r="I207" s="70"/>
      <c r="J207" s="70"/>
    </row>
    <row r="208" ht="13" customHeight="1">
      <c r="A208" s="22"/>
      <c r="B208" s="70"/>
      <c r="C208" s="70"/>
      <c r="D208" s="70"/>
      <c r="E208" s="70"/>
      <c r="F208" s="70"/>
      <c r="G208" s="70"/>
      <c r="H208" s="70"/>
      <c r="I208" s="70"/>
      <c r="J208" s="70"/>
    </row>
    <row r="209" ht="13" customHeight="1">
      <c r="A209" s="22"/>
      <c r="B209" s="70"/>
      <c r="C209" s="71"/>
      <c r="D209" s="70"/>
      <c r="E209" s="70"/>
      <c r="F209" s="70"/>
      <c r="G209" s="70"/>
      <c r="H209" s="70"/>
      <c r="I209" s="70"/>
      <c r="J209" s="70"/>
    </row>
    <row r="210" ht="13" customHeight="1">
      <c r="A210" s="22"/>
      <c r="B210" s="70"/>
      <c r="C210" s="71"/>
      <c r="D210" s="70"/>
      <c r="E210" s="70"/>
      <c r="F210" s="70"/>
      <c r="G210" s="70"/>
      <c r="H210" s="70"/>
      <c r="I210" s="70"/>
      <c r="J210" s="70"/>
    </row>
    <row r="211" ht="13" customHeight="1">
      <c r="A211" s="22"/>
      <c r="B211" s="70"/>
      <c r="C211" s="71"/>
      <c r="D211" s="70"/>
      <c r="E211" s="70"/>
      <c r="F211" s="70"/>
      <c r="G211" s="70"/>
      <c r="H211" s="70"/>
      <c r="I211" s="70"/>
      <c r="J211" s="70"/>
    </row>
    <row r="212" ht="13" customHeight="1">
      <c r="A212" s="22"/>
      <c r="B212" s="70"/>
      <c r="C212" s="70"/>
      <c r="D212" s="70"/>
      <c r="E212" s="70"/>
      <c r="F212" s="70"/>
      <c r="G212" s="70"/>
      <c r="H212" s="70"/>
      <c r="I212" s="70"/>
      <c r="J212" s="70"/>
    </row>
    <row r="213" ht="13" customHeight="1">
      <c r="A213" s="22"/>
      <c r="B213" s="70"/>
      <c r="C213" s="70"/>
      <c r="D213" s="70"/>
      <c r="E213" s="70"/>
      <c r="F213" s="70"/>
      <c r="G213" s="70"/>
      <c r="H213" s="70"/>
      <c r="I213" s="70"/>
      <c r="J213" s="70"/>
    </row>
    <row r="214" ht="13" customHeight="1">
      <c r="A214" s="22"/>
      <c r="B214" s="70"/>
      <c r="C214" s="70"/>
      <c r="D214" s="70"/>
      <c r="E214" s="70"/>
      <c r="F214" s="70"/>
      <c r="G214" s="70"/>
      <c r="H214" s="70"/>
      <c r="I214" s="70"/>
      <c r="J214" s="70"/>
    </row>
    <row r="215" ht="13" customHeight="1">
      <c r="A215" s="22"/>
      <c r="B215" s="70"/>
      <c r="C215" s="70"/>
      <c r="D215" s="70"/>
      <c r="E215" s="70"/>
      <c r="F215" s="70"/>
      <c r="G215" s="70"/>
      <c r="H215" s="70"/>
      <c r="I215" s="70"/>
      <c r="J215" s="70"/>
    </row>
    <row r="216" ht="13" customHeight="1">
      <c r="A216" s="22"/>
      <c r="B216" s="70"/>
      <c r="C216" s="71"/>
      <c r="D216" s="70"/>
      <c r="E216" s="70"/>
      <c r="F216" s="70"/>
      <c r="G216" s="70"/>
      <c r="H216" s="70"/>
      <c r="I216" s="70"/>
      <c r="J216" s="70"/>
    </row>
    <row r="217" ht="13" customHeight="1">
      <c r="A217" s="22"/>
      <c r="B217" s="70"/>
      <c r="C217" s="71"/>
      <c r="D217" s="70"/>
      <c r="E217" s="70"/>
      <c r="F217" s="70"/>
      <c r="G217" s="70"/>
      <c r="H217" s="70"/>
      <c r="I217" s="70"/>
      <c r="J217" s="70"/>
    </row>
    <row r="218" ht="13" customHeight="1">
      <c r="A218" s="22"/>
      <c r="B218" s="70"/>
      <c r="C218" s="71"/>
      <c r="D218" s="70"/>
      <c r="E218" s="70"/>
      <c r="F218" s="70"/>
      <c r="G218" s="70"/>
      <c r="H218" s="70"/>
      <c r="I218" s="70"/>
      <c r="J218" s="70"/>
    </row>
    <row r="219" ht="13" customHeight="1">
      <c r="A219" s="22"/>
      <c r="B219" s="70"/>
      <c r="C219" s="70"/>
      <c r="D219" s="70"/>
      <c r="E219" s="70"/>
      <c r="F219" s="70"/>
      <c r="G219" s="70"/>
      <c r="H219" s="70"/>
      <c r="I219" s="70"/>
      <c r="J219" s="70"/>
    </row>
    <row r="220" ht="13" customHeight="1">
      <c r="A220" s="22"/>
      <c r="B220" s="70"/>
      <c r="C220" s="70"/>
      <c r="D220" s="70"/>
      <c r="E220" s="70"/>
      <c r="F220" s="70"/>
      <c r="G220" s="70"/>
      <c r="H220" s="70"/>
      <c r="I220" s="70"/>
      <c r="J220" s="70"/>
    </row>
    <row r="221" ht="13" customHeight="1">
      <c r="A221" s="22"/>
      <c r="B221" s="70"/>
      <c r="C221" s="70"/>
      <c r="D221" s="70"/>
      <c r="E221" s="70"/>
      <c r="F221" s="70"/>
      <c r="G221" s="70"/>
      <c r="H221" s="70"/>
      <c r="I221" s="70"/>
      <c r="J221" s="70"/>
    </row>
    <row r="222" ht="13" customHeight="1">
      <c r="A222" s="22"/>
      <c r="B222" s="70"/>
      <c r="C222" s="70"/>
      <c r="D222" s="70"/>
      <c r="E222" s="70"/>
      <c r="F222" s="70"/>
      <c r="G222" s="70"/>
      <c r="H222" s="70"/>
      <c r="I222" s="70"/>
      <c r="J222" s="70"/>
    </row>
    <row r="223" ht="13" customHeight="1">
      <c r="A223" s="22"/>
      <c r="B223" s="70"/>
      <c r="C223" s="71"/>
      <c r="D223" s="70"/>
      <c r="E223" s="70"/>
      <c r="F223" s="70"/>
      <c r="G223" s="70"/>
      <c r="H223" s="70"/>
      <c r="I223" s="70"/>
      <c r="J223" s="70"/>
    </row>
    <row r="224" ht="13" customHeight="1">
      <c r="A224" s="22"/>
      <c r="B224" s="70"/>
      <c r="C224" s="71"/>
      <c r="D224" s="70"/>
      <c r="E224" s="70"/>
      <c r="F224" s="70"/>
      <c r="G224" s="70"/>
      <c r="H224" s="70"/>
      <c r="I224" s="70"/>
      <c r="J224" s="70"/>
    </row>
    <row r="225" ht="13" customHeight="1">
      <c r="A225" s="22"/>
      <c r="B225" s="70"/>
      <c r="C225" s="71"/>
      <c r="D225" s="70"/>
      <c r="E225" s="70"/>
      <c r="F225" s="70"/>
      <c r="G225" s="70"/>
      <c r="H225" s="70"/>
      <c r="I225" s="70"/>
      <c r="J225" s="70"/>
    </row>
    <row r="226" ht="13" customHeight="1">
      <c r="A226" s="22"/>
      <c r="B226" s="70"/>
      <c r="C226" s="70"/>
      <c r="D226" s="70"/>
      <c r="E226" s="70"/>
      <c r="F226" s="70"/>
      <c r="G226" s="70"/>
      <c r="H226" s="70"/>
      <c r="I226" s="70"/>
      <c r="J226" s="70"/>
    </row>
    <row r="227" ht="13" customHeight="1">
      <c r="A227" s="22"/>
      <c r="B227" s="70"/>
      <c r="C227" s="70"/>
      <c r="D227" s="70"/>
      <c r="E227" s="70"/>
      <c r="F227" s="70"/>
      <c r="G227" s="70"/>
      <c r="H227" s="70"/>
      <c r="I227" s="70"/>
      <c r="J227" s="70"/>
    </row>
    <row r="228" ht="13" customHeight="1">
      <c r="A228" s="22"/>
      <c r="B228" s="70"/>
      <c r="C228" s="70"/>
      <c r="D228" s="70"/>
      <c r="E228" s="70"/>
      <c r="F228" s="70"/>
      <c r="G228" s="70"/>
      <c r="H228" s="70"/>
      <c r="I228" s="70"/>
      <c r="J228" s="70"/>
    </row>
    <row r="229" ht="13" customHeight="1">
      <c r="A229" s="22"/>
      <c r="B229" s="70"/>
      <c r="C229" s="70"/>
      <c r="D229" s="70"/>
      <c r="E229" s="70"/>
      <c r="F229" s="70"/>
      <c r="G229" s="70"/>
      <c r="H229" s="70"/>
      <c r="I229" s="70"/>
      <c r="J229" s="70"/>
    </row>
    <row r="230" ht="13" customHeight="1">
      <c r="A230" s="22"/>
      <c r="B230" s="70"/>
      <c r="C230" s="71"/>
      <c r="D230" s="70"/>
      <c r="E230" s="70"/>
      <c r="F230" s="70"/>
      <c r="G230" s="70"/>
      <c r="H230" s="70"/>
      <c r="I230" s="70"/>
      <c r="J230" s="70"/>
    </row>
    <row r="231" ht="13" customHeight="1">
      <c r="A231" s="22"/>
      <c r="B231" s="70"/>
      <c r="C231" s="71"/>
      <c r="D231" s="70"/>
      <c r="E231" s="70"/>
      <c r="F231" s="70"/>
      <c r="G231" s="70"/>
      <c r="H231" s="70"/>
      <c r="I231" s="70"/>
      <c r="J231" s="70"/>
    </row>
    <row r="232" ht="13" customHeight="1">
      <c r="A232" s="22"/>
      <c r="B232" s="70"/>
      <c r="C232" s="71"/>
      <c r="D232" s="70"/>
      <c r="E232" s="70"/>
      <c r="F232" s="70"/>
      <c r="G232" s="70"/>
      <c r="H232" s="70"/>
      <c r="I232" s="70"/>
      <c r="J232" s="70"/>
    </row>
    <row r="233" ht="13" customHeight="1">
      <c r="A233" s="22"/>
      <c r="B233" s="70"/>
      <c r="C233" s="70"/>
      <c r="D233" s="70"/>
      <c r="E233" s="70"/>
      <c r="F233" s="70"/>
      <c r="G233" s="70"/>
      <c r="H233" s="70"/>
      <c r="I233" s="70"/>
      <c r="J233" s="70"/>
    </row>
    <row r="234" ht="13" customHeight="1">
      <c r="A234" s="22"/>
      <c r="B234" s="70"/>
      <c r="C234" s="70"/>
      <c r="D234" s="70"/>
      <c r="E234" s="70"/>
      <c r="F234" s="70"/>
      <c r="G234" s="70"/>
      <c r="H234" s="70"/>
      <c r="I234" s="70"/>
      <c r="J234" s="70"/>
    </row>
    <row r="235" ht="13" customHeight="1">
      <c r="A235" s="22"/>
      <c r="B235" s="70"/>
      <c r="C235" s="70"/>
      <c r="D235" s="70"/>
      <c r="E235" s="70"/>
      <c r="F235" s="70"/>
      <c r="G235" s="70"/>
      <c r="H235" s="70"/>
      <c r="I235" s="70"/>
      <c r="J235" s="70"/>
    </row>
    <row r="236" ht="13" customHeight="1">
      <c r="A236" s="22"/>
      <c r="B236" s="70"/>
      <c r="C236" s="70"/>
      <c r="D236" s="70"/>
      <c r="E236" s="70"/>
      <c r="F236" s="70"/>
      <c r="G236" s="70"/>
      <c r="H236" s="70"/>
      <c r="I236" s="70"/>
      <c r="J236" s="70"/>
    </row>
    <row r="237" ht="13" customHeight="1">
      <c r="A237" s="22"/>
      <c r="B237" s="70"/>
      <c r="C237" s="71"/>
      <c r="D237" s="70"/>
      <c r="E237" s="70"/>
      <c r="F237" s="70"/>
      <c r="G237" s="70"/>
      <c r="H237" s="70"/>
      <c r="I237" s="70"/>
      <c r="J237" s="70"/>
    </row>
    <row r="238" ht="13" customHeight="1">
      <c r="A238" s="22"/>
      <c r="B238" s="70"/>
      <c r="C238" s="71"/>
      <c r="D238" s="70"/>
      <c r="E238" s="70"/>
      <c r="F238" s="70"/>
      <c r="G238" s="70"/>
      <c r="H238" s="70"/>
      <c r="I238" s="70"/>
      <c r="J238" s="70"/>
    </row>
    <row r="239" ht="13" customHeight="1">
      <c r="A239" s="22"/>
      <c r="B239" s="70"/>
      <c r="C239" s="71"/>
      <c r="D239" s="70"/>
      <c r="E239" s="70"/>
      <c r="F239" s="70"/>
      <c r="G239" s="70"/>
      <c r="H239" s="70"/>
      <c r="I239" s="70"/>
      <c r="J239" s="70"/>
    </row>
    <row r="240" ht="13" customHeight="1">
      <c r="A240" s="22"/>
      <c r="B240" s="70"/>
      <c r="C240" s="70"/>
      <c r="D240" s="70"/>
      <c r="E240" s="70"/>
      <c r="F240" s="70"/>
      <c r="G240" s="70"/>
      <c r="H240" s="70"/>
      <c r="I240" s="70"/>
      <c r="J240" s="70"/>
    </row>
    <row r="241" ht="13" customHeight="1">
      <c r="A241" s="22"/>
      <c r="B241" s="70"/>
      <c r="C241" s="70"/>
      <c r="D241" s="70"/>
      <c r="E241" s="70"/>
      <c r="F241" s="70"/>
      <c r="G241" s="70"/>
      <c r="H241" s="70"/>
      <c r="I241" s="70"/>
      <c r="J241" s="70"/>
    </row>
    <row r="242" ht="13" customHeight="1">
      <c r="A242" s="22"/>
      <c r="B242" s="70"/>
      <c r="C242" s="70"/>
      <c r="D242" s="70"/>
      <c r="E242" s="70"/>
      <c r="F242" s="70"/>
      <c r="G242" s="70"/>
      <c r="H242" s="70"/>
      <c r="I242" s="70"/>
      <c r="J242" s="70"/>
    </row>
    <row r="243" ht="13" customHeight="1">
      <c r="A243" s="22"/>
      <c r="B243" s="70"/>
      <c r="C243" s="70"/>
      <c r="D243" s="70"/>
      <c r="E243" s="70"/>
      <c r="F243" s="70"/>
      <c r="G243" s="70"/>
      <c r="H243" s="70"/>
      <c r="I243" s="70"/>
      <c r="J243" s="70"/>
    </row>
    <row r="244" ht="13" customHeight="1">
      <c r="A244" s="22"/>
      <c r="B244" s="70"/>
      <c r="C244" s="71"/>
      <c r="D244" s="70"/>
      <c r="E244" s="70"/>
      <c r="F244" s="70"/>
      <c r="G244" s="70"/>
      <c r="H244" s="70"/>
      <c r="I244" s="70"/>
      <c r="J244" s="70"/>
    </row>
    <row r="245" ht="13" customHeight="1">
      <c r="A245" s="22"/>
      <c r="B245" s="70"/>
      <c r="C245" s="71"/>
      <c r="D245" s="70"/>
      <c r="E245" s="70"/>
      <c r="F245" s="70"/>
      <c r="G245" s="70"/>
      <c r="H245" s="70"/>
      <c r="I245" s="70"/>
      <c r="J245" s="70"/>
    </row>
    <row r="246" ht="13" customHeight="1">
      <c r="A246" s="22"/>
      <c r="B246" s="70"/>
      <c r="C246" s="71"/>
      <c r="D246" s="70"/>
      <c r="E246" s="70"/>
      <c r="F246" s="70"/>
      <c r="G246" s="70"/>
      <c r="H246" s="70"/>
      <c r="I246" s="70"/>
      <c r="J246" s="70"/>
    </row>
    <row r="247" ht="13" customHeight="1">
      <c r="A247" s="22"/>
      <c r="B247" s="70"/>
      <c r="C247" s="70"/>
      <c r="D247" s="70"/>
      <c r="E247" s="70"/>
      <c r="F247" s="70"/>
      <c r="G247" s="70"/>
      <c r="H247" s="70"/>
      <c r="I247" s="70"/>
      <c r="J247" s="70"/>
    </row>
    <row r="248" ht="13" customHeight="1">
      <c r="A248" s="22"/>
      <c r="B248" s="70"/>
      <c r="C248" s="70"/>
      <c r="D248" s="70"/>
      <c r="E248" s="70"/>
      <c r="F248" s="70"/>
      <c r="G248" s="70"/>
      <c r="H248" s="70"/>
      <c r="I248" s="70"/>
      <c r="J248" s="70"/>
    </row>
    <row r="249" ht="13" customHeight="1">
      <c r="A249" s="22"/>
      <c r="B249" s="70"/>
      <c r="C249" s="70"/>
      <c r="D249" s="70"/>
      <c r="E249" s="70"/>
      <c r="F249" s="70"/>
      <c r="G249" s="70"/>
      <c r="H249" s="70"/>
      <c r="I249" s="70"/>
      <c r="J249" s="70"/>
    </row>
    <row r="250" ht="13" customHeight="1">
      <c r="A250" s="22"/>
      <c r="B250" s="70"/>
      <c r="C250" s="70"/>
      <c r="D250" s="70"/>
      <c r="E250" s="70"/>
      <c r="F250" s="70"/>
      <c r="G250" s="70"/>
      <c r="H250" s="70"/>
      <c r="I250" s="70"/>
      <c r="J250" s="70"/>
    </row>
    <row r="251" ht="13" customHeight="1">
      <c r="A251" s="22"/>
      <c r="B251" s="70"/>
      <c r="C251" s="71"/>
      <c r="D251" s="70"/>
      <c r="E251" s="70"/>
      <c r="F251" s="70"/>
      <c r="G251" s="70"/>
      <c r="H251" s="70"/>
      <c r="I251" s="70"/>
      <c r="J251" s="70"/>
    </row>
    <row r="252" ht="13" customHeight="1">
      <c r="A252" s="22"/>
      <c r="B252" s="70"/>
      <c r="C252" s="71"/>
      <c r="D252" s="70"/>
      <c r="E252" s="70"/>
      <c r="F252" s="70"/>
      <c r="G252" s="70"/>
      <c r="H252" s="70"/>
      <c r="I252" s="70"/>
      <c r="J252" s="70"/>
    </row>
    <row r="253" ht="13" customHeight="1">
      <c r="A253" s="22"/>
      <c r="B253" s="70"/>
      <c r="C253" s="71"/>
      <c r="D253" s="70"/>
      <c r="E253" s="70"/>
      <c r="F253" s="70"/>
      <c r="G253" s="70"/>
      <c r="H253" s="70"/>
      <c r="I253" s="70"/>
      <c r="J253" s="70"/>
    </row>
    <row r="254" ht="13" customHeight="1">
      <c r="A254" s="22"/>
      <c r="B254" s="70"/>
      <c r="C254" s="70"/>
      <c r="D254" s="70"/>
      <c r="E254" s="70"/>
      <c r="F254" s="70"/>
      <c r="G254" s="70"/>
      <c r="H254" s="70"/>
      <c r="I254" s="70"/>
      <c r="J254" s="70"/>
    </row>
    <row r="255" ht="13" customHeight="1">
      <c r="A255" s="22"/>
      <c r="B255" s="70"/>
      <c r="C255" s="70"/>
      <c r="D255" s="70"/>
      <c r="E255" s="70"/>
      <c r="F255" s="70"/>
      <c r="G255" s="70"/>
      <c r="H255" s="70"/>
      <c r="I255" s="70"/>
      <c r="J255" s="70"/>
    </row>
    <row r="256" ht="13" customHeight="1">
      <c r="A256" s="22"/>
      <c r="B256" s="70"/>
      <c r="C256" s="70"/>
      <c r="D256" s="70"/>
      <c r="E256" s="70"/>
      <c r="F256" s="70"/>
      <c r="G256" s="70"/>
      <c r="H256" s="70"/>
      <c r="I256" s="70"/>
      <c r="J256" s="70"/>
    </row>
    <row r="257" ht="13" customHeight="1">
      <c r="A257" s="22"/>
      <c r="B257" s="70"/>
      <c r="C257" s="70"/>
      <c r="D257" s="70"/>
      <c r="E257" s="70"/>
      <c r="F257" s="70"/>
      <c r="G257" s="70"/>
      <c r="H257" s="70"/>
      <c r="I257" s="70"/>
      <c r="J257" s="70"/>
    </row>
    <row r="258" ht="13" customHeight="1">
      <c r="A258" s="22"/>
      <c r="B258" s="70"/>
      <c r="C258" s="71"/>
      <c r="D258" s="70"/>
      <c r="E258" s="70"/>
      <c r="F258" s="70"/>
      <c r="G258" s="70"/>
      <c r="H258" s="70"/>
      <c r="I258" s="70"/>
      <c r="J258" s="70"/>
    </row>
    <row r="259" ht="13" customHeight="1">
      <c r="A259" s="22"/>
      <c r="B259" s="70"/>
      <c r="C259" s="71"/>
      <c r="D259" s="70"/>
      <c r="E259" s="70"/>
      <c r="F259" s="70"/>
      <c r="G259" s="70"/>
      <c r="H259" s="70"/>
      <c r="I259" s="70"/>
      <c r="J259" s="70"/>
    </row>
    <row r="260" ht="13" customHeight="1">
      <c r="A260" s="22"/>
      <c r="B260" s="70"/>
      <c r="C260" s="71"/>
      <c r="D260" s="70"/>
      <c r="E260" s="70"/>
      <c r="F260" s="70"/>
      <c r="G260" s="70"/>
      <c r="H260" s="70"/>
      <c r="I260" s="70"/>
      <c r="J260" s="70"/>
    </row>
    <row r="261" ht="13" customHeight="1">
      <c r="A261" s="22"/>
      <c r="B261" s="70"/>
      <c r="C261" s="70"/>
      <c r="D261" s="70"/>
      <c r="E261" s="70"/>
      <c r="F261" s="70"/>
      <c r="G261" s="70"/>
      <c r="H261" s="70"/>
      <c r="I261" s="70"/>
      <c r="J261" s="70"/>
    </row>
    <row r="262" ht="13" customHeight="1">
      <c r="A262" s="22"/>
      <c r="B262" s="70"/>
      <c r="C262" s="70"/>
      <c r="D262" s="70"/>
      <c r="E262" s="70"/>
      <c r="F262" s="70"/>
      <c r="G262" s="70"/>
      <c r="H262" s="70"/>
      <c r="I262" s="70"/>
      <c r="J262" s="70"/>
    </row>
    <row r="263" ht="13" customHeight="1">
      <c r="A263" s="22"/>
      <c r="B263" s="22"/>
      <c r="C263" s="22"/>
      <c r="D263" s="22"/>
      <c r="E263" s="22"/>
      <c r="F263" s="22"/>
      <c r="G263" s="22"/>
      <c r="H263" s="22"/>
      <c r="I263" s="22"/>
      <c r="J263" s="22"/>
    </row>
    <row r="264" ht="13" customHeight="1">
      <c r="A264" s="22"/>
      <c r="B264" s="22"/>
      <c r="C264" s="22"/>
      <c r="D264" s="22"/>
      <c r="E264" s="22"/>
      <c r="F264" s="22"/>
      <c r="G264" s="22"/>
      <c r="H264" s="22"/>
      <c r="I264" s="22"/>
      <c r="J264" s="22"/>
    </row>
    <row r="265" ht="13" customHeight="1">
      <c r="A265" s="22"/>
      <c r="B265" s="22"/>
      <c r="C265" s="22"/>
      <c r="D265" s="22"/>
      <c r="E265" s="22"/>
      <c r="F265" s="22"/>
      <c r="G265" s="22"/>
      <c r="H265" s="22"/>
      <c r="I265" s="22"/>
      <c r="J265" s="22"/>
    </row>
    <row r="266" ht="13" customHeight="1">
      <c r="A266" s="22"/>
      <c r="B266" s="22"/>
      <c r="C266" s="22"/>
      <c r="D266" s="22"/>
      <c r="E266" s="22"/>
      <c r="F266" s="22"/>
      <c r="G266" s="22"/>
      <c r="H266" s="22"/>
      <c r="I266" s="22"/>
      <c r="J266" s="22"/>
    </row>
    <row r="267" ht="13" customHeight="1">
      <c r="A267" s="22"/>
      <c r="B267" s="22"/>
      <c r="C267" s="22"/>
      <c r="D267" s="22"/>
      <c r="E267" s="22"/>
      <c r="F267" s="22"/>
      <c r="G267" s="22"/>
      <c r="H267" s="22"/>
      <c r="I267" s="22"/>
      <c r="J267" s="22"/>
    </row>
    <row r="268" ht="13" customHeight="1">
      <c r="A268" s="22"/>
      <c r="B268" s="22"/>
      <c r="C268" s="22"/>
      <c r="D268" s="22"/>
      <c r="E268" s="22"/>
      <c r="F268" s="22"/>
      <c r="G268" s="22"/>
      <c r="H268" s="22"/>
      <c r="I268" s="22"/>
      <c r="J268" s="22"/>
    </row>
    <row r="269" ht="13" customHeight="1">
      <c r="A269" s="22"/>
      <c r="B269" s="22"/>
      <c r="C269" s="22"/>
      <c r="D269" s="22"/>
      <c r="E269" s="22"/>
      <c r="F269" s="22"/>
      <c r="G269" s="22"/>
      <c r="H269" s="22"/>
      <c r="I269" s="22"/>
      <c r="J269" s="22"/>
    </row>
    <row r="270" ht="13" customHeight="1">
      <c r="A270" s="22"/>
      <c r="B270" s="22"/>
      <c r="C270" s="22"/>
      <c r="D270" s="22"/>
      <c r="E270" s="22"/>
      <c r="F270" s="22"/>
      <c r="G270" s="22"/>
      <c r="H270" s="22"/>
      <c r="I270" s="22"/>
      <c r="J270" s="22"/>
    </row>
    <row r="271" ht="13" customHeight="1">
      <c r="A271" s="22"/>
      <c r="B271" s="22"/>
      <c r="C271" s="22"/>
      <c r="D271" s="22"/>
      <c r="E271" s="22"/>
      <c r="F271" s="22"/>
      <c r="G271" s="22"/>
      <c r="H271" s="22"/>
      <c r="I271" s="22"/>
      <c r="J271" s="22"/>
    </row>
    <row r="272" ht="13" customHeight="1">
      <c r="A272" s="22"/>
      <c r="B272" s="22"/>
      <c r="C272" s="22"/>
      <c r="D272" s="22"/>
      <c r="E272" s="22"/>
      <c r="F272" s="22"/>
      <c r="G272" s="22"/>
      <c r="H272" s="22"/>
      <c r="I272" s="22"/>
      <c r="J272" s="22"/>
    </row>
    <row r="273" ht="13" customHeight="1">
      <c r="A273" s="22"/>
      <c r="B273" s="22"/>
      <c r="C273" s="22"/>
      <c r="D273" s="22"/>
      <c r="E273" s="22"/>
      <c r="F273" s="22"/>
      <c r="G273" s="22"/>
      <c r="H273" s="22"/>
      <c r="I273" s="22"/>
      <c r="J273" s="22"/>
    </row>
    <row r="274" ht="13" customHeight="1">
      <c r="A274" s="22"/>
      <c r="B274" s="22"/>
      <c r="C274" s="22"/>
      <c r="D274" s="22"/>
      <c r="E274" s="22"/>
      <c r="F274" s="22"/>
      <c r="G274" s="22"/>
      <c r="H274" s="22"/>
      <c r="I274" s="22"/>
      <c r="J274" s="22"/>
    </row>
    <row r="275" ht="13" customHeight="1">
      <c r="A275" s="22"/>
      <c r="B275" s="22"/>
      <c r="C275" s="22"/>
      <c r="D275" s="22"/>
      <c r="E275" s="22"/>
      <c r="F275" s="22"/>
      <c r="G275" s="22"/>
      <c r="H275" s="22"/>
      <c r="I275" s="22"/>
      <c r="J275" s="22"/>
    </row>
    <row r="276" ht="13" customHeight="1">
      <c r="A276" s="22"/>
      <c r="B276" s="22"/>
      <c r="C276" s="22"/>
      <c r="D276" s="22"/>
      <c r="E276" s="22"/>
      <c r="F276" s="22"/>
      <c r="G276" s="22"/>
      <c r="H276" s="22"/>
      <c r="I276" s="22"/>
      <c r="J276" s="22"/>
    </row>
    <row r="277" ht="13" customHeight="1">
      <c r="A277" s="22"/>
      <c r="B277" s="22"/>
      <c r="C277" s="22"/>
      <c r="D277" s="22"/>
      <c r="E277" s="22"/>
      <c r="F277" s="22"/>
      <c r="G277" s="22"/>
      <c r="H277" s="22"/>
      <c r="I277" s="22"/>
      <c r="J277" s="22"/>
    </row>
    <row r="278" ht="13" customHeight="1">
      <c r="A278" s="22"/>
      <c r="B278" s="22"/>
      <c r="C278" s="22"/>
      <c r="D278" s="22"/>
      <c r="E278" s="22"/>
      <c r="F278" s="22"/>
      <c r="G278" s="22"/>
      <c r="H278" s="22"/>
      <c r="I278" s="22"/>
      <c r="J278" s="22"/>
    </row>
    <row r="279" ht="13" customHeight="1">
      <c r="A279" s="22"/>
      <c r="B279" s="22"/>
      <c r="C279" s="22"/>
      <c r="D279" s="22"/>
      <c r="E279" s="22"/>
      <c r="F279" s="22"/>
      <c r="G279" s="22"/>
      <c r="H279" s="22"/>
      <c r="I279" s="22"/>
      <c r="J279" s="22"/>
    </row>
    <row r="280" ht="13" customHeight="1">
      <c r="A280" s="22"/>
      <c r="B280" s="22"/>
      <c r="C280" s="22"/>
      <c r="D280" s="22"/>
      <c r="E280" s="22"/>
      <c r="F280" s="22"/>
      <c r="G280" s="22"/>
      <c r="H280" s="22"/>
      <c r="I280" s="22"/>
      <c r="J280" s="22"/>
    </row>
    <row r="281" ht="13" customHeight="1">
      <c r="A281" s="22"/>
      <c r="B281" s="22"/>
      <c r="C281" s="22"/>
      <c r="D281" s="22"/>
      <c r="E281" s="22"/>
      <c r="F281" s="22"/>
      <c r="G281" s="22"/>
      <c r="H281" s="22"/>
      <c r="I281" s="22"/>
      <c r="J281" s="22"/>
    </row>
    <row r="282" ht="13" customHeight="1">
      <c r="A282" s="22"/>
      <c r="B282" s="22"/>
      <c r="C282" s="22"/>
      <c r="D282" s="22"/>
      <c r="E282" s="22"/>
      <c r="F282" s="22"/>
      <c r="G282" s="22"/>
      <c r="H282" s="22"/>
      <c r="I282" s="22"/>
      <c r="J282" s="22"/>
    </row>
    <row r="283" ht="13" customHeight="1">
      <c r="A283" s="22"/>
      <c r="B283" s="22"/>
      <c r="C283" s="22"/>
      <c r="D283" s="22"/>
      <c r="E283" s="22"/>
      <c r="F283" s="22"/>
      <c r="G283" s="22"/>
      <c r="H283" s="22"/>
      <c r="I283" s="22"/>
      <c r="J283" s="22"/>
    </row>
    <row r="284" ht="13" customHeight="1">
      <c r="A284" s="22"/>
      <c r="B284" s="22"/>
      <c r="C284" s="22"/>
      <c r="D284" s="22"/>
      <c r="E284" s="22"/>
      <c r="F284" s="22"/>
      <c r="G284" s="22"/>
      <c r="H284" s="22"/>
      <c r="I284" s="22"/>
      <c r="J284" s="22"/>
    </row>
    <row r="285" ht="13" customHeight="1">
      <c r="A285" s="22"/>
      <c r="B285" s="22"/>
      <c r="C285" s="22"/>
      <c r="D285" s="22"/>
      <c r="E285" s="22"/>
      <c r="F285" s="22"/>
      <c r="G285" s="22"/>
      <c r="H285" s="22"/>
      <c r="I285" s="22"/>
      <c r="J285" s="22"/>
    </row>
    <row r="286" ht="13" customHeight="1">
      <c r="A286" s="22"/>
      <c r="B286" s="22"/>
      <c r="C286" s="22"/>
      <c r="D286" s="22"/>
      <c r="E286" s="22"/>
      <c r="F286" s="22"/>
      <c r="G286" s="22"/>
      <c r="H286" s="22"/>
      <c r="I286" s="22"/>
      <c r="J286" s="22"/>
    </row>
    <row r="287" ht="13" customHeight="1">
      <c r="A287" s="22"/>
      <c r="B287" s="22"/>
      <c r="C287" s="22"/>
      <c r="D287" s="22"/>
      <c r="E287" s="22"/>
      <c r="F287" s="22"/>
      <c r="G287" s="22"/>
      <c r="H287" s="22"/>
      <c r="I287" s="22"/>
      <c r="J287" s="22"/>
    </row>
    <row r="288" ht="13" customHeight="1">
      <c r="A288" s="22"/>
      <c r="B288" s="22"/>
      <c r="C288" s="22"/>
      <c r="D288" s="22"/>
      <c r="E288" s="22"/>
      <c r="F288" s="22"/>
      <c r="G288" s="22"/>
      <c r="H288" s="22"/>
      <c r="I288" s="22"/>
      <c r="J288" s="22"/>
    </row>
    <row r="289" ht="13" customHeight="1">
      <c r="A289" s="22"/>
      <c r="B289" s="22"/>
      <c r="C289" s="22"/>
      <c r="D289" s="22"/>
      <c r="E289" s="22"/>
      <c r="F289" s="22"/>
      <c r="G289" s="22"/>
      <c r="H289" s="22"/>
      <c r="I289" s="22"/>
      <c r="J289" s="22"/>
    </row>
    <row r="290" ht="13" customHeight="1">
      <c r="A290" s="22"/>
      <c r="B290" s="22"/>
      <c r="C290" s="22"/>
      <c r="D290" s="22"/>
      <c r="E290" s="22"/>
      <c r="F290" s="22"/>
      <c r="G290" s="22"/>
      <c r="H290" s="22"/>
      <c r="I290" s="22"/>
      <c r="J290" s="22"/>
    </row>
    <row r="291" ht="13" customHeight="1">
      <c r="A291" s="22"/>
      <c r="B291" s="22"/>
      <c r="C291" s="22"/>
      <c r="D291" s="22"/>
      <c r="E291" s="22"/>
      <c r="F291" s="22"/>
      <c r="G291" s="22"/>
      <c r="H291" s="22"/>
      <c r="I291" s="22"/>
      <c r="J291" s="22"/>
    </row>
    <row r="292" ht="13" customHeight="1">
      <c r="A292" s="22"/>
      <c r="B292" s="22"/>
      <c r="C292" s="22"/>
      <c r="D292" s="22"/>
      <c r="E292" s="22"/>
      <c r="F292" s="22"/>
      <c r="G292" s="22"/>
      <c r="H292" s="22"/>
      <c r="I292" s="22"/>
      <c r="J292" s="22"/>
    </row>
    <row r="293" ht="13" customHeight="1">
      <c r="A293" s="22"/>
      <c r="B293" s="22"/>
      <c r="C293" s="22"/>
      <c r="D293" s="22"/>
      <c r="E293" s="22"/>
      <c r="F293" s="22"/>
      <c r="G293" s="22"/>
      <c r="H293" s="22"/>
      <c r="I293" s="22"/>
      <c r="J293" s="22"/>
    </row>
    <row r="294" ht="13" customHeight="1">
      <c r="A294" s="22"/>
      <c r="B294" s="22"/>
      <c r="C294" s="22"/>
      <c r="D294" s="22"/>
      <c r="E294" s="22"/>
      <c r="F294" s="22"/>
      <c r="G294" s="22"/>
      <c r="H294" s="22"/>
      <c r="I294" s="22"/>
      <c r="J294" s="22"/>
    </row>
    <row r="295" ht="13" customHeight="1">
      <c r="A295" s="22"/>
      <c r="B295" s="22"/>
      <c r="C295" s="22"/>
      <c r="D295" s="22"/>
      <c r="E295" s="22"/>
      <c r="F295" s="22"/>
      <c r="G295" s="22"/>
      <c r="H295" s="22"/>
      <c r="I295" s="22"/>
      <c r="J295" s="22"/>
    </row>
    <row r="296" ht="13" customHeight="1">
      <c r="A296" s="22"/>
      <c r="B296" s="22"/>
      <c r="C296" s="22"/>
      <c r="D296" s="22"/>
      <c r="E296" s="22"/>
      <c r="F296" s="22"/>
      <c r="G296" s="22"/>
      <c r="H296" s="22"/>
      <c r="I296" s="22"/>
      <c r="J296" s="22"/>
    </row>
    <row r="297" ht="13" customHeight="1">
      <c r="A297" s="22"/>
      <c r="B297" s="22"/>
      <c r="C297" s="22"/>
      <c r="D297" s="22"/>
      <c r="E297" s="22"/>
      <c r="F297" s="22"/>
      <c r="G297" s="22"/>
      <c r="H297" s="22"/>
      <c r="I297" s="22"/>
      <c r="J297" s="22"/>
    </row>
    <row r="298" ht="13" customHeight="1">
      <c r="A298" s="22"/>
      <c r="B298" s="22"/>
      <c r="C298" s="22"/>
      <c r="D298" s="22"/>
      <c r="E298" s="22"/>
      <c r="F298" s="22"/>
      <c r="G298" s="22"/>
      <c r="H298" s="22"/>
      <c r="I298" s="22"/>
      <c r="J298" s="22"/>
    </row>
    <row r="299" ht="13" customHeight="1">
      <c r="A299" s="22"/>
      <c r="B299" s="22"/>
      <c r="C299" s="22"/>
      <c r="D299" s="22"/>
      <c r="E299" s="22"/>
      <c r="F299" s="22"/>
      <c r="G299" s="22"/>
      <c r="H299" s="22"/>
      <c r="I299" s="22"/>
      <c r="J299" s="22"/>
    </row>
    <row r="300" ht="13" customHeight="1">
      <c r="A300" s="22"/>
      <c r="B300" s="22"/>
      <c r="C300" s="22"/>
      <c r="D300" s="22"/>
      <c r="E300" s="22"/>
      <c r="F300" s="22"/>
      <c r="G300" s="22"/>
      <c r="H300" s="22"/>
      <c r="I300" s="22"/>
      <c r="J300" s="22"/>
    </row>
    <row r="301" ht="13" customHeight="1">
      <c r="A301" s="22"/>
      <c r="B301" s="22"/>
      <c r="C301" s="22"/>
      <c r="D301" s="22"/>
      <c r="E301" s="22"/>
      <c r="F301" s="22"/>
      <c r="G301" s="22"/>
      <c r="H301" s="22"/>
      <c r="I301" s="22"/>
      <c r="J301" s="22"/>
    </row>
    <row r="302" ht="13" customHeight="1">
      <c r="A302" s="22"/>
      <c r="B302" s="22"/>
      <c r="C302" s="22"/>
      <c r="D302" s="22"/>
      <c r="E302" s="22"/>
      <c r="F302" s="22"/>
      <c r="G302" s="22"/>
      <c r="H302" s="22"/>
      <c r="I302" s="22"/>
      <c r="J302" s="22"/>
    </row>
    <row r="303" ht="13" customHeight="1">
      <c r="A303" s="22"/>
      <c r="B303" s="22"/>
      <c r="C303" s="22"/>
      <c r="D303" s="22"/>
      <c r="E303" s="22"/>
      <c r="F303" s="22"/>
      <c r="G303" s="22"/>
      <c r="H303" s="22"/>
      <c r="I303" s="22"/>
      <c r="J303" s="22"/>
    </row>
    <row r="304" ht="13" customHeight="1">
      <c r="A304" s="22"/>
      <c r="B304" s="22"/>
      <c r="C304" s="22"/>
      <c r="D304" s="22"/>
      <c r="E304" s="22"/>
      <c r="F304" s="22"/>
      <c r="G304" s="22"/>
      <c r="H304" s="22"/>
      <c r="I304" s="22"/>
      <c r="J304" s="22"/>
    </row>
    <row r="305" ht="13" customHeight="1">
      <c r="A305" s="22"/>
      <c r="B305" s="22"/>
      <c r="C305" s="22"/>
      <c r="D305" s="22"/>
      <c r="E305" s="22"/>
      <c r="F305" s="22"/>
      <c r="G305" s="22"/>
      <c r="H305" s="22"/>
      <c r="I305" s="22"/>
      <c r="J305" s="22"/>
    </row>
    <row r="306" ht="13" customHeight="1">
      <c r="A306" s="22"/>
      <c r="B306" s="22"/>
      <c r="C306" s="22"/>
      <c r="D306" s="22"/>
      <c r="E306" s="22"/>
      <c r="F306" s="22"/>
      <c r="G306" s="22"/>
      <c r="H306" s="22"/>
      <c r="I306" s="22"/>
      <c r="J306" s="22"/>
    </row>
    <row r="307" ht="13" customHeight="1">
      <c r="A307" s="22"/>
      <c r="B307" s="22"/>
      <c r="C307" s="22"/>
      <c r="D307" s="22"/>
      <c r="E307" s="22"/>
      <c r="F307" s="22"/>
      <c r="G307" s="22"/>
      <c r="H307" s="22"/>
      <c r="I307" s="22"/>
      <c r="J307" s="22"/>
    </row>
    <row r="308" ht="13" customHeight="1">
      <c r="A308" s="22"/>
      <c r="B308" s="22"/>
      <c r="C308" s="22"/>
      <c r="D308" s="22"/>
      <c r="E308" s="22"/>
      <c r="F308" s="22"/>
      <c r="G308" s="22"/>
      <c r="H308" s="22"/>
      <c r="I308" s="22"/>
      <c r="J308" s="22"/>
    </row>
    <row r="309" ht="13" customHeight="1">
      <c r="A309" s="22"/>
      <c r="B309" s="22"/>
      <c r="C309" s="22"/>
      <c r="D309" s="22"/>
      <c r="E309" s="22"/>
      <c r="F309" s="22"/>
      <c r="G309" s="22"/>
      <c r="H309" s="22"/>
      <c r="I309" s="22"/>
      <c r="J309" s="22"/>
    </row>
    <row r="310" ht="13" customHeight="1">
      <c r="A310" s="22"/>
      <c r="B310" s="22"/>
      <c r="C310" s="22"/>
      <c r="D310" s="22"/>
      <c r="E310" s="22"/>
      <c r="F310" s="22"/>
      <c r="G310" s="22"/>
      <c r="H310" s="22"/>
      <c r="I310" s="22"/>
      <c r="J310" s="22"/>
    </row>
    <row r="311" ht="13" customHeight="1">
      <c r="A311" s="22"/>
      <c r="B311" s="22"/>
      <c r="C311" s="22"/>
      <c r="D311" s="22"/>
      <c r="E311" s="22"/>
      <c r="F311" s="22"/>
      <c r="G311" s="22"/>
      <c r="H311" s="22"/>
      <c r="I311" s="22"/>
      <c r="J311" s="22"/>
    </row>
    <row r="312" ht="13" customHeight="1">
      <c r="A312" s="22"/>
      <c r="B312" s="22"/>
      <c r="C312" s="22"/>
      <c r="D312" s="22"/>
      <c r="E312" s="22"/>
      <c r="F312" s="22"/>
      <c r="G312" s="22"/>
      <c r="H312" s="22"/>
      <c r="I312" s="22"/>
      <c r="J312" s="22"/>
    </row>
    <row r="313" ht="13" customHeight="1">
      <c r="A313" s="22"/>
      <c r="B313" s="22"/>
      <c r="C313" s="22"/>
      <c r="D313" s="22"/>
      <c r="E313" s="22"/>
      <c r="F313" s="22"/>
      <c r="G313" s="22"/>
      <c r="H313" s="22"/>
      <c r="I313" s="22"/>
      <c r="J313" s="22"/>
    </row>
    <row r="314" ht="13" customHeight="1">
      <c r="A314" s="22"/>
      <c r="B314" s="22"/>
      <c r="C314" s="22"/>
      <c r="D314" s="22"/>
      <c r="E314" s="22"/>
      <c r="F314" s="22"/>
      <c r="G314" s="22"/>
      <c r="H314" s="22"/>
      <c r="I314" s="22"/>
      <c r="J314" s="22"/>
    </row>
    <row r="315" ht="13" customHeight="1">
      <c r="A315" s="22"/>
      <c r="B315" s="22"/>
      <c r="C315" s="22"/>
      <c r="D315" s="22"/>
      <c r="E315" s="22"/>
      <c r="F315" s="22"/>
      <c r="G315" s="22"/>
      <c r="H315" s="22"/>
      <c r="I315" s="22"/>
      <c r="J315" s="22"/>
    </row>
    <row r="316" ht="13" customHeight="1">
      <c r="A316" s="22"/>
      <c r="B316" s="22"/>
      <c r="C316" s="22"/>
      <c r="D316" s="22"/>
      <c r="E316" s="22"/>
      <c r="F316" s="22"/>
      <c r="G316" s="22"/>
      <c r="H316" s="22"/>
      <c r="I316" s="22"/>
      <c r="J316" s="22"/>
    </row>
    <row r="317" ht="13" customHeight="1">
      <c r="A317" s="22"/>
      <c r="B317" s="22"/>
      <c r="C317" s="22"/>
      <c r="D317" s="22"/>
      <c r="E317" s="22"/>
      <c r="F317" s="22"/>
      <c r="G317" s="22"/>
      <c r="H317" s="22"/>
      <c r="I317" s="22"/>
      <c r="J317" s="22"/>
    </row>
    <row r="318" ht="13" customHeight="1">
      <c r="A318" s="22"/>
      <c r="B318" s="22"/>
      <c r="C318" s="22"/>
      <c r="D318" s="22"/>
      <c r="E318" s="22"/>
      <c r="F318" s="22"/>
      <c r="G318" s="22"/>
      <c r="H318" s="22"/>
      <c r="I318" s="22"/>
      <c r="J318" s="22"/>
    </row>
    <row r="319" ht="13" customHeight="1">
      <c r="A319" s="22"/>
      <c r="B319" s="22"/>
      <c r="C319" s="22"/>
      <c r="D319" s="22"/>
      <c r="E319" s="22"/>
      <c r="F319" s="22"/>
      <c r="G319" s="22"/>
      <c r="H319" s="22"/>
      <c r="I319" s="22"/>
      <c r="J319" s="22"/>
    </row>
    <row r="320" ht="13" customHeight="1">
      <c r="A320" s="22"/>
      <c r="B320" s="22"/>
      <c r="C320" s="22"/>
      <c r="D320" s="22"/>
      <c r="E320" s="22"/>
      <c r="F320" s="22"/>
      <c r="G320" s="22"/>
      <c r="H320" s="22"/>
      <c r="I320" s="22"/>
      <c r="J320" s="22"/>
    </row>
    <row r="321" ht="13" customHeight="1">
      <c r="A321" s="22"/>
      <c r="B321" s="22"/>
      <c r="C321" s="22"/>
      <c r="D321" s="22"/>
      <c r="E321" s="22"/>
      <c r="F321" s="22"/>
      <c r="G321" s="22"/>
      <c r="H321" s="22"/>
      <c r="I321" s="22"/>
      <c r="J321" s="22"/>
    </row>
    <row r="322" ht="13" customHeight="1">
      <c r="A322" s="22"/>
      <c r="B322" s="22"/>
      <c r="C322" s="22"/>
      <c r="D322" s="22"/>
      <c r="E322" s="22"/>
      <c r="F322" s="22"/>
      <c r="G322" s="22"/>
      <c r="H322" s="22"/>
      <c r="I322" s="22"/>
      <c r="J322" s="22"/>
    </row>
    <row r="323" ht="13" customHeight="1">
      <c r="A323" s="22"/>
      <c r="B323" s="22"/>
      <c r="C323" s="22"/>
      <c r="D323" s="22"/>
      <c r="E323" s="22"/>
      <c r="F323" s="22"/>
      <c r="G323" s="22"/>
      <c r="H323" s="22"/>
      <c r="I323" s="22"/>
      <c r="J323" s="22"/>
    </row>
    <row r="324" ht="13" customHeight="1">
      <c r="A324" s="22"/>
      <c r="B324" s="22"/>
      <c r="C324" s="22"/>
      <c r="D324" s="22"/>
      <c r="E324" s="22"/>
      <c r="F324" s="22"/>
      <c r="G324" s="22"/>
      <c r="H324" s="22"/>
      <c r="I324" s="22"/>
      <c r="J324" s="22"/>
    </row>
    <row r="325" ht="13" customHeight="1">
      <c r="A325" s="22"/>
      <c r="B325" s="22"/>
      <c r="C325" s="22"/>
      <c r="D325" s="22"/>
      <c r="E325" s="22"/>
      <c r="F325" s="22"/>
      <c r="G325" s="22"/>
      <c r="H325" s="22"/>
      <c r="I325" s="22"/>
      <c r="J325" s="22"/>
    </row>
    <row r="326" ht="13" customHeight="1">
      <c r="A326" s="22"/>
      <c r="B326" s="22"/>
      <c r="C326" s="22"/>
      <c r="D326" s="22"/>
      <c r="E326" s="22"/>
      <c r="F326" s="22"/>
      <c r="G326" s="22"/>
      <c r="H326" s="22"/>
      <c r="I326" s="22"/>
      <c r="J326" s="22"/>
    </row>
    <row r="327" ht="13" customHeight="1">
      <c r="A327" s="22"/>
      <c r="B327" s="22"/>
      <c r="C327" s="22"/>
      <c r="D327" s="22"/>
      <c r="E327" s="22"/>
      <c r="F327" s="22"/>
      <c r="G327" s="22"/>
      <c r="H327" s="22"/>
      <c r="I327" s="22"/>
      <c r="J327" s="22"/>
    </row>
    <row r="328" ht="13" customHeight="1">
      <c r="A328" s="22"/>
      <c r="B328" s="22"/>
      <c r="C328" s="22"/>
      <c r="D328" s="22"/>
      <c r="E328" s="22"/>
      <c r="F328" s="22"/>
      <c r="G328" s="22"/>
      <c r="H328" s="22"/>
      <c r="I328" s="22"/>
      <c r="J328" s="22"/>
    </row>
    <row r="329" ht="13" customHeight="1">
      <c r="A329" s="22"/>
      <c r="B329" s="22"/>
      <c r="C329" s="22"/>
      <c r="D329" s="22"/>
      <c r="E329" s="22"/>
      <c r="F329" s="22"/>
      <c r="G329" s="22"/>
      <c r="H329" s="22"/>
      <c r="I329" s="22"/>
      <c r="J329" s="22"/>
    </row>
    <row r="330" ht="13" customHeight="1">
      <c r="A330" s="22"/>
      <c r="B330" s="22"/>
      <c r="C330" s="22"/>
      <c r="D330" s="22"/>
      <c r="E330" s="22"/>
      <c r="F330" s="22"/>
      <c r="G330" s="22"/>
      <c r="H330" s="22"/>
      <c r="I330" s="22"/>
      <c r="J330" s="22"/>
    </row>
    <row r="331" ht="13" customHeight="1">
      <c r="A331" s="22"/>
      <c r="B331" s="22"/>
      <c r="C331" s="22"/>
      <c r="D331" s="22"/>
      <c r="E331" s="22"/>
      <c r="F331" s="22"/>
      <c r="G331" s="22"/>
      <c r="H331" s="22"/>
      <c r="I331" s="22"/>
      <c r="J331" s="22"/>
    </row>
    <row r="332" ht="13" customHeight="1">
      <c r="A332" s="22"/>
      <c r="B332" s="22"/>
      <c r="C332" s="22"/>
      <c r="D332" s="22"/>
      <c r="E332" s="22"/>
      <c r="F332" s="22"/>
      <c r="G332" s="22"/>
      <c r="H332" s="22"/>
      <c r="I332" s="22"/>
      <c r="J332" s="22"/>
    </row>
    <row r="333" ht="13" customHeight="1">
      <c r="A333" s="22"/>
      <c r="B333" s="22"/>
      <c r="C333" s="22"/>
      <c r="D333" s="22"/>
      <c r="E333" s="22"/>
      <c r="F333" s="22"/>
      <c r="G333" s="22"/>
      <c r="H333" s="22"/>
      <c r="I333" s="22"/>
      <c r="J333" s="22"/>
    </row>
    <row r="334" ht="13" customHeight="1">
      <c r="A334" s="22"/>
      <c r="B334" s="22"/>
      <c r="C334" s="22"/>
      <c r="D334" s="22"/>
      <c r="E334" s="22"/>
      <c r="F334" s="22"/>
      <c r="G334" s="22"/>
      <c r="H334" s="22"/>
      <c r="I334" s="22"/>
      <c r="J334" s="22"/>
    </row>
    <row r="335" ht="13" customHeight="1">
      <c r="A335" s="22"/>
      <c r="B335" s="22"/>
      <c r="C335" s="22"/>
      <c r="D335" s="22"/>
      <c r="E335" s="22"/>
      <c r="F335" s="22"/>
      <c r="G335" s="22"/>
      <c r="H335" s="22"/>
      <c r="I335" s="22"/>
      <c r="J335" s="22"/>
    </row>
    <row r="336" ht="13" customHeight="1">
      <c r="A336" s="22"/>
      <c r="B336" s="22"/>
      <c r="C336" s="22"/>
      <c r="D336" s="22"/>
      <c r="E336" s="22"/>
      <c r="F336" s="22"/>
      <c r="G336" s="22"/>
      <c r="H336" s="22"/>
      <c r="I336" s="22"/>
      <c r="J336" s="22"/>
    </row>
    <row r="337" ht="13" customHeight="1">
      <c r="A337" s="22"/>
      <c r="B337" s="22"/>
      <c r="C337" s="22"/>
      <c r="D337" s="22"/>
      <c r="E337" s="22"/>
      <c r="F337" s="22"/>
      <c r="G337" s="22"/>
      <c r="H337" s="22"/>
      <c r="I337" s="22"/>
      <c r="J337" s="22"/>
    </row>
    <row r="338" ht="13" customHeight="1">
      <c r="A338" s="22"/>
      <c r="B338" s="22"/>
      <c r="C338" s="22"/>
      <c r="D338" s="22"/>
      <c r="E338" s="22"/>
      <c r="F338" s="22"/>
      <c r="G338" s="22"/>
      <c r="H338" s="22"/>
      <c r="I338" s="22"/>
      <c r="J338" s="22"/>
    </row>
    <row r="339" ht="13" customHeight="1">
      <c r="A339" s="22"/>
      <c r="B339" s="22"/>
      <c r="C339" s="22"/>
      <c r="D339" s="22"/>
      <c r="E339" s="22"/>
      <c r="F339" s="22"/>
      <c r="G339" s="22"/>
      <c r="H339" s="22"/>
      <c r="I339" s="22"/>
      <c r="J339" s="22"/>
    </row>
    <row r="340" ht="13" customHeight="1">
      <c r="A340" s="22"/>
      <c r="B340" s="22"/>
      <c r="C340" s="22"/>
      <c r="D340" s="22"/>
      <c r="E340" s="22"/>
      <c r="F340" s="22"/>
      <c r="G340" s="22"/>
      <c r="H340" s="22"/>
      <c r="I340" s="22"/>
      <c r="J340" s="22"/>
    </row>
    <row r="341" ht="13" customHeight="1">
      <c r="A341" s="22"/>
      <c r="B341" s="22"/>
      <c r="C341" s="22"/>
      <c r="D341" s="22"/>
      <c r="E341" s="22"/>
      <c r="F341" s="22"/>
      <c r="G341" s="22"/>
      <c r="H341" s="22"/>
      <c r="I341" s="22"/>
      <c r="J341" s="22"/>
    </row>
    <row r="342" ht="13" customHeight="1">
      <c r="A342" s="22"/>
      <c r="B342" s="22"/>
      <c r="C342" s="22"/>
      <c r="D342" s="22"/>
      <c r="E342" s="22"/>
      <c r="F342" s="22"/>
      <c r="G342" s="22"/>
      <c r="H342" s="22"/>
      <c r="I342" s="22"/>
      <c r="J342" s="22"/>
    </row>
    <row r="343" ht="13" customHeight="1">
      <c r="A343" s="22"/>
      <c r="B343" s="22"/>
      <c r="C343" s="22"/>
      <c r="D343" s="22"/>
      <c r="E343" s="22"/>
      <c r="F343" s="22"/>
      <c r="G343" s="22"/>
      <c r="H343" s="22"/>
      <c r="I343" s="22"/>
      <c r="J343" s="22"/>
    </row>
    <row r="344" ht="13" customHeight="1">
      <c r="A344" s="22"/>
      <c r="B344" s="22"/>
      <c r="C344" s="22"/>
      <c r="D344" s="22"/>
      <c r="E344" s="22"/>
      <c r="F344" s="22"/>
      <c r="G344" s="22"/>
      <c r="H344" s="22"/>
      <c r="I344" s="22"/>
      <c r="J344" s="22"/>
    </row>
    <row r="345" ht="13" customHeight="1">
      <c r="A345" s="22"/>
      <c r="B345" s="22"/>
      <c r="C345" s="22"/>
      <c r="D345" s="22"/>
      <c r="E345" s="22"/>
      <c r="F345" s="22"/>
      <c r="G345" s="22"/>
      <c r="H345" s="22"/>
      <c r="I345" s="22"/>
      <c r="J345" s="22"/>
    </row>
    <row r="346" ht="13" customHeight="1">
      <c r="A346" s="22"/>
      <c r="B346" s="22"/>
      <c r="C346" s="22"/>
      <c r="D346" s="22"/>
      <c r="E346" s="22"/>
      <c r="F346" s="22"/>
      <c r="G346" s="22"/>
      <c r="H346" s="22"/>
      <c r="I346" s="22"/>
      <c r="J346" s="22"/>
    </row>
    <row r="347" ht="13" customHeight="1">
      <c r="A347" s="22"/>
      <c r="B347" s="22"/>
      <c r="C347" s="22"/>
      <c r="D347" s="22"/>
      <c r="E347" s="22"/>
      <c r="F347" s="22"/>
      <c r="G347" s="22"/>
      <c r="H347" s="22"/>
      <c r="I347" s="22"/>
      <c r="J347" s="22"/>
    </row>
    <row r="348" ht="13" customHeight="1">
      <c r="A348" s="22"/>
      <c r="B348" s="22"/>
      <c r="C348" s="22"/>
      <c r="D348" s="22"/>
      <c r="E348" s="22"/>
      <c r="F348" s="22"/>
      <c r="G348" s="22"/>
      <c r="H348" s="22"/>
      <c r="I348" s="22"/>
      <c r="J348" s="22"/>
    </row>
    <row r="349" ht="13" customHeight="1">
      <c r="A349" s="22"/>
      <c r="B349" s="70"/>
      <c r="C349" s="22"/>
      <c r="D349" s="22"/>
      <c r="E349" s="22"/>
      <c r="F349" s="22"/>
      <c r="G349" s="22"/>
      <c r="H349" s="22"/>
      <c r="I349" s="22"/>
      <c r="J349" s="22"/>
    </row>
    <row r="350" ht="13" customHeight="1">
      <c r="A350" s="22"/>
      <c r="B350" s="70"/>
      <c r="C350" s="22"/>
      <c r="D350" s="22"/>
      <c r="E350" s="22"/>
      <c r="F350" s="22"/>
      <c r="G350" s="22"/>
      <c r="H350" s="22"/>
      <c r="I350" s="22"/>
      <c r="J350" s="22"/>
    </row>
    <row r="351" ht="13" customHeight="1">
      <c r="A351" s="22"/>
      <c r="B351" s="22"/>
      <c r="C351" s="22"/>
      <c r="D351" s="22"/>
      <c r="E351" s="22"/>
      <c r="F351" s="22"/>
      <c r="G351" s="22"/>
      <c r="H351" s="22"/>
      <c r="I351" s="22"/>
      <c r="J351" s="22"/>
    </row>
    <row r="352" ht="13" customHeight="1">
      <c r="A352" s="22"/>
      <c r="B352" s="22"/>
      <c r="C352" s="22"/>
      <c r="D352" s="22"/>
      <c r="E352" s="22"/>
      <c r="F352" s="22"/>
      <c r="G352" s="22"/>
      <c r="H352" s="22"/>
      <c r="I352" s="22"/>
      <c r="J352" s="22"/>
    </row>
    <row r="353" ht="13" customHeight="1">
      <c r="A353" s="22"/>
      <c r="B353" s="22"/>
      <c r="C353" s="22"/>
      <c r="D353" s="22"/>
      <c r="E353" s="22"/>
      <c r="F353" s="22"/>
      <c r="G353" s="22"/>
      <c r="H353" s="22"/>
      <c r="I353" s="22"/>
      <c r="J353" s="22"/>
    </row>
    <row r="354" ht="13" customHeight="1">
      <c r="A354" s="22"/>
      <c r="B354" s="22"/>
      <c r="C354" s="22"/>
      <c r="D354" s="22"/>
      <c r="E354" s="22"/>
      <c r="F354" s="22"/>
      <c r="G354" s="22"/>
      <c r="H354" s="22"/>
      <c r="I354" s="22"/>
      <c r="J354" s="22"/>
    </row>
    <row r="355" ht="13" customHeight="1">
      <c r="A355" s="22"/>
      <c r="B355" s="22"/>
      <c r="C355" s="22"/>
      <c r="D355" s="22"/>
      <c r="E355" s="22"/>
      <c r="F355" s="22"/>
      <c r="G355" s="22"/>
      <c r="H355" s="22"/>
      <c r="I355" s="22"/>
      <c r="J355" s="22"/>
    </row>
    <row r="356" ht="13" customHeight="1">
      <c r="A356" s="22"/>
      <c r="B356" s="22"/>
      <c r="C356" s="22"/>
      <c r="D356" s="22"/>
      <c r="E356" s="22"/>
      <c r="F356" s="22"/>
      <c r="G356" s="22"/>
      <c r="H356" s="22"/>
      <c r="I356" s="22"/>
      <c r="J356" s="22"/>
    </row>
    <row r="357" ht="13" customHeight="1">
      <c r="A357" s="22"/>
      <c r="B357" s="22"/>
      <c r="C357" s="22"/>
      <c r="D357" s="22"/>
      <c r="E357" s="22"/>
      <c r="F357" s="22"/>
      <c r="G357" s="22"/>
      <c r="H357" s="22"/>
      <c r="I357" s="22"/>
      <c r="J357" s="22"/>
    </row>
    <row r="358" ht="13" customHeight="1">
      <c r="A358" s="22"/>
      <c r="B358" s="22"/>
      <c r="C358" s="22"/>
      <c r="D358" s="22"/>
      <c r="E358" s="22"/>
      <c r="F358" s="22"/>
      <c r="G358" s="22"/>
      <c r="H358" s="22"/>
      <c r="I358" s="22"/>
      <c r="J358" s="22"/>
    </row>
    <row r="359" ht="13" customHeight="1">
      <c r="A359" s="22"/>
      <c r="B359" s="70"/>
      <c r="C359" s="22"/>
      <c r="D359" s="22"/>
      <c r="E359" s="22"/>
      <c r="F359" s="22"/>
      <c r="G359" s="22"/>
      <c r="H359" s="22"/>
      <c r="I359" s="22"/>
      <c r="J359" s="22"/>
    </row>
  </sheetData>
  <pageMargins left="0.25" right="0.25" top="0.75" bottom="0.75" header="0.3" footer="0.3"/>
  <pageSetup firstPageNumber="1" fitToHeight="1" fitToWidth="1" scale="75" useFirstPageNumber="0" orientation="portrait" pageOrder="downThenOver"/>
  <headerFooter>
    <oddFooter>&amp;C&amp;"Helvetica,Regular"&amp;8&amp;K000000&amp;P
Oil Crops Yearbook/OCS-2018
March 2018
Economic Research Service, USDA</oddFooter>
  </headerFooter>
  <drawing r:id="rId1"/>
  <legacyDrawing r:id="rId2"/>
</worksheet>
</file>

<file path=xl/worksheets/sheet9.xml><?xml version="1.0" encoding="utf-8"?>
<worksheet xmlns:r="http://schemas.openxmlformats.org/officeDocument/2006/relationships" xmlns="http://schemas.openxmlformats.org/spreadsheetml/2006/main">
  <sheetPr>
    <pageSetUpPr fitToPage="1"/>
  </sheetPr>
  <dimension ref="A1:J107"/>
  <sheetViews>
    <sheetView workbookViewId="0" showGridLines="0" defaultGridColor="1"/>
  </sheetViews>
  <sheetFormatPr defaultColWidth="9" defaultRowHeight="11.25" customHeight="1" outlineLevelRow="0" outlineLevelCol="0"/>
  <cols>
    <col min="1" max="1" width="15.2109" style="76" customWidth="1"/>
    <col min="2" max="5" width="12.6016" style="76" customWidth="1"/>
    <col min="6" max="6" width="1.60156" style="76" customWidth="1"/>
    <col min="7" max="10" width="12.6016" style="76" customWidth="1"/>
    <col min="11" max="256" width="9" style="76" customWidth="1"/>
  </cols>
  <sheetData>
    <row r="1" ht="13" customHeight="1">
      <c r="A1" t="s" s="37">
        <v>207</v>
      </c>
      <c r="B1" s="21"/>
      <c r="C1" s="21"/>
      <c r="D1" s="21"/>
      <c r="E1" s="21"/>
      <c r="F1" s="21"/>
      <c r="G1" s="21"/>
      <c r="H1" s="21"/>
      <c r="I1" s="21"/>
      <c r="J1" s="21"/>
    </row>
    <row r="2" ht="13" customHeight="1">
      <c r="A2" s="25"/>
      <c r="B2" s="57"/>
      <c r="C2" t="s" s="58">
        <v>208</v>
      </c>
      <c r="D2" s="57"/>
      <c r="E2" s="57"/>
      <c r="F2" s="25"/>
      <c r="G2" s="67"/>
      <c r="H2" t="s" s="24">
        <v>209</v>
      </c>
      <c r="I2" s="57"/>
      <c r="J2" s="25"/>
    </row>
    <row r="3" ht="13" customHeight="1">
      <c r="A3" t="s" s="28">
        <v>177</v>
      </c>
      <c r="B3" t="s" s="26">
        <v>121</v>
      </c>
      <c r="C3" s="25"/>
      <c r="D3" s="25"/>
      <c r="E3" s="25"/>
      <c r="F3" s="22"/>
      <c r="G3" t="s" s="26">
        <v>150</v>
      </c>
      <c r="H3" s="25"/>
      <c r="I3" s="25"/>
      <c r="J3" t="s" s="59">
        <v>123</v>
      </c>
    </row>
    <row r="4" ht="13" customHeight="1">
      <c r="A4" t="s" s="28">
        <v>120</v>
      </c>
      <c r="B4" t="s" s="59">
        <v>126</v>
      </c>
      <c r="C4" t="s" s="47">
        <v>64</v>
      </c>
      <c r="D4" t="s" s="47">
        <v>127</v>
      </c>
      <c r="E4" t="s" s="47">
        <v>30</v>
      </c>
      <c r="F4" s="22"/>
      <c r="G4" t="s" s="59">
        <v>210</v>
      </c>
      <c r="H4" t="s" s="59">
        <v>130</v>
      </c>
      <c r="I4" t="s" s="47">
        <v>30</v>
      </c>
      <c r="J4" t="s" s="59">
        <v>126</v>
      </c>
    </row>
    <row r="5" ht="13" customHeight="1">
      <c r="A5" t="s" s="20">
        <v>211</v>
      </c>
      <c r="B5" s="21"/>
      <c r="C5" s="21"/>
      <c r="D5" s="21"/>
      <c r="E5" s="21"/>
      <c r="F5" s="21"/>
      <c r="G5" s="21"/>
      <c r="H5" s="21"/>
      <c r="I5" s="21"/>
      <c r="J5" s="21"/>
    </row>
    <row r="6" ht="13" customHeight="1">
      <c r="A6" s="25"/>
      <c r="B6" s="25"/>
      <c r="C6" s="27"/>
      <c r="D6" s="27"/>
      <c r="E6" t="s" s="40">
        <v>153</v>
      </c>
      <c r="F6" s="27"/>
      <c r="G6" s="27"/>
      <c r="H6" s="27"/>
      <c r="I6" s="27"/>
      <c r="J6" s="27"/>
    </row>
    <row r="7" ht="13" customHeight="1">
      <c r="A7" t="s" s="28">
        <v>44</v>
      </c>
      <c r="B7" s="22"/>
      <c r="C7" s="77"/>
      <c r="D7" s="77"/>
      <c r="E7" s="77"/>
      <c r="F7" s="77"/>
      <c r="G7" s="77"/>
      <c r="H7" s="77"/>
      <c r="I7" s="77"/>
      <c r="J7" s="77"/>
    </row>
    <row r="8" ht="13" customHeight="1">
      <c r="A8" t="s" s="28">
        <v>193</v>
      </c>
      <c r="B8" s="77">
        <f>308.205+34.764</f>
        <v>342.969</v>
      </c>
      <c r="C8" s="77">
        <f>3587.55509+281.92317</f>
        <v>3869.47826</v>
      </c>
      <c r="D8" s="77">
        <f>(7928.249+2242+1077.358)*2.204622/2000</f>
        <v>12.398360919777</v>
      </c>
      <c r="E8" s="77">
        <f>B8+C8+D8</f>
        <v>4224.845620919780</v>
      </c>
      <c r="F8" s="22"/>
      <c r="G8" s="77">
        <f>I8-H8</f>
        <v>3210.592709868210</v>
      </c>
      <c r="H8" s="77">
        <f>((529.163932+6.5+107.626311))*(2.204622/2)</f>
        <v>709.105911051573</v>
      </c>
      <c r="I8" s="77">
        <f>E8-J8</f>
        <v>3919.698620919780</v>
      </c>
      <c r="J8" s="77">
        <f>274.757+30.39</f>
        <v>305.147</v>
      </c>
    </row>
    <row r="9" ht="13" customHeight="1">
      <c r="A9" t="s" s="28">
        <v>194</v>
      </c>
      <c r="B9" s="77">
        <f>J8</f>
        <v>305.147</v>
      </c>
      <c r="C9" s="77">
        <f>3434.1827+275.2598</f>
        <v>3709.4425</v>
      </c>
      <c r="D9" s="77">
        <f>(7477.211+1890+1626.705)*2.204622/2000</f>
        <v>12.118714539876</v>
      </c>
      <c r="E9" s="77">
        <f>B9+C9+D9</f>
        <v>4026.708214539880</v>
      </c>
      <c r="F9" s="22"/>
      <c r="G9" s="77">
        <f>I9-H9</f>
        <v>2829.0393881244</v>
      </c>
      <c r="H9" s="77">
        <f>((682.816496+31.632+104.014557))*(2.204622/2)</f>
        <v>902.200826415483</v>
      </c>
      <c r="I9" s="77">
        <f>E9-J9</f>
        <v>3731.240214539880</v>
      </c>
      <c r="J9" s="77">
        <f>266.814+28.654</f>
        <v>295.468</v>
      </c>
    </row>
    <row r="10" ht="13" customHeight="1">
      <c r="A10" t="s" s="28">
        <v>195</v>
      </c>
      <c r="B10" s="77">
        <f>J9</f>
        <v>295.468</v>
      </c>
      <c r="C10" s="77">
        <f>3604.53275+283.0072</f>
        <v>3887.53995</v>
      </c>
      <c r="D10" s="77">
        <f>(6437.678+2223+1298.018)*2.204622/2000</f>
        <v>10.977580146456</v>
      </c>
      <c r="E10" s="77">
        <f>B10+C10+D10</f>
        <v>4193.985530146460</v>
      </c>
      <c r="F10" s="22"/>
      <c r="G10" s="77">
        <f>I10-H10</f>
        <v>3009.366743599070</v>
      </c>
      <c r="H10" s="77">
        <f>((584.639907+9.653+97.878165))*(2.204622/2)</f>
        <v>762.987786547392</v>
      </c>
      <c r="I10" s="77">
        <f>E10-J10</f>
        <v>3772.354530146460</v>
      </c>
      <c r="J10" s="77">
        <f>380.865+40.766</f>
        <v>421.631</v>
      </c>
    </row>
    <row r="11" ht="13" customHeight="1">
      <c r="A11" t="s" s="28">
        <v>196</v>
      </c>
      <c r="B11" s="77">
        <f>J10</f>
        <v>421.631</v>
      </c>
      <c r="C11" s="77">
        <f>3515.10339+276.07502</f>
        <v>3791.17841</v>
      </c>
      <c r="D11" s="77">
        <f>(6022.254+1776+1092.036)*2.204622/2000</f>
        <v>9.799864460189999</v>
      </c>
      <c r="E11" s="77">
        <f>B11+C11+D11</f>
        <v>4222.609274460190</v>
      </c>
      <c r="F11" s="22"/>
      <c r="G11" s="77">
        <f>I11-H11</f>
        <v>3096.557207929740</v>
      </c>
      <c r="H11" s="77">
        <f>((632.982622+2.539+125.322701))*(2.204622/2)</f>
        <v>838.687066530453</v>
      </c>
      <c r="I11" s="77">
        <f>E11-J11</f>
        <v>3935.244274460190</v>
      </c>
      <c r="J11" s="77">
        <f>259.496+27.869</f>
        <v>287.365</v>
      </c>
    </row>
    <row r="12" ht="13" customHeight="1">
      <c r="A12" t="s" s="28">
        <v>197</v>
      </c>
      <c r="B12" s="77">
        <f>J11</f>
        <v>287.365</v>
      </c>
      <c r="C12" s="77">
        <f>3223.9013+249.76185</f>
        <v>3473.66315</v>
      </c>
      <c r="D12" s="77">
        <f>(6015.809+2334+2573.124)*2.204622/2000</f>
        <v>12.040469198163</v>
      </c>
      <c r="E12" s="77">
        <f>B12+C12+D12</f>
        <v>3773.068619198160</v>
      </c>
      <c r="F12" s="22"/>
      <c r="G12" s="77">
        <f>I12-H12</f>
        <v>2528.639673496180</v>
      </c>
      <c r="H12" s="77">
        <f>((686.266975+2.15+139.950832))*(2.204622/2)</f>
        <v>913.1189457019771</v>
      </c>
      <c r="I12" s="77">
        <f>E12-J12</f>
        <v>3441.758619198160</v>
      </c>
      <c r="J12" s="77">
        <f>306.554+24.756</f>
        <v>331.31</v>
      </c>
    </row>
    <row r="13" ht="13" customHeight="1">
      <c r="A13" t="s" s="28">
        <v>198</v>
      </c>
      <c r="B13" s="77">
        <f>J12</f>
        <v>331.31</v>
      </c>
      <c r="C13" s="77">
        <f>3428.23247+272.87347</f>
        <v>3701.10594</v>
      </c>
      <c r="D13" s="77">
        <f>(5798.892+2406+1554.696)*2.204622/2000</f>
        <v>10.758101207868</v>
      </c>
      <c r="E13" s="77">
        <f>B13+C13+D13</f>
        <v>4043.174041207870</v>
      </c>
      <c r="F13" s="22"/>
      <c r="G13" s="77">
        <f>I13-H13</f>
        <v>2849.358614057250</v>
      </c>
      <c r="H13" s="77">
        <f>((590.659488+7.91+125.716514))*(2.204622/2)</f>
        <v>798.388427150622</v>
      </c>
      <c r="I13" s="77">
        <f>E13-J13</f>
        <v>3647.747041207870</v>
      </c>
      <c r="J13" s="77">
        <f>359.669+35.758</f>
        <v>395.427</v>
      </c>
    </row>
    <row r="14" ht="13" customHeight="1">
      <c r="A14" t="s" s="28">
        <v>199</v>
      </c>
      <c r="B14" s="77">
        <f>J13</f>
        <v>395.427</v>
      </c>
      <c r="C14" s="77">
        <f>3245.8437+254.80026</f>
        <v>3500.64396</v>
      </c>
      <c r="D14" s="77">
        <f>(7784.718+2514+2158.008)*2.204622/2000</f>
        <v>13.731186093786</v>
      </c>
      <c r="E14" s="77">
        <f>B14+C14+D14</f>
        <v>3909.802146093790</v>
      </c>
      <c r="F14" s="22"/>
      <c r="G14" s="77">
        <f>I14-H14</f>
        <v>2712.829971547380</v>
      </c>
      <c r="H14" s="77">
        <f>((625.771284+6.087+145.624817))*(2.204622/2)</f>
        <v>857.028174546411</v>
      </c>
      <c r="I14" s="77">
        <f>E14-J14</f>
        <v>3569.858146093790</v>
      </c>
      <c r="J14" s="77">
        <f>304.583+35.361</f>
        <v>339.944</v>
      </c>
    </row>
    <row r="15" ht="13" customHeight="1">
      <c r="A15" t="s" s="28">
        <v>212</v>
      </c>
      <c r="B15" s="77">
        <f>J14</f>
        <v>339.944</v>
      </c>
      <c r="C15" s="77">
        <f>3366.8766+266.8909</f>
        <v>3633.7675</v>
      </c>
      <c r="D15" s="77">
        <f>(7738+2535+1834.332)*2.204622/2000</f>
        <v>13.346045244252</v>
      </c>
      <c r="E15" s="77">
        <f>B15+C15+D15</f>
        <v>3987.057545244250</v>
      </c>
      <c r="F15" s="22"/>
      <c r="G15" s="77">
        <f>I15-H15</f>
        <v>2830.032077154980</v>
      </c>
      <c r="H15" s="77">
        <f>((563.135399+9.306+84.352798))*(2.204622/2)</f>
        <v>723.991468089267</v>
      </c>
      <c r="I15" s="77">
        <f>E15-J15</f>
        <v>3554.023545244250</v>
      </c>
      <c r="J15" s="77">
        <f>388.197+44.837</f>
        <v>433.034</v>
      </c>
    </row>
    <row r="16" ht="13" customHeight="1">
      <c r="A16" t="s" s="28">
        <v>213</v>
      </c>
      <c r="B16" s="77">
        <f>J15</f>
        <v>433.034</v>
      </c>
      <c r="C16" s="77">
        <f>3098.01928+254.25166</f>
        <v>3352.27094</v>
      </c>
      <c r="D16" s="77">
        <f>(7300.966+2104+1422.621)*2.204622/2000</f>
        <v>11.935368253557</v>
      </c>
      <c r="E16" s="77">
        <f>B16+C16+D16</f>
        <v>3797.240308253560</v>
      </c>
      <c r="F16" s="77"/>
      <c r="G16" s="77">
        <f>I16-H16</f>
        <v>2524.862654760480</v>
      </c>
      <c r="H16" s="77">
        <f>((594.908585+15.117+159.349531))*(2.204622/2)</f>
        <v>848.090653493076</v>
      </c>
      <c r="I16" s="77">
        <f>E16-J16</f>
        <v>3372.953308253560</v>
      </c>
      <c r="J16" s="77">
        <f>379.424+44.863</f>
        <v>424.287</v>
      </c>
    </row>
    <row r="17" ht="13" customHeight="1">
      <c r="A17" t="s" s="28">
        <v>214</v>
      </c>
      <c r="B17" s="77">
        <f>J16</f>
        <v>424.287</v>
      </c>
      <c r="C17" s="77">
        <f>3072.3696+243.9096</f>
        <v>3316.2792</v>
      </c>
      <c r="D17" s="77">
        <f>(6877.055+1111+995.184)*2.204622/2000</f>
        <v>9.902323165328999</v>
      </c>
      <c r="E17" s="77">
        <f>B17+C17+D17</f>
        <v>3750.468523165330</v>
      </c>
      <c r="F17" s="77"/>
      <c r="G17" s="77">
        <f>I17-H17</f>
        <v>2703.505212259660</v>
      </c>
      <c r="H17" s="77">
        <f>((553.074368+29.929+97.032766))*(2.204622/2)</f>
        <v>749.611310905674</v>
      </c>
      <c r="I17" s="77">
        <f>E17-J17</f>
        <v>3453.116523165330</v>
      </c>
      <c r="J17" s="77">
        <f>268.155+29.197</f>
        <v>297.352</v>
      </c>
    </row>
    <row r="18" ht="13" customHeight="1">
      <c r="A18" t="s" s="28">
        <v>215</v>
      </c>
      <c r="B18" s="77">
        <f>J17</f>
        <v>297.352</v>
      </c>
      <c r="C18" s="77">
        <f>2821.738+230.64505</f>
        <v>3052.38305</v>
      </c>
      <c r="D18" s="77">
        <f>(6123.554+1972+1883.773)*2.204622/2000</f>
        <v>11.000321924697</v>
      </c>
      <c r="E18" s="77">
        <f>B18+C18+D18</f>
        <v>3360.7353719247</v>
      </c>
      <c r="F18" s="77"/>
      <c r="G18" s="77">
        <f>I18-H18</f>
        <v>2365.091534143060</v>
      </c>
      <c r="H18" s="77">
        <f>((440.510518+3.928+82.118722))*(2.204622/2)</f>
        <v>580.429837781640</v>
      </c>
      <c r="I18" s="77">
        <f>E18-J18</f>
        <v>2945.5213719247</v>
      </c>
      <c r="J18" s="77">
        <f>375.852+39.362</f>
        <v>415.214</v>
      </c>
    </row>
    <row r="19" ht="13" customHeight="1">
      <c r="A19" t="s" s="28">
        <v>192</v>
      </c>
      <c r="B19" s="77">
        <f>J18</f>
        <v>415.214</v>
      </c>
      <c r="C19" s="77">
        <f>2772.8303+223.4933</f>
        <v>2996.3236</v>
      </c>
      <c r="D19" s="77">
        <f>(6717.858+2063+2662.006)*2.204622/2000</f>
        <v>12.613594858704</v>
      </c>
      <c r="E19" s="77">
        <f>B19+C19+D19</f>
        <v>3424.1511948587</v>
      </c>
      <c r="F19" s="77"/>
      <c r="G19" s="77">
        <f>I19-H19</f>
        <v>2571.979750845620</v>
      </c>
      <c r="H19" s="77">
        <f>((404.991459+14.273+87.241821))*(2.204622/2)</f>
        <v>558.327444013080</v>
      </c>
      <c r="I19" s="77">
        <f>E19-J19</f>
        <v>3130.3071948587</v>
      </c>
      <c r="J19" s="77">
        <f>259.886+33.958</f>
        <v>293.844</v>
      </c>
    </row>
    <row r="20" ht="13" customHeight="1">
      <c r="A20" t="s" s="28">
        <v>190</v>
      </c>
      <c r="B20" s="22"/>
      <c r="C20" s="77">
        <f>SUM(C8:C19)</f>
        <v>42284.07646</v>
      </c>
      <c r="D20" s="77">
        <f>SUM(D8:D19)</f>
        <v>140.621930012655</v>
      </c>
      <c r="E20" s="77">
        <f>B8+C20+D20</f>
        <v>42767.6673900127</v>
      </c>
      <c r="F20" s="77"/>
      <c r="G20" s="77">
        <f>SUM(G8:G19)</f>
        <v>33231.855537786</v>
      </c>
      <c r="H20" s="77">
        <f>SUM(H8:H19)</f>
        <v>9241.967852226649</v>
      </c>
      <c r="I20" s="77">
        <f>SUM(I8:I19)</f>
        <v>42473.8233900127</v>
      </c>
      <c r="J20" s="77"/>
    </row>
    <row r="21" ht="13" customHeight="1">
      <c r="A21" t="s" s="28">
        <v>45</v>
      </c>
      <c r="B21" s="22"/>
      <c r="C21" s="77"/>
      <c r="D21" s="77"/>
      <c r="E21" s="77"/>
      <c r="F21" s="77"/>
      <c r="G21" s="77"/>
      <c r="H21" s="77"/>
      <c r="I21" s="77"/>
      <c r="J21" s="77"/>
    </row>
    <row r="22" ht="13" customHeight="1">
      <c r="A22" t="s" s="28">
        <v>193</v>
      </c>
      <c r="B22" s="77">
        <f>J19</f>
        <v>293.844</v>
      </c>
      <c r="C22" s="77">
        <f>3267.43129+252.01493</f>
        <v>3519.44622</v>
      </c>
      <c r="D22" s="77">
        <f>(5799.907+2280+168.321)*2.204622/2000</f>
        <v>9.092112454907999</v>
      </c>
      <c r="E22" s="77">
        <f>B22+C22+D22</f>
        <v>3822.382332454910</v>
      </c>
      <c r="F22" s="22"/>
      <c r="G22" s="77">
        <f>I22-H22</f>
        <v>2780.100533905060</v>
      </c>
      <c r="H22" s="77">
        <f>((478.22002+3.343+126.473912))*(2.204622/2)</f>
        <v>670.245798549852</v>
      </c>
      <c r="I22" s="77">
        <f>E22-J22</f>
        <v>3450.346332454910</v>
      </c>
      <c r="J22" s="77">
        <f>335.488+36.548</f>
        <v>372.036</v>
      </c>
    </row>
    <row r="23" ht="13" customHeight="1">
      <c r="A23" t="s" s="28">
        <v>194</v>
      </c>
      <c r="B23" s="77">
        <f>J22</f>
        <v>372.036</v>
      </c>
      <c r="C23" s="77">
        <f>3158.033+255.442</f>
        <v>3413.475</v>
      </c>
      <c r="D23" s="77">
        <f>(4862.172+1859+513.416)*2.204622/2000</f>
        <v>7.974765932868</v>
      </c>
      <c r="E23" s="77">
        <f>B23+C23+D23</f>
        <v>3793.485765932870</v>
      </c>
      <c r="F23" s="22"/>
      <c r="G23" s="77">
        <f>I23-H23</f>
        <v>2401.097861944810</v>
      </c>
      <c r="H23" s="77">
        <f>((611.447686+7.956+99.318983))*(2.204622/2)</f>
        <v>792.255903988059</v>
      </c>
      <c r="I23" s="77">
        <f>E23-J23</f>
        <v>3193.353765932870</v>
      </c>
      <c r="J23" s="77">
        <f>543.932+56.2</f>
        <v>600.1319999999999</v>
      </c>
    </row>
    <row r="24" ht="13" customHeight="1">
      <c r="A24" t="s" s="28">
        <v>195</v>
      </c>
      <c r="B24" s="77">
        <f>J23</f>
        <v>600.1319999999999</v>
      </c>
      <c r="C24" s="77">
        <f>3101.79875+244.15355</f>
        <v>3345.9523</v>
      </c>
      <c r="D24" s="77">
        <f>(5711.755+2422+844.082)*2.204622/2000</f>
        <v>9.896368481307</v>
      </c>
      <c r="E24" s="77">
        <f>B24+C24+D24</f>
        <v>3955.980668481310</v>
      </c>
      <c r="F24" s="22"/>
      <c r="G24" s="77">
        <f>I24-H24</f>
        <v>2922.836153825990</v>
      </c>
      <c r="H24" s="77">
        <f>((462.315357+19.782+79.664718))*(2.204622/2)</f>
        <v>619.236514655325</v>
      </c>
      <c r="I24" s="77">
        <f>E24-J24</f>
        <v>3542.072668481310</v>
      </c>
      <c r="J24" s="77">
        <f>372.337+41.571</f>
        <v>413.908</v>
      </c>
    </row>
    <row r="25" ht="13" customHeight="1">
      <c r="A25" t="s" s="28">
        <v>196</v>
      </c>
      <c r="B25" s="77">
        <f>J24</f>
        <v>413.908</v>
      </c>
      <c r="C25" s="77">
        <f>3184.5717+254.61388</f>
        <v>3439.18558</v>
      </c>
      <c r="D25" s="77">
        <f>(3280.341+1707+1036.079)*2.204622/2000</f>
        <v>6.639682123620</v>
      </c>
      <c r="E25" s="77">
        <f>B25+C25+D25</f>
        <v>3859.733262123620</v>
      </c>
      <c r="F25" s="22"/>
      <c r="G25" s="77">
        <f>I25-H25</f>
        <v>2537.555598650570</v>
      </c>
      <c r="H25" s="77">
        <f>((675.293541+8.295+111.957964))*(2.204622/2)</f>
        <v>876.939663473055</v>
      </c>
      <c r="I25" s="77">
        <f>E25-J25</f>
        <v>3414.495262123620</v>
      </c>
      <c r="J25" s="77">
        <f>400.217+45.021</f>
        <v>445.238</v>
      </c>
    </row>
    <row r="26" ht="13" customHeight="1">
      <c r="A26" t="s" s="28">
        <v>197</v>
      </c>
      <c r="B26" s="77">
        <f>J25</f>
        <v>445.238</v>
      </c>
      <c r="C26" s="77">
        <f>2972.2+230.916</f>
        <v>3203.116</v>
      </c>
      <c r="D26" s="77">
        <f>(3516.779+1724+123.246)*2.204622/2000</f>
        <v>5.912823761775</v>
      </c>
      <c r="E26" s="77">
        <f>B26+C26+D26</f>
        <v>3654.266823761780</v>
      </c>
      <c r="F26" s="22"/>
      <c r="G26" s="77">
        <f>I26-H26</f>
        <v>2497.863881380130</v>
      </c>
      <c r="H26" s="77">
        <f>((564.409067+6.434+81.747665))*(2.204622/2)</f>
        <v>719.357942381652</v>
      </c>
      <c r="I26" s="77">
        <f>E26-J26</f>
        <v>3217.221823761780</v>
      </c>
      <c r="J26" s="77">
        <f>393.1+43.945</f>
        <v>437.045</v>
      </c>
    </row>
    <row r="27" ht="13" customHeight="1">
      <c r="A27" t="s" s="28">
        <v>198</v>
      </c>
      <c r="B27" s="77">
        <f>J26</f>
        <v>437.045</v>
      </c>
      <c r="C27" s="77">
        <f>3171+253.799</f>
        <v>3424.799</v>
      </c>
      <c r="D27" s="77">
        <f>(6267.251+2012+529.749)*2.204622/2000</f>
        <v>9.710257599</v>
      </c>
      <c r="E27" s="77">
        <f>B27+C27+D27</f>
        <v>3871.554257599</v>
      </c>
      <c r="F27" s="22"/>
      <c r="G27" s="77">
        <f>I27-H27</f>
        <v>2710.3518114792</v>
      </c>
      <c r="H27" s="77">
        <f>((567.758833+5.071+153.343131))*(2.204622/2)</f>
        <v>800.468446119804</v>
      </c>
      <c r="I27" s="77">
        <f>E27-J27</f>
        <v>3510.820257599</v>
      </c>
      <c r="J27" s="77">
        <f>313+47.734</f>
        <v>360.734</v>
      </c>
    </row>
    <row r="28" ht="13" customHeight="1">
      <c r="A28" t="s" s="28">
        <v>199</v>
      </c>
      <c r="B28" s="77">
        <f>J27</f>
        <v>360.734</v>
      </c>
      <c r="C28" s="77">
        <f>3092.5+243.4</f>
        <v>3335.9</v>
      </c>
      <c r="D28" s="77">
        <f>(4578.88+1915+316.826)*2.204622/2000</f>
        <v>7.507516141566</v>
      </c>
      <c r="E28" s="77">
        <f>B28+C28+D28</f>
        <v>3704.141516141570</v>
      </c>
      <c r="F28" s="22"/>
      <c r="G28" s="77">
        <f>I28-H28</f>
        <v>2422.389067042140</v>
      </c>
      <c r="H28" s="77">
        <f>((654.41196+9.797+115.564125))*(2.204622/2)</f>
        <v>859.552449099435</v>
      </c>
      <c r="I28" s="77">
        <f>E28-J28</f>
        <v>3281.941516141570</v>
      </c>
      <c r="J28" s="77">
        <f>375.9+46.3</f>
        <v>422.2</v>
      </c>
    </row>
    <row r="29" ht="13" customHeight="1">
      <c r="A29" t="s" s="28">
        <v>212</v>
      </c>
      <c r="B29" s="77">
        <f>J28</f>
        <v>422.2</v>
      </c>
      <c r="C29" s="77">
        <f>3245+255.4</f>
        <v>3500.4</v>
      </c>
      <c r="D29" s="77">
        <f>(4413.963+1525+576.704)*2.204622/2000</f>
        <v>7.182291406437</v>
      </c>
      <c r="E29" s="77">
        <f>B29+C29+D29</f>
        <v>3929.782291406440</v>
      </c>
      <c r="F29" s="22"/>
      <c r="G29" s="77">
        <f>I29-H29</f>
        <v>2607.373871881570</v>
      </c>
      <c r="H29" s="77">
        <f>((611.364439+10.367+54.491895))*(2.204622/2)</f>
        <v>745.408419524874</v>
      </c>
      <c r="I29" s="77">
        <f>E29-J29</f>
        <v>3352.782291406440</v>
      </c>
      <c r="J29" s="77">
        <f>517.2+59.8</f>
        <v>577</v>
      </c>
    </row>
    <row r="30" ht="13" customHeight="1">
      <c r="A30" t="s" s="28">
        <v>213</v>
      </c>
      <c r="B30" s="77">
        <f>J29</f>
        <v>577</v>
      </c>
      <c r="C30" s="77">
        <f>3082.209+241.001</f>
        <v>3323.21</v>
      </c>
      <c r="D30" s="77">
        <f>(3672.476+952+495.243)*2.204622/2000</f>
        <v>5.643522570609</v>
      </c>
      <c r="E30" s="77">
        <f>B30+C30+D30</f>
        <v>3905.853522570610</v>
      </c>
      <c r="F30" s="77"/>
      <c r="G30" s="77">
        <f>I30-H30</f>
        <v>2514.524460014310</v>
      </c>
      <c r="H30" s="77">
        <f>((768.743109+24.765+81.936355))*(2.204622/2)</f>
        <v>965.012062556304</v>
      </c>
      <c r="I30" s="77">
        <f>E30-J30</f>
        <v>3479.536522570610</v>
      </c>
      <c r="J30" s="77">
        <f>385.917+40.4</f>
        <v>426.317</v>
      </c>
    </row>
    <row r="31" ht="13" customHeight="1">
      <c r="A31" t="s" s="28">
        <v>214</v>
      </c>
      <c r="B31" s="77">
        <f>J30</f>
        <v>426.317</v>
      </c>
      <c r="C31" s="77">
        <f>2836.244+230.471</f>
        <v>3066.715</v>
      </c>
      <c r="D31" s="77">
        <f>(4297.567+1965+411.382)*2.204622/2000</f>
        <v>7.356767396139</v>
      </c>
      <c r="E31" s="77">
        <f>B31+C31+D31</f>
        <v>3500.388767396140</v>
      </c>
      <c r="F31" s="77"/>
      <c r="G31" s="77">
        <f>I31-H31</f>
        <v>2539.087853835210</v>
      </c>
      <c r="H31" s="77">
        <f>((472.871369+18.307+82.971679))*(2.204622/2)</f>
        <v>632.8919135609279</v>
      </c>
      <c r="I31" s="77">
        <f>E31-J31</f>
        <v>3171.979767396140</v>
      </c>
      <c r="J31" s="77">
        <f>298.821+29.588</f>
        <v>328.409</v>
      </c>
    </row>
    <row r="32" ht="13" customHeight="1">
      <c r="A32" t="s" s="28">
        <v>215</v>
      </c>
      <c r="B32" s="77">
        <f>J31</f>
        <v>328.409</v>
      </c>
      <c r="C32" s="77">
        <f>2630.7+216</f>
        <v>2846.7</v>
      </c>
      <c r="D32" s="77">
        <f>(3540.812+1534+459.515)*2.204622/2000</f>
        <v>6.100549529697</v>
      </c>
      <c r="E32" s="77">
        <f>B32+C32+D32</f>
        <v>3181.2095495297</v>
      </c>
      <c r="F32" s="77"/>
      <c r="G32" s="77">
        <f>I32-H32</f>
        <v>2454.181441495170</v>
      </c>
      <c r="H32" s="77">
        <f>((315.506679+6.527+50.028387))*(2.204622/2)</f>
        <v>410.128108034526</v>
      </c>
      <c r="I32" s="77">
        <f>E32-J32</f>
        <v>2864.3095495297</v>
      </c>
      <c r="J32" s="77">
        <f>283.1+33.8</f>
        <v>316.9</v>
      </c>
    </row>
    <row r="33" ht="13" customHeight="1">
      <c r="A33" t="s" s="28">
        <v>192</v>
      </c>
      <c r="B33" s="77">
        <f>J32</f>
        <v>316.9</v>
      </c>
      <c r="C33" s="77">
        <f>2482.657+200.877</f>
        <v>2683.534</v>
      </c>
      <c r="D33" s="77">
        <f>(2696.115+1527+48.089)*2.204622/2000</f>
        <v>4.708195152444</v>
      </c>
      <c r="E33" s="77">
        <f>B33+C33+D33</f>
        <v>3005.142195152440</v>
      </c>
      <c r="F33" s="77"/>
      <c r="G33" s="77">
        <f>I33-H33</f>
        <v>2364.841257743260</v>
      </c>
      <c r="H33" s="77">
        <f>((282.368791+11.853+73.705171))*(2.204622/2)</f>
        <v>405.569937409182</v>
      </c>
      <c r="I33" s="77">
        <f>E33-J33</f>
        <v>2770.411195152440</v>
      </c>
      <c r="J33" s="77">
        <f>206.808+27.923</f>
        <v>234.731</v>
      </c>
    </row>
    <row r="34" ht="13" customHeight="1">
      <c r="A34" t="s" s="28">
        <v>190</v>
      </c>
      <c r="B34" s="22"/>
      <c r="C34" s="77">
        <f>SUM(C22:C33)</f>
        <v>39102.4331</v>
      </c>
      <c r="D34" s="77">
        <f>SUM(D22:D33)</f>
        <v>87.724852550370</v>
      </c>
      <c r="E34" s="77">
        <f>B22+C34+D34</f>
        <v>39484.0019525504</v>
      </c>
      <c r="F34" s="77"/>
      <c r="G34" s="77">
        <f>SUM(G22:G33)</f>
        <v>30752.2037931974</v>
      </c>
      <c r="H34" s="77">
        <f>SUM(H22:H33)</f>
        <v>8497.067159353001</v>
      </c>
      <c r="I34" s="77">
        <f>SUM(I22:I33)</f>
        <v>39249.2709525504</v>
      </c>
      <c r="J34" s="77"/>
    </row>
    <row r="35" ht="13" customHeight="1">
      <c r="A35" t="s" s="28">
        <v>46</v>
      </c>
      <c r="B35" s="22"/>
      <c r="C35" s="77"/>
      <c r="D35" s="77"/>
      <c r="E35" s="77"/>
      <c r="F35" s="77"/>
      <c r="G35" s="77"/>
      <c r="H35" s="77"/>
      <c r="I35" s="77"/>
      <c r="J35" s="77"/>
    </row>
    <row r="36" ht="13" customHeight="1">
      <c r="A36" t="s" s="28">
        <v>193</v>
      </c>
      <c r="B36" s="77">
        <f>J33</f>
        <v>234.731</v>
      </c>
      <c r="C36" s="77">
        <f>3578.656+267</f>
        <v>3845.656</v>
      </c>
      <c r="D36" s="77">
        <f>(9330.821+1735+55.218)*2.204622/2000</f>
        <v>12.258843621129</v>
      </c>
      <c r="E36" s="77">
        <f>B36+C36+D36</f>
        <v>4092.645843621130</v>
      </c>
      <c r="F36" s="22"/>
      <c r="G36" s="77">
        <f>I36-H36</f>
        <v>2890.873260517220</v>
      </c>
      <c r="H36" s="77">
        <f>((577.107071+13.622+95.73653))*(2.204622/2)</f>
        <v>756.698583103911</v>
      </c>
      <c r="I36" s="77">
        <f>E36-J36</f>
        <v>3647.571843621130</v>
      </c>
      <c r="J36" s="77">
        <f>401+44.074</f>
        <v>445.074</v>
      </c>
    </row>
    <row r="37" ht="13" customHeight="1">
      <c r="A37" t="s" s="28">
        <v>194</v>
      </c>
      <c r="B37" s="77">
        <f>J36</f>
        <v>445.074</v>
      </c>
      <c r="C37" s="77">
        <f>3696.36+280.185</f>
        <v>3976.545</v>
      </c>
      <c r="D37" s="77">
        <f>(3807.985+1708+83.15)*2.204622/2000</f>
        <v>6.171988100985</v>
      </c>
      <c r="E37" s="77">
        <f>B37+C37+D37</f>
        <v>4427.790988100990</v>
      </c>
      <c r="F37" s="22"/>
      <c r="G37" s="77">
        <f>I37-H37</f>
        <v>2407.185688804920</v>
      </c>
      <c r="H37" s="77">
        <f>((1147.49778+2.764+113.664008))*(2.204622/2)</f>
        <v>1393.239299296070</v>
      </c>
      <c r="I37" s="77">
        <f>E37-J37</f>
        <v>3800.424988100990</v>
      </c>
      <c r="J37" s="77">
        <f>569.374+57.992</f>
        <v>627.366</v>
      </c>
    </row>
    <row r="38" ht="13" customHeight="1">
      <c r="A38" t="s" s="28">
        <v>195</v>
      </c>
      <c r="B38" s="77">
        <f>J37</f>
        <v>627.366</v>
      </c>
      <c r="C38" s="77">
        <f>3785.027+291.062</f>
        <v>4076.089</v>
      </c>
      <c r="D38" s="77">
        <f>(6508.166+1943+139.184)*2.204622/2000</f>
        <v>9.469237298850</v>
      </c>
      <c r="E38" s="77">
        <f>B38+C38+D38</f>
        <v>4712.924237298850</v>
      </c>
      <c r="F38" s="22"/>
      <c r="G38" s="77">
        <f>I38-H38</f>
        <v>2861.599032350190</v>
      </c>
      <c r="H38" s="77">
        <f>((1030.196141+25.082+108.195874))*(2.204622/2)</f>
        <v>1282.510204948660</v>
      </c>
      <c r="I38" s="77">
        <f>E38-J38</f>
        <v>4144.109237298850</v>
      </c>
      <c r="J38" s="77">
        <f>533.578+35.237</f>
        <v>568.8150000000001</v>
      </c>
    </row>
    <row r="39" ht="13" customHeight="1">
      <c r="A39" t="s" s="28">
        <v>196</v>
      </c>
      <c r="B39" s="77">
        <f>J38</f>
        <v>568.8150000000001</v>
      </c>
      <c r="C39" s="77">
        <f>3656.43296+276.80069</f>
        <v>3933.23365</v>
      </c>
      <c r="D39" s="77">
        <f>(13052.96+2267+1229.95)*2.204622/2000</f>
        <v>18.243147842010</v>
      </c>
      <c r="E39" s="77">
        <f>B39+C39+D39</f>
        <v>4520.291797842010</v>
      </c>
      <c r="F39" s="22"/>
      <c r="G39" s="77">
        <f>I39-H39</f>
        <v>2389.769944282370</v>
      </c>
      <c r="H39" s="77">
        <f>((1262.585357+13.519+84.756465))*(2.204622/2)</f>
        <v>1500.091853559640</v>
      </c>
      <c r="I39" s="77">
        <f>E39-J39</f>
        <v>3889.861797842010</v>
      </c>
      <c r="J39" s="77">
        <f>585.82+44.61</f>
        <v>630.4299999999999</v>
      </c>
    </row>
    <row r="40" ht="13" customHeight="1">
      <c r="A40" t="s" s="28">
        <v>197</v>
      </c>
      <c r="B40" s="77">
        <f>J39</f>
        <v>630.4299999999999</v>
      </c>
      <c r="C40" s="77">
        <f>3375.214+260.295</f>
        <v>3635.509</v>
      </c>
      <c r="D40" s="77">
        <f>(17818.894+2064+137.16)*2.204622/2000</f>
        <v>22.068325744794</v>
      </c>
      <c r="E40" s="77">
        <f>B40+C40+D40</f>
        <v>4288.007325744790</v>
      </c>
      <c r="F40" s="22"/>
      <c r="G40" s="77">
        <f>I40-H40</f>
        <v>2253.338198652520</v>
      </c>
      <c r="H40" s="77">
        <f>((1087.4166535+8.844+112.382939))*(2.204622/2)</f>
        <v>1332.301127092270</v>
      </c>
      <c r="I40" s="77">
        <f>E40-J40</f>
        <v>3585.639325744790</v>
      </c>
      <c r="J40" s="77">
        <f>654.224+48.144</f>
        <v>702.3680000000001</v>
      </c>
    </row>
    <row r="41" ht="13" customHeight="1">
      <c r="A41" t="s" s="28">
        <v>198</v>
      </c>
      <c r="B41" s="77">
        <f>J40</f>
        <v>702.3680000000001</v>
      </c>
      <c r="C41" s="77">
        <f>3415.26438+264.84859</f>
        <v>3680.11297</v>
      </c>
      <c r="D41" s="77">
        <f>(11140.661+2301+986.65)*2.204622/2000</f>
        <v>15.904485926721</v>
      </c>
      <c r="E41" s="77">
        <f>B41+C41+D41</f>
        <v>4398.385455926720</v>
      </c>
      <c r="F41" s="22"/>
      <c r="G41" s="77">
        <f>I41-H41</f>
        <v>2676.839044567220</v>
      </c>
      <c r="H41" s="77">
        <f>((1148.94249+8.929+75.681846))*(2.204622/2)</f>
        <v>1359.7594113595</v>
      </c>
      <c r="I41" s="77">
        <f>E41-J41</f>
        <v>4036.598455926720</v>
      </c>
      <c r="J41" s="77">
        <f>328.144+33.643</f>
        <v>361.787</v>
      </c>
    </row>
    <row r="42" ht="13" customHeight="1">
      <c r="A42" t="s" s="28">
        <v>199</v>
      </c>
      <c r="B42" s="77">
        <f>J41</f>
        <v>361.787</v>
      </c>
      <c r="C42" s="77">
        <f>2981.51176+230.30494</f>
        <v>3211.8167</v>
      </c>
      <c r="D42" s="77">
        <f>(3301.123+2722+4120.029)*2.204622/2000</f>
        <v>11.180908024272</v>
      </c>
      <c r="E42" s="77">
        <f>B42+C42+D42</f>
        <v>3584.784608024270</v>
      </c>
      <c r="F42" s="22"/>
      <c r="G42" s="77">
        <f>I42-H42</f>
        <v>2437.497179355230</v>
      </c>
      <c r="H42" s="77">
        <f>((640.480156+13.766+117.997275))*(2.204622/2)</f>
        <v>851.252428669041</v>
      </c>
      <c r="I42" s="77">
        <f>E42-J42</f>
        <v>3288.749608024270</v>
      </c>
      <c r="J42" s="77">
        <f>265.076+30.959</f>
        <v>296.035</v>
      </c>
    </row>
    <row r="43" ht="13" customHeight="1">
      <c r="A43" t="s" s="28">
        <v>212</v>
      </c>
      <c r="B43" s="77">
        <f>J42</f>
        <v>296.035</v>
      </c>
      <c r="C43" s="77">
        <f>2921.0122+223.45025</f>
        <v>3144.46245</v>
      </c>
      <c r="D43" s="77">
        <f>(3892.835+2338+163.914)*2.204622/2000</f>
        <v>7.049002164939</v>
      </c>
      <c r="E43" s="77">
        <f>B43+C43+D43</f>
        <v>3447.546452164940</v>
      </c>
      <c r="F43" s="22"/>
      <c r="G43" s="77">
        <f>I43-H43</f>
        <v>2390.380766367440</v>
      </c>
      <c r="H43" s="77">
        <f>((474.32093+3.322+57.132361))*(2.204622/2)</f>
        <v>589.488685797501</v>
      </c>
      <c r="I43" s="77">
        <f>E43-J43</f>
        <v>2979.869452164940</v>
      </c>
      <c r="J43" s="77">
        <f>423.871+43.806</f>
        <v>467.677</v>
      </c>
    </row>
    <row r="44" ht="13" customHeight="1">
      <c r="A44" t="s" s="28">
        <v>213</v>
      </c>
      <c r="B44" s="77">
        <f>J43</f>
        <v>467.677</v>
      </c>
      <c r="C44" s="77">
        <f>2839.78764+216.92932</f>
        <v>3056.71696</v>
      </c>
      <c r="D44" s="77">
        <f>(2032.182+1026+61.794)*2.204622/2000</f>
        <v>3.439183864536</v>
      </c>
      <c r="E44" s="77">
        <f>B44+C44+D44</f>
        <v>3527.833143864540</v>
      </c>
      <c r="F44" s="77"/>
      <c r="G44" s="77">
        <f>I44-H44</f>
        <v>2626.755226732480</v>
      </c>
      <c r="H44" s="77">
        <f>((438.486583+3.889+63.345504))*(2.204622/2)</f>
        <v>557.461917132057</v>
      </c>
      <c r="I44" s="77">
        <f>E44-J44</f>
        <v>3184.217143864540</v>
      </c>
      <c r="J44" s="77">
        <f>307.603+36.013</f>
        <v>343.616</v>
      </c>
    </row>
    <row r="45" ht="13" customHeight="1">
      <c r="A45" t="s" s="28">
        <v>214</v>
      </c>
      <c r="B45" s="77">
        <f>J44</f>
        <v>343.616</v>
      </c>
      <c r="C45" s="77">
        <f>2837.93716+218.17026</f>
        <v>3056.10742</v>
      </c>
      <c r="D45" s="77">
        <f>(5996.836+1860+321.137)*2.204622/2000</f>
        <v>9.014669595602999</v>
      </c>
      <c r="E45" s="77">
        <f>B45+C45+D45</f>
        <v>3408.7380895956</v>
      </c>
      <c r="F45" s="77"/>
      <c r="G45" s="77">
        <f>I45-H45</f>
        <v>2496.492435628090</v>
      </c>
      <c r="H45" s="77">
        <f>((382.033545+10.641+49.334701))*(2.204622/2)</f>
        <v>487.231653967506</v>
      </c>
      <c r="I45" s="77">
        <f>E45-J45</f>
        <v>2983.7240895956</v>
      </c>
      <c r="J45" s="77">
        <f>386.502+38.512</f>
        <v>425.014</v>
      </c>
    </row>
    <row r="46" ht="13" customHeight="1">
      <c r="A46" t="s" s="28">
        <v>215</v>
      </c>
      <c r="B46" s="77">
        <f>J45</f>
        <v>425.014</v>
      </c>
      <c r="C46" s="77">
        <f>2806.1809+224.409</f>
        <v>3030.5899</v>
      </c>
      <c r="D46" s="77">
        <f>(9593.463+2212+7915.844)*2.204622/2000</f>
        <v>21.739013640477</v>
      </c>
      <c r="E46" s="77">
        <f>B46+C46+D46</f>
        <v>3477.342913640480</v>
      </c>
      <c r="F46" s="77"/>
      <c r="G46" s="77">
        <f>I46-H46</f>
        <v>2629.533165808650</v>
      </c>
      <c r="H46" s="77">
        <f>((448.125421+10.071+63.705064))*(2.204622/2)</f>
        <v>575.297747831835</v>
      </c>
      <c r="I46" s="77">
        <f>E46-J46</f>
        <v>3204.830913640480</v>
      </c>
      <c r="J46" s="77">
        <f>241.288+31.224</f>
        <v>272.512</v>
      </c>
    </row>
    <row r="47" ht="13" customHeight="1">
      <c r="A47" t="s" s="28">
        <v>192</v>
      </c>
      <c r="B47" s="77">
        <f>J46</f>
        <v>272.512</v>
      </c>
      <c r="C47" s="77">
        <f>2836.0385+223.6447</f>
        <v>3059.6832</v>
      </c>
      <c r="D47" s="77">
        <f>(14093.621+1906+5287.594)*2.204622/2000</f>
        <v>23.465131253865</v>
      </c>
      <c r="E47" s="77">
        <f>B47+C47+D47</f>
        <v>3355.660331253870</v>
      </c>
      <c r="F47" s="77"/>
      <c r="G47" s="77">
        <f>I47-H47</f>
        <v>2579.971044679870</v>
      </c>
      <c r="H47" s="77">
        <f>((364.731719+9.365+56.031699))*(2.204622/2)</f>
        <v>474.135286573998</v>
      </c>
      <c r="I47" s="77">
        <f>E47-J47</f>
        <v>3054.106331253870</v>
      </c>
      <c r="J47" s="77">
        <f>273.085+28.469</f>
        <v>301.554</v>
      </c>
    </row>
    <row r="48" ht="13" customHeight="1">
      <c r="A48" t="s" s="28">
        <v>190</v>
      </c>
      <c r="B48" s="22"/>
      <c r="C48" s="77">
        <f>SUM(C36:C47)</f>
        <v>41706.52225</v>
      </c>
      <c r="D48" s="77">
        <f>SUM(D36:D47)</f>
        <v>160.003937078181</v>
      </c>
      <c r="E48" s="77">
        <f>B36+C48+D48</f>
        <v>42101.2571870782</v>
      </c>
      <c r="F48" s="77"/>
      <c r="G48" s="77">
        <f>SUM(G36:G47)</f>
        <v>30640.2349877462</v>
      </c>
      <c r="H48" s="77">
        <f>SUM(H36:H47)</f>
        <v>11159.468199332</v>
      </c>
      <c r="I48" s="77">
        <f>SUM(I36:I47)</f>
        <v>41799.7031870782</v>
      </c>
      <c r="J48" s="77"/>
    </row>
    <row r="49" ht="13" customHeight="1">
      <c r="A49" t="s" s="28">
        <v>47</v>
      </c>
      <c r="B49" s="22"/>
      <c r="C49" s="77"/>
      <c r="D49" s="77"/>
      <c r="E49" s="77"/>
      <c r="F49" s="77"/>
      <c r="G49" s="77"/>
      <c r="H49" s="77"/>
      <c r="I49" s="77"/>
      <c r="J49" s="77"/>
    </row>
    <row r="50" ht="13" customHeight="1">
      <c r="A50" t="s" s="28">
        <v>193</v>
      </c>
      <c r="B50" s="77">
        <f>J47</f>
        <v>301.554</v>
      </c>
      <c r="C50" s="77">
        <f>3475.80273+262.26737</f>
        <v>3738.0701</v>
      </c>
      <c r="D50" s="77">
        <f>(9930.223+2377+644.728)*2.204622/2000</f>
        <v>14.277078058761</v>
      </c>
      <c r="E50" s="77">
        <f>B50+C50+D50</f>
        <v>4053.901178058760</v>
      </c>
      <c r="F50" s="22"/>
      <c r="G50" s="77">
        <f>I50-H50</f>
        <v>2803.963081361510</v>
      </c>
      <c r="H50" s="77">
        <f>((581.892513+8.315+75.128401))*(2.204622/2)</f>
        <v>733.407096697254</v>
      </c>
      <c r="I50" s="77">
        <f>E50-J50</f>
        <v>3537.370178058760</v>
      </c>
      <c r="J50" s="77">
        <f>471.806+44.725</f>
        <v>516.5309999999999</v>
      </c>
    </row>
    <row r="51" ht="13" customHeight="1">
      <c r="A51" t="s" s="28">
        <v>194</v>
      </c>
      <c r="B51" s="77">
        <f>J50</f>
        <v>516.5309999999999</v>
      </c>
      <c r="C51" s="77">
        <f>3447.6493+272.3998</f>
        <v>3720.0491</v>
      </c>
      <c r="D51" s="77">
        <f>(9702.118+1997+339.383)*2.204622/2000</f>
        <v>13.270172075811</v>
      </c>
      <c r="E51" s="77">
        <f>B51+C51+D51</f>
        <v>4249.850272075810</v>
      </c>
      <c r="F51" s="22"/>
      <c r="G51" s="77">
        <f>I51-H51</f>
        <v>2723.375990361120</v>
      </c>
      <c r="H51" s="77">
        <f>((804.493079+11.232+129.663547))*(2.204622/2)</f>
        <v>1042.112281714690</v>
      </c>
      <c r="I51" s="77">
        <f>E51-J51</f>
        <v>3765.488272075810</v>
      </c>
      <c r="J51" s="77">
        <f>445.037+39.325</f>
        <v>484.362</v>
      </c>
    </row>
    <row r="52" ht="13" customHeight="1">
      <c r="A52" t="s" s="28">
        <v>195</v>
      </c>
      <c r="B52" s="77">
        <f>J51</f>
        <v>484.362</v>
      </c>
      <c r="C52" s="77">
        <f>3397.76335+277.7805</f>
        <v>3675.54385</v>
      </c>
      <c r="D52" s="77">
        <f>(10330.299+2239+2482.86)*2.204622/2000</f>
        <v>16.592160439449</v>
      </c>
      <c r="E52" s="77">
        <f>B52+C52+D52</f>
        <v>4176.498010439450</v>
      </c>
      <c r="F52" s="22"/>
      <c r="G52" s="77">
        <f>I52-H52</f>
        <v>2767.033721647640</v>
      </c>
      <c r="H52" s="77">
        <f>((707.680305+16.967+90.699987))*(2.204622/2)</f>
        <v>898.766288791812</v>
      </c>
      <c r="I52" s="77">
        <f>E52-J52</f>
        <v>3665.800010439450</v>
      </c>
      <c r="J52" s="77">
        <f>473.178+37.52</f>
        <v>510.698</v>
      </c>
    </row>
    <row r="53" ht="13" customHeight="1">
      <c r="A53" t="s" s="28">
        <v>196</v>
      </c>
      <c r="B53" s="77">
        <f>J52</f>
        <v>510.698</v>
      </c>
      <c r="C53" s="77">
        <f>3298.36+271.099</f>
        <v>3569.459</v>
      </c>
      <c r="D53" s="77">
        <f>(12279.597+2214+269.321)*2.204622/2000</f>
        <v>16.273326903498</v>
      </c>
      <c r="E53" s="77">
        <f>B53+C53+D53</f>
        <v>4096.4303269035</v>
      </c>
      <c r="F53" s="22"/>
      <c r="G53" s="77">
        <f>I53-H53</f>
        <v>2476.545694423130</v>
      </c>
      <c r="H53" s="77">
        <f>((967.927585+17.265+76.925667))*(2.204622/2)</f>
        <v>1170.784632480370</v>
      </c>
      <c r="I53" s="77">
        <f>E53-J53</f>
        <v>3647.3303269035</v>
      </c>
      <c r="J53" s="77">
        <f>408.208+40.892</f>
        <v>449.1</v>
      </c>
    </row>
    <row r="54" ht="13" customHeight="1">
      <c r="A54" t="s" s="28">
        <v>197</v>
      </c>
      <c r="B54" s="77">
        <f>J53</f>
        <v>449.1</v>
      </c>
      <c r="C54" s="77">
        <f>2889.211+236.939</f>
        <v>3126.15</v>
      </c>
      <c r="D54" s="77">
        <f>(13443.229+2315+606.302)*2.204622/2000</f>
        <v>18.038802531141</v>
      </c>
      <c r="E54" s="77">
        <f>B54+C54+D54</f>
        <v>3593.288802531140</v>
      </c>
      <c r="F54" s="22"/>
      <c r="G54" s="77">
        <f>I54-H54</f>
        <v>2194.727754217710</v>
      </c>
      <c r="H54" s="77">
        <f>((775.643585+8.026+61.802381))*(2.204622/2)</f>
        <v>931.973048313426</v>
      </c>
      <c r="I54" s="77">
        <f>E54-J54</f>
        <v>3126.700802531140</v>
      </c>
      <c r="J54" s="77">
        <f>428.609+37.979</f>
        <v>466.588</v>
      </c>
    </row>
    <row r="55" ht="13" customHeight="1">
      <c r="A55" t="s" s="28">
        <v>198</v>
      </c>
      <c r="B55" s="77">
        <f>J54</f>
        <v>466.588</v>
      </c>
      <c r="C55" s="77">
        <f>3111.911+259.694</f>
        <v>3371.605</v>
      </c>
      <c r="D55" s="77">
        <f>(11553.316+3327+448.348)*2.204622/2000</f>
        <v>16.896954942504</v>
      </c>
      <c r="E55" s="77">
        <f>B55+C55+D55</f>
        <v>3855.0899549425</v>
      </c>
      <c r="F55" s="22"/>
      <c r="G55" s="77">
        <f>I55-H55</f>
        <v>2655.752954488860</v>
      </c>
      <c r="H55" s="77">
        <f>((668.207438+22.372+102.482593))*(2.204622/2)</f>
        <v>874.201000453641</v>
      </c>
      <c r="I55" s="77">
        <f>E55-J55</f>
        <v>3529.9539549425</v>
      </c>
      <c r="J55" s="77">
        <f>294.551+30.585</f>
        <v>325.136</v>
      </c>
    </row>
    <row r="56" ht="13" customHeight="1">
      <c r="A56" t="s" s="28">
        <v>199</v>
      </c>
      <c r="B56" s="77">
        <f>J55</f>
        <v>325.136</v>
      </c>
      <c r="C56" s="77">
        <f>2873.217+239.721</f>
        <v>3112.938</v>
      </c>
      <c r="D56" s="77">
        <f>(10232.088+2853+389.238)*2.204622/2000</f>
        <v>14.852897767386</v>
      </c>
      <c r="E56" s="77">
        <f>B56+C56+D56</f>
        <v>3452.926897767390</v>
      </c>
      <c r="F56" s="22"/>
      <c r="G56" s="77">
        <f>I56-H56</f>
        <v>2323.456307667870</v>
      </c>
      <c r="H56" s="77">
        <f>((522.741849+10.232+89.83368))*(2.204622/2)</f>
        <v>686.527590099519</v>
      </c>
      <c r="I56" s="77">
        <f>E56-J56</f>
        <v>3009.983897767390</v>
      </c>
      <c r="J56" s="77">
        <f>403.992+38.951</f>
        <v>442.943</v>
      </c>
    </row>
    <row r="57" ht="13" customHeight="1">
      <c r="A57" t="s" s="28">
        <v>212</v>
      </c>
      <c r="B57" s="77">
        <f>J56</f>
        <v>442.943</v>
      </c>
      <c r="C57" s="77">
        <f>2865.776+234.746</f>
        <v>3100.522</v>
      </c>
      <c r="D57" s="77">
        <f>(9617.155+2757+254.197)*2.204622/2000</f>
        <v>13.920371321472</v>
      </c>
      <c r="E57" s="77">
        <f>B57+C57+D57</f>
        <v>3557.385371321470</v>
      </c>
      <c r="F57" s="22"/>
      <c r="G57" s="77">
        <f>I57-H57</f>
        <v>2593.022322472710</v>
      </c>
      <c r="H57" s="77">
        <f>((447.841521+15.423+71.435803))*(2.204622/2)</f>
        <v>589.406048848764</v>
      </c>
      <c r="I57" s="77">
        <f>E57-J57</f>
        <v>3182.428371321470</v>
      </c>
      <c r="J57" s="77">
        <f>333.547+41.41</f>
        <v>374.957</v>
      </c>
    </row>
    <row r="58" ht="13" customHeight="1">
      <c r="A58" t="s" s="28">
        <v>213</v>
      </c>
      <c r="B58" s="77">
        <f>J57</f>
        <v>374.957</v>
      </c>
      <c r="C58" s="77">
        <f>2746.586+226.906</f>
        <v>2973.492</v>
      </c>
      <c r="D58" s="77">
        <f>(9604.305+2563+444.972)*2.204622/2000</f>
        <v>13.902651672147</v>
      </c>
      <c r="E58" s="77">
        <f>B58+C58+D58</f>
        <v>3362.351651672150</v>
      </c>
      <c r="F58" s="77"/>
      <c r="G58" s="77">
        <f>I58-H58</f>
        <v>2569.640905345160</v>
      </c>
      <c r="H58" s="77">
        <f>((397.016151+8.204+56.003357))*(2.204622/2)</f>
        <v>508.411746326988</v>
      </c>
      <c r="I58" s="77">
        <f>E58-J58</f>
        <v>3078.052651672150</v>
      </c>
      <c r="J58" s="77">
        <f>256.329+27.97</f>
        <v>284.299</v>
      </c>
    </row>
    <row r="59" ht="13" customHeight="1">
      <c r="A59" t="s" s="28">
        <v>214</v>
      </c>
      <c r="B59" s="77">
        <f>J58</f>
        <v>284.299</v>
      </c>
      <c r="C59" s="77">
        <f>2857.622+239.432</f>
        <v>3097.054</v>
      </c>
      <c r="D59" s="77">
        <f>(7486.208+1505+441.838)*2.204622/2000</f>
        <v>10.398150369306</v>
      </c>
      <c r="E59" s="77">
        <f>B59+C59+D59</f>
        <v>3391.751150369310</v>
      </c>
      <c r="F59" s="77"/>
      <c r="G59" s="77">
        <f>I59-H59</f>
        <v>2411.959375534970</v>
      </c>
      <c r="H59" s="77">
        <f>((436.692722+21.883+47.067218))*(2.204622/2)</f>
        <v>557.3757748343399</v>
      </c>
      <c r="I59" s="77">
        <f>E59-J59</f>
        <v>2969.335150369310</v>
      </c>
      <c r="J59" s="77">
        <f>387.461+34.955</f>
        <v>422.416</v>
      </c>
    </row>
    <row r="60" ht="13" customHeight="1">
      <c r="A60" t="s" s="28">
        <v>215</v>
      </c>
      <c r="B60" s="77">
        <f>J59</f>
        <v>422.416</v>
      </c>
      <c r="C60" s="77">
        <v>3001.875</v>
      </c>
      <c r="D60" s="77">
        <f>(10782.674+3118+190.811)*2.204622/2000</f>
        <v>15.533198921835</v>
      </c>
      <c r="E60" s="77">
        <f>B60+C60+D60</f>
        <v>3439.824198921840</v>
      </c>
      <c r="F60" s="77"/>
      <c r="G60" s="77">
        <f>I60-H60</f>
        <v>2471.269891543430</v>
      </c>
      <c r="H60" s="77">
        <f>((433.342843+19.612+62.829094))*(2.204622/2)</f>
        <v>568.554307378407</v>
      </c>
      <c r="I60" s="77">
        <f>E60-J60</f>
        <v>3039.824198921840</v>
      </c>
      <c r="J60" s="77">
        <v>400</v>
      </c>
    </row>
    <row r="61" ht="13" customHeight="1">
      <c r="A61" t="s" s="28">
        <v>192</v>
      </c>
      <c r="B61" s="77">
        <f>J60</f>
        <v>400</v>
      </c>
      <c r="C61" s="77">
        <v>2764.17246</v>
      </c>
      <c r="D61" s="77">
        <f>(11031.226+3006+204.164)*2.204622/2000</f>
        <v>15.698440852290</v>
      </c>
      <c r="E61" s="77">
        <f>B61+C61+D61</f>
        <v>3179.870900852290</v>
      </c>
      <c r="F61" s="77"/>
      <c r="G61" s="77">
        <f>I61-H61</f>
        <v>2310.129697968360</v>
      </c>
      <c r="H61" s="77">
        <f>((339.348188+10.756+121.397233))*(2.204622/2)</f>
        <v>519.741202883931</v>
      </c>
      <c r="I61" s="77">
        <f>E61-J61</f>
        <v>2829.870900852290</v>
      </c>
      <c r="J61" s="77">
        <v>350</v>
      </c>
    </row>
    <row r="62" ht="13" customHeight="1">
      <c r="A62" t="s" s="28">
        <v>190</v>
      </c>
      <c r="B62" s="22"/>
      <c r="C62" s="77">
        <f>SUM(C50:C61)</f>
        <v>39250.93051</v>
      </c>
      <c r="D62" s="77">
        <f>SUM(D50:D61)</f>
        <v>179.6542058556</v>
      </c>
      <c r="E62" s="77">
        <f>B50+C62+D62</f>
        <v>39732.1387158556</v>
      </c>
      <c r="F62" s="77"/>
      <c r="G62" s="77">
        <f>SUM(G50:G61)</f>
        <v>30300.8776970325</v>
      </c>
      <c r="H62" s="77">
        <f>SUM(H50:H61)</f>
        <v>9081.261018823139</v>
      </c>
      <c r="I62" s="77">
        <f>SUM(I50:I61)</f>
        <v>39382.1387158556</v>
      </c>
      <c r="J62" s="77"/>
    </row>
    <row r="63" ht="13" customHeight="1">
      <c r="A63" t="s" s="28">
        <v>52</v>
      </c>
      <c r="B63" s="22"/>
      <c r="C63" s="77"/>
      <c r="D63" s="77"/>
      <c r="E63" s="77"/>
      <c r="F63" s="77"/>
      <c r="G63" s="77"/>
      <c r="H63" s="77"/>
      <c r="I63" s="77"/>
      <c r="J63" s="77"/>
    </row>
    <row r="64" ht="13" customHeight="1">
      <c r="A64" t="s" s="28">
        <v>193</v>
      </c>
      <c r="B64" s="77">
        <f t="shared" si="404" ref="B64:J78">233.715+30.171</f>
        <v>263.886</v>
      </c>
      <c r="C64" s="77">
        <f>3742.412+258.909</f>
        <v>4001.321</v>
      </c>
      <c r="D64" s="77">
        <f>(24490.318+2973+4420.437)*2.204622/2000</f>
        <v>35.145813857805</v>
      </c>
      <c r="E64" s="77">
        <f>B64+C64+D64</f>
        <v>4300.352813857810</v>
      </c>
      <c r="F64" s="77"/>
      <c r="G64" s="77">
        <f>I64-H64</f>
        <v>3014.914968491760</v>
      </c>
      <c r="H64" s="77">
        <f>((655.834691+2.098+150.976814))*(2.204622/2)</f>
        <v>891.669845366055</v>
      </c>
      <c r="I64" s="77">
        <f>E64-J64</f>
        <v>3906.584813857810</v>
      </c>
      <c r="J64" s="77">
        <f>360.253+33.515</f>
        <v>393.768</v>
      </c>
    </row>
    <row r="65" ht="13" customHeight="1">
      <c r="A65" t="s" s="28">
        <v>194</v>
      </c>
      <c r="B65" s="77">
        <f>J64</f>
        <v>393.768</v>
      </c>
      <c r="C65" s="77">
        <f>3655.75+251.965</f>
        <v>3907.715</v>
      </c>
      <c r="D65" s="77">
        <f>(23368.643+2935+1353.348)*2.204622/2000</f>
        <v>30.486605406201</v>
      </c>
      <c r="E65" s="77">
        <f>B65+C65+D65</f>
        <v>4331.9696054062</v>
      </c>
      <c r="F65" s="77"/>
      <c r="G65" s="77">
        <f>I65-H65</f>
        <v>2766.698016205590</v>
      </c>
      <c r="H65" s="77">
        <f>((844.248393+15.814+213.576162))*(2.204622/2)</f>
        <v>1183.483589200610</v>
      </c>
      <c r="I65" s="77">
        <f>E65-J65</f>
        <v>3950.1816054062</v>
      </c>
      <c r="J65" s="77">
        <f>342.962+38.826</f>
        <v>381.788</v>
      </c>
    </row>
    <row r="66" ht="13" customHeight="1">
      <c r="A66" t="s" s="28">
        <v>195</v>
      </c>
      <c r="B66" s="77">
        <f>J65</f>
        <v>381.788</v>
      </c>
      <c r="C66" s="77">
        <f>3669.213+262.266</f>
        <v>3931.479</v>
      </c>
      <c r="D66" s="77">
        <f>(24942.858+4082+1635.392)*2.204622/2000</f>
        <v>33.797130837750</v>
      </c>
      <c r="E66" s="77">
        <f>B66+C66+D66</f>
        <v>4347.064130837750</v>
      </c>
      <c r="F66" s="77"/>
      <c r="G66" s="77">
        <f>I66-H66</f>
        <v>2975.707682287570</v>
      </c>
      <c r="H66" s="77">
        <f>((745.244112+4.957+219.587313))*(2.204622/2)</f>
        <v>1069.008448550180</v>
      </c>
      <c r="I66" s="77">
        <f>E66-J66</f>
        <v>4044.716130837750</v>
      </c>
      <c r="J66" s="77">
        <f>270.421+31.927</f>
        <v>302.348</v>
      </c>
    </row>
    <row r="67" ht="13" customHeight="1">
      <c r="A67" t="s" s="28">
        <v>196</v>
      </c>
      <c r="B67" s="77">
        <f>J66</f>
        <v>302.348</v>
      </c>
      <c r="C67" s="77">
        <f>3539.791+256.884</f>
        <v>3796.675</v>
      </c>
      <c r="D67" s="77">
        <f>(25166.958+4758+365.767)*2.204622/2000</f>
        <v>33.389799365475</v>
      </c>
      <c r="E67" s="77">
        <f>B67+C67+D67</f>
        <v>4132.412799365480</v>
      </c>
      <c r="F67" s="77"/>
      <c r="G67" s="77">
        <f>I67-H67</f>
        <v>2621.760264703920</v>
      </c>
      <c r="H67" s="77">
        <f>((725.889237+8.801+263.534887))*(2.204622/2)</f>
        <v>1100.354534661560</v>
      </c>
      <c r="I67" s="77">
        <f>E67-J67</f>
        <v>3722.114799365480</v>
      </c>
      <c r="J67" s="77">
        <f>368.063+42.235</f>
        <v>410.298</v>
      </c>
    </row>
    <row r="68" ht="13" customHeight="1">
      <c r="A68" t="s" s="28">
        <v>197</v>
      </c>
      <c r="B68" s="77">
        <f>J67</f>
        <v>410.298</v>
      </c>
      <c r="C68" s="77">
        <f>3425.236+241.078</f>
        <v>3666.314</v>
      </c>
      <c r="D68" s="77">
        <f>(24839.815+6908+637.385)*2.204622/2000</f>
        <v>35.6985621972</v>
      </c>
      <c r="E68" s="77">
        <f>B68+C68+D68</f>
        <v>4112.3105621972</v>
      </c>
      <c r="F68" s="77"/>
      <c r="G68" s="77">
        <f>I68-H68</f>
        <v>2542.2694767642</v>
      </c>
      <c r="H68" s="77">
        <f>((895.545031+8.529+191.523387))*(2.204622/2)</f>
        <v>1207.689085433</v>
      </c>
      <c r="I68" s="77">
        <f>E68-J68</f>
        <v>3749.9585621972</v>
      </c>
      <c r="J68" s="77">
        <f>330.057+32.295</f>
        <v>362.352</v>
      </c>
    </row>
    <row r="69" ht="13" customHeight="1">
      <c r="A69" t="s" s="28">
        <v>198</v>
      </c>
      <c r="B69" s="77">
        <f>J68</f>
        <v>362.352</v>
      </c>
      <c r="C69" s="77">
        <f>3677.248+260.298</f>
        <v>3937.546</v>
      </c>
      <c r="D69" s="77">
        <f>(29351.146+6254+320.272)*2.204622/2000</f>
        <v>39.600983440998</v>
      </c>
      <c r="E69" s="77">
        <f>B69+C69+D69</f>
        <v>4339.498983441</v>
      </c>
      <c r="F69" s="77"/>
      <c r="G69" s="77">
        <f>I69-H69</f>
        <v>2995.222633777480</v>
      </c>
      <c r="H69" s="77">
        <f>((715.645611+4.575+192.569291))*(2.204622/2)</f>
        <v>1006.178349663520</v>
      </c>
      <c r="I69" s="77">
        <f>E69-J69</f>
        <v>4001.400983441</v>
      </c>
      <c r="J69" s="77">
        <f>302.672+35.426</f>
        <v>338.098</v>
      </c>
    </row>
    <row r="70" ht="13" customHeight="1">
      <c r="A70" t="s" s="28">
        <v>199</v>
      </c>
      <c r="B70" s="77">
        <f>J69</f>
        <v>338.098</v>
      </c>
      <c r="C70" s="77">
        <f>3502.911+243.761</f>
        <v>3746.672</v>
      </c>
      <c r="D70" s="77">
        <f>(38480.991+3492+724.589)*2.204622/2000</f>
        <v>47.066012107380</v>
      </c>
      <c r="E70" s="77">
        <f>B70+C70+D70</f>
        <v>4131.836012107380</v>
      </c>
      <c r="F70" s="77"/>
      <c r="G70" s="77">
        <f>I70-H70</f>
        <v>2657.690838704330</v>
      </c>
      <c r="H70" s="77">
        <f>((803.224929+5.187+154.906203))*(2.204622/2)</f>
        <v>1061.876173403050</v>
      </c>
      <c r="I70" s="77">
        <f>E70-J70</f>
        <v>3719.567012107380</v>
      </c>
      <c r="J70" s="77">
        <f>365.653+46.616</f>
        <v>412.269</v>
      </c>
    </row>
    <row r="71" ht="13" customHeight="1">
      <c r="A71" t="s" s="28">
        <v>212</v>
      </c>
      <c r="B71" s="77">
        <f>J70</f>
        <v>412.269</v>
      </c>
      <c r="C71" s="77">
        <f>3561.181+246.358</f>
        <v>3807.539</v>
      </c>
      <c r="D71" s="77">
        <f>(22966.963+5644+947.411)*2.204622/2000</f>
        <v>32.582520802314</v>
      </c>
      <c r="E71" s="77">
        <f>B71+C71+D71</f>
        <v>4252.390520802310</v>
      </c>
      <c r="F71" s="77"/>
      <c r="G71" s="77">
        <f>I71-H71</f>
        <v>2812.279978418320</v>
      </c>
      <c r="H71" s="77">
        <f>((812.336895+6.89+133.941986))*(2.204622/2)</f>
        <v>1050.688542383990</v>
      </c>
      <c r="I71" s="77">
        <f>E71-J71</f>
        <v>3862.968520802310</v>
      </c>
      <c r="J71" s="77">
        <f>343.411+46.011</f>
        <v>389.422</v>
      </c>
    </row>
    <row r="72" ht="13" customHeight="1">
      <c r="A72" t="s" s="28">
        <v>213</v>
      </c>
      <c r="B72" s="77">
        <f>J71</f>
        <v>389.422</v>
      </c>
      <c r="C72" s="77">
        <f>3411.099+235.294</f>
        <v>3646.393</v>
      </c>
      <c r="D72" s="77">
        <f>(19679.308+2313+1350.185)*2.204622/2000</f>
        <v>25.730686801323</v>
      </c>
      <c r="E72" s="77">
        <f>B72+C72+D72</f>
        <v>4061.545686801320</v>
      </c>
      <c r="F72" s="77"/>
      <c r="G72" s="77">
        <f>I72-H72</f>
        <v>2990.051868921740</v>
      </c>
      <c r="H72" s="77">
        <f>((589.374576+8.573+91.818577))*(2.204622/2)</f>
        <v>760.336817879583</v>
      </c>
      <c r="I72" s="77">
        <f>E72-J72</f>
        <v>3750.388686801320</v>
      </c>
      <c r="J72" s="77">
        <f>281.038+30.119</f>
        <v>311.157</v>
      </c>
    </row>
    <row r="73" ht="13" customHeight="1">
      <c r="A73" t="s" s="28">
        <v>214</v>
      </c>
      <c r="B73" s="77">
        <f>J72</f>
        <v>311.157</v>
      </c>
      <c r="C73" s="77">
        <f>3403.386+240.805</f>
        <v>3644.191</v>
      </c>
      <c r="D73" s="77">
        <f>(20165.229+3113+574.81)*2.204622/2000</f>
        <v>26.293467273129</v>
      </c>
      <c r="E73" s="77">
        <f>B73+C73+D73</f>
        <v>3981.641467273130</v>
      </c>
      <c r="F73" s="77"/>
      <c r="G73" s="77">
        <f>I73-H73</f>
        <v>2543.459164528010</v>
      </c>
      <c r="H73" s="77">
        <f>((776.598669+7.542+103.583669))*(2.204622/2)</f>
        <v>978.548302745118</v>
      </c>
      <c r="I73" s="77">
        <f>E73-J73</f>
        <v>3522.007467273130</v>
      </c>
      <c r="J73" s="77">
        <f>419.802+39.832</f>
        <v>459.634</v>
      </c>
    </row>
    <row r="74" ht="13" customHeight="1">
      <c r="A74" t="s" s="28">
        <v>215</v>
      </c>
      <c r="B74" s="77">
        <f>J73</f>
        <v>459.634</v>
      </c>
      <c r="C74" s="77">
        <f>3111.301+217.058</f>
        <v>3328.359</v>
      </c>
      <c r="D74" s="77">
        <f>(23685.027+3922+880.38)*2.204622/2000</f>
        <v>31.401982097577</v>
      </c>
      <c r="E74" s="77">
        <f>B74+C74+D74</f>
        <v>3819.394982097580</v>
      </c>
      <c r="F74" s="77"/>
      <c r="G74" s="77">
        <f>I74-H74</f>
        <v>2789.151927887570</v>
      </c>
      <c r="H74" s="77">
        <f>((600.564703+6.676+78.208371))*(2.204622/2)</f>
        <v>755.578054210014</v>
      </c>
      <c r="I74" s="77">
        <f>E74-J74</f>
        <v>3544.729982097580</v>
      </c>
      <c r="J74" s="77">
        <f>247.799+26.866</f>
        <v>274.665</v>
      </c>
    </row>
    <row r="75" ht="13" customHeight="1">
      <c r="A75" t="s" s="28">
        <v>192</v>
      </c>
      <c r="B75" s="77">
        <f>J74</f>
        <v>274.665</v>
      </c>
      <c r="C75" s="77">
        <f>3042.315+215.143</f>
        <v>3257.458</v>
      </c>
      <c r="D75" s="77">
        <f>(25177.686+3462+598.154)*2.204622/2000</f>
        <v>32.229192648240</v>
      </c>
      <c r="E75" s="77">
        <f>B75+C75+D75</f>
        <v>3564.352192648240</v>
      </c>
      <c r="F75" s="77"/>
      <c r="G75" s="77">
        <f>I75-H75</f>
        <v>2412.028287860230</v>
      </c>
      <c r="H75" s="77">
        <f>((677.122957+2.925+125.92958))*(2.204622/2)</f>
        <v>888.437904788007</v>
      </c>
      <c r="I75" s="77">
        <f>E75-J75</f>
        <v>3300.466192648240</v>
      </c>
      <c r="J75" s="77">
        <f t="shared" si="404"/>
        <v>263.886</v>
      </c>
    </row>
    <row r="76" ht="13" customHeight="1">
      <c r="A76" t="s" s="28">
        <v>190</v>
      </c>
      <c r="B76" s="22"/>
      <c r="C76" s="77">
        <f>SUM(C64:C75)</f>
        <v>44671.662</v>
      </c>
      <c r="D76" s="77">
        <f>SUM(D64:D75)</f>
        <v>403.422756835392</v>
      </c>
      <c r="E76" s="77">
        <f>B64+C76+D76</f>
        <v>45338.9707568354</v>
      </c>
      <c r="F76" s="77"/>
      <c r="G76" s="77">
        <f>SUM(G64:G75)</f>
        <v>33121.2351085507</v>
      </c>
      <c r="H76" s="77">
        <f>SUM(H64:H75)</f>
        <v>11953.8496482847</v>
      </c>
      <c r="I76" s="77">
        <f>SUM(I64:I75)</f>
        <v>45075.0847568354</v>
      </c>
      <c r="J76" s="77"/>
    </row>
    <row r="77" ht="13" customHeight="1">
      <c r="A77" t="s" s="28">
        <v>53</v>
      </c>
      <c r="B77" s="22"/>
      <c r="C77" s="77"/>
      <c r="D77" s="77"/>
      <c r="E77" s="77"/>
      <c r="F77" s="77"/>
      <c r="G77" s="77"/>
      <c r="H77" s="77"/>
      <c r="I77" s="77"/>
      <c r="J77" s="77"/>
    </row>
    <row r="78" ht="13" customHeight="1">
      <c r="A78" t="s" s="28">
        <v>193</v>
      </c>
      <c r="B78" s="77">
        <f t="shared" si="404"/>
        <v>263.886</v>
      </c>
      <c r="C78" s="77">
        <f>3830.125+273.917</f>
        <v>4104.042</v>
      </c>
      <c r="D78" s="77">
        <f>(20102.004+3304+507.805)*2.204622/2000</f>
        <v>26.360454712599</v>
      </c>
      <c r="E78" s="77">
        <f>B78+C78+D78</f>
        <v>4394.2884547126</v>
      </c>
      <c r="F78" s="77"/>
      <c r="G78" s="77">
        <f>I78-H78</f>
        <v>3084.115431060780</v>
      </c>
      <c r="H78" s="77">
        <f>((693.141819+2.805+150.046756))*(2.204622/2)</f>
        <v>932.548023651825</v>
      </c>
      <c r="I78" s="77">
        <f>E78-J78</f>
        <v>4016.6634547126</v>
      </c>
      <c r="J78" s="77">
        <f>335.413+42.212</f>
        <v>377.625</v>
      </c>
    </row>
    <row r="79" ht="13" customHeight="1">
      <c r="A79" t="s" s="28">
        <v>194</v>
      </c>
      <c r="B79" s="77">
        <f>J78</f>
        <v>377.625</v>
      </c>
      <c r="C79" s="77">
        <f>3739.093+273.414</f>
        <v>4012.507</v>
      </c>
      <c r="D79" s="77">
        <f>(21497.379+3901+124.943)*2.204622/2000</f>
        <v>28.134638597142</v>
      </c>
      <c r="E79" s="77">
        <f>B79+C79+D79</f>
        <v>4418.266638597140</v>
      </c>
      <c r="F79" s="77"/>
      <c r="G79" s="77">
        <f>I79-H79</f>
        <v>2997.719368447650</v>
      </c>
      <c r="H79" s="77">
        <f>((667.273624+3.395+247.86913))*(2.204622/2)</f>
        <v>1012.514270149490</v>
      </c>
      <c r="I79" s="77">
        <f>E79-J79</f>
        <v>4010.233638597140</v>
      </c>
      <c r="J79" s="77">
        <f>361.959+46.074</f>
        <v>408.033</v>
      </c>
    </row>
    <row r="80" ht="13" customHeight="1">
      <c r="A80" t="s" s="28">
        <v>195</v>
      </c>
      <c r="B80" s="77">
        <f>J79</f>
        <v>408.033</v>
      </c>
      <c r="C80" s="77">
        <f>3690.668+273.479</f>
        <v>3964.147</v>
      </c>
      <c r="D80" s="77">
        <f>(19456.672+4259+130.318)*2.204622/2000</f>
        <v>26.285697082890</v>
      </c>
      <c r="E80" s="77">
        <f>B80+C80+D80</f>
        <v>4398.465697082890</v>
      </c>
      <c r="F80" s="77"/>
      <c r="G80" s="77">
        <f>I80-H80</f>
        <v>3012.475198214950</v>
      </c>
      <c r="H80" s="77">
        <f>((650.497579+2.548+199.327752))*(2.204622/2)</f>
        <v>939.5804988679409</v>
      </c>
      <c r="I80" s="77">
        <f>E80-J80</f>
        <v>3952.055697082890</v>
      </c>
      <c r="J80" s="77">
        <f>403.901+42.509</f>
        <v>446.41</v>
      </c>
    </row>
    <row r="81" ht="13" customHeight="1">
      <c r="A81" t="s" s="28">
        <v>196</v>
      </c>
      <c r="B81" s="77">
        <f>J80</f>
        <v>446.41</v>
      </c>
      <c r="C81" s="77">
        <f>3763.462+261.739</f>
        <v>4025.201</v>
      </c>
      <c r="D81" s="77">
        <f>(28030.503+4355+726.884)*2.204622/2000</f>
        <v>36.500148426357</v>
      </c>
      <c r="E81" s="77">
        <f>B81+C81+D81</f>
        <v>4508.111148426360</v>
      </c>
      <c r="F81" s="77"/>
      <c r="G81" s="77">
        <f>I81-H81</f>
        <v>2766.050466335190</v>
      </c>
      <c r="H81" s="77">
        <f>((955.04107+3.027+227.792982))*(2.204622/2)</f>
        <v>1307.187682091170</v>
      </c>
      <c r="I81" s="77">
        <f>E81-J81</f>
        <v>4073.238148426360</v>
      </c>
      <c r="J81" s="77">
        <f>394.425+40.448</f>
        <v>434.873</v>
      </c>
    </row>
    <row r="82" ht="13" customHeight="1">
      <c r="A82" t="s" s="28">
        <v>197</v>
      </c>
      <c r="B82" s="77">
        <f>J81</f>
        <v>434.873</v>
      </c>
      <c r="C82" s="77">
        <f>3331.018+228.174</f>
        <v>3559.192</v>
      </c>
      <c r="D82" s="77">
        <f>(28166.336+3893+387.116)*2.204622/2000</f>
        <v>35.766080950572</v>
      </c>
      <c r="E82" s="77">
        <f>B82+C82+D82</f>
        <v>4029.831080950570</v>
      </c>
      <c r="F82" s="77"/>
      <c r="G82" s="77">
        <f>I82-H82</f>
        <v>2570.499354171160</v>
      </c>
      <c r="H82" s="77">
        <f>((811.830698+11.508+133.305776))*(2.204622/2)</f>
        <v>1054.519726779410</v>
      </c>
      <c r="I82" s="77">
        <f>E82-J82</f>
        <v>3625.019080950570</v>
      </c>
      <c r="J82" s="77">
        <f>372.404+32.408</f>
        <v>404.812</v>
      </c>
    </row>
    <row r="83" ht="13" customHeight="1">
      <c r="A83" t="s" s="28">
        <v>198</v>
      </c>
      <c r="B83" s="77">
        <f>J82</f>
        <v>404.812</v>
      </c>
      <c r="C83" s="77">
        <f>3528.733+244.932</f>
        <v>3773.665</v>
      </c>
      <c r="D83" s="77">
        <f>(19135.634+3912+533.996)*2.204622/2000</f>
        <v>25.994290146930</v>
      </c>
      <c r="E83" s="77">
        <f>B83+C83+D83</f>
        <v>4204.471290146930</v>
      </c>
      <c r="F83" s="77"/>
      <c r="G83" s="77">
        <f>I83-H83</f>
        <v>2406.958485645350</v>
      </c>
      <c r="H83" s="77">
        <f>((1022.929375+3.391+282.778241))*(2.204622/2)</f>
        <v>1443.033804501580</v>
      </c>
      <c r="I83" s="77">
        <f>E83-J83</f>
        <v>3849.992290146930</v>
      </c>
      <c r="J83" s="77">
        <f>318.123+36.356</f>
        <v>354.479</v>
      </c>
    </row>
    <row r="84" ht="13" customHeight="1">
      <c r="A84" t="s" s="28">
        <v>199</v>
      </c>
      <c r="B84" s="77">
        <f>J83</f>
        <v>354.479</v>
      </c>
      <c r="C84" s="77">
        <f>3300.745+222.754</f>
        <v>3523.499</v>
      </c>
      <c r="D84" s="77">
        <f>(22512.339+3430+234.788)*2.204622/2000</f>
        <v>28.855335040497</v>
      </c>
      <c r="E84" s="77">
        <f>B84+C84+D84</f>
        <v>3906.8333350405</v>
      </c>
      <c r="F84" s="77"/>
      <c r="G84" s="77">
        <f>I84-H84</f>
        <v>2566.788157052030</v>
      </c>
      <c r="H84" s="77">
        <f>((647.334618+15.782+162.344779))*(2.204622/2)</f>
        <v>909.915177988467</v>
      </c>
      <c r="I84" s="77">
        <f>E84-J84</f>
        <v>3476.7033350405</v>
      </c>
      <c r="J84" s="77">
        <f>387.207+42.923</f>
        <v>430.13</v>
      </c>
    </row>
    <row r="85" ht="13" customHeight="1">
      <c r="A85" t="s" s="28">
        <v>212</v>
      </c>
      <c r="B85" s="77">
        <f>J84</f>
        <v>430.13</v>
      </c>
      <c r="C85" s="77">
        <f>3491.318+240.712</f>
        <v>3732.03</v>
      </c>
      <c r="D85" s="77">
        <f>(27160.809+4201+551.493)*2.204622/2000</f>
        <v>35.178383840922</v>
      </c>
      <c r="E85" s="77">
        <f>B85+C85+D85</f>
        <v>4197.338383840920</v>
      </c>
      <c r="F85" s="77"/>
      <c r="G85" s="77">
        <f>I85-H85</f>
        <v>2971.083291655620</v>
      </c>
      <c r="H85" s="77">
        <f>((586.200742+7.811+130.160558))*(2.204622/2)</f>
        <v>798.2630921853</v>
      </c>
      <c r="I85" s="77">
        <f>E85-J85</f>
        <v>3769.346383840920</v>
      </c>
      <c r="J85" s="77">
        <f>375.156+52.836</f>
        <v>427.992</v>
      </c>
    </row>
    <row r="86" ht="13" customHeight="1">
      <c r="A86" t="s" s="28">
        <v>213</v>
      </c>
      <c r="B86" s="77">
        <f>J85</f>
        <v>427.992</v>
      </c>
      <c r="C86" s="77">
        <f>3268.397+221.13</f>
        <v>3489.527</v>
      </c>
      <c r="D86" s="77">
        <f>(23907.767+3681+352.707)*2.204622/2000</f>
        <v>30.800194146414</v>
      </c>
      <c r="E86" s="77">
        <f>B86+C86+D86</f>
        <v>3948.319194146410</v>
      </c>
      <c r="F86" s="77"/>
      <c r="G86" s="77">
        <f>I86-H86</f>
        <v>2747.311134063630</v>
      </c>
      <c r="H86" s="77">
        <f>((612.180231+14.035+145.823749))*(2.204622/2)</f>
        <v>851.0270600827801</v>
      </c>
      <c r="I86" s="77">
        <f>E86-J86</f>
        <v>3598.338194146410</v>
      </c>
      <c r="J86" s="77">
        <f>314.965+35.016</f>
        <v>349.981</v>
      </c>
    </row>
    <row r="87" ht="13" customHeight="1">
      <c r="A87" t="s" s="28">
        <v>214</v>
      </c>
      <c r="B87" s="77">
        <f>J86</f>
        <v>349.981</v>
      </c>
      <c r="C87" s="77">
        <f>3400.652+237.432</f>
        <v>3638.084</v>
      </c>
      <c r="D87" s="77">
        <f>(13681.79+2447+200.791+27.504)*2.204622/2000</f>
        <v>18.030594723435</v>
      </c>
      <c r="E87" s="77">
        <f>B87+C87+D87</f>
        <v>4006.095594723440</v>
      </c>
      <c r="F87" s="77"/>
      <c r="G87" s="77">
        <f>I87-H87</f>
        <v>2809.432888114490</v>
      </c>
      <c r="H87" s="77">
        <f>((590.3906+5.875+104.955477))*(2.204622/2)</f>
        <v>772.9637066089469</v>
      </c>
      <c r="I87" s="77">
        <f>E87-J87</f>
        <v>3582.396594723440</v>
      </c>
      <c r="J87" s="77">
        <f>385.868+37.831</f>
        <v>423.699</v>
      </c>
    </row>
    <row r="88" ht="13" customHeight="1">
      <c r="A88" t="s" s="28">
        <v>215</v>
      </c>
      <c r="B88" s="77">
        <f>J87</f>
        <v>423.699</v>
      </c>
      <c r="C88" s="77">
        <f>3319.155+237.324</f>
        <v>3556.479</v>
      </c>
      <c r="D88" s="77">
        <f>(22330.612+3449+117.308+1855.441)*2.204622/2000</f>
        <v>30.591732806271</v>
      </c>
      <c r="E88" s="77">
        <f>B88+C88+D88</f>
        <v>4010.769732806270</v>
      </c>
      <c r="F88" s="77"/>
      <c r="G88" s="77">
        <f>I88-H88</f>
        <v>2811.309229831120</v>
      </c>
      <c r="H88" s="77">
        <f>((664.517336+4.113+123.324478))*(2.204622/2)</f>
        <v>872.980502975154</v>
      </c>
      <c r="I88" s="77">
        <f>E88-J88</f>
        <v>3684.289732806270</v>
      </c>
      <c r="J88" s="77">
        <f>290.921+35.559</f>
        <v>326.48</v>
      </c>
    </row>
    <row r="89" ht="13" customHeight="1">
      <c r="A89" t="s" s="28">
        <v>192</v>
      </c>
      <c r="B89" s="77">
        <f>J88</f>
        <v>326.48</v>
      </c>
      <c r="C89" s="77">
        <f>3188.771+219.873</f>
        <v>3408.644</v>
      </c>
      <c r="D89" s="77">
        <f>(20397.093+4027+105.104+15.191)*2.204622/2000</f>
        <v>27.055548880668</v>
      </c>
      <c r="E89" s="77">
        <f>B89+C89+D89</f>
        <v>3762.179548880670</v>
      </c>
      <c r="F89" s="77"/>
      <c r="G89" s="77">
        <f>I89-H89</f>
        <v>2676.208495160040</v>
      </c>
      <c r="H89" s="77">
        <f>((490.716665+4.872+126.142456))*(2.204622/2)</f>
        <v>685.341053720631</v>
      </c>
      <c r="I89" s="77">
        <f>E89-J89</f>
        <v>3361.549548880670</v>
      </c>
      <c r="J89" s="77">
        <f>353.758+46.872</f>
        <v>400.63</v>
      </c>
    </row>
    <row r="90" ht="13" customHeight="1">
      <c r="A90" t="s" s="28">
        <v>190</v>
      </c>
      <c r="B90" s="22"/>
      <c r="C90" s="77">
        <f>SUM(C78:C89)</f>
        <v>44787.017</v>
      </c>
      <c r="D90" s="77">
        <f>SUM(D78:D89)</f>
        <v>349.553099354697</v>
      </c>
      <c r="E90" s="77">
        <f>B78+C90+D90</f>
        <v>45400.4560993547</v>
      </c>
      <c r="F90" s="22"/>
      <c r="G90" s="77">
        <f>SUM(G78:G89)</f>
        <v>33419.951499752</v>
      </c>
      <c r="H90" s="77">
        <f>SUM(H78:H89)</f>
        <v>11579.8745996027</v>
      </c>
      <c r="I90" s="77">
        <f>SUM(I78:I89)</f>
        <v>44999.8260993547</v>
      </c>
      <c r="J90" s="22"/>
    </row>
    <row r="91" ht="13" customHeight="1">
      <c r="A91" t="s" s="28">
        <v>54</v>
      </c>
      <c r="B91" s="22"/>
      <c r="C91" s="77"/>
      <c r="D91" s="77"/>
      <c r="E91" s="77"/>
      <c r="F91" s="22"/>
      <c r="G91" s="77"/>
      <c r="H91" s="77"/>
      <c r="I91" s="77"/>
      <c r="J91" s="22"/>
    </row>
    <row r="92" ht="13" customHeight="1">
      <c r="A92" t="s" s="28">
        <v>193</v>
      </c>
      <c r="B92" s="77">
        <f>353.758+46.872</f>
        <v>400.63</v>
      </c>
      <c r="C92" s="77">
        <v>4123.825</v>
      </c>
      <c r="D92" s="77">
        <f>(22847.236+3613+112.237+227.84)*2.204622/2000</f>
        <v>29.542279823343</v>
      </c>
      <c r="E92" s="77">
        <f>B92+C92+D92</f>
        <v>4553.997279823340</v>
      </c>
      <c r="F92" s="22"/>
      <c r="G92" s="77">
        <v>3378.741661319930</v>
      </c>
      <c r="H92" s="77">
        <f>((600.174309+9.196+100.005374))*(2.204622/2)</f>
        <v>781.952618503413</v>
      </c>
      <c r="I92" s="77">
        <f>E92-J92</f>
        <v>4160.694279823340</v>
      </c>
      <c r="J92" s="77">
        <f>350.935+42.368</f>
        <v>393.303</v>
      </c>
    </row>
    <row r="93" ht="13" customHeight="1">
      <c r="A93" t="s" s="28">
        <v>194</v>
      </c>
      <c r="B93" s="77">
        <v>393.303</v>
      </c>
      <c r="C93" s="77">
        <v>4101.692</v>
      </c>
      <c r="D93" s="77">
        <f>(24089.253+6879+138.856+88.687)*2.204622/2000</f>
        <v>34.387469084556</v>
      </c>
      <c r="E93" s="77">
        <f>B93+C93+D93</f>
        <v>4529.382469084560</v>
      </c>
      <c r="F93" s="22"/>
      <c r="G93" s="77">
        <v>3025.738557902940</v>
      </c>
      <c r="H93" s="77">
        <f>((805.972095+9.59+195.528161))*(2.204622/2)</f>
        <v>1114.535911181620</v>
      </c>
      <c r="I93" s="77">
        <f>E93-J93</f>
        <v>4140.274469084560</v>
      </c>
      <c r="J93" s="77">
        <f>354.998+34.11</f>
        <v>389.108</v>
      </c>
    </row>
    <row r="94" ht="13" customHeight="1">
      <c r="A94" t="s" s="28">
        <v>195</v>
      </c>
      <c r="B94" s="77">
        <v>389.108</v>
      </c>
      <c r="C94" s="77">
        <v>4173.017</v>
      </c>
      <c r="D94" s="77">
        <f>(24389.331+4562+327.365+22.939)*2.204622/2000</f>
        <v>32.299514578485</v>
      </c>
      <c r="E94" s="77">
        <f>B94+C94+D94</f>
        <v>4594.424514578490</v>
      </c>
      <c r="F94" s="22"/>
      <c r="G94" s="77">
        <v>2850.624674346</v>
      </c>
      <c r="H94" s="77">
        <f>((830.201079+4.499+243.868347))*(2.204622/2)</f>
        <v>1188.917840232490</v>
      </c>
      <c r="I94" s="77">
        <f>E94-J94</f>
        <v>4039.542514578490</v>
      </c>
      <c r="J94" s="77">
        <f>506.203+48.679</f>
        <v>554.8819999999999</v>
      </c>
    </row>
    <row r="95" ht="13" customHeight="1">
      <c r="A95" t="s" s="28">
        <v>196</v>
      </c>
      <c r="B95" s="77">
        <v>554.8819999999999</v>
      </c>
      <c r="C95" s="77">
        <v>4128.315</v>
      </c>
      <c r="D95" s="77">
        <f>(36971.805+5379+529.766+155.003)*2.204622/2000</f>
        <v>47.438586611514</v>
      </c>
      <c r="E95" s="77">
        <f>B95+C95+D95</f>
        <v>4730.635586611510</v>
      </c>
      <c r="F95" s="22"/>
      <c r="G95" s="77">
        <v>3137.902752734390</v>
      </c>
      <c r="H95" s="77">
        <f>((963.675889+8.332+100.939613))*(2.204622/2)</f>
        <v>1182.721833877120</v>
      </c>
      <c r="I95" s="77">
        <f>E95-J95</f>
        <v>4320.624586611510</v>
      </c>
      <c r="J95" s="77">
        <f>379.359+30.652</f>
        <v>410.011</v>
      </c>
    </row>
    <row r="96" ht="13" customHeight="1">
      <c r="A96" t="s" s="28">
        <v>197</v>
      </c>
      <c r="B96" s="77">
        <v>410.011</v>
      </c>
      <c r="C96" s="77">
        <v>3899.572</v>
      </c>
      <c r="D96" s="77">
        <f>(38660.509+4701+268.165+52.191)*2.204622/2000</f>
        <v>48.151000290015</v>
      </c>
      <c r="E96" s="77">
        <f>B96+C96+D96</f>
        <v>4357.734000290020</v>
      </c>
      <c r="F96" s="22"/>
      <c r="G96" s="77">
        <v>2658.655981324770</v>
      </c>
      <c r="H96" s="77">
        <f>((928.305283+11.173+188.412139))*(2.204622/2)</f>
        <v>1243.286018965240</v>
      </c>
      <c r="I96" s="77">
        <f>E96-J96</f>
        <v>3901.942000290020</v>
      </c>
      <c r="J96" s="77">
        <f>415.077+40.715</f>
        <v>455.792</v>
      </c>
    </row>
    <row r="97" ht="13" customHeight="1">
      <c r="A97" t="s" s="28">
        <v>198</v>
      </c>
      <c r="B97" s="77">
        <v>455.792</v>
      </c>
      <c r="C97" s="77">
        <v>4306.549</v>
      </c>
      <c r="D97" s="77">
        <f>(44293.716+6632+552.284+45.659)*2.204622/2000</f>
        <v>56.795096075949</v>
      </c>
      <c r="E97" s="77">
        <f>B97+C97+D97</f>
        <v>4819.136096075950</v>
      </c>
      <c r="F97" s="22"/>
      <c r="G97" s="77">
        <v>2938.549200533090</v>
      </c>
      <c r="H97" s="77">
        <f>((1016.74134+8.669+186.947965))*(2.204622/2)</f>
        <v>1336.395895542860</v>
      </c>
      <c r="I97" s="77">
        <f>E97-J97</f>
        <v>4274.945096075950</v>
      </c>
      <c r="J97" s="77">
        <f>492.224+51.967</f>
        <v>544.191</v>
      </c>
    </row>
    <row r="98" ht="13" customHeight="1">
      <c r="A98" t="s" s="28">
        <v>199</v>
      </c>
      <c r="B98" s="77">
        <v>544.191</v>
      </c>
      <c r="C98" s="77">
        <v>4079.923</v>
      </c>
      <c r="D98" s="77">
        <f>(28045.93+7488+746.07+92.753)*2.204622/2000</f>
        <v>40.094085732183</v>
      </c>
      <c r="E98" s="77">
        <f>B98+C98+D98</f>
        <v>4664.208085732180</v>
      </c>
      <c r="F98" s="22"/>
      <c r="G98" s="77">
        <v>2988.3558600621</v>
      </c>
      <c r="H98" s="77">
        <f>((844.883785+12.285+252.977286))*(2.204622/2)</f>
        <v>1223.726225670080</v>
      </c>
      <c r="I98" s="77">
        <f>E98-J98</f>
        <v>4212.082085732180</v>
      </c>
      <c r="J98" s="77">
        <f>404.468+47.658</f>
        <v>452.126</v>
      </c>
    </row>
    <row r="99" ht="13" customHeight="1">
      <c r="A99" t="s" s="28">
        <v>212</v>
      </c>
      <c r="B99" s="77">
        <v>452.126</v>
      </c>
      <c r="C99" s="77">
        <v>4109.261</v>
      </c>
      <c r="D99" s="77">
        <f>(30307.778+8732+999.903+277.738)*2.204622/2000</f>
        <v>44.442334455309</v>
      </c>
      <c r="E99" s="77">
        <f>B99+C99+D99</f>
        <v>4605.829334455310</v>
      </c>
      <c r="F99" s="22"/>
      <c r="G99" s="77">
        <v>2890.030515281690</v>
      </c>
      <c r="H99" s="77">
        <f>((884.285524+14.292+265.043105))*(2.204622/2)</f>
        <v>1282.671819173620</v>
      </c>
      <c r="I99" s="77">
        <f>E99-J99</f>
        <v>4172.702334455310</v>
      </c>
      <c r="J99" s="77">
        <f>391.812+41.315</f>
        <v>433.127</v>
      </c>
    </row>
    <row r="100" ht="13" customHeight="1">
      <c r="A100" t="s" s="28">
        <v>213</v>
      </c>
      <c r="B100" s="77">
        <v>433.127</v>
      </c>
      <c r="C100" s="77">
        <v>4032.319</v>
      </c>
      <c r="D100" s="77">
        <f>(32240.674+5482+601.309+347.659)*2.204622/2000</f>
        <v>42.628176364662</v>
      </c>
      <c r="E100" s="77">
        <f>B100+C100+D100</f>
        <v>4508.074176364660</v>
      </c>
      <c r="F100" s="22"/>
      <c r="G100" s="77">
        <v>2723.560944149560</v>
      </c>
      <c r="H100" s="77">
        <f>((946.370149+13.178+297.795951))*(2.204622/2)</f>
        <v>1385.9842322151</v>
      </c>
      <c r="I100" s="77">
        <f>E100-J100</f>
        <v>4109.545176364660</v>
      </c>
      <c r="J100" s="77">
        <f>359.823+38.706</f>
        <v>398.529</v>
      </c>
    </row>
    <row r="101" ht="13" customHeight="1">
      <c r="A101" t="s" s="28">
        <v>214</v>
      </c>
      <c r="B101" s="77">
        <v>398.529</v>
      </c>
      <c r="C101" s="77">
        <v>4244.682</v>
      </c>
      <c r="D101" s="77">
        <f>(25790.768+9506+404.699+474.826)*2.204622/2000</f>
        <v>39.877525713123</v>
      </c>
      <c r="E101" s="77">
        <f>B101+C101+D101</f>
        <v>4683.088525713120</v>
      </c>
      <c r="F101" s="22"/>
      <c r="G101" s="77">
        <v>3070.386760481540</v>
      </c>
      <c r="H101" s="77">
        <f>((732.444464+16.308+249.39848))*(2.204622/2)</f>
        <v>1100.272765231580</v>
      </c>
      <c r="I101" s="77">
        <f>E101-J101</f>
        <v>4170.659525713120</v>
      </c>
      <c r="J101" s="77">
        <f>462.35+50.079</f>
        <v>512.429</v>
      </c>
    </row>
    <row r="102" ht="13" customHeight="1">
      <c r="A102" t="s" s="28">
        <v>215</v>
      </c>
      <c r="B102" s="77">
        <v>512.429</v>
      </c>
      <c r="C102" s="77">
        <v>4030.805</v>
      </c>
      <c r="D102" s="77">
        <f>(30811.776+9784+380.962+375.799)*2.204622/2000</f>
        <v>45.583356413007</v>
      </c>
      <c r="E102" s="77">
        <f>B102+C102+D102</f>
        <v>4588.817356413010</v>
      </c>
      <c r="F102" s="22"/>
      <c r="G102" s="77">
        <v>3017.876341495410</v>
      </c>
      <c r="H102" s="77">
        <f>((832.055025+14.522+214.727829))*(2.204622/2)</f>
        <v>1169.888014917590</v>
      </c>
      <c r="I102" s="77">
        <f>E102-J102</f>
        <v>4187.764356413010</v>
      </c>
      <c r="J102" s="77">
        <f>359.936+41.117</f>
        <v>401.053</v>
      </c>
    </row>
    <row r="103" ht="13" customHeight="1">
      <c r="A103" t="s" s="28">
        <v>192</v>
      </c>
      <c r="B103" s="77">
        <v>401.053</v>
      </c>
      <c r="C103" s="77">
        <v>3995.646</v>
      </c>
      <c r="D103" s="77">
        <f>(21488.826+7910+984.314+376.087)*2.204622/2000</f>
        <v>33.906234273597</v>
      </c>
      <c r="E103" s="77">
        <f>B103+C103+D103</f>
        <v>4430.6052342736</v>
      </c>
      <c r="F103" s="22"/>
      <c r="G103" s="77">
        <v>2828.492179333130</v>
      </c>
      <c r="H103" s="77">
        <f>((719.576313+16.362+213.602293))*(2.204622/2)</f>
        <v>1046.689054940470</v>
      </c>
      <c r="I103" s="77">
        <f>E103-J103</f>
        <v>3875.1812342736</v>
      </c>
      <c r="J103" s="77">
        <f>501.299+54.125</f>
        <v>555.424</v>
      </c>
    </row>
    <row r="104" ht="13" customHeight="1">
      <c r="A104" t="s" s="20">
        <v>190</v>
      </c>
      <c r="B104" s="21"/>
      <c r="C104" s="78">
        <f>SUM(C92:C103)</f>
        <v>49225.606</v>
      </c>
      <c r="D104" s="78">
        <f>SUM(D92:D103)</f>
        <v>495.145659415743</v>
      </c>
      <c r="E104" s="78">
        <f>B92+C104+D104</f>
        <v>50121.3816594157</v>
      </c>
      <c r="F104" s="21"/>
      <c r="G104" s="78">
        <f>SUM(G92:G103)</f>
        <v>35508.9154289646</v>
      </c>
      <c r="H104" s="78">
        <f>SUM(H92:H103)</f>
        <v>14057.0422304512</v>
      </c>
      <c r="I104" s="78">
        <f>SUM(I92:I103)</f>
        <v>49565.9576594158</v>
      </c>
      <c r="J104" s="21"/>
    </row>
    <row r="105" ht="13.15" customHeight="1">
      <c r="A105" t="s" s="32">
        <v>216</v>
      </c>
      <c r="B105" s="25"/>
      <c r="C105" s="25"/>
      <c r="D105" s="25"/>
      <c r="E105" s="25"/>
      <c r="F105" s="25"/>
      <c r="G105" s="25"/>
      <c r="H105" s="25"/>
      <c r="I105" s="25"/>
      <c r="J105" s="25"/>
    </row>
    <row r="106" ht="13.15" customHeight="1">
      <c r="A106" t="s" s="28">
        <v>217</v>
      </c>
      <c r="B106" s="22"/>
      <c r="C106" s="22"/>
      <c r="D106" s="22"/>
      <c r="E106" s="22"/>
      <c r="F106" s="22"/>
      <c r="G106" s="22"/>
      <c r="H106" s="22"/>
      <c r="I106" s="22"/>
      <c r="J106" s="22"/>
    </row>
    <row r="107" ht="10.15" customHeight="1">
      <c r="A107" t="s" s="28">
        <v>218</v>
      </c>
      <c r="B107" s="22"/>
      <c r="C107" s="22"/>
      <c r="D107" s="22"/>
      <c r="E107" s="22"/>
      <c r="F107" s="22"/>
      <c r="G107" s="22"/>
      <c r="H107" s="22"/>
      <c r="I107" s="22"/>
      <c r="J107" t="s" s="33">
        <v>57</v>
      </c>
    </row>
  </sheetData>
  <pageMargins left="0.7" right="0.7" top="0.75" bottom="0.75" header="0.3" footer="0.3"/>
  <pageSetup firstPageNumber="1" fitToHeight="1" fitToWidth="1" scale="70" useFirstPageNumber="0" orientation="portrait" pageOrder="downThenOver"/>
  <headerFooter>
    <oddFooter>&amp;C&amp;"Helvetica,Regular"&amp;8&amp;K000000&amp;P
Oil Crops Yearbook/OCS-2018
March 2018
Economic Research Service, USDA</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