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iiasahub-my.sharepoint.com/personal/pratama_iiasa_ac_at/Documents/GENIE Project/Research/Technology Cost Learning/Technology Learning Data/Wind/"/>
    </mc:Choice>
  </mc:AlternateContent>
  <xr:revisionPtr revIDLastSave="3" documentId="8_{854E88B9-CA7C-4DFC-989E-87CF8AA02BEF}" xr6:coauthVersionLast="47" xr6:coauthVersionMax="47" xr10:uidLastSave="{4D657855-8082-4856-91EB-BF62E3DA6F77}"/>
  <bookViews>
    <workbookView xWindow="28680" yWindow="-120" windowWidth="29040" windowHeight="15840" tabRatio="969" firstSheet="21" activeTab="22" xr2:uid="{00000000-000D-0000-FFFF-FFFF00000000}"/>
  </bookViews>
  <sheets>
    <sheet name="Table of Contents" sheetId="20" r:id="rId1"/>
    <sheet name="T1, Pipeline Classification" sheetId="28" r:id="rId2"/>
    <sheet name="T2, US Pipeline Definition" sheetId="29" r:id="rId3"/>
    <sheet name="F1-2, US State Pipeline" sheetId="17" r:id="rId4"/>
    <sheet name="T3, US Pipeline, Part 1" sheetId="19" r:id="rId5"/>
    <sheet name="T4, US Pipeline, Part 2" sheetId="30" r:id="rId6"/>
    <sheet name="T5, US Pipeline, Part 3" sheetId="53" r:id="rId7"/>
    <sheet name="T6, US Pipeline, Part 4" sheetId="31" r:id="rId8"/>
    <sheet name="F8, US Forecasts" sheetId="13" r:id="rId9"/>
    <sheet name="T7, US Permitting Status" sheetId="32" r:id="rId10"/>
    <sheet name="T8, Ca Long Bay Lease Auctions" sheetId="34" r:id="rId11"/>
    <sheet name="T9, California Lease Auctions" sheetId="33" r:id="rId12"/>
    <sheet name="F10, US Lease Prices" sheetId="35" r:id="rId13"/>
    <sheet name="T10, US Lease Prices" sheetId="36" r:id="rId14"/>
    <sheet name="T11, Gulf of Mexico WEAs" sheetId="54" r:id="rId15"/>
    <sheet name="T12, US Call Areas Outer Shelf" sheetId="37" r:id="rId16"/>
    <sheet name="F15, US Capacity Density" sheetId="61" r:id="rId17"/>
    <sheet name="T13, US Offtake Contracts" sheetId="38" r:id="rId18"/>
    <sheet name="T14, US Procurement Policies" sheetId="39" r:id="rId19"/>
    <sheet name="T15, US Flagged Vessels Pt 1" sheetId="40" r:id="rId20"/>
    <sheet name="T16, US Flagged Vessels Pt 2" sheetId="56" r:id="rId21"/>
    <sheet name="T17, US Ports and Manufacturing" sheetId="57" r:id="rId22"/>
    <sheet name="F17, Global Annual Additions" sheetId="3" r:id="rId23"/>
    <sheet name="F18,20, Installed and Const." sheetId="4" r:id="rId24"/>
    <sheet name="F19,22, Global Cumulative" sheetId="2" r:id="rId25"/>
    <sheet name="F21, Developer Announced" sheetId="7" r:id="rId26"/>
    <sheet name="F23, Global Floating Cumulative" sheetId="44" r:id="rId27"/>
    <sheet name="F24, Global Regional" sheetId="5" r:id="rId28"/>
    <sheet name="F25, Global Floating Regional" sheetId="45" r:id="rId29"/>
    <sheet name="T18, Global Floating Pipeline" sheetId="46" r:id="rId30"/>
    <sheet name="F26, Global Forecasts" sheetId="12" r:id="rId31"/>
    <sheet name="F27, Floating Projections" sheetId="47" r:id="rId32"/>
    <sheet name="F28, Global Targets" sheetId="62" r:id="rId33"/>
    <sheet name="T19, European Targets" sheetId="48" r:id="rId34"/>
    <sheet name="T20, Asian Targets" sheetId="49" r:id="rId35"/>
    <sheet name="T21, Rest of World Targets" sheetId="59" r:id="rId36"/>
    <sheet name="F30-31, Depth and Dist to Shore" sheetId="14" r:id="rId37"/>
    <sheet name="F32-34, Sub. Market Share" sheetId="15" r:id="rId38"/>
    <sheet name="F35-36, Global Turbine Trends" sheetId="1" r:id="rId39"/>
    <sheet name="F37-38, OEM Market Share" sheetId="16" r:id="rId40"/>
    <sheet name="F39, Fixed LCOE Projections" sheetId="9" r:id="rId41"/>
    <sheet name="F40 Project CapEx" sheetId="25" r:id="rId42"/>
    <sheet name="F41, Floating LCOE" sheetId="10" r:id="rId43"/>
    <sheet name="T22, Financing Conditions" sheetId="50" r:id="rId44"/>
    <sheet name="TA1, US Capacity Density" sheetId="63"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3" l="1"/>
  <c r="Q5" i="3"/>
  <c r="Q6" i="3"/>
  <c r="Q7" i="3"/>
  <c r="Q8" i="3"/>
  <c r="Q9" i="3"/>
  <c r="Q10" i="3"/>
  <c r="Q11" i="3"/>
  <c r="Q12" i="3"/>
  <c r="Q13" i="3"/>
  <c r="Q14" i="3"/>
  <c r="Q15" i="3"/>
  <c r="Q16" i="3"/>
  <c r="Q17" i="3"/>
  <c r="Q18" i="3"/>
  <c r="Q19" i="3"/>
  <c r="Q20" i="3"/>
  <c r="Q21" i="3"/>
  <c r="Q22" i="3"/>
  <c r="Q23" i="3"/>
  <c r="Q24" i="3"/>
  <c r="Q25" i="3"/>
  <c r="Q26" i="3"/>
  <c r="Q27" i="3"/>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G17" i="39"/>
  <c r="E17" i="39"/>
  <c r="C17" i="39"/>
  <c r="H22" i="46"/>
  <c r="G22" i="46"/>
  <c r="F22" i="46"/>
  <c r="E22" i="46"/>
  <c r="D22" i="46"/>
  <c r="C22" i="46"/>
  <c r="AN39" i="12"/>
  <c r="AN19"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AJ19" i="12"/>
  <c r="AK19" i="12"/>
  <c r="AL19" i="12"/>
  <c r="AM19" i="12"/>
  <c r="C19" i="12"/>
</calcChain>
</file>

<file path=xl/sharedStrings.xml><?xml version="1.0" encoding="utf-8"?>
<sst xmlns="http://schemas.openxmlformats.org/spreadsheetml/2006/main" count="2272" uniqueCount="913">
  <si>
    <t>Turbine Capacity (MW)</t>
  </si>
  <si>
    <t>Rotor Diameter (m)</t>
  </si>
  <si>
    <t>Hub Height (m)</t>
  </si>
  <si>
    <t>Commercial Operation Date</t>
  </si>
  <si>
    <t>Belgium</t>
  </si>
  <si>
    <t>China</t>
  </si>
  <si>
    <t>Denmark</t>
  </si>
  <si>
    <t>Germany</t>
  </si>
  <si>
    <t>Netherlands</t>
  </si>
  <si>
    <t>Other Asia</t>
  </si>
  <si>
    <t>Other Europe</t>
  </si>
  <si>
    <t>United Kingdom</t>
  </si>
  <si>
    <t>United States</t>
  </si>
  <si>
    <t>Italy</t>
  </si>
  <si>
    <t>Portugal</t>
  </si>
  <si>
    <t>Vietnam</t>
  </si>
  <si>
    <t>Under Construction</t>
  </si>
  <si>
    <t>Other</t>
  </si>
  <si>
    <t>Country</t>
  </si>
  <si>
    <t>Asia</t>
  </si>
  <si>
    <t>Europe</t>
  </si>
  <si>
    <t>Installed</t>
  </si>
  <si>
    <t>Financial Close</t>
  </si>
  <si>
    <t>Approved</t>
  </si>
  <si>
    <t>Permitting</t>
  </si>
  <si>
    <t>Site Control</t>
  </si>
  <si>
    <t>Planning</t>
  </si>
  <si>
    <t>Total Pipeline</t>
  </si>
  <si>
    <t>Pipeline Classification</t>
  </si>
  <si>
    <t>Vineyard Wind 1</t>
  </si>
  <si>
    <t>Source</t>
  </si>
  <si>
    <t>Ireland</t>
  </si>
  <si>
    <t>Sweden</t>
  </si>
  <si>
    <t>Norway</t>
  </si>
  <si>
    <t>Spain</t>
  </si>
  <si>
    <t>France</t>
  </si>
  <si>
    <t>South Korea</t>
  </si>
  <si>
    <t>Japan</t>
  </si>
  <si>
    <t>Taiwan</t>
  </si>
  <si>
    <t>4C Offshore</t>
  </si>
  <si>
    <t>BNEF</t>
  </si>
  <si>
    <t>Maine</t>
  </si>
  <si>
    <t>Massachusetts</t>
  </si>
  <si>
    <t>Rhode Island</t>
  </si>
  <si>
    <t>New York</t>
  </si>
  <si>
    <t>New Jersey</t>
  </si>
  <si>
    <t>Delaware</t>
  </si>
  <si>
    <t>Maryland</t>
  </si>
  <si>
    <t>Virginia</t>
  </si>
  <si>
    <t>Ohio</t>
  </si>
  <si>
    <t>California</t>
  </si>
  <si>
    <t>State</t>
  </si>
  <si>
    <t>Connecticut</t>
  </si>
  <si>
    <t>High-Rise Pile Cap</t>
  </si>
  <si>
    <t>Jacket</t>
  </si>
  <si>
    <t>Monopile</t>
  </si>
  <si>
    <t>Spar</t>
  </si>
  <si>
    <t>Semisubmersible</t>
  </si>
  <si>
    <t>Tripod</t>
  </si>
  <si>
    <t>Type</t>
  </si>
  <si>
    <t>Bard</t>
  </si>
  <si>
    <t>Envision Energy</t>
  </si>
  <si>
    <t>GE Energy</t>
  </si>
  <si>
    <t>Goldwind</t>
  </si>
  <si>
    <t>Senvion</t>
  </si>
  <si>
    <t>OEM</t>
  </si>
  <si>
    <t>Hawaii</t>
  </si>
  <si>
    <t>North Carolina</t>
  </si>
  <si>
    <t>Total</t>
  </si>
  <si>
    <t>Pre-2001</t>
  </si>
  <si>
    <t xml:space="preserve">The location of the project is defined by where the project’s power is intended to be sold. If the project does not have an offtake agreement, the location is the project’s physical location. This clarification is needed where projects are located in a certain location but sell their power to a neighboring state market.  </t>
  </si>
  <si>
    <t>High-rise pile caps are offshore wind foundations that use a group of piles to support a flat, stable pad. The wind turbine tower is then installed on top of the pad. These foundations are primarily found in the Chinese market and deployed in shallow waters.</t>
  </si>
  <si>
    <t>Status</t>
  </si>
  <si>
    <t>New England Aqua Ventus I</t>
  </si>
  <si>
    <t>Bay State Wind</t>
  </si>
  <si>
    <t>TBD</t>
  </si>
  <si>
    <t>Block Island Wind Farm</t>
  </si>
  <si>
    <t>Empire Wind</t>
  </si>
  <si>
    <t>Skipjack</t>
  </si>
  <si>
    <t>Kitty Hawk</t>
  </si>
  <si>
    <t>Table of Contents</t>
  </si>
  <si>
    <t>Please note the North America region includes potential offshore wind projects in Canada.</t>
  </si>
  <si>
    <t>Does not include projects that are dormant, cancelled, decommissioned, or development zones.</t>
  </si>
  <si>
    <t>Mayflower Wind</t>
  </si>
  <si>
    <t>Revolution Wind</t>
  </si>
  <si>
    <t>Operating</t>
  </si>
  <si>
    <t>Other Americas</t>
  </si>
  <si>
    <t>Brazil</t>
  </si>
  <si>
    <t>Barge</t>
  </si>
  <si>
    <t xml:space="preserve"> </t>
  </si>
  <si>
    <t>Adwen</t>
  </si>
  <si>
    <t>Sinovel</t>
  </si>
  <si>
    <t>Hitachi Ltd</t>
  </si>
  <si>
    <t>Sewind</t>
  </si>
  <si>
    <t>Unreported</t>
  </si>
  <si>
    <t>2020</t>
  </si>
  <si>
    <t>2021</t>
  </si>
  <si>
    <t>2022</t>
  </si>
  <si>
    <t>2023</t>
  </si>
  <si>
    <t>2024</t>
  </si>
  <si>
    <t>2025</t>
  </si>
  <si>
    <t>2026</t>
  </si>
  <si>
    <t>2027</t>
  </si>
  <si>
    <t>2028</t>
  </si>
  <si>
    <t>2029</t>
  </si>
  <si>
    <t>2030</t>
  </si>
  <si>
    <t>2000</t>
  </si>
  <si>
    <t>2001</t>
  </si>
  <si>
    <t>2002</t>
  </si>
  <si>
    <t>2003</t>
  </si>
  <si>
    <t>2004</t>
  </si>
  <si>
    <t>2005</t>
  </si>
  <si>
    <t>2006</t>
  </si>
  <si>
    <t>2007</t>
  </si>
  <si>
    <t>2008</t>
  </si>
  <si>
    <t>2009</t>
  </si>
  <si>
    <t>2010</t>
  </si>
  <si>
    <t>2011</t>
  </si>
  <si>
    <t>2012</t>
  </si>
  <si>
    <t>2013</t>
  </si>
  <si>
    <t>2014</t>
  </si>
  <si>
    <t>2015</t>
  </si>
  <si>
    <t>2016</t>
  </si>
  <si>
    <t>2017</t>
  </si>
  <si>
    <t>2018</t>
  </si>
  <si>
    <t>2019</t>
  </si>
  <si>
    <t>Saudi Arabia</t>
  </si>
  <si>
    <t>Announced</t>
  </si>
  <si>
    <t>Gravity Base</t>
  </si>
  <si>
    <t>Tension-Leg Platform</t>
  </si>
  <si>
    <t>Floating</t>
  </si>
  <si>
    <t>Fixed</t>
  </si>
  <si>
    <t>-</t>
  </si>
  <si>
    <t>Category</t>
  </si>
  <si>
    <t>2031</t>
  </si>
  <si>
    <t>2032</t>
  </si>
  <si>
    <t>2033</t>
  </si>
  <si>
    <t>2034</t>
  </si>
  <si>
    <t>#</t>
  </si>
  <si>
    <t>Developer</t>
  </si>
  <si>
    <t>Lease Area</t>
  </si>
  <si>
    <t>Offtake Agreement</t>
  </si>
  <si>
    <t>Permitting (MW)</t>
  </si>
  <si>
    <t>Site Control (MW)</t>
  </si>
  <si>
    <t>Planning (MW)</t>
  </si>
  <si>
    <t>State Lease</t>
  </si>
  <si>
    <t>Ørsted/Eversource</t>
  </si>
  <si>
    <t>OCS-A 0500</t>
  </si>
  <si>
    <t>OCS-A 0501</t>
  </si>
  <si>
    <t>OCS-A 0520</t>
  </si>
  <si>
    <t>OCS-A 0521</t>
  </si>
  <si>
    <t>OCS-A 0522</t>
  </si>
  <si>
    <t>OCS-A 0486</t>
  </si>
  <si>
    <t>OCS-A 0517</t>
  </si>
  <si>
    <t>N/A</t>
  </si>
  <si>
    <t>OCS-A 0512</t>
  </si>
  <si>
    <t>OCS-A 0499</t>
  </si>
  <si>
    <t>OCS-A 0498</t>
  </si>
  <si>
    <t>OCS-A 0482</t>
  </si>
  <si>
    <t>OCS-A 0519</t>
  </si>
  <si>
    <t>OCS-A 0490</t>
  </si>
  <si>
    <t>Dominion Energy</t>
  </si>
  <si>
    <t>OCS-A 0483</t>
  </si>
  <si>
    <t>Utility Owned</t>
  </si>
  <si>
    <t>Avangrid</t>
  </si>
  <si>
    <t>OCS-A 0508</t>
  </si>
  <si>
    <t>PPA</t>
  </si>
  <si>
    <t>Oahu North Call Area</t>
  </si>
  <si>
    <t>Oahu South Call Area</t>
  </si>
  <si>
    <t>Australia</t>
  </si>
  <si>
    <t>Global Water Depth Max (m)</t>
  </si>
  <si>
    <t>Asian Water Depth Max (m)</t>
  </si>
  <si>
    <t>Global Distance From Shore Auto (km)</t>
  </si>
  <si>
    <t>Asian Distance From Shore Auto (km)</t>
  </si>
  <si>
    <t>Global Capacity MW (Max)</t>
  </si>
  <si>
    <t>Asian Capacity MW (Max)</t>
  </si>
  <si>
    <t>Global 5-Year Weighted Mean Distance to Shore</t>
  </si>
  <si>
    <t>Asian 5-Year Weighted Mean Distance to Shore</t>
  </si>
  <si>
    <t>Global 5-Year Weighted Mean Depth</t>
  </si>
  <si>
    <t>Asian 5-Year Weighted Mean Depth</t>
  </si>
  <si>
    <t>Rock-Anchored Concrete Rings</t>
  </si>
  <si>
    <t>Vestas</t>
  </si>
  <si>
    <t>CSIC</t>
  </si>
  <si>
    <t>Doosan Heavy Industries</t>
  </si>
  <si>
    <t>DEC</t>
  </si>
  <si>
    <t>2035</t>
  </si>
  <si>
    <t>Global Capacity-Weighted Mean CapEx</t>
  </si>
  <si>
    <t>Global 5-Year Rolling Capacity-Weighted Mean CapEx</t>
  </si>
  <si>
    <t>European and US Capacity-Weighted Mean CapEx</t>
  </si>
  <si>
    <t>European and US 5-Year Rolling Capacity-Weighted Mean CapEx</t>
  </si>
  <si>
    <t>Asian Capacity-Weighted Mean CapEx</t>
  </si>
  <si>
    <t>Asian 5-Year Rolling Capacity-Weighted Mean CapEx</t>
  </si>
  <si>
    <t>Description</t>
  </si>
  <si>
    <t>The project is fully operational with all wind turbines generating power to the grid.</t>
  </si>
  <si>
    <t>Table 1: Offshore Wind Project Pipeline Classification Criteria</t>
  </si>
  <si>
    <t>Step</t>
  </si>
  <si>
    <t>Phase Name</t>
  </si>
  <si>
    <t>Start Criteria</t>
  </si>
  <si>
    <t>Starts when a project receives regulatory approval for construction activities and offtake agreement certification</t>
  </si>
  <si>
    <t>End Criteria</t>
  </si>
  <si>
    <t>Ends when a developer obtains control of a site (e.g., through competitive auction or a determination of no competitive interest in an unsolicited lease area (United States only)</t>
  </si>
  <si>
    <t xml:space="preserve">Ends when the developer files major permit applications (e.g., a Construction and Operations Plan [COP] for projects in the United States) </t>
  </si>
  <si>
    <t>Ends when regulatory entities authorize the project to proceed with construction and certify its offtake agreement</t>
  </si>
  <si>
    <t>Ends when the project begins major construction work</t>
  </si>
  <si>
    <t>Ends when all wind turbines have been installed and the project is connected and generating power to an electrical grid</t>
  </si>
  <si>
    <t>Ends when the project has begun a formal process to decommission and stops feeding power to the grid</t>
  </si>
  <si>
    <t>Decommissioned</t>
  </si>
  <si>
    <t>Starts when the project has begun the formal process to decommission and stops transmitting power to the grid</t>
  </si>
  <si>
    <t>Ends when the site has been fully restored and lease payments are no longer being made</t>
  </si>
  <si>
    <t>Permitting = Site Control + Offtake Pathway</t>
  </si>
  <si>
    <t>Table 2: U.S. Offshore Wind Energy Pipeline Categories</t>
  </si>
  <si>
    <t>Figures 1-2: US Pipeline by State and Status (MW)</t>
  </si>
  <si>
    <t>Location</t>
  </si>
  <si>
    <t>ME</t>
  </si>
  <si>
    <t>South Fork Wind Farm</t>
  </si>
  <si>
    <t>Sunrise Wind 1</t>
  </si>
  <si>
    <t>OCS-A 0487</t>
  </si>
  <si>
    <t>To be determined (TBD)</t>
  </si>
  <si>
    <t>MA</t>
  </si>
  <si>
    <t>OCS-A 0534</t>
  </si>
  <si>
    <t>Beacon Wind 1</t>
  </si>
  <si>
    <t>Floating Demonstration</t>
  </si>
  <si>
    <t>CIP</t>
  </si>
  <si>
    <t>RI</t>
  </si>
  <si>
    <t>NY</t>
  </si>
  <si>
    <t>Empire Wind 1</t>
  </si>
  <si>
    <t>Empire Wind 2</t>
  </si>
  <si>
    <t>NY/NJ</t>
  </si>
  <si>
    <t>OCS-A 0544</t>
  </si>
  <si>
    <t>OCS-A 0537</t>
  </si>
  <si>
    <t>Attentive Energy</t>
  </si>
  <si>
    <t>Total Energies</t>
  </si>
  <si>
    <t>OCS-A 0538</t>
  </si>
  <si>
    <t>OCS-A 0539</t>
  </si>
  <si>
    <t>Atlantic Shores Offshore Wind Bight</t>
  </si>
  <si>
    <t>OCS-A 0541</t>
  </si>
  <si>
    <t>OCS-A 0542</t>
  </si>
  <si>
    <t>NJ</t>
  </si>
  <si>
    <t>Ocean Wind 1</t>
  </si>
  <si>
    <t>Ocean Wind 2</t>
  </si>
  <si>
    <t>OCS-A 0532</t>
  </si>
  <si>
    <t>Icebreaker</t>
  </si>
  <si>
    <t>LEEDCo</t>
  </si>
  <si>
    <t>DE</t>
  </si>
  <si>
    <t>Skipjack 1</t>
  </si>
  <si>
    <t>Skipjack 2</t>
  </si>
  <si>
    <t>MD</t>
  </si>
  <si>
    <t>MarWin</t>
  </si>
  <si>
    <t>Momentum Wind</t>
  </si>
  <si>
    <t>VA</t>
  </si>
  <si>
    <t>NC</t>
  </si>
  <si>
    <t>DE/MD/VA/NC</t>
  </si>
  <si>
    <t>Central Atlantic Call Areas</t>
  </si>
  <si>
    <t>OCS-A 0545</t>
  </si>
  <si>
    <t>Duke Energy</t>
  </si>
  <si>
    <t>OCS-A 0546</t>
  </si>
  <si>
    <t>CA</t>
  </si>
  <si>
    <t>OR</t>
  </si>
  <si>
    <t>Brookings Call Area</t>
  </si>
  <si>
    <t>Coos Bay Call Area</t>
  </si>
  <si>
    <t>HI</t>
  </si>
  <si>
    <t>Lease Number</t>
  </si>
  <si>
    <t>Area (km2)</t>
  </si>
  <si>
    <t>Date Issued</t>
  </si>
  <si>
    <t>SAP Approved (COP Not Submitted)</t>
  </si>
  <si>
    <t>COP Submitted – NOI for EIS</t>
  </si>
  <si>
    <t>ROD Approved – Under Construction</t>
  </si>
  <si>
    <t>COP Submitted</t>
  </si>
  <si>
    <t>Capacity (MW)</t>
  </si>
  <si>
    <t>Price</t>
  </si>
  <si>
    <t xml:space="preserve">Lease </t>
  </si>
  <si>
    <t>Year</t>
  </si>
  <si>
    <t>$/km2</t>
  </si>
  <si>
    <t>Offtake Available</t>
  </si>
  <si>
    <t>OCS-A 0482/OCS-A 0519</t>
  </si>
  <si>
    <t>RI/MA</t>
  </si>
  <si>
    <t>OCS-A 0486/OCS-A 0517</t>
  </si>
  <si>
    <t>No</t>
  </si>
  <si>
    <t>OCS-A 0483/OCS-A 0497</t>
  </si>
  <si>
    <t>Yes</t>
  </si>
  <si>
    <t>OCS-A 0501/OCS-A 0534</t>
  </si>
  <si>
    <t>OCS-A 0498/OCA-A 0532</t>
  </si>
  <si>
    <t>Lease</t>
  </si>
  <si>
    <t>Name</t>
  </si>
  <si>
    <t>Year Designated</t>
  </si>
  <si>
    <t>Likely Substructure Type</t>
  </si>
  <si>
    <t>Oregon</t>
  </si>
  <si>
    <t>Project</t>
  </si>
  <si>
    <t>Size (MW)</t>
  </si>
  <si>
    <t>Duration (Years)</t>
  </si>
  <si>
    <t>Regulator Approved</t>
  </si>
  <si>
    <t>MD OREC</t>
  </si>
  <si>
    <t>NJ OREC</t>
  </si>
  <si>
    <t>NY OREC</t>
  </si>
  <si>
    <t>Undisclosed</t>
  </si>
  <si>
    <t>Power Delivery Year</t>
  </si>
  <si>
    <t>Vessel Category (Vessel Name)</t>
  </si>
  <si>
    <t>Companies Backing</t>
  </si>
  <si>
    <t>Project Contracts</t>
  </si>
  <si>
    <t>Source(s)</t>
  </si>
  <si>
    <t>Revolution Wind, South Fork Wind, Sunrise Wind</t>
  </si>
  <si>
    <t>Vineyard Wind</t>
  </si>
  <si>
    <t>Equinor</t>
  </si>
  <si>
    <t>Operating (MW)</t>
  </si>
  <si>
    <t>Under Construction (MW)</t>
  </si>
  <si>
    <t>Total (MW)</t>
  </si>
  <si>
    <t>1995</t>
  </si>
  <si>
    <t>1996</t>
  </si>
  <si>
    <t>1997</t>
  </si>
  <si>
    <t>1998</t>
  </si>
  <si>
    <t>1999</t>
  </si>
  <si>
    <t>COD</t>
  </si>
  <si>
    <t>30 GW by 2030</t>
  </si>
  <si>
    <t>5 GW by 2030</t>
  </si>
  <si>
    <t>The Netherlands</t>
  </si>
  <si>
    <t>SGRE</t>
  </si>
  <si>
    <t>Areva Wind</t>
  </si>
  <si>
    <t>XEMC</t>
  </si>
  <si>
    <t>North America</t>
  </si>
  <si>
    <t>Equinor (2021)</t>
  </si>
  <si>
    <t>USA</t>
  </si>
  <si>
    <t>NREL (2021) - Hawaii</t>
  </si>
  <si>
    <t>NREL (2021) - Oregon</t>
  </si>
  <si>
    <t>ORE Catapult (2021) - 16GW innovation</t>
  </si>
  <si>
    <t>16 GW Innovation</t>
  </si>
  <si>
    <t>Wiser et al. (2021) - North America Mid</t>
  </si>
  <si>
    <t>North America Mid</t>
  </si>
  <si>
    <t>2036</t>
  </si>
  <si>
    <t>Global (excluding Asia) Water Depth Max (m)</t>
  </si>
  <si>
    <t>Global (excluding Asia) Distance From Shore Auto (km)</t>
  </si>
  <si>
    <t>Global (excluding Asia) Capacity MW (Max)</t>
  </si>
  <si>
    <t>Global (excluding Asia) 5-Year Weighted Mean Distance to Shore</t>
  </si>
  <si>
    <t>Global (excluding Asia) 5-Year Weighted Mean Depth</t>
  </si>
  <si>
    <t>Table 11: Gulf of Mexico Wind Energy Areas</t>
  </si>
  <si>
    <t>Table 12: BOEM Call Areas on U.S. Outer Continental Shelf</t>
  </si>
  <si>
    <t>Table 3: U.S. Offshore Wind Energy Project Pipeline (North Atlantic and Great Lakes)</t>
  </si>
  <si>
    <t>Table 4: U.S. Offshore Wind Energy Project Pipeline (Mid- and South Atlantic)</t>
  </si>
  <si>
    <t xml:space="preserve">Table 5: U.S. Offshore Wind Energy Project Pipeline (Gulf of Mexico) </t>
  </si>
  <si>
    <t xml:space="preserve">Table 6: U.S. Offshore Wind Energy Project Pipeline (Pacific) </t>
  </si>
  <si>
    <t>Figure 8: Industry offshore wind energy U.S. deployment projections through 2032</t>
  </si>
  <si>
    <t>Table 7: U.S. Federal Offshore Wind Energy Permitting Status Summary as of May 31, 2023</t>
  </si>
  <si>
    <t>Table 8: Carolina Long Bay Auction Results</t>
  </si>
  <si>
    <t>Table 9: California Auction Results</t>
  </si>
  <si>
    <t>Figure 15: Weighted-average capacity densities by state calculated from project data</t>
  </si>
  <si>
    <t>2023 Edition Offshore Wind Technologies Market Report</t>
  </si>
  <si>
    <t>Starts when a developer or regulatory agency initiates the formal site control process (e.g., designation of a wind energy area [WEA])</t>
  </si>
  <si>
    <t>Starts when a developer obtains site control (e.g., a lease or other contract)</t>
  </si>
  <si>
    <t>Starts when the developer files major permit applications (e.g., a COP or an offtake agreement for electricity sales)</t>
  </si>
  <si>
    <t>Ends when the sponsor announces a “financial investment decision” and has signed contracts for construction work packages</t>
  </si>
  <si>
    <t>Starts when the sponsor announces a financial investment decision and has signed contracts for major construction work packages</t>
  </si>
  <si>
    <t xml:space="preserve">Starts when construction is initiated </t>
  </si>
  <si>
    <t>Starts when all wind turbines are installed and transmitting power to the grid; commercial operation date marks the official transition from construction to operation</t>
  </si>
  <si>
    <t>All permitting processes completed. Wind turbines, substructures, and cables are in the process of being installed. Onshore upgrades are underway.</t>
  </si>
  <si>
    <t>All permitting processes completed; begins when sponsor announces final investment decision and has signed contracts</t>
  </si>
  <si>
    <t>BOEM and other federal agencies reviewed and approved a project’s COP. The project has received all necessary state and local permits as well as acquired an interconnection agreement to inject power to the grid.</t>
  </si>
  <si>
    <t>The developer has site control of a lease area, has received an offtake contract or submitted a COP to BOEM, and BOEM has published a Notice of Intent to prepare an Environmental Impact Statement on the project’s COP. If project development occurs in state waters, permitting is initiated with relevant state agencies.</t>
  </si>
  <si>
    <t xml:space="preserve"> Site Control</t>
  </si>
  <si>
    <t>The developer has acquired the right to develop a lease area and has begun surveying the site. If available, developers’ announced project capacities are used. If a developer has not announced a specific capacity, it is estimated using a 4 MW/km2 wind turbine density.</t>
  </si>
  <si>
    <t xml:space="preserve">Planning </t>
  </si>
  <si>
    <t>The rights to a lease area have yet to be auctioned to offshore wind energy developers. Capacity is estimated using a 4 MW/km2 wind turbine density assumption.</t>
  </si>
  <si>
    <t>Louisiana</t>
  </si>
  <si>
    <t>Texas</t>
  </si>
  <si>
    <t>Estimated COD</t>
  </si>
  <si>
    <t>Potential Point of Interconnection (POI) Location</t>
  </si>
  <si>
    <t>Maine (ME)</t>
  </si>
  <si>
    <t>New England Aqua Ventus 1</t>
  </si>
  <si>
    <t>Univ. of Maine/Diamond Offshore/RWE</t>
  </si>
  <si>
    <t>Power purchase agreement (PPA)-ME</t>
  </si>
  <si>
    <t>Maine Research Array</t>
  </si>
  <si>
    <t>Gulf of Maine Call Area</t>
  </si>
  <si>
    <t>Rhode Island (RI)/Massachusetts (MA)</t>
  </si>
  <si>
    <t>PPA-RI &amp; Connecticut (CT)</t>
  </si>
  <si>
    <t>NG Davisville 115 kilovolts (kV)</t>
  </si>
  <si>
    <t>PPA-New York (NY)</t>
  </si>
  <si>
    <t>East Hampton (69-kV bus)</t>
  </si>
  <si>
    <t>Offshore renewable energy certificate (OREC)-NY</t>
  </si>
  <si>
    <t>Holbrook 138 kV</t>
  </si>
  <si>
    <t xml:space="preserve">Ørsted </t>
  </si>
  <si>
    <t>PPA - MA</t>
  </si>
  <si>
    <t>West Barnstable 345 kV</t>
  </si>
  <si>
    <t>PPA-CT</t>
  </si>
  <si>
    <t>PPA-MA</t>
  </si>
  <si>
    <t>Equinor Wind US/BP</t>
  </si>
  <si>
    <t>OREC-NY</t>
  </si>
  <si>
    <t>Astoria 138 kV</t>
  </si>
  <si>
    <t>Shell/EDPR/ENGIE</t>
  </si>
  <si>
    <t>Falmouth, Brayton Point 345 kV</t>
  </si>
  <si>
    <t>SouthCoast Wind (Residual)</t>
  </si>
  <si>
    <t>Vineyard Northeast</t>
  </si>
  <si>
    <t>PPA-RI</t>
  </si>
  <si>
    <t>New Shoreham NG 34.5 kV</t>
  </si>
  <si>
    <t>Ohio (OH)</t>
  </si>
  <si>
    <t>PPA-OH</t>
  </si>
  <si>
    <t xml:space="preserve">ConEd Gowanus </t>
  </si>
  <si>
    <t xml:space="preserve">Oceanside </t>
  </si>
  <si>
    <t>NY/New Jersey (NJ)</t>
  </si>
  <si>
    <t>Vineyard Mid-Atlantic</t>
  </si>
  <si>
    <t>Bluepoint Wind</t>
  </si>
  <si>
    <t>EDPR/ENGIE</t>
  </si>
  <si>
    <t>Community Offshore Wind</t>
  </si>
  <si>
    <t>RWE/National Grid</t>
  </si>
  <si>
    <t>EDF/Shell</t>
  </si>
  <si>
    <t>Leading Light Wind</t>
  </si>
  <si>
    <t>Invenergy</t>
  </si>
  <si>
    <t>Atlantic Shores Offshore Wind North</t>
  </si>
  <si>
    <t>OCS-A 0549</t>
  </si>
  <si>
    <t>Atlantic Shores Offshore Wind South (Project 1)</t>
  </si>
  <si>
    <t>Cardiff Substation, Larrabee Substation</t>
  </si>
  <si>
    <t>Atlantic Shores Offshore Wind South (Project 2)</t>
  </si>
  <si>
    <t>BL England, Oyster Creek Substation</t>
  </si>
  <si>
    <t>Delaware (DE)</t>
  </si>
  <si>
    <t>Garden State Offshore Energy</t>
  </si>
  <si>
    <t>Bethany 138 kV</t>
  </si>
  <si>
    <t>Indian River 230 kV, Milford-Cartanza 230 kV, Cool Spring 230 kV</t>
  </si>
  <si>
    <t>US Wind</t>
  </si>
  <si>
    <t>Indian River 230 kV</t>
  </si>
  <si>
    <t>MarWin (Residual)</t>
  </si>
  <si>
    <t>Virginia (VA)</t>
  </si>
  <si>
    <t>Coastal Virginia Offshore Wind (CVOW) (Pilot)</t>
  </si>
  <si>
    <t>OCS-A -0497</t>
  </si>
  <si>
    <t>Birdneck 34.5 kV</t>
  </si>
  <si>
    <t>CVOW (Commercial)</t>
  </si>
  <si>
    <t>Birdneck-Landstown 230 kV, Oceana 230 kV</t>
  </si>
  <si>
    <t>North Carolina (NC)</t>
  </si>
  <si>
    <t>Kitty Hawk North</t>
  </si>
  <si>
    <t xml:space="preserve">Avangrid </t>
  </si>
  <si>
    <t>Virginia Beach Substation, Birdneck Substation, Corporate Landing Substation Site, Landstown Substation, Fentress Substation</t>
  </si>
  <si>
    <t>Kitty Hawk South</t>
  </si>
  <si>
    <t>DE, MD, VA, NC</t>
  </si>
  <si>
    <t>OREC-NJ</t>
  </si>
  <si>
    <t>OREC-Maryland (MD)</t>
  </si>
  <si>
    <t>OREC-MD</t>
  </si>
  <si>
    <t>Utility Owned-VA</t>
  </si>
  <si>
    <t>Lake Charles WEA</t>
  </si>
  <si>
    <t>OCS-G 37336</t>
  </si>
  <si>
    <t>Texas (TX)</t>
  </si>
  <si>
    <t>Galveston 1 WEA</t>
  </si>
  <si>
    <t>OCS-G 37334</t>
  </si>
  <si>
    <t>TX</t>
  </si>
  <si>
    <t>Galveston 2 WEA</t>
  </si>
  <si>
    <t>OCS-G 37335</t>
  </si>
  <si>
    <t>California (CA)</t>
  </si>
  <si>
    <t>CADEMO</t>
  </si>
  <si>
    <t>Floventis (Cierco/SBM)</t>
  </si>
  <si>
    <t>Proposed State Lease</t>
  </si>
  <si>
    <t>Central Coast (Morro Bay) Equinor</t>
  </si>
  <si>
    <t>RWE Offshore Wind</t>
  </si>
  <si>
    <t>OCS-P 0563</t>
  </si>
  <si>
    <t>Central Coast (Morro Bay) EDPR/ENGIE</t>
  </si>
  <si>
    <t>OCS-P 0564</t>
  </si>
  <si>
    <t>Central Coast (Morro Bay) Invenergy</t>
  </si>
  <si>
    <t>Equinor Wind US</t>
  </si>
  <si>
    <t>OCS-P 0565</t>
  </si>
  <si>
    <t>North Coast (Humboldt) RWE</t>
  </si>
  <si>
    <t>OCS-P 0561</t>
  </si>
  <si>
    <t>North Coast (Humboldt) CIP</t>
  </si>
  <si>
    <t>Invenergy California Offshore</t>
  </si>
  <si>
    <t>OCS-P 0562</t>
  </si>
  <si>
    <t>Oregon (OR)</t>
  </si>
  <si>
    <t>Project(s) Being Developed in Lease Area</t>
  </si>
  <si>
    <t>Garden State Offshore Wind</t>
  </si>
  <si>
    <t>COP Submitted – Draft Environmental Impact Statement (EIS)</t>
  </si>
  <si>
    <t>OCS-A 0 517</t>
  </si>
  <si>
    <t>COP Submitted – Draft EIS</t>
  </si>
  <si>
    <t>COP Submitted – Notice of Intent (NOI) for EIS</t>
  </si>
  <si>
    <t>COP Submitted – Final EIS</t>
  </si>
  <si>
    <t>COP Not Submitted</t>
  </si>
  <si>
    <t>OCS-A 508</t>
  </si>
  <si>
    <t>OCS-A 519</t>
  </si>
  <si>
    <t>SAP or COP Not Submitted</t>
  </si>
  <si>
    <t>Total Energies (Carolina Long Bay)</t>
  </si>
  <si>
    <t>Duke Energy (Carolina Long Bay)</t>
  </si>
  <si>
    <t>Atlantic Shores Offshore Wind South (Project 1)
Atlantic Shores Offshore Wind South (Project 2)</t>
  </si>
  <si>
    <t>Empire Wind 1
Empire Wind 2</t>
  </si>
  <si>
    <t>Skipjack 1
Skipjack 2</t>
  </si>
  <si>
    <t>New England Wind (Commonwealth Wind)
New England Wind (Park City Wind)</t>
  </si>
  <si>
    <t>MarWin
Momentum Wind
MarWin (Residual)</t>
  </si>
  <si>
    <t>Beacon Wind 1
Beacon Wind (Residual)</t>
  </si>
  <si>
    <t>SouthCoast Wind (Mayflower Wind 1)
SouthCoast Wind (Mayflower Wind 2)
SouthCoast Wind (Residual)</t>
  </si>
  <si>
    <t>$155,000,00</t>
  </si>
  <si>
    <t>$160,800,00</t>
  </si>
  <si>
    <r>
      <t>Price per km</t>
    </r>
    <r>
      <rPr>
        <vertAlign val="superscript"/>
        <sz val="12"/>
        <color theme="1"/>
        <rFont val="Calibri (Body)"/>
      </rPr>
      <t>2</t>
    </r>
  </si>
  <si>
    <r>
      <t>Area (km</t>
    </r>
    <r>
      <rPr>
        <vertAlign val="superscript"/>
        <sz val="12"/>
        <color theme="1"/>
        <rFont val="Calibri (Body)"/>
      </rPr>
      <t>2</t>
    </r>
    <r>
      <rPr>
        <sz val="12"/>
        <color theme="1"/>
        <rFont val="Calibri"/>
        <family val="2"/>
        <scheme val="minor"/>
      </rPr>
      <t>)</t>
    </r>
  </si>
  <si>
    <t>OCS-A 0561</t>
  </si>
  <si>
    <t>Humboldt</t>
  </si>
  <si>
    <t>OCS-A 0562</t>
  </si>
  <si>
    <t>California North Floating (CIP)</t>
  </si>
  <si>
    <t>OCS-A 0563</t>
  </si>
  <si>
    <t>Morro Bay</t>
  </si>
  <si>
    <t>OCS-A 0564</t>
  </si>
  <si>
    <t>Central California Offshore Wind (EDPR/ENGIE)</t>
  </si>
  <si>
    <t>OCS-A 0565</t>
  </si>
  <si>
    <t>Figure 10: U.S. offshore wind energy lease prices</t>
  </si>
  <si>
    <t>Lease Price ($)</t>
  </si>
  <si>
    <t>Table 10: U.S. Offshore Wind Energy Lease Prices (in Order Sold)</t>
  </si>
  <si>
    <t>Lease Price 2022$</t>
  </si>
  <si>
    <t>Substructure</t>
  </si>
  <si>
    <t>Lake Charles</t>
  </si>
  <si>
    <t>Galveston 1</t>
  </si>
  <si>
    <t>Galveston 2</t>
  </si>
  <si>
    <t>O’ahu North Call Area</t>
  </si>
  <si>
    <t>O’ahu South Call Area</t>
  </si>
  <si>
    <t>Central Atlantic Draft WEA A</t>
  </si>
  <si>
    <t>Central Atlantic Draft WEA B1</t>
  </si>
  <si>
    <t>Central Atlantic Draft WEA B2</t>
  </si>
  <si>
    <t>Central Atlantic Draft WEA C</t>
  </si>
  <si>
    <t>Central Atlantic Draft WEA D</t>
  </si>
  <si>
    <t>Central Atlantic Draft WEA E1</t>
  </si>
  <si>
    <t>Central Atlantic Draft WEA E2</t>
  </si>
  <si>
    <t>Central Atlantic Draft WEA F</t>
  </si>
  <si>
    <t>Lease Area Name</t>
  </si>
  <si>
    <t>Area (acres)</t>
  </si>
  <si>
    <t>Project Capacity (MW)</t>
  </si>
  <si>
    <t>SouthCoast Wind</t>
  </si>
  <si>
    <t>Beacon Wind</t>
  </si>
  <si>
    <t>New England</t>
  </si>
  <si>
    <t>Atlantic Shores Offshore Wind South 1</t>
  </si>
  <si>
    <t>Total excl. MA &amp; RI</t>
  </si>
  <si>
    <t>Year Awarded</t>
  </si>
  <si>
    <t>Offtake Type</t>
  </si>
  <si>
    <t>CVOW (Pilot)</t>
  </si>
  <si>
    <t>Atlantic Shores Offshore Wind South Project 1</t>
  </si>
  <si>
    <t xml:space="preserve">CVOW (Commercial) </t>
  </si>
  <si>
    <t>Awarded Projects (MW)</t>
  </si>
  <si>
    <t>Supporting Policies and Documents</t>
  </si>
  <si>
    <t>Aqua Ventus (12)</t>
  </si>
  <si>
    <t xml:space="preserve">Draft request for proposal for 1,196 </t>
  </si>
  <si>
    <t>LEEDCo (21)</t>
  </si>
  <si>
    <t>Maine </t>
  </si>
  <si>
    <t>Maine Wind Energy Development Assessment (2012)  </t>
  </si>
  <si>
    <t>Massachusetts </t>
  </si>
  <si>
    <t>Rhode Island </t>
  </si>
  <si>
    <t>Request for Proposals for Long-Term Contracts for Offshore Wind Energy (2022)  </t>
  </si>
  <si>
    <t>Connecticut </t>
  </si>
  <si>
    <t>Public Act No. 19-71 (2019) </t>
  </si>
  <si>
    <t>New York </t>
  </si>
  <si>
    <t>New Jersey </t>
  </si>
  <si>
    <t>Maryland </t>
  </si>
  <si>
    <t>Virginia </t>
  </si>
  <si>
    <t>Virginia Clean Economy Act (2021) </t>
  </si>
  <si>
    <t>North Carolina </t>
  </si>
  <si>
    <t>Executive Order 218 (2021) </t>
  </si>
  <si>
    <t>California </t>
  </si>
  <si>
    <t>Ohio </t>
  </si>
  <si>
    <t>None </t>
  </si>
  <si>
    <t>Louisiana </t>
  </si>
  <si>
    <t>Louisiana Action Plan (2022) </t>
  </si>
  <si>
    <t>Oregon </t>
  </si>
  <si>
    <t>HB 3375 (2021) </t>
  </si>
  <si>
    <t>Planning Goal - Capacity (MW)</t>
  </si>
  <si>
    <t>Planning Goal - Year</t>
  </si>
  <si>
    <t>Mandated Procurement - Capacity (MW)</t>
  </si>
  <si>
    <t>Mandated Procurement - Year</t>
  </si>
  <si>
    <t>Offtake Contracts Awarded (MW)</t>
  </si>
  <si>
    <t>Open/Pending Procurement (MW)</t>
  </si>
  <si>
    <t>Vineyard Wind 1 (800)
SouthCoast Wind 1 (804)
South Coast Wind 2 (400)
New England Wind (1,232)</t>
  </si>
  <si>
    <t>400–3,600
(closes 1/31/2024)</t>
  </si>
  <si>
    <t>Act to Promote Energy Diversity (2016)
Act to Advance Clean Energy (2018)
Massachusetts 2050 Decarbonization Roadmap (2020)
Act Creating a Next Generation Roadmap for Massachusetts Climate Policy (2021)</t>
  </si>
  <si>
    <t>Block Island Wind Farm (30)
Revolution Wind (400)</t>
  </si>
  <si>
    <t>600–1,000
(closed 3/13/23)</t>
  </si>
  <si>
    <t>Revolution Wind (304)
New England Wind (800)</t>
  </si>
  <si>
    <t>South Fork Wind (132)
Empire Wind 1 (816)
Sunrise Wind 1 (924)
Empire Wind 2 (1,260)
Beacon Wind 1 (1,230)</t>
  </si>
  <si>
    <t>1,000–2,000
(closed 1/26/2023)</t>
  </si>
  <si>
    <t>Case 18-E-0071 (2018)
Climate Leadership &amp; Community Protection Act (2019)
New York State Climate Action Council Scoping Plan (2022)</t>
  </si>
  <si>
    <t>Ocean Wind 1 (1,100)
Ocean Wind 2 (1,148)
Atlantic Shores Offshore Wind South (Project 1) (1,510)</t>
  </si>
  <si>
    <t>1,200–4,000
(closes 6/23/23)</t>
  </si>
  <si>
    <t>Offshore Wind Economic Development Act (2010)
Executive Order 8 (2018)
Executive Order 92 (2019)
Executive Order 307 (2022)</t>
  </si>
  <si>
    <t>Maryland Offshore Wind Energy Act (2013)
Clean Energy Jobs Act (2019)
Promoting Offshore Wind Energy Resource Act (2023)</t>
  </si>
  <si>
    <t>Skipjack 1 (120)
MarWin (270)
Momentum Wind (808)
Skipjack 2 (846)</t>
  </si>
  <si>
    <t>CVOW Pilot (12)
CVOW Commercial (2,587)</t>
  </si>
  <si>
    <t>AB 525 (2021)
Offshore Wind Energy Development off the California Coast: Maximum Feasible Capacity and Megawatt Planning Goals for 2030 and 2045 (2022) </t>
  </si>
  <si>
    <t>Commissioning</t>
  </si>
  <si>
    <t>McAllister Towing</t>
  </si>
  <si>
    <t>CTV (Atlantic Pioneer)</t>
  </si>
  <si>
    <t>Atlantic Wind Transfers, Blount Boats Inc., Chartwell Marine Ltd.</t>
  </si>
  <si>
    <t>CTV (Atlantic Endeavor)</t>
  </si>
  <si>
    <t>CVOW</t>
  </si>
  <si>
    <t>CTV</t>
  </si>
  <si>
    <t>Atlantic Wind Transfers, Chartwell Marine Ltd.</t>
  </si>
  <si>
    <t>Not listed</t>
  </si>
  <si>
    <t>CTV (Odyssey)</t>
  </si>
  <si>
    <t>Windserve Marine, Ørsted</t>
  </si>
  <si>
    <t>Ørsted (2019)</t>
  </si>
  <si>
    <t>CTV (Windserve Odyssey)</t>
  </si>
  <si>
    <t>Senesco Marine, Ørsted</t>
  </si>
  <si>
    <t>Atlantic Wind Transfers, Dominion Energy</t>
  </si>
  <si>
    <t>Walk-to-work vessel</t>
  </si>
  <si>
    <t>US Otto Candies, LLC</t>
  </si>
  <si>
    <t>South Fork Wind</t>
  </si>
  <si>
    <t>Maersk Supply Service, BP/Equinor</t>
  </si>
  <si>
    <t>WorkBoat (2022a)</t>
  </si>
  <si>
    <t>WorkBoat (2022a) </t>
  </si>
  <si>
    <t>Patriot Offshore Maritime Services, Vineyard Wind</t>
  </si>
  <si>
    <t>WorkBoat (2022b)</t>
  </si>
  <si>
    <t>Atlantic Wind Transfers, Chartwell Marine, UK</t>
  </si>
  <si>
    <t>Memija (2022) </t>
  </si>
  <si>
    <t xml:space="preserve">WINDEA CTV LLC, GE </t>
  </si>
  <si>
    <t>WINDEA (2022)</t>
  </si>
  <si>
    <t>WINDEA CTV LLC, GE</t>
  </si>
  <si>
    <t>Gladding-Hearn Shipbuilding/Duclos Corporation, Shell New Energies, Ocean Winds</t>
  </si>
  <si>
    <t>Professional Mariner (2021)</t>
  </si>
  <si>
    <t>Ørsted (2022)</t>
  </si>
  <si>
    <t>WorkBoat (2021b)</t>
  </si>
  <si>
    <t>Vineyard Wind (2022)</t>
  </si>
  <si>
    <t>Durakovic (2022) </t>
  </si>
  <si>
    <t>Memija (2022)</t>
  </si>
  <si>
    <t>Rock Installation (Great Lakes Dredge and Dock Corporation)</t>
  </si>
  <si>
    <t>SOV (Eco Edison)</t>
  </si>
  <si>
    <t>Edison Chouest Offshore, Ørsted, Eversource</t>
  </si>
  <si>
    <t>Revolution Wind, South Fork Wind and Sunrise Wind</t>
  </si>
  <si>
    <t>Schuler (2020)</t>
  </si>
  <si>
    <t>SOV</t>
  </si>
  <si>
    <t>Edison Chouest Offshore, Equinor/BP</t>
  </si>
  <si>
    <t>Equinor  </t>
  </si>
  <si>
    <t>Crowley, CREST (Crowley/ESVAGT), HAV Design AS</t>
  </si>
  <si>
    <t>CVOW - Commercial</t>
  </si>
  <si>
    <t>Crowley (2023)</t>
  </si>
  <si>
    <t>Tug</t>
  </si>
  <si>
    <t>Empire Wind </t>
  </si>
  <si>
    <t>WTIV (Charybdis)</t>
  </si>
  <si>
    <t>Revolution Wind, Sunrise Wind, CVOW</t>
  </si>
  <si>
    <t>Port</t>
  </si>
  <si>
    <t>Type of Investment</t>
  </si>
  <si>
    <t>New Bedford Marine Commerce Terminal</t>
  </si>
  <si>
    <t>Marshaling port</t>
  </si>
  <si>
    <t>MassCEC</t>
  </si>
  <si>
    <t>Salem Wind Port</t>
  </si>
  <si>
    <t>PIDP</t>
  </si>
  <si>
    <t>New Bedford Foss Marine Terminal</t>
  </si>
  <si>
    <t>O&amp;M port</t>
  </si>
  <si>
    <t>Prysmian Marine Terminal at Brayton Point</t>
  </si>
  <si>
    <t>Subsea cable manufacturing</t>
  </si>
  <si>
    <t>Prysmian</t>
  </si>
  <si>
    <t>Bridgeport</t>
  </si>
  <si>
    <t>CT</t>
  </si>
  <si>
    <t>South Brooklyn Marine Terminal</t>
  </si>
  <si>
    <t>Equinor, bp</t>
  </si>
  <si>
    <t>Arthur Kill Terminal</t>
  </si>
  <si>
    <t>Quonset State Airport</t>
  </si>
  <si>
    <t>Helicopter operations</t>
  </si>
  <si>
    <t>Tradepoint Atlantic</t>
  </si>
  <si>
    <t>Monopile and tower manufacturing</t>
  </si>
  <si>
    <t>Not disclosed</t>
  </si>
  <si>
    <t>Portsmouth Marine Terminal</t>
  </si>
  <si>
    <t>Virginia Port Authority</t>
  </si>
  <si>
    <t>Norfolk</t>
  </si>
  <si>
    <t>Operations and logistics center</t>
  </si>
  <si>
    <t>Fairwinds LLC</t>
  </si>
  <si>
    <t>Nucor</t>
  </si>
  <si>
    <t>KY</t>
  </si>
  <si>
    <t>Steel plate manufacturing</t>
  </si>
  <si>
    <t>Port of Humboldt</t>
  </si>
  <si>
    <t>CEC</t>
  </si>
  <si>
    <t>Total announced investment in 2022-2023</t>
  </si>
  <si>
    <t>Announced Investment ($ million)</t>
  </si>
  <si>
    <t>MassCEC
PIDP</t>
  </si>
  <si>
    <t>Ørsted
Eversource</t>
  </si>
  <si>
    <t>Funding Source</t>
  </si>
  <si>
    <t>Crew transfer vessel (CTV) (Gaspee)</t>
  </si>
  <si>
    <t>CVOW Pilot</t>
  </si>
  <si>
    <t>McAllister Towing, (n.d.); ACP (2023); Dominion Energy (2020a)</t>
  </si>
  <si>
    <t>Chartwell Marine (n.d.)</t>
  </si>
  <si>
    <t>Power and Energy Solutions (n.d.)</t>
  </si>
  <si>
    <t xml:space="preserve">Blenkey (2021) </t>
  </si>
  <si>
    <t>Blount Boats and  Shipyard, American Offshore Services, Ørsted, Eversource</t>
  </si>
  <si>
    <t xml:space="preserve">Revolution Wind, South Fork Wind, Sunrise Wind </t>
  </si>
  <si>
    <t>Blount Boats and Shipyard, American Offshore Services</t>
  </si>
  <si>
    <t>Blount Boats and Shipyard, Vineyard Wind</t>
  </si>
  <si>
    <t>WindServe Marine, LLC, Ørsted, Eversource</t>
  </si>
  <si>
    <t>Blount Boats and Shipyard, American Offshore Services, Ørsted, Eversource</t>
  </si>
  <si>
    <t>Multipurpose (Eleanor)</t>
  </si>
  <si>
    <t>Moran Ironworks Shipyard, Green Shipping Line, DEKC Maritime, Keystone Shipping Company, DEKC Maritime</t>
  </si>
  <si>
    <t>Durakovic (2021)</t>
  </si>
  <si>
    <t>Philly Shipyard, Inc., Great Lakes Dredge and Dock Corporation, Ulstein Design &amp; Solutions B.V.</t>
  </si>
  <si>
    <t>The Waterways Journal (2020); Ulstein (2020, 2021); Great Lakes Dredge and Dock (2020)</t>
  </si>
  <si>
    <t>Keppel AmFELS, Dominion Energy, GustoMSC</t>
  </si>
  <si>
    <t>Dominion Energy (2020); The Maritime Executive (2020); Skopljak (2020b) </t>
  </si>
  <si>
    <t>New Zealand</t>
  </si>
  <si>
    <t>Oceania</t>
  </si>
  <si>
    <t>Colombia</t>
  </si>
  <si>
    <t>Philippines</t>
  </si>
  <si>
    <t>GWEC 2020 Max</t>
  </si>
  <si>
    <t>GWEC 2020 Min</t>
  </si>
  <si>
    <t>GWEC 2020 Cumulative</t>
  </si>
  <si>
    <t>GWEC 2022</t>
  </si>
  <si>
    <t>Wood Mackenzie 2020 Base</t>
  </si>
  <si>
    <t>Wood Mackenzie 2020 Bear</t>
  </si>
  <si>
    <t>Wood Mackenzie 2020 Bull</t>
  </si>
  <si>
    <t>Strathclyde 2019</t>
  </si>
  <si>
    <t>DNV 2022 Installed</t>
  </si>
  <si>
    <t>ORE Catapult 2022</t>
  </si>
  <si>
    <t>AEGIR 2022 Cumulative</t>
  </si>
  <si>
    <t>EnergyPulse 2022</t>
  </si>
  <si>
    <t>Enerdata 2022</t>
  </si>
  <si>
    <t>Region</t>
  </si>
  <si>
    <t>Offshore Wind Capacity Target (GW)</t>
  </si>
  <si>
    <t>Azerbaijan</t>
  </si>
  <si>
    <t>no official policy</t>
  </si>
  <si>
    <t>India</t>
  </si>
  <si>
    <t>Oman</t>
  </si>
  <si>
    <t>Finland</t>
  </si>
  <si>
    <t>Poland</t>
  </si>
  <si>
    <t>Lithuania</t>
  </si>
  <si>
    <t>Greece</t>
  </si>
  <si>
    <t>South America</t>
  </si>
  <si>
    <t>Algeria</t>
  </si>
  <si>
    <t>Africa</t>
  </si>
  <si>
    <t>Canada</t>
  </si>
  <si>
    <t>Current installed capacity (GW)</t>
  </si>
  <si>
    <t>No official policy</t>
  </si>
  <si>
    <t>Installed Capacity in 2022 (GW)</t>
  </si>
  <si>
    <t>Key Developments or Procurements</t>
  </si>
  <si>
    <t>5.4–5.8 GW by 2030</t>
  </si>
  <si>
    <t>The objective is to realize an additional production of 3.15–3.5 GW in the Princess Elisabeth Zone. Minister of Energy sets a future potential target of 8 GW by 2030 for Belgium.</t>
  </si>
  <si>
    <t>FPS Economy (2023); Wind Europe (2022a)</t>
  </si>
  <si>
    <t>The Danish government signed a joint declaration to make the North Sea a green powerhouse in Europe.</t>
  </si>
  <si>
    <t>Fine (2022)</t>
  </si>
  <si>
    <t>The national climate and energy strategy to become carbon neutral by 2035 intends to have the first large-scale offshore wind energy projects operational by 2030, and several more in production by 2035.</t>
  </si>
  <si>
    <t>Ministry of Economic Affairs and Employment of Finland (2022)</t>
  </si>
  <si>
    <t>French government signs offshore sector deal with wind energy industry to build over 50 wind plants by 2050.</t>
  </si>
  <si>
    <t>Durakovic (2020); Wind Europe (2022a)</t>
  </si>
  <si>
    <t>Reuters (2023); Ivanova (2022)</t>
  </si>
  <si>
    <t>2 GW by 2030</t>
  </si>
  <si>
    <t>The parliament approves Greece’s first offshore wind law.</t>
  </si>
  <si>
    <t>Tisheva (2022)</t>
  </si>
  <si>
    <t xml:space="preserve">7 GW by 2030 </t>
  </si>
  <si>
    <t>The Irish government increased the 2030 offshore wind target from 5 to 7 GW.</t>
  </si>
  <si>
    <t>renews.biz (2022)</t>
  </si>
  <si>
    <t>0.9 GW by 2030</t>
  </si>
  <si>
    <t>Italy’s current target is 900 MW, but a target of 3.5 GW of floating wind by 2030 is being considered.</t>
  </si>
  <si>
    <t>Wind Europe (2019); OWC (2022)</t>
  </si>
  <si>
    <t>0.7 GW by 2030</t>
  </si>
  <si>
    <t>The Baltic country submitted a National Energy and Climate Plan to the European Commission.</t>
  </si>
  <si>
    <t>Radowitz (2019)</t>
  </si>
  <si>
    <t>30 GW by 2040</t>
  </si>
  <si>
    <t>Norway’s prime minister announced the country’s goal of 30 GW of offshore wind capacity by 2040.</t>
  </si>
  <si>
    <t>Wind Europe (2022c)</t>
  </si>
  <si>
    <t>Government pledges to launch a new auction system and to set aside € 22.5 billion for offshore wind development over the coming two decades to reach these targets.</t>
  </si>
  <si>
    <t>Wind Europe (2021a)</t>
  </si>
  <si>
    <t>10 GW by 2030</t>
  </si>
  <si>
    <t>Portugal has increased the target for its debut offshore wind power auction to 10 GW.</t>
  </si>
  <si>
    <t>Reuters (2022)</t>
  </si>
  <si>
    <t>3 GW by 2030</t>
  </si>
  <si>
    <t>The Spanish government has approved an offshore wind road map that aims to install up to 3 GW of floating offshore wind energy in Spanish waters by 2030.</t>
  </si>
  <si>
    <t>Wind Europe (2021b)</t>
  </si>
  <si>
    <t>The Swedish government has launched a search for areas to support the plan to generate 120 terawatt-hours annually.</t>
  </si>
  <si>
    <t>Durakovic (2022b)</t>
  </si>
  <si>
    <t>Government of the Netherlands (undated); Buljan (2022a)</t>
  </si>
  <si>
    <t>50 GW by 2030</t>
  </si>
  <si>
    <t>The UK Energy Strategy aims to dedicate 5 GW to floating wind.</t>
  </si>
  <si>
    <t>Wind Europe (2022b)</t>
  </si>
  <si>
    <t>Target(s)</t>
  </si>
  <si>
    <t>Plans set in place for 1 GW of wind-powered green hydrogen production at sea by 2030.
Berlin will deploy 4 GW of wind energy capacity at sea annually from 2027 on.</t>
  </si>
  <si>
    <t>The Climate Agreement (2019) and the coalition agreement (2021) include a commitment to maintain the offshore wind energy policy.
The government has presented its offshore wind energy road map.</t>
  </si>
  <si>
    <t>90 GW by 2030</t>
  </si>
  <si>
    <t>The Regional Cumulative Targets by 2030 increased to 90 GW in China.</t>
  </si>
  <si>
    <t xml:space="preserve">Wood Mackenzie (2023) </t>
  </si>
  <si>
    <t>The Union Ministry of New and Renewable Energy has set a target of installing 30 GW by 2030.</t>
  </si>
  <si>
    <t>Infrastructure Investor (2018)</t>
  </si>
  <si>
    <t>The Japanese government aims to deploy 45 GW by 2040 as part of its 2050 decarbonization target.</t>
  </si>
  <si>
    <t>Power Technology (2020)</t>
  </si>
  <si>
    <t>12 GW by 2030</t>
  </si>
  <si>
    <t>InfoLink Consulting (2021); Skopljak (2020a)</t>
  </si>
  <si>
    <t>McQue (2021)</t>
  </si>
  <si>
    <t>21 GW by 2040</t>
  </si>
  <si>
    <t>The Department of Energy of the Philippines published its Offshore Wind Roadmap to aim for that deployment ambition.</t>
  </si>
  <si>
    <t>Pinsent Masons (2022)</t>
  </si>
  <si>
    <t>15 GW over 10 years between 2026 and 2035</t>
  </si>
  <si>
    <t>The Ministry of Economic Affairs said that 1.5 GW of offshore wind capacity would be added each year from 2026 until 2035, instead of the previously planned 1 GW.</t>
  </si>
  <si>
    <t>Yihe (2021)</t>
  </si>
  <si>
    <t>7 GW by 2030</t>
  </si>
  <si>
    <t>The Ministry of Industry and Trade of Vietnam published a new Power Development Plan VIII draft with new capacity targets.</t>
  </si>
  <si>
    <t>GWEC (2022)</t>
  </si>
  <si>
    <t>16 GW of wind by 2040 (offshore  wind energy not specified).</t>
  </si>
  <si>
    <t>The current midterm national target is 30 GW by 2030. Achieving this target would unlock a pathway to 110 GW by 2050.</t>
  </si>
  <si>
    <t>Nova Scotia has set a target to offer leases for 5 GW of offshore wind energy by 2030.</t>
  </si>
  <si>
    <t>Nova Scotia (2022)</t>
  </si>
  <si>
    <t>The Victorian Offshore Wind Policy Directions Paper sets nation-leading policy targets.</t>
  </si>
  <si>
    <t>The Victorian Government (2022)</t>
  </si>
  <si>
    <t>16 GW by 2050</t>
  </si>
  <si>
    <t>Brazil’s government long-term energy expansion plan sees the potential to deploy 16 GW by 2050.</t>
  </si>
  <si>
    <t>RECHARGE (2020)</t>
  </si>
  <si>
    <t>The Colombian Ministry for Mines and Energy launched the Roadmap for the Deployment of Offshore Wind Energy in Colombia. The road map shows the offshore wind potential from a low-case to a high-case scenario.</t>
  </si>
  <si>
    <t>Argus (2022)</t>
  </si>
  <si>
    <t>New National Program for Renewable Energies adopted by the government.</t>
  </si>
  <si>
    <t>Dodd (2015)</t>
  </si>
  <si>
    <t>12.9 GW by 2030;
35 GW by 2050</t>
  </si>
  <si>
    <t>6–8.75 GW by 2028;
40 GW by 2050</t>
  </si>
  <si>
    <t>30 GW by 2030;
50 GW by 2035</t>
  </si>
  <si>
    <t>5.9 GW by 2030;
11 GW by 2040</t>
  </si>
  <si>
    <t>4.5 GW by 2023;
21 GW by 2030;
70 GW by 2050</t>
  </si>
  <si>
    <t>10 GW by 2030;
30–45 GW by 2040</t>
  </si>
  <si>
    <t>0.2–1 GW by 2030;
0.5–3 GW by 2040;
1.5–9 GW by 2050</t>
  </si>
  <si>
    <t>Global Weighted Capacity MW (Max)</t>
  </si>
  <si>
    <t>Global (excluding Asia) Weighted Capacity MW (Max)</t>
  </si>
  <si>
    <t>Asian Weighted Capacity MW (Max)</t>
  </si>
  <si>
    <t>Multipile</t>
  </si>
  <si>
    <t>Suction Bucket</t>
  </si>
  <si>
    <t>Announced (MW)</t>
  </si>
  <si>
    <t>Zhejiang Windey Co.</t>
  </si>
  <si>
    <t>IEA (2022) - Stated Policies USA</t>
  </si>
  <si>
    <t>IEA (2022) - Announced Pledges USA</t>
  </si>
  <si>
    <t>IEA (2022) - Net Zero 2050 USA</t>
  </si>
  <si>
    <t>DNV (2022) - Fixed North America</t>
  </si>
  <si>
    <t>EIA (2022) - Without Tax Credits (Simple Avg, USA)</t>
  </si>
  <si>
    <t>BNEF (2022) - USA (low)</t>
  </si>
  <si>
    <t>BNEF (2022) - USA (mid)</t>
  </si>
  <si>
    <t>BNEF (2022) - USA (high)</t>
  </si>
  <si>
    <t>NREL (2022) - USA (mid)</t>
  </si>
  <si>
    <t>Lazard (2023) - USA (mid)</t>
  </si>
  <si>
    <t>DNV (2022) - North America</t>
  </si>
  <si>
    <t>USA Mid</t>
  </si>
  <si>
    <t>2037</t>
  </si>
  <si>
    <t>Coverage</t>
  </si>
  <si>
    <t>Debt/Sponsor Equity/Tax Equity (%)</t>
  </si>
  <si>
    <t>2006–2007</t>
  </si>
  <si>
    <t>60/40/0</t>
  </si>
  <si>
    <t>2009–2013</t>
  </si>
  <si>
    <t>65/35/0</t>
  </si>
  <si>
    <t>2014–2015</t>
  </si>
  <si>
    <t>70/30/0</t>
  </si>
  <si>
    <t>2016–2017</t>
  </si>
  <si>
    <t>75/25/0</t>
  </si>
  <si>
    <t>2018–2019</t>
  </si>
  <si>
    <t>50/20/30</t>
  </si>
  <si>
    <t>2020–2021</t>
  </si>
  <si>
    <t>80/20/0</t>
  </si>
  <si>
    <t>55/45 (combined)[2]</t>
  </si>
  <si>
    <t>2022–2023</t>
  </si>
  <si>
    <t>55/45 (combined)</t>
  </si>
  <si>
    <t>Pricing (Basis Points)[1]</t>
  </si>
  <si>
    <t>Contingency Budget (%)</t>
  </si>
  <si>
    <t>150–200</t>
  </si>
  <si>
    <t>12–15</t>
  </si>
  <si>
    <t>Guillet (2022)</t>
  </si>
  <si>
    <t>300–350</t>
  </si>
  <si>
    <t>10–12</t>
  </si>
  <si>
    <t>200–250</t>
  </si>
  <si>
    <t>15–20</t>
  </si>
  <si>
    <t>150–225</t>
  </si>
  <si>
    <t>125–175</t>
  </si>
  <si>
    <t>8–12</t>
  </si>
  <si>
    <t>Not applicable (N/A)</t>
  </si>
  <si>
    <t>Martin (2019)</t>
  </si>
  <si>
    <t>8–10</t>
  </si>
  <si>
    <t>Martin (2021)</t>
  </si>
  <si>
    <t>Martin (2022)</t>
  </si>
  <si>
    <t>[1] Basis points are indicated as being above the London Interbank Offered Rate. One basis point is equal to 1/100 of a percent and 100 basis points equals 1%.
[2] The split between sponsor and tax equity is not clear from the source (Martin 2021) and is reported here as an aggregate. The same limitation applies to the reporting in 2022-2023.</t>
  </si>
  <si>
    <r>
      <t>Weighted-Average Capacity Density (MW/km</t>
    </r>
    <r>
      <rPr>
        <vertAlign val="superscript"/>
        <sz val="12"/>
        <color theme="1"/>
        <rFont val="Calibri (Body)"/>
      </rPr>
      <t>2</t>
    </r>
    <r>
      <rPr>
        <sz val="12"/>
        <color theme="1"/>
        <rFont val="Calibri"/>
        <family val="2"/>
        <scheme val="minor"/>
      </rPr>
      <t>)</t>
    </r>
  </si>
  <si>
    <t>DNV 2022 Installed &amp; Off Grid</t>
  </si>
  <si>
    <t>4C Offshore 2021</t>
  </si>
  <si>
    <t>Current Status</t>
  </si>
  <si>
    <t>Sunrise Wind Farm</t>
  </si>
  <si>
    <t>Sunrise Wind Farm (Residual)</t>
  </si>
  <si>
    <t>Ørsted</t>
  </si>
  <si>
    <t>New England Wind 1</t>
  </si>
  <si>
    <t>New England Wind 2</t>
  </si>
  <si>
    <t>Beacon Wind 2</t>
  </si>
  <si>
    <t>SouthCoast Wind 1a</t>
  </si>
  <si>
    <t>SouthCoast Wind 1b</t>
  </si>
  <si>
    <t>Shell/ Kent HOE/Ocergy</t>
  </si>
  <si>
    <t xml:space="preserve">Current Status </t>
  </si>
  <si>
    <t> 60</t>
  </si>
  <si>
    <t> 1,296</t>
  </si>
  <si>
    <t> 1,302</t>
  </si>
  <si>
    <t>RWE</t>
  </si>
  <si>
    <t> 1,025</t>
  </si>
  <si>
    <t> 1,117</t>
  </si>
  <si>
    <t> N/A</t>
  </si>
  <si>
    <t>Hawaii (HI)</t>
  </si>
  <si>
    <t>Table 13: Power Offtake Contracts for U.S. Offshore Wind Energy Projects</t>
  </si>
  <si>
    <t>Levelized Nominal Price ($/megawatt-hour [MWh])</t>
  </si>
  <si>
    <t>Inflation-Adjusted Price (2023$/MWh)</t>
  </si>
  <si>
    <t>New England Wind 1a</t>
  </si>
  <si>
    <t>New England Wind 1b</t>
  </si>
  <si>
    <t>Table 14: State Plannning Goals and Mandated State Procurements by Year</t>
  </si>
  <si>
    <t>Table 15: Commissioned U.S.-Flagged Vessels To Serve the Offshore Wind Energy Industry</t>
  </si>
  <si>
    <t>Table 16: Actively Announced or Under Construction U.S.-Flagged Vessels To Serve the Offshore Wind Energy Industry</t>
  </si>
  <si>
    <t>Table 17: Investments in Offshore Wind Ports and Tier 1 Manufacturing Facilities From January 1, 2022, to May 2023</t>
  </si>
  <si>
    <t>Figure 17: Global Annual Offshore Wind Energy Capacity Additions (MW) Through December 31, 2022</t>
  </si>
  <si>
    <t>Figures 18, 20: Installed and Under Construction Offshore Wind Energy Capacity by Country (MW)</t>
  </si>
  <si>
    <t>Figures 19, 22: Estimated cumulative offshore wind capacity by country based on developer-announced CODs</t>
  </si>
  <si>
    <t>Figure 21: Developer-announced COD for offshore wind energy projects under construction with financial closure</t>
  </si>
  <si>
    <t>Figures 23: Cumulative floating offshore wind capacity by country based on announced CODs through 2030</t>
  </si>
  <si>
    <t>Figure 24: Total global offshore wind energy pipeline by regulatory status</t>
  </si>
  <si>
    <t>Figure 25: Total global floating offshore wind energy pipeline by regulatory status</t>
  </si>
  <si>
    <t>Table 18: Global Floating Offshore Wind Energy Pipeline</t>
  </si>
  <si>
    <t>Figure 26: Industry forecasts for global offshore wind energy deployment to 2032</t>
  </si>
  <si>
    <t>Figure 27: Long-term cumulative floating offshore wind energy deployment projections</t>
  </si>
  <si>
    <t>Figure 28: Country-specific offshore wind energy tagets</t>
  </si>
  <si>
    <t>Table 19: European National Offshore Wind Energy Targets</t>
  </si>
  <si>
    <t>Table 20: Asian National Offshore Wind Energy Targets</t>
  </si>
  <si>
    <t>Figures 30-31: Global Fixed-Bottom Turbine Water Depth (m) and Distance from Shore (km) Trends</t>
  </si>
  <si>
    <t>Figures 32-34: Offshore Wind Substructure Technology Trend for 2022 and Future Disclosed Pipeline</t>
  </si>
  <si>
    <t>Figure 35-36: Global Offshore Wind Turbine Rating, Hub Height, and Diameter</t>
  </si>
  <si>
    <t>Figures 37-38: Offshore Wind Turbine Manufacturers by Market Share for 2022 and Future Disclosed Pipeline</t>
  </si>
  <si>
    <t>Figure 39: LCOE estimates for fixed-bottom offshore wind energy in the United States</t>
  </si>
  <si>
    <t>Figure 40: Capital expenditures for global offshore wind energy projects</t>
  </si>
  <si>
    <t>Figure 41: U.S. LCOE estimates for floating offshore wind technologies (USD2022/MWh)</t>
  </si>
  <si>
    <t>Table 22. Indicative Financing Conditions for U.S. and European Offshore Wind Energy</t>
  </si>
  <si>
    <t>Mingyang</t>
  </si>
  <si>
    <t>Fixed Bottom</t>
  </si>
  <si>
    <t xml:space="preserve">Potential POI Location </t>
  </si>
  <si>
    <t>Potential POI Location</t>
  </si>
  <si>
    <t>Site assessment Plan (SAP) Approved (Construction and Operations Plan (COP) Not Submitted)</t>
  </si>
  <si>
    <t>Table 21: Rest-of-the-World National Offshore Wind Energy Targets</t>
  </si>
  <si>
    <t>South Korea’s president reaffirms goal of 12 GW of offshore wind energy by 2030.
The Framework Act on Low Carbon, Green Growth sets an optimistic scenario of 18–20 GW by 2030.</t>
  </si>
  <si>
    <t>2 GW by 2032;
4 GW by 2035;
9 GW by 2040</t>
  </si>
  <si>
    <t>Table A-1. Proposed Capacity Density of U.S. Projects</t>
  </si>
  <si>
    <r>
      <t>Capacity Density (MW/km</t>
    </r>
    <r>
      <rPr>
        <vertAlign val="superscript"/>
        <sz val="12"/>
        <color theme="1"/>
        <rFont val="Calibri (Body)"/>
      </rPr>
      <t>2</t>
    </r>
    <r>
      <rPr>
        <sz val="12"/>
        <color theme="1"/>
        <rFont val="Calibri"/>
        <family val="2"/>
        <scheme val="minor"/>
      </rPr>
      <t>)</t>
    </r>
  </si>
  <si>
    <r>
      <t>Area (square kilometers [km</t>
    </r>
    <r>
      <rPr>
        <vertAlign val="superscript"/>
        <sz val="12"/>
        <color theme="1"/>
        <rFont val="Calibri (Body)"/>
      </rPr>
      <t>2</t>
    </r>
    <r>
      <rPr>
        <sz val="12"/>
        <color theme="1"/>
        <rFont val="Calibri"/>
        <family val="2"/>
        <scheme val="minor"/>
      </rPr>
      <t>])</t>
    </r>
  </si>
  <si>
    <t>Project Capacity (megawatts [MW])</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</si>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</sst>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0.0"/>
    <numFmt numFmtId="165" formatCode="#,##0.0"/>
    <numFmt numFmtId="166" formatCode="_(* #,##0_);_(* \(#,##0\);_(* &quot;-&quot;??_);_(@_)"/>
    <numFmt numFmtId="167" formatCode="&quot;$&quot;#,##0"/>
    <numFmt numFmtId="168" formatCode="_([$$-409]* #,##0.00_);_([$$-409]* \(#,##0.00\);_([$$-409]* &quot;-&quot;??_);_(@_)"/>
  </numFmts>
  <fonts count="10">
    <font>
      <sz val="12"/>
      <color theme="1"/>
      <name val="Calibri"/>
      <family val="2"/>
      <scheme val="minor"/>
    </font>
    <font>
      <b/>
      <sz val="12"/>
      <color theme="1"/>
      <name val="Calibri"/>
      <family val="2"/>
      <scheme val="minor"/>
    </font>
    <font>
      <b/>
      <sz val="18"/>
      <color theme="1"/>
      <name val="Calibri"/>
      <family val="2"/>
      <scheme val="minor"/>
    </font>
    <font>
      <sz val="12"/>
      <color theme="1"/>
      <name val="Times New Roman"/>
      <family val="1"/>
    </font>
    <font>
      <u/>
      <sz val="12"/>
      <color theme="10"/>
      <name val="Calibri"/>
      <family val="2"/>
      <scheme val="minor"/>
    </font>
    <font>
      <sz val="8"/>
      <name val="Calibri"/>
      <family val="2"/>
      <scheme val="minor"/>
    </font>
    <font>
      <sz val="12"/>
      <color theme="1"/>
      <name val="Calibri"/>
      <family val="2"/>
      <scheme val="minor"/>
    </font>
    <font>
      <vertAlign val="superscript"/>
      <sz val="12"/>
      <color theme="1"/>
      <name val="Calibri (Body)"/>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rgb="FF000000"/>
      </bottom>
      <diagonal/>
    </border>
    <border>
      <left style="thin">
        <color indexed="64"/>
      </left>
      <right/>
      <top/>
      <bottom style="thin">
        <color rgb="FF000000"/>
      </bottom>
      <diagonal/>
    </border>
    <border>
      <left/>
      <right style="thin">
        <color indexed="64"/>
      </right>
      <top/>
      <bottom/>
      <diagonal/>
    </border>
  </borders>
  <cellStyleXfs count="4">
    <xf numFmtId="0" fontId="0" fillId="0" borderId="0"/>
    <xf numFmtId="0" fontId="4"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cellStyleXfs>
  <cellXfs count="124">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2" fillId="0" borderId="0" xfId="0" applyFont="1" applyAlignment="1">
      <alignment horizontal="left"/>
    </xf>
    <xf numFmtId="0" fontId="2" fillId="0" borderId="0" xfId="0" applyFont="1"/>
    <xf numFmtId="0" fontId="4" fillId="0" borderId="0" xfId="1"/>
    <xf numFmtId="0" fontId="3" fillId="0" borderId="0" xfId="0" applyFont="1" applyAlignment="1">
      <alignment wrapText="1"/>
    </xf>
    <xf numFmtId="0" fontId="1" fillId="0" borderId="0" xfId="0" applyFont="1" applyAlignment="1">
      <alignment horizontal="center"/>
    </xf>
    <xf numFmtId="0" fontId="1" fillId="0" borderId="5" xfId="0" applyFont="1" applyBorder="1" applyAlignment="1">
      <alignment horizontal="center"/>
    </xf>
    <xf numFmtId="0" fontId="1" fillId="0" borderId="0" xfId="0" applyFont="1"/>
    <xf numFmtId="165" fontId="0" fillId="0" borderId="0" xfId="0" applyNumberFormat="1" applyAlignment="1">
      <alignment horizontal="right"/>
    </xf>
    <xf numFmtId="0" fontId="1" fillId="0" borderId="5" xfId="0" applyFont="1" applyBorder="1"/>
    <xf numFmtId="0" fontId="0" fillId="0" borderId="0" xfId="0" applyAlignment="1">
      <alignment horizontal="center" wrapText="1"/>
    </xf>
    <xf numFmtId="0" fontId="0" fillId="0" borderId="5" xfId="0" applyBorder="1" applyAlignment="1">
      <alignment horizontal="left" wrapText="1"/>
    </xf>
    <xf numFmtId="0" fontId="0" fillId="0" borderId="5" xfId="0" applyBorder="1" applyAlignment="1">
      <alignment horizontal="center" wrapText="1"/>
    </xf>
    <xf numFmtId="3" fontId="0" fillId="0" borderId="0" xfId="0" applyNumberFormat="1"/>
    <xf numFmtId="3" fontId="1" fillId="0" borderId="4" xfId="0" applyNumberFormat="1" applyFont="1" applyBorder="1"/>
    <xf numFmtId="3" fontId="1" fillId="0" borderId="6" xfId="0" applyNumberFormat="1" applyFont="1" applyBorder="1" applyAlignment="1">
      <alignment horizontal="center"/>
    </xf>
    <xf numFmtId="3" fontId="1" fillId="0" borderId="7" xfId="0" applyNumberFormat="1" applyFont="1" applyBorder="1" applyAlignment="1">
      <alignment horizontal="center"/>
    </xf>
    <xf numFmtId="0" fontId="1" fillId="0" borderId="4" xfId="0" applyFont="1" applyBorder="1"/>
    <xf numFmtId="3" fontId="0" fillId="0" borderId="0" xfId="0" applyNumberFormat="1" applyAlignment="1">
      <alignment horizontal="center"/>
    </xf>
    <xf numFmtId="0" fontId="0" fillId="0" borderId="0" xfId="0" applyAlignment="1">
      <alignment vertical="center" wrapText="1"/>
    </xf>
    <xf numFmtId="3" fontId="0" fillId="0" borderId="0" xfId="0" applyNumberFormat="1" applyAlignment="1">
      <alignment vertical="center" wrapText="1"/>
    </xf>
    <xf numFmtId="0" fontId="1" fillId="0" borderId="7" xfId="0" applyFont="1" applyBorder="1"/>
    <xf numFmtId="3" fontId="1" fillId="0" borderId="7" xfId="0" applyNumberFormat="1" applyFont="1" applyBorder="1"/>
    <xf numFmtId="3" fontId="1" fillId="0" borderId="6" xfId="0" applyNumberFormat="1" applyFont="1" applyBorder="1"/>
    <xf numFmtId="0" fontId="0" fillId="0" borderId="0" xfId="0" applyAlignment="1">
      <alignment vertical="center"/>
    </xf>
    <xf numFmtId="0" fontId="0" fillId="0" borderId="5" xfId="0" applyBorder="1" applyAlignment="1">
      <alignment vertical="center"/>
    </xf>
    <xf numFmtId="0" fontId="1" fillId="0" borderId="9" xfId="0" applyFont="1" applyBorder="1" applyAlignment="1">
      <alignment vertical="center"/>
    </xf>
    <xf numFmtId="3" fontId="0" fillId="0" borderId="0" xfId="0" applyNumberFormat="1" applyAlignment="1">
      <alignment vertical="center"/>
    </xf>
    <xf numFmtId="3" fontId="0" fillId="0" borderId="0" xfId="0" applyNumberFormat="1" applyAlignment="1">
      <alignment horizontal="right" vertical="center"/>
    </xf>
    <xf numFmtId="3" fontId="1" fillId="0" borderId="7" xfId="0" applyNumberFormat="1" applyFont="1" applyBorder="1" applyAlignment="1">
      <alignment horizontal="right" vertical="center"/>
    </xf>
    <xf numFmtId="0" fontId="1" fillId="0" borderId="4" xfId="0" applyFont="1" applyBorder="1" applyAlignment="1">
      <alignment vertical="center"/>
    </xf>
    <xf numFmtId="3" fontId="1" fillId="0" borderId="4" xfId="0" applyNumberFormat="1" applyFont="1" applyBorder="1" applyAlignment="1">
      <alignment vertical="center"/>
    </xf>
    <xf numFmtId="3" fontId="1" fillId="0" borderId="4" xfId="0" applyNumberFormat="1" applyFont="1" applyBorder="1" applyAlignment="1">
      <alignment horizontal="right" vertical="center"/>
    </xf>
    <xf numFmtId="3" fontId="1" fillId="0" borderId="6" xfId="0" applyNumberFormat="1" applyFont="1" applyBorder="1" applyAlignment="1">
      <alignment horizontal="right" vertical="center"/>
    </xf>
    <xf numFmtId="0" fontId="1" fillId="0" borderId="0" xfId="0" applyFont="1" applyAlignment="1">
      <alignment vertical="center"/>
    </xf>
    <xf numFmtId="0" fontId="0" fillId="0" borderId="0" xfId="2" applyNumberFormat="1" applyFont="1" applyBorder="1" applyAlignment="1">
      <alignment horizontal="right" vertical="center" wrapText="1"/>
    </xf>
    <xf numFmtId="166" fontId="0" fillId="0" borderId="0" xfId="2" applyNumberFormat="1" applyFont="1" applyBorder="1" applyAlignment="1">
      <alignment vertical="center" wrapText="1"/>
    </xf>
    <xf numFmtId="0" fontId="1" fillId="0" borderId="4" xfId="0" applyFont="1" applyBorder="1" applyAlignment="1">
      <alignment vertical="center" wrapText="1"/>
    </xf>
    <xf numFmtId="166" fontId="0" fillId="0" borderId="0" xfId="0" applyNumberFormat="1" applyAlignment="1">
      <alignment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8" xfId="0" applyFont="1" applyBorder="1" applyAlignment="1">
      <alignment horizontal="center" vertical="center"/>
    </xf>
    <xf numFmtId="0" fontId="0" fillId="0" borderId="0" xfId="0" applyAlignment="1">
      <alignment horizontal="left" vertical="center"/>
    </xf>
    <xf numFmtId="3" fontId="1" fillId="0" borderId="0" xfId="0" applyNumberFormat="1" applyFont="1" applyAlignment="1">
      <alignment horizontal="right" vertical="center"/>
    </xf>
    <xf numFmtId="0" fontId="1" fillId="0" borderId="4" xfId="0" applyFont="1" applyBorder="1" applyAlignment="1">
      <alignment horizontal="left" vertical="center"/>
    </xf>
    <xf numFmtId="0" fontId="0" fillId="0" borderId="0" xfId="0" applyAlignment="1">
      <alignment horizontal="right" vertical="center"/>
    </xf>
    <xf numFmtId="0" fontId="1" fillId="0" borderId="7" xfId="0" applyFont="1" applyBorder="1" applyAlignment="1">
      <alignment vertical="center"/>
    </xf>
    <xf numFmtId="3" fontId="1" fillId="0" borderId="7" xfId="0" applyNumberFormat="1" applyFont="1" applyBorder="1" applyAlignment="1">
      <alignment vertical="center"/>
    </xf>
    <xf numFmtId="3" fontId="1" fillId="0" borderId="6" xfId="0" applyNumberFormat="1" applyFont="1" applyBorder="1" applyAlignment="1">
      <alignment vertical="center"/>
    </xf>
    <xf numFmtId="6" fontId="0" fillId="0" borderId="0" xfId="0" applyNumberFormat="1" applyAlignment="1">
      <alignment vertical="center" wrapText="1"/>
    </xf>
    <xf numFmtId="167" fontId="0" fillId="0" borderId="0" xfId="3" applyNumberFormat="1" applyFont="1" applyAlignment="1">
      <alignment vertical="center" wrapText="1"/>
    </xf>
    <xf numFmtId="167" fontId="0" fillId="0" borderId="0" xfId="0" applyNumberFormat="1" applyAlignment="1">
      <alignment vertical="center" wrapText="1"/>
    </xf>
    <xf numFmtId="3" fontId="1" fillId="0" borderId="4" xfId="0" applyNumberFormat="1" applyFont="1" applyBorder="1" applyAlignment="1">
      <alignment vertical="center" wrapText="1"/>
    </xf>
    <xf numFmtId="2" fontId="1" fillId="0" borderId="4" xfId="0" applyNumberFormat="1" applyFont="1" applyBorder="1" applyAlignment="1">
      <alignment vertical="center" wrapText="1"/>
    </xf>
    <xf numFmtId="2" fontId="0" fillId="0" borderId="0" xfId="0" applyNumberFormat="1" applyAlignment="1">
      <alignment vertical="center" wrapText="1"/>
    </xf>
    <xf numFmtId="0" fontId="0" fillId="0" borderId="0" xfId="0" applyAlignment="1">
      <alignment horizontal="center" vertical="center" wrapText="1"/>
    </xf>
    <xf numFmtId="0" fontId="8" fillId="0" borderId="0" xfId="0" applyFont="1" applyAlignment="1">
      <alignment vertical="center" wrapText="1"/>
    </xf>
    <xf numFmtId="0" fontId="1" fillId="0" borderId="4" xfId="0" applyFont="1" applyBorder="1" applyAlignment="1">
      <alignment horizontal="center" vertical="center" wrapText="1"/>
    </xf>
    <xf numFmtId="0" fontId="9" fillId="0" borderId="4" xfId="0" applyFont="1" applyBorder="1" applyAlignment="1">
      <alignment vertical="center" wrapText="1"/>
    </xf>
    <xf numFmtId="1" fontId="0" fillId="0" borderId="0" xfId="0" applyNumberFormat="1" applyAlignment="1">
      <alignment vertical="center" wrapText="1"/>
    </xf>
    <xf numFmtId="3" fontId="0" fillId="0" borderId="4" xfId="0" applyNumberFormat="1" applyBorder="1" applyAlignment="1">
      <alignment horizontal="center"/>
    </xf>
    <xf numFmtId="0" fontId="1" fillId="0" borderId="9" xfId="0" applyFont="1" applyBorder="1" applyAlignment="1">
      <alignment horizontal="center"/>
    </xf>
    <xf numFmtId="3" fontId="1" fillId="0" borderId="4" xfId="0" applyNumberFormat="1" applyFont="1" applyBorder="1" applyAlignment="1">
      <alignment horizontal="center"/>
    </xf>
    <xf numFmtId="165" fontId="0" fillId="0" borderId="0" xfId="0" applyNumberFormat="1" applyAlignment="1">
      <alignment vertical="center" wrapText="1"/>
    </xf>
    <xf numFmtId="165" fontId="1" fillId="0" borderId="4" xfId="0" applyNumberFormat="1" applyFont="1" applyBorder="1" applyAlignment="1">
      <alignment vertical="center" wrapText="1"/>
    </xf>
    <xf numFmtId="0" fontId="1" fillId="0" borderId="5" xfId="0" applyFont="1" applyBorder="1" applyAlignment="1">
      <alignment horizontal="center" wrapText="1"/>
    </xf>
    <xf numFmtId="0" fontId="1" fillId="0" borderId="4" xfId="0" applyFont="1" applyBorder="1" applyAlignment="1">
      <alignment horizontal="center"/>
    </xf>
    <xf numFmtId="165" fontId="0" fillId="0" borderId="0" xfId="0" applyNumberFormat="1" applyAlignment="1">
      <alignment vertical="center"/>
    </xf>
    <xf numFmtId="165" fontId="1" fillId="0" borderId="4" xfId="0" applyNumberFormat="1" applyFont="1" applyBorder="1" applyAlignment="1">
      <alignment vertical="center"/>
    </xf>
    <xf numFmtId="0" fontId="1" fillId="0" borderId="7" xfId="0" applyFont="1" applyBorder="1" applyAlignment="1">
      <alignment horizontal="center" vertical="center"/>
    </xf>
    <xf numFmtId="0" fontId="0" fillId="0" borderId="7" xfId="0" applyBorder="1" applyAlignment="1">
      <alignment vertical="center"/>
    </xf>
    <xf numFmtId="167" fontId="0" fillId="0" borderId="0" xfId="0" applyNumberFormat="1" applyAlignment="1">
      <alignment vertical="center"/>
    </xf>
    <xf numFmtId="167" fontId="1" fillId="0" borderId="7" xfId="0" applyNumberFormat="1" applyFont="1" applyBorder="1" applyAlignment="1">
      <alignment vertical="center"/>
    </xf>
    <xf numFmtId="167" fontId="1" fillId="0" borderId="4" xfId="0" applyNumberFormat="1" applyFont="1" applyBorder="1" applyAlignment="1">
      <alignment vertical="center"/>
    </xf>
    <xf numFmtId="167" fontId="1" fillId="0" borderId="6" xfId="0" applyNumberFormat="1" applyFont="1" applyBorder="1" applyAlignment="1">
      <alignment vertical="center"/>
    </xf>
    <xf numFmtId="0" fontId="0" fillId="0" borderId="10" xfId="0" applyBorder="1" applyAlignment="1">
      <alignment vertical="center"/>
    </xf>
    <xf numFmtId="0" fontId="1" fillId="0" borderId="11" xfId="0" applyFont="1" applyBorder="1" applyAlignment="1">
      <alignment vertical="center"/>
    </xf>
    <xf numFmtId="3" fontId="0" fillId="0" borderId="0" xfId="0" applyNumberFormat="1" applyAlignment="1">
      <alignment horizontal="left" vertical="center"/>
    </xf>
    <xf numFmtId="1" fontId="0" fillId="0" borderId="0" xfId="2" applyNumberFormat="1" applyFont="1" applyAlignment="1">
      <alignment horizontal="right" vertical="center"/>
    </xf>
    <xf numFmtId="1" fontId="6" fillId="0" borderId="0" xfId="2" applyNumberFormat="1" applyFont="1" applyAlignment="1">
      <alignment horizontal="right" vertical="center"/>
    </xf>
    <xf numFmtId="3" fontId="0" fillId="0" borderId="0" xfId="0" applyNumberFormat="1" applyAlignment="1">
      <alignment horizontal="left" vertical="center" wrapText="1"/>
    </xf>
    <xf numFmtId="0" fontId="0" fillId="0" borderId="0" xfId="0" applyAlignment="1">
      <alignment horizontal="left" vertical="center" wrapText="1"/>
    </xf>
    <xf numFmtId="3" fontId="0" fillId="0" borderId="0" xfId="0" applyNumberFormat="1" applyAlignment="1">
      <alignment horizontal="right" vertical="center" wrapText="1"/>
    </xf>
    <xf numFmtId="165" fontId="0" fillId="0" borderId="4" xfId="0" applyNumberFormat="1" applyBorder="1" applyAlignment="1">
      <alignment horizontal="right" vertical="center"/>
    </xf>
    <xf numFmtId="165" fontId="0" fillId="0" borderId="0" xfId="0" applyNumberFormat="1" applyAlignment="1">
      <alignment horizontal="right" vertical="center"/>
    </xf>
    <xf numFmtId="1" fontId="0" fillId="0" borderId="4" xfId="0" applyNumberFormat="1" applyBorder="1" applyAlignment="1">
      <alignment horizontal="right" vertical="center"/>
    </xf>
    <xf numFmtId="1" fontId="0" fillId="0" borderId="0" xfId="0" applyNumberFormat="1" applyAlignment="1">
      <alignment horizontal="right" vertical="center"/>
    </xf>
    <xf numFmtId="165" fontId="1" fillId="0" borderId="4" xfId="0" applyNumberFormat="1" applyFont="1" applyBorder="1" applyAlignment="1">
      <alignment horizontal="right"/>
    </xf>
    <xf numFmtId="0" fontId="0" fillId="0" borderId="5" xfId="0" applyBorder="1" applyAlignment="1">
      <alignment horizontal="left" vertical="center"/>
    </xf>
    <xf numFmtId="0" fontId="0" fillId="0" borderId="9" xfId="0" applyBorder="1" applyAlignment="1">
      <alignment horizontal="left" vertical="center"/>
    </xf>
    <xf numFmtId="165" fontId="1" fillId="0" borderId="7" xfId="0" applyNumberFormat="1" applyFont="1" applyBorder="1" applyAlignment="1">
      <alignment vertical="center"/>
    </xf>
    <xf numFmtId="165" fontId="0" fillId="0" borderId="7" xfId="0" applyNumberFormat="1" applyBorder="1" applyAlignment="1">
      <alignment vertical="center"/>
    </xf>
    <xf numFmtId="165" fontId="1" fillId="0" borderId="4" xfId="0" applyNumberFormat="1" applyFont="1" applyBorder="1" applyAlignment="1">
      <alignment horizontal="right" vertical="center"/>
    </xf>
    <xf numFmtId="165" fontId="1" fillId="0" borderId="6" xfId="0" applyNumberFormat="1" applyFont="1" applyBorder="1" applyAlignment="1">
      <alignment vertical="center"/>
    </xf>
    <xf numFmtId="0" fontId="0" fillId="0" borderId="5" xfId="0" applyBorder="1" applyAlignment="1">
      <alignment horizontal="left" vertical="center" wrapText="1"/>
    </xf>
    <xf numFmtId="0" fontId="0" fillId="0" borderId="5" xfId="0" applyBorder="1" applyAlignment="1">
      <alignment horizontal="center" vertical="center" wrapText="1"/>
    </xf>
    <xf numFmtId="164" fontId="0" fillId="0" borderId="0" xfId="0" applyNumberFormat="1" applyAlignment="1">
      <alignment horizontal="right" vertical="center"/>
    </xf>
    <xf numFmtId="165" fontId="1" fillId="0" borderId="7" xfId="0" applyNumberFormat="1" applyFont="1" applyBorder="1" applyAlignment="1">
      <alignment horizontal="right"/>
    </xf>
    <xf numFmtId="165" fontId="1" fillId="0" borderId="6" xfId="0" applyNumberFormat="1" applyFont="1" applyBorder="1" applyAlignment="1">
      <alignment horizontal="right"/>
    </xf>
    <xf numFmtId="0" fontId="1" fillId="0" borderId="5" xfId="0" applyFont="1" applyBorder="1" applyAlignment="1">
      <alignment horizontal="left"/>
    </xf>
    <xf numFmtId="0" fontId="1" fillId="0" borderId="9" xfId="0" applyFont="1" applyBorder="1" applyAlignment="1">
      <alignment horizontal="left"/>
    </xf>
    <xf numFmtId="167" fontId="0" fillId="0" borderId="0" xfId="0" applyNumberFormat="1" applyAlignment="1">
      <alignment horizontal="right" vertical="center"/>
    </xf>
    <xf numFmtId="1" fontId="0" fillId="0" borderId="0" xfId="0" applyNumberFormat="1" applyAlignment="1">
      <alignment horizontal="left" vertical="center"/>
    </xf>
    <xf numFmtId="0" fontId="1" fillId="0" borderId="12" xfId="0" applyFont="1" applyBorder="1" applyAlignment="1">
      <alignment horizontal="center" vertical="center"/>
    </xf>
    <xf numFmtId="166" fontId="6" fillId="0" borderId="0" xfId="2" applyNumberFormat="1" applyFont="1" applyAlignment="1">
      <alignment horizontal="left" vertical="center"/>
    </xf>
    <xf numFmtId="166" fontId="0" fillId="0" borderId="0" xfId="2" applyNumberFormat="1" applyFont="1" applyBorder="1" applyAlignment="1">
      <alignment horizontal="left" vertical="center"/>
    </xf>
    <xf numFmtId="166" fontId="0" fillId="0" borderId="0" xfId="2" applyNumberFormat="1" applyFont="1" applyAlignment="1">
      <alignment horizontal="left" vertical="center"/>
    </xf>
    <xf numFmtId="3" fontId="1" fillId="0" borderId="4" xfId="0" applyNumberFormat="1" applyFont="1" applyBorder="1" applyAlignment="1">
      <alignment horizontal="right" vertical="center" wrapText="1"/>
    </xf>
    <xf numFmtId="1" fontId="0" fillId="0" borderId="0" xfId="0" applyNumberFormat="1" applyAlignment="1">
      <alignment horizontal="right" vertical="center" wrapText="1"/>
    </xf>
    <xf numFmtId="1" fontId="1" fillId="0" borderId="4" xfId="0" applyNumberFormat="1" applyFont="1" applyBorder="1" applyAlignment="1">
      <alignment horizontal="right" vertical="center" wrapText="1"/>
    </xf>
    <xf numFmtId="166" fontId="0" fillId="0" borderId="0" xfId="2" applyNumberFormat="1" applyFont="1" applyAlignment="1">
      <alignment vertical="center" wrapText="1"/>
    </xf>
    <xf numFmtId="168" fontId="0" fillId="0" borderId="0" xfId="0" applyNumberFormat="1" applyAlignment="1">
      <alignment vertical="center" wrapText="1"/>
    </xf>
    <xf numFmtId="4" fontId="0" fillId="0" borderId="0" xfId="0" applyNumberFormat="1" applyAlignment="1">
      <alignment horizontal="right" vertical="center" wrapText="1"/>
    </xf>
    <xf numFmtId="4" fontId="0" fillId="0" borderId="0" xfId="0" applyNumberFormat="1" applyAlignment="1">
      <alignment horizontal="left" vertical="center" wrapText="1"/>
    </xf>
    <xf numFmtId="0" fontId="3" fillId="0" borderId="0" xfId="0" applyFont="1" applyAlignment="1">
      <alignment horizontal="left"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4">
    <cellStyle name="Comma" xfId="2" builtinId="3"/>
    <cellStyle name="Currency" xfId="3" builtinId="4"/>
    <cellStyle name="Hyperlink" xfId="1" builtinId="8"/>
    <cellStyle name="Normal" xfId="0" builtinId="0"/>
  </cellStyles>
  <dxfs count="664">
    <dxf>
      <numFmt numFmtId="0" formatCode="General"/>
      <alignment horizontal="center" vertical="bottom" textRotation="0" wrapText="0" indent="0" justifyLastLine="0" shrinkToFit="0" readingOrder="0"/>
    </dxf>
    <dxf>
      <numFmt numFmtId="3" formatCode="#,##0"/>
    </dxf>
    <dxf>
      <numFmt numFmtId="3" formatCode="#,##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6" formatCode="_(* #,##0_);_(* \(#,##0\);_(* &quot;-&quot;??_);_(@_)"/>
      <alignment horizontal="left" vertical="center" textRotation="0" wrapText="0" indent="0" justifyLastLine="0" shrinkToFit="0" readingOrder="0"/>
    </dxf>
    <dxf>
      <numFmt numFmtId="1" formatCode="0"/>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horizontal="center"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vertical="center" textRotation="0" wrapText="1"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Calibri"/>
        <family val="2"/>
        <scheme val="minor"/>
      </font>
      <numFmt numFmtId="165" formatCode="#,##0.0"/>
      <alignment horizontal="right" vertical="bottom" textRotation="0" wrapText="0" indent="0" justifyLastLine="0" shrinkToFit="0" readingOrder="0"/>
      <border diagonalUp="0" diagonalDown="0">
        <left style="thin">
          <color indexed="64"/>
        </left>
        <right/>
        <vertical/>
      </border>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numFmt numFmtId="165" formatCode="#,##0.0"/>
      <alignment horizontal="general" vertical="center" textRotation="0" wrapText="0" indent="0" justifyLastLine="0" shrinkToFit="0" readingOrder="0"/>
      <border diagonalUp="0" diagonalDown="0" outline="0">
        <left style="thin">
          <color indexed="64"/>
        </left>
        <right/>
      </border>
    </dxf>
    <dxf>
      <numFmt numFmtId="165" formatCode="#,##0.0"/>
      <alignment horizontal="general" vertical="center" textRotation="0" wrapText="0" indent="0" justifyLastLine="0" shrinkToFit="0" readingOrder="0"/>
    </dxf>
    <dxf>
      <numFmt numFmtId="165" formatCode="#,##0.0"/>
      <alignment horizontal="righ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numFmt numFmtId="165" formatCode="#,##0.0"/>
      <alignment horizontal="right" vertical="center" textRotation="0" wrapText="0" indent="0" justifyLastLine="0" shrinkToFit="0" readingOrder="0"/>
    </dxf>
    <dxf>
      <border>
        <bottom style="thin">
          <color indexed="64"/>
        </bottom>
      </border>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left" vertical="center" textRotation="0" wrapText="1" indent="0" justifyLastLine="0" shrinkToFit="0" readingOrder="0"/>
    </dxf>
    <dxf>
      <alignment horizontal="left"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left"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center" textRotation="0" wrapText="0"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right" vertical="bottom" textRotation="0" wrapText="1" indent="0" justifyLastLine="0" shrinkToFit="0" readingOrder="0"/>
    </dxf>
    <dxf>
      <alignment horizontal="right" vertical="bottom"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right" vertical="center" textRotation="0" wrapText="1" indent="0" justifyLastLine="0" shrinkToFit="0" readingOrder="0"/>
    </dxf>
    <dxf>
      <alignment horizontal="left"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3"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alignment horizontal="righ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family val="2"/>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numFmt numFmtId="3" formatCode="#,##0"/>
      <alignment vertical="center" textRotation="0" wrapText="0" indent="0" justifyLastLine="0" shrinkToFit="0" readingOrder="0"/>
    </dxf>
    <dxf>
      <font>
        <b/>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vertical="center" textRotation="0" wrapText="0" indent="0" justifyLastLine="0" shrinkToFit="0" readingOrder="0"/>
    </dxf>
    <dxf>
      <font>
        <b/>
      </font>
      <alignment vertical="center" textRotation="0" wrapText="0" indent="0" justifyLastLine="0" shrinkToFit="0" readingOrder="0"/>
    </dxf>
    <dxf>
      <font>
        <b/>
      </font>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font>
      <alignment vertical="center" textRotation="0" wrapText="0" indent="0" justifyLastLine="0" shrinkToFit="0" readingOrder="0"/>
    </dxf>
    <dxf>
      <font>
        <b/>
      </font>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border diagonalUp="0" diagonalDown="0">
        <left style="thin">
          <color indexed="64"/>
        </left>
        <right/>
        <top/>
        <bottom/>
        <vertical/>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border outline="0">
        <bottom style="thin">
          <color rgb="FF000000"/>
        </bottom>
      </border>
    </dxf>
    <dxf>
      <alignment vertical="center" textRotation="0" wrapText="0" indent="0" justifyLastLine="0" shrinkToFit="0" readingOrder="0"/>
    </dxf>
    <dxf>
      <numFmt numFmtId="167" formatCode="&quot;$&quot;#,##0"/>
      <alignment horizontal="general" vertical="center" textRotation="0" wrapText="0" indent="0" justifyLastLine="0" shrinkToFit="0" readingOrder="0"/>
      <border diagonalUp="0" diagonalDown="0" outline="0">
        <left style="thin">
          <color indexed="64"/>
        </left>
        <right/>
        <top/>
        <bottom/>
      </border>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
      <font>
        <b/>
      </font>
      <numFmt numFmtId="3" formatCode="#,##0"/>
      <alignment horizontal="right" vertical="center" textRotation="0" wrapText="0" indent="0" justifyLastLine="0" shrinkToFit="0" readingOrder="0"/>
      <border diagonalUp="0" diagonalDown="0" outline="0">
        <left style="thin">
          <color indexed="64"/>
        </left>
        <right/>
      </border>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numFmt numFmtId="165" formatCode="#,##0.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font>
        <b/>
      </font>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font>
      <numFmt numFmtId="3" formatCode="#,##0"/>
      <alignment horizontal="center" vertical="bottom" textRotation="0" wrapText="0" indent="0" justifyLastLine="0" shrinkToFit="0" readingOrder="0"/>
    </dxf>
    <dxf>
      <font>
        <b val="0"/>
      </font>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numFmt numFmtId="165" formatCode="#,##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i/>
      </font>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3" formatCode="#,##0"/>
      <alignment vertical="center" textRotation="0" wrapText="0" indent="0" justifyLastLine="0" shrinkToFit="0" readingOrder="0"/>
      <border diagonalUp="0" diagonalDown="0" outline="0">
        <left style="thin">
          <color indexed="64"/>
        </left>
        <right/>
      </border>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alignment vertical="center" textRotation="0" wrapText="0" indent="0" justifyLastLine="0" shrinkToFit="0" readingOrder="0"/>
    </dxf>
    <dxf>
      <border diagonalUp="0" diagonalDown="0">
        <left style="medium">
          <color auto="1"/>
        </left>
        <right style="medium">
          <color auto="1"/>
        </right>
        <top/>
        <bottom style="medium">
          <color auto="1"/>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bottom style="medium">
          <color indexed="64"/>
        </bottom>
      </border>
    </dxf>
    <dxf>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0" formatCode="General"/>
      <alignment horizontal="righ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bottom style="thin">
          <color indexed="64"/>
        </bottom>
      </border>
    </dxf>
    <dxf>
      <alignment vertical="center" textRotation="0"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0CD28-CD33-A142-B739-E78386CCC66C}" name="Table9" displayName="Table9" ref="B3:E11" totalsRowShown="0" dataDxfId="663" tableBorderDxfId="662">
  <autoFilter ref="B3:E11" xr:uid="{0E80CD28-CD33-A142-B739-E78386CCC66C}">
    <filterColumn colId="0" hiddenButton="1"/>
    <filterColumn colId="1" hiddenButton="1"/>
    <filterColumn colId="2" hiddenButton="1"/>
    <filterColumn colId="3" hiddenButton="1"/>
  </autoFilter>
  <tableColumns count="4">
    <tableColumn id="1" xr3:uid="{49A8BFC4-90CB-4148-97F8-D2B94888ADAB}" name="Step" dataDxfId="661"/>
    <tableColumn id="2" xr3:uid="{7E1A1BFB-55EA-CA47-B723-E159A9DA9F3A}" name="Phase Name" dataDxfId="660"/>
    <tableColumn id="4" xr3:uid="{5991CD89-81ED-CC4C-9EAC-2BEA0AE0B829}" name="Start Criteria" dataDxfId="659"/>
    <tableColumn id="3" xr3:uid="{A99D67A4-FD89-3D4F-9C12-6B6BE004EDCD}" name="End Criteria" dataDxfId="65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8C685D5-1D23-3347-BE65-12D2E1FE7849}" name="Table25" displayName="Table25" ref="B3:G35" totalsRowShown="0" headerRowDxfId="547" dataDxfId="546" tableBorderDxfId="545">
  <autoFilter ref="B3:G35"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4DCE4DEA-C07E-3E48-84A1-61E5F5D5458B}" name="Location" dataDxfId="544"/>
    <tableColumn id="2" xr3:uid="{52B46103-96C1-7343-9523-4A384C1ECB23}" name="Lease Number" dataDxfId="543"/>
    <tableColumn id="3" xr3:uid="{FC7BA018-4699-DE41-A856-B7F19DBF1092}" name="Area (km2)" dataDxfId="542"/>
    <tableColumn id="4" xr3:uid="{B764F742-F476-A646-B8B3-A25C6F9F3A9F}" name="Date Issued" dataDxfId="541"/>
    <tableColumn id="5" xr3:uid="{C3AAD2E3-AC5C-9948-A046-9335B4A11514}" name="Project(s) Being Developed in Lease Area" dataDxfId="540"/>
    <tableColumn id="6" xr3:uid="{D8A2AD39-A30E-0844-8169-7CD7DFC817F8}" name="Status" dataDxfId="539"/>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A1ED5D1-26B7-6C43-8F65-2F7A7368ED8A}" name="Table252728" displayName="Table252728" ref="B3:G5" totalsRowShown="0" headerRowDxfId="538" dataDxfId="537" tableBorderDxfId="536">
  <autoFilter ref="B3:G5"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7F68DA6F-75B2-6C4C-BAE9-34F75D52C5E1}" name="Lease Number" dataDxfId="535"/>
    <tableColumn id="2" xr3:uid="{FF6DC0CC-5E6E-2044-B20A-81BEF8882D5F}" name="Developer" dataDxfId="534"/>
    <tableColumn id="3" xr3:uid="{17F0E037-5876-F94C-A11D-CA6F92D2D50F}" name="Area (km2)" dataDxfId="533"/>
    <tableColumn id="4" xr3:uid="{67CA3974-A263-7B4C-A6DE-62B3AD225F0C}" name="Capacity (MW)" dataDxfId="532"/>
    <tableColumn id="5" xr3:uid="{7CC3CE63-1EB7-494A-B902-29A59C405681}" name="Price" dataDxfId="531"/>
    <tableColumn id="6" xr3:uid="{7164AB89-2768-954A-A1DF-A4393F29AC00}" name="Price per km2" dataDxfId="53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761E479-37A9-C44C-A738-A8A53727383A}" name="Table2527" displayName="Table2527" ref="B3:H8" totalsRowShown="0" headerRowDxfId="529" dataDxfId="528" tableBorderDxfId="527">
  <autoFilter ref="B3:H8" xr:uid="{68C685D5-1D23-3347-BE65-12D2E1FE78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F5BED8-8591-D045-8786-0F5D9200798A}" name="Lease Number" dataDxfId="526"/>
    <tableColumn id="2" xr3:uid="{E54F7EDD-B9A7-B84D-864B-04481DDF78F8}" name="Location" dataDxfId="525"/>
    <tableColumn id="3" xr3:uid="{63E20FCE-89AB-BA42-9316-BA9CE948ABE0}" name="Developer" dataDxfId="524"/>
    <tableColumn id="4" xr3:uid="{A0532ED8-0B47-5E4F-89DA-B29BD502F6F7}" name="Area (km2)" dataDxfId="523"/>
    <tableColumn id="5" xr3:uid="{41C04BED-B70B-CA47-954B-E58F1D1D71EF}" name="Capacity (MW)" dataDxfId="522"/>
    <tableColumn id="6" xr3:uid="{E2E33B89-F8AA-FA47-8220-6F417F1E97A5}" name="Price" dataDxfId="521"/>
    <tableColumn id="7" xr3:uid="{F7108550-1441-7740-8AD2-0D6424BA3B38}" name="Price per km2" dataDxfId="520"/>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413C75A-9E1C-B549-A0B1-1FF2C1E14FF2}" name="Table25272829" displayName="Table25272829" ref="B3:G30" totalsRowShown="0" headerRowDxfId="519" dataDxfId="518" tableBorderDxfId="517">
  <autoFilter ref="B3:G30"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6577F839-FC6E-7749-B46A-7F1834E7D9EE}" name="State" dataDxfId="516"/>
    <tableColumn id="2" xr3:uid="{0301675A-9736-6D47-98F2-E4427B0F3186}" name="Lease " dataDxfId="515"/>
    <tableColumn id="3" xr3:uid="{65E72D56-64DD-C340-9FF7-0E5EEEB15509}" name="Year" dataDxfId="514"/>
    <tableColumn id="10" xr3:uid="{8AABF3E5-D0B6-CC47-8A89-DD6096B9CD56}" name="Lease Price ($)" dataDxfId="513" dataCellStyle="Currency"/>
    <tableColumn id="12" xr3:uid="{E0E77449-E757-D24B-97B5-129579750D3D}" name="$/km2" dataDxfId="512"/>
    <tableColumn id="4" xr3:uid="{C7EC0F9C-8440-0E4E-B3E4-3A740D385FA7}" name="Offtake Available" dataDxfId="51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550D07-F1B6-2843-9938-3EF643001860}" name="Table252730" displayName="Table252730" ref="B3:G30" totalsRowShown="0" headerRowDxfId="510" dataDxfId="509" tableBorderDxfId="508">
  <autoFilter ref="B3:G30"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3387C9FA-CB40-884C-BED6-762777407241}" name="Year" dataDxfId="507"/>
    <tableColumn id="2" xr3:uid="{4AD8CC51-F3BF-A040-AEFA-4A5E76377F68}" name="State" dataDxfId="506"/>
    <tableColumn id="3" xr3:uid="{DB0CE250-C6D4-F647-A623-E718960F84A6}" name="Lease" dataDxfId="505"/>
    <tableColumn id="4" xr3:uid="{B2E985A7-48D7-004D-9812-0AC7A046BFB3}" name="Lease Price 2022$" dataDxfId="504"/>
    <tableColumn id="5" xr3:uid="{B7087AA2-B372-9945-84E4-59A1781B9A6A}" name="$/km2" dataDxfId="503"/>
    <tableColumn id="6" xr3:uid="{BD932269-28CF-1B4B-B382-AF0B00735083}" name="Substructure" dataDxfId="502"/>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3B4923-BF68-3940-8C72-343B95FC786A}" name="Table2527303112" displayName="Table2527303112" ref="B3:E6" totalsRowShown="0" headerRowDxfId="501" dataDxfId="500" tableBorderDxfId="499">
  <autoFilter ref="B3:E6" xr:uid="{68C685D5-1D23-3347-BE65-12D2E1FE7849}">
    <filterColumn colId="0" hiddenButton="1"/>
    <filterColumn colId="1" hiddenButton="1"/>
    <filterColumn colId="2" hiddenButton="1"/>
    <filterColumn colId="3" hiddenButton="1"/>
  </autoFilter>
  <tableColumns count="4">
    <tableColumn id="1" xr3:uid="{0F578155-FADF-6B47-AE06-8CEB6693F951}" name="Lease Number" dataDxfId="498"/>
    <tableColumn id="2" xr3:uid="{BD3E5541-3F70-C642-AC17-42D6D972B007}" name="Location" dataDxfId="497"/>
    <tableColumn id="3" xr3:uid="{98309D1F-C94B-4D4B-934A-0FB0DDE82C4F}" name="Area (km2)" dataDxfId="496"/>
    <tableColumn id="4" xr3:uid="{5A9BD729-1B58-4841-A569-54BCECDA7A15}" name="Capacity (MW)" dataDxfId="495"/>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5F77860-A453-334B-B3A0-BB19EDA9A47D}" name="Table25273031" displayName="Table25273031" ref="B3:F16" totalsRowShown="0" headerRowDxfId="494" dataDxfId="493" tableBorderDxfId="492">
  <autoFilter ref="B3:F16" xr:uid="{68C685D5-1D23-3347-BE65-12D2E1FE7849}">
    <filterColumn colId="0" hiddenButton="1"/>
    <filterColumn colId="1" hiddenButton="1"/>
    <filterColumn colId="2" hiddenButton="1"/>
    <filterColumn colId="3" hiddenButton="1"/>
    <filterColumn colId="4" hiddenButton="1"/>
  </autoFilter>
  <tableColumns count="5">
    <tableColumn id="1" xr3:uid="{0E041EE9-D563-3749-AAAF-388E126ABD5D}" name="State" dataDxfId="491"/>
    <tableColumn id="2" xr3:uid="{F01BC6C6-EED9-3248-B4A2-E3B23CE83091}" name="Name" dataDxfId="490"/>
    <tableColumn id="3" xr3:uid="{4C0B5462-287F-E946-A23D-37FF45F774F4}" name="Year Designated" dataDxfId="489"/>
    <tableColumn id="4" xr3:uid="{2B0B1727-987C-D44A-A1D0-F9E03AD6C7F8}" name="Area (km2)" dataDxfId="488"/>
    <tableColumn id="7" xr3:uid="{1B653FE4-7FD6-4641-AE56-821D33227E34}" name="Likely Substructure Type" dataDxfId="487"/>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7EB202F6-35FD-7741-9943-1A25C600AE74}" name="Table252730311355" displayName="Table252730311355" ref="B3:H22" totalsRowShown="0" headerRowDxfId="486" dataDxfId="485" tableBorderDxfId="484">
  <autoFilter ref="B3:H22" xr:uid="{7EB202F6-35FD-7741-9943-1A25C600AE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6A6A040-DF8C-7049-9086-2954816575D6}" name="Project" dataDxfId="483"/>
    <tableColumn id="2" xr3:uid="{306F2A8B-3070-A542-8C4B-36B94DC4F8CD}" name="Lease Area Name" dataDxfId="482"/>
    <tableColumn id="3" xr3:uid="{F52B95BB-F6FF-344D-AB79-B3E4FF726CFB}" name="State" dataDxfId="481"/>
    <tableColumn id="4" xr3:uid="{B5724D65-8BCA-7647-BA39-3B816AA71764}" name="Area (acres)" dataDxfId="480"/>
    <tableColumn id="7" xr3:uid="{A2D472C2-B93F-1C45-9015-AF7D276E9A9C}" name="Area (km2)" dataDxfId="479"/>
    <tableColumn id="5" xr3:uid="{85154088-43B3-4546-BC34-7BC9DB2066F7}" name="Project Capacity (MW)" dataDxfId="478"/>
    <tableColumn id="6" xr3:uid="{890580A0-D6C8-DD46-B023-50FB1CB6B78D}" name="Weighted-Average Capacity Density (MW/km2)" dataDxfId="47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5B0AC4C-9B28-0C4E-8DBB-AB99BC0B4C0D}" name="Table2527303132" displayName="Table2527303132" ref="B3:J30" totalsRowShown="0" headerRowDxfId="476" dataDxfId="475" tableBorderDxfId="474">
  <autoFilter ref="B3:J30" xr:uid="{68C685D5-1D23-3347-BE65-12D2E1FE78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D21A360-86BF-7F4F-8D0F-AFBEC55AC668}" name="Project" dataDxfId="473"/>
    <tableColumn id="2" xr3:uid="{2569F5C3-639F-6848-9DEC-F5F484B1E13D}" name="Year Awarded" dataDxfId="472"/>
    <tableColumn id="3" xr3:uid="{D22EAA0F-03FF-304C-96E7-62A5504DE09E}" name="Size (MW)" dataDxfId="471"/>
    <tableColumn id="4" xr3:uid="{32EDFD57-FA13-6243-8426-E96B872CEEB0}" name="Duration (Years)" dataDxfId="470"/>
    <tableColumn id="7" xr3:uid="{A4891D14-94DA-AC43-A20F-C5298C41C47D}" name="Offtake Type" dataDxfId="469"/>
    <tableColumn id="8" xr3:uid="{43B04341-7BB4-914B-8500-03A4F4CE0641}" name="Regulator Approved" dataDxfId="468"/>
    <tableColumn id="9" xr3:uid="{0AEAE566-85A8-F840-95E0-64F5B070416F}" name="Levelized Nominal Price ($/megawatt-hour [MWh])" dataDxfId="467"/>
    <tableColumn id="11" xr3:uid="{958B93B5-6864-6749-8B05-7A26014F2045}" name="Inflation-Adjusted Price (2023$/MWh)" dataDxfId="466"/>
    <tableColumn id="5" xr3:uid="{7204135C-5600-DB40-B04C-24CB6937B970}" name="Power Delivery Year" dataDxfId="465"/>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2C08165-DF33-744F-9900-602F50D6B1F0}" name="Table252730313233" displayName="Table252730313233" ref="B3:J17" totalsRowShown="0" headerRowDxfId="464" dataDxfId="463" tableBorderDxfId="462">
  <autoFilter ref="B3:J17" xr:uid="{68C685D5-1D23-3347-BE65-12D2E1FE78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EB2A37C-C9A0-D341-B28C-9E0F7DDD9948}" name="State" dataDxfId="461"/>
    <tableColumn id="2" xr3:uid="{0A2E6A4F-2F00-FB49-8655-8E7B32FE65E6}" name="Planning Goal - Capacity (MW)" dataDxfId="460"/>
    <tableColumn id="3" xr3:uid="{46C48EFF-8842-B149-B425-A5F9ADE5E37D}" name="Planning Goal - Year" dataDxfId="459"/>
    <tableColumn id="4" xr3:uid="{B6C396D7-25EF-774A-83C2-C9D96E2EE584}" name="Mandated Procurement - Capacity (MW)" dataDxfId="458"/>
    <tableColumn id="7" xr3:uid="{5C7B532F-E0ED-5247-8DBB-C0C6D768917D}" name="Mandated Procurement - Year" dataDxfId="457"/>
    <tableColumn id="8" xr3:uid="{5B75AC1A-0733-9549-9525-A3817D804E34}" name="Offtake Contracts Awarded (MW)" dataDxfId="456"/>
    <tableColumn id="5" xr3:uid="{8DD39B38-993E-2B4A-BB91-8CE178F1F38C}" name="Awarded Projects (MW)" dataDxfId="455"/>
    <tableColumn id="6" xr3:uid="{5C729604-4E2F-CD4A-8799-F8B6D206D319}" name="Open/Pending Procurement (MW)" dataDxfId="454"/>
    <tableColumn id="9" xr3:uid="{AB3D5F77-BBBB-8845-8270-19E7B0AAF072}" name="Supporting Policies and Documents" dataDxfId="45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4536592-E3C4-C749-95A5-D77ACBC5AF0B}" name="Table920" displayName="Table920" ref="B3:D10" totalsRowShown="0" headerRowDxfId="657" dataDxfId="656" tableBorderDxfId="655">
  <autoFilter ref="B3:D10" xr:uid="{0E80CD28-CD33-A142-B739-E78386CCC66C}">
    <filterColumn colId="0" hiddenButton="1"/>
    <filterColumn colId="1" hiddenButton="1"/>
    <filterColumn colId="2" hiddenButton="1"/>
  </autoFilter>
  <tableColumns count="3">
    <tableColumn id="1" xr3:uid="{2C4A39B5-C02E-DB45-8094-9ECDC0494546}" name="Status" dataDxfId="654"/>
    <tableColumn id="2" xr3:uid="{0AD0B5BA-608E-2044-B8E6-D8C76CA3924D}" name="Description" dataDxfId="653"/>
    <tableColumn id="3" xr3:uid="{75D26DC5-D4D9-E84C-AAF1-A0B3FEC8E25E}" name="Total (MW)" dataDxfId="652" dataCellStyle="Comma"/>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738DA8D-6FBF-9A4C-90FC-FB8C2E7C11C9}" name="Table25273031323334" displayName="Table25273031323334" ref="B3:F11" totalsRowShown="0" headerRowDxfId="452" dataDxfId="451" tableBorderDxfId="450">
  <autoFilter ref="B3:F11" xr:uid="{68C685D5-1D23-3347-BE65-12D2E1FE7849}">
    <filterColumn colId="0" hiddenButton="1"/>
    <filterColumn colId="1" hiddenButton="1"/>
    <filterColumn colId="2" hiddenButton="1"/>
    <filterColumn colId="3" hiddenButton="1"/>
    <filterColumn colId="4" hiddenButton="1"/>
  </autoFilter>
  <tableColumns count="5">
    <tableColumn id="1" xr3:uid="{286050F1-D5E3-144F-9AC6-EF5ADF2E04D7}" name="Vessel Category (Vessel Name)" dataDxfId="449"/>
    <tableColumn id="2" xr3:uid="{20CDEB49-DD04-9C4D-A230-7EEA9356E264}" name="Companies Backing" dataDxfId="448"/>
    <tableColumn id="3" xr3:uid="{FB31F968-9DF5-BC43-B96F-DEA96BA56B88}" name="Project Contracts" dataDxfId="447"/>
    <tableColumn id="4" xr3:uid="{5004B75D-E613-9440-A210-FDBF0C33C145}" name="Commissioning" dataDxfId="446"/>
    <tableColumn id="7" xr3:uid="{C34B7FD7-C0A7-A145-94CB-F83C5934CFB7}" name="Source(s)" dataDxfId="44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CF932A7-4B52-1340-A489-ED9EBA5A09D4}" name="Table2527303132333421" displayName="Table2527303132333421" ref="B3:F31" totalsRowShown="0" headerRowDxfId="444" dataDxfId="443" tableBorderDxfId="442">
  <autoFilter ref="B3:F31" xr:uid="{68C685D5-1D23-3347-BE65-12D2E1FE7849}">
    <filterColumn colId="0" hiddenButton="1"/>
    <filterColumn colId="1" hiddenButton="1"/>
    <filterColumn colId="2" hiddenButton="1"/>
    <filterColumn colId="3" hiddenButton="1"/>
    <filterColumn colId="4" hiddenButton="1"/>
  </autoFilter>
  <tableColumns count="5">
    <tableColumn id="1" xr3:uid="{CED62953-FCF1-414A-A18B-577093AEABE6}" name="Vessel Category (Vessel Name)" dataDxfId="441"/>
    <tableColumn id="2" xr3:uid="{F8AEF994-9C1D-AD41-88B4-63D95A370D19}" name="Companies Backing" dataDxfId="440"/>
    <tableColumn id="3" xr3:uid="{3CF2AF80-6004-C24C-8D8A-99AA68EB650C}" name="Project Contracts" dataDxfId="439"/>
    <tableColumn id="4" xr3:uid="{12170A1C-6040-0745-B5BD-DD17E391AF81}" name="Commissioning" dataDxfId="438"/>
    <tableColumn id="7" xr3:uid="{E7609CAF-9204-7643-B43F-6CECFFE09D26}" name="Source(s)" dataDxfId="437"/>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F888A30-13F2-C94E-BA96-C2225945C2D9}" name="Table2527303132333422" displayName="Table2527303132333422" ref="B3:F18" totalsRowShown="0" headerRowDxfId="436" dataDxfId="435" tableBorderDxfId="434">
  <autoFilter ref="B3:F18" xr:uid="{68C685D5-1D23-3347-BE65-12D2E1FE7849}">
    <filterColumn colId="0" hiddenButton="1"/>
    <filterColumn colId="1" hiddenButton="1"/>
    <filterColumn colId="2" hiddenButton="1"/>
    <filterColumn colId="3" hiddenButton="1"/>
    <filterColumn colId="4" hiddenButton="1"/>
  </autoFilter>
  <tableColumns count="5">
    <tableColumn id="1" xr3:uid="{672DBF7C-F025-F945-B3FB-8C1782B65975}" name="Port" dataDxfId="433"/>
    <tableColumn id="2" xr3:uid="{E7EAB05B-A036-3C4A-8F65-F89CDF9700B2}" name="State" dataDxfId="432"/>
    <tableColumn id="3" xr3:uid="{D92F6215-B98D-E74E-BFAB-2CF60CF1AACE}" name="Type of Investment" dataDxfId="431"/>
    <tableColumn id="4" xr3:uid="{8F4023A3-D8AE-184C-90C2-23CD7FE7330E}" name="Announced Investment ($ million)" dataDxfId="430"/>
    <tableColumn id="7" xr3:uid="{08F22AB5-87DC-EA43-9694-10F5832DF6DF}" name="Funding Source" dataDxfId="42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45FE9C-4411-3847-91B7-BE333A73F656}" name="Table4" displayName="Table4" ref="B3:Q27" totalsRowShown="0" headerRowDxfId="428" dataDxfId="426" headerRowBorderDxfId="427" tableBorderDxfId="425">
  <autoFilter ref="B3:Q27" xr:uid="{A51EE0CC-2C83-7743-B2E9-3CE9A11B9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D4B6321-B53C-4148-84C9-0F3ADD292714}" name="Commercial Operation Date" dataDxfId="424"/>
    <tableColumn id="2" xr3:uid="{9918B51E-471E-5843-89D7-FC7847017685}" name="China" dataDxfId="423"/>
    <tableColumn id="3" xr3:uid="{9242250C-C6D4-1448-B918-AE8442A5160F}" name="Denmark" dataDxfId="422"/>
    <tableColumn id="4" xr3:uid="{7B74EEED-1256-304D-B5F6-7127D3D98800}" name="France" dataDxfId="421"/>
    <tableColumn id="5" xr3:uid="{4991BC2B-1A29-444C-B09C-3F8EB7C50618}" name="Germany" dataDxfId="420"/>
    <tableColumn id="6" xr3:uid="{0FE0E66C-AE70-6745-8289-8009CA250F55}" name="Italy" dataDxfId="419"/>
    <tableColumn id="7" xr3:uid="{D6057629-3097-EC43-A693-EE252118B286}" name="Japan" dataDxfId="418"/>
    <tableColumn id="8" xr3:uid="{C6F44D1D-9A79-644C-BE33-CACC2EB46C85}" name="Netherlands" dataDxfId="417"/>
    <tableColumn id="9" xr3:uid="{9376E654-DAC0-BF4D-931F-3A9F5D84028E}" name="Other Asia" dataDxfId="416"/>
    <tableColumn id="10" xr3:uid="{FEB5D747-D311-2748-8552-71DA70CC582C}" name="Other Europe" dataDxfId="415"/>
    <tableColumn id="11" xr3:uid="{D74F95E5-AE6E-0545-B9C7-930944F66CB4}" name="Taiwan" dataDxfId="414"/>
    <tableColumn id="12" xr3:uid="{F75CFBE8-2ED2-1541-B169-A07B19999568}" name="United Kingdom" dataDxfId="413"/>
    <tableColumn id="13" xr3:uid="{8D030CF4-48C0-6949-B70B-7325C65D4283}" name="United States" dataDxfId="412"/>
    <tableColumn id="14" xr3:uid="{3E553592-3B91-6445-BC01-D2C1E0F69225}" name="Vietnam" dataDxfId="411"/>
    <tableColumn id="15" xr3:uid="{413F9BA3-2898-714E-8F1C-CC2D16939839}" name="Total" dataDxfId="410"/>
    <tableColumn id="16" xr3:uid="{2F2D0E14-DAF7-4F2A-BF26-3959E2BE9FFB}" name="Column1" dataDxfId="0">
      <calculatedColumnFormula>ROUND(Table4[[#This Row],[Total]]/1000,3)</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09F936C-1D83-9E42-BCE1-AA95F91301CC}" name="Table37" displayName="Table37" ref="B3:D16" totalsRowShown="0" headerRowDxfId="409" dataDxfId="408" tableBorderDxfId="407">
  <autoFilter ref="B3:D16" xr:uid="{709F936C-1D83-9E42-BCE1-AA95F91301CC}">
    <filterColumn colId="0" hiddenButton="1"/>
    <filterColumn colId="1" hiddenButton="1"/>
    <filterColumn colId="2" hiddenButton="1"/>
  </autoFilter>
  <tableColumns count="3">
    <tableColumn id="1" xr3:uid="{714AFA56-DE88-684B-9DCC-1DFE5B6643E6}" name="Country" dataDxfId="406"/>
    <tableColumn id="2" xr3:uid="{2EFBFFFB-16FF-7649-B791-1E3E5DD41EDC}" name="Installed" dataDxfId="405"/>
    <tableColumn id="3" xr3:uid="{253FE596-B1F7-9D4F-988C-CE389B0BD6A3}" name="Under Construction" dataDxfId="404"/>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BC586D-AB50-3542-8E36-C2C4E29CDF4B}" name="Table5" displayName="Table5" ref="B3:R37" totalsRowShown="0" headerRowDxfId="403" dataDxfId="401" headerRowBorderDxfId="402" tableBorderDxfId="400">
  <autoFilter ref="B3:R37"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BFE27B9-7EB6-3740-A33E-A3DB6526DF45}" name="Commercial Operation Date" dataDxfId="399"/>
    <tableColumn id="2" xr3:uid="{31840C3D-9FB1-724B-BC75-A4E5FFAD6FA1}" name="Belgium" dataDxfId="398"/>
    <tableColumn id="3" xr3:uid="{4FB59E03-AEB1-004D-9B22-4C5E2EC3AC4B}" name="China" dataDxfId="397"/>
    <tableColumn id="4" xr3:uid="{87895B72-6503-4742-8DBD-E2672C66AEC7}" name="Denmark" dataDxfId="396"/>
    <tableColumn id="5" xr3:uid="{1BB076DB-6DC0-CB40-BEFF-DEF5D69822E4}" name="Germany" dataDxfId="395"/>
    <tableColumn id="6" xr3:uid="{27FB366B-4229-D246-AC05-5ADBC88F0661}" name="Netherlands" dataDxfId="394"/>
    <tableColumn id="16" xr3:uid="{4FF1DB7A-97B0-DD43-AF0D-E766BCE3FFF2}" name="New Zealand" dataDxfId="393"/>
    <tableColumn id="7" xr3:uid="{35EECAD7-D4C8-934F-BB5F-1D7C297BBF58}" name="Oceania" dataDxfId="392"/>
    <tableColumn id="8" xr3:uid="{7D1E914E-9396-B140-9369-81F162914651}" name="Other Americas" dataDxfId="391"/>
    <tableColumn id="9" xr3:uid="{D2211731-ECAB-964D-B2E5-7EC3DCC57555}" name="Other Asia" dataDxfId="390"/>
    <tableColumn id="10" xr3:uid="{1E449F16-C30E-A849-B7FF-47A4C6926F5D}" name="Other Europe" dataDxfId="389"/>
    <tableColumn id="11" xr3:uid="{A0C3C7D4-3E96-FC48-8D2D-41CEF8E1B0E3}" name="South Korea" dataDxfId="388"/>
    <tableColumn id="12" xr3:uid="{19BF991F-02C1-344E-AEAF-D95160BDDC6A}" name="Taiwan" dataDxfId="387"/>
    <tableColumn id="13" xr3:uid="{1B13F753-24F0-2649-86F7-921442EF77C1}" name="United Kingdom" dataDxfId="386"/>
    <tableColumn id="14" xr3:uid="{C5F23045-FEFD-7A4F-B8C7-6C815797AF56}" name="United States" dataDxfId="385"/>
    <tableColumn id="15" xr3:uid="{6E803258-D43E-384B-8EA5-ACB124E7F889}" name="Vietnam" dataDxfId="384"/>
    <tableColumn id="17" xr3:uid="{BB1A72A0-0120-5D4E-8BB5-A5646922307E}" name="Total" dataDxfId="383"/>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967805-B972-A94B-AE5E-0EC50FA85455}" name="Table8" displayName="Table8" ref="B3:K8" totalsRowShown="0" headerRowDxfId="382" dataDxfId="381" tableBorderDxfId="380">
  <autoFilter ref="B3:K8" xr:uid="{126E2B94-9346-044C-A141-6785EF76A4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2B595CB-B19C-CE4E-9B4E-F98908FC9533}" name="Commercial Operation Date" dataDxfId="379"/>
    <tableColumn id="2" xr3:uid="{A4800B88-6D80-7F4A-985C-114FCBE052D7}" name="China" dataDxfId="378"/>
    <tableColumn id="3" xr3:uid="{AA1F9795-6543-D74F-B841-9925B0DEC52B}" name="Denmark" dataDxfId="377"/>
    <tableColumn id="4" xr3:uid="{BE081E66-F9D0-184F-95EB-9FA6F10C8BED}" name="Germany" dataDxfId="376"/>
    <tableColumn id="5" xr3:uid="{DE59DA38-347B-9142-BDDC-12381B385992}" name="Netherlands" dataDxfId="375"/>
    <tableColumn id="6" xr3:uid="{95A094BD-23ED-1C42-B884-CA2CEEFE5AAE}" name="Other Asia" dataDxfId="374"/>
    <tableColumn id="7" xr3:uid="{0D04FDB5-DE83-094F-9EEF-6BEC9A62FB03}" name="Other Europe" dataDxfId="373"/>
    <tableColumn id="8" xr3:uid="{6AFC8274-BB35-E648-84FC-52009AB6D7FC}" name="United Kingdom" dataDxfId="372"/>
    <tableColumn id="9" xr3:uid="{263128AF-626E-D649-8A79-643779906741}" name="United States" dataDxfId="371"/>
    <tableColumn id="10" xr3:uid="{F26AD2E8-42FE-AF4E-8270-112EF83909FE}" name="Total" dataDxfId="370"/>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982C47-A0A5-0C4C-A97F-CC183D321D70}" name="Table539" displayName="Table539" ref="B3:S26" totalsRowShown="0" headerRowDxfId="369" dataDxfId="367" headerRowBorderDxfId="368" tableBorderDxfId="366">
  <autoFilter ref="B3:S26"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7C1D31C-7073-C64E-8E22-D6C34E5238EF}" name="Country" dataDxfId="365"/>
    <tableColumn id="2" xr3:uid="{73C742AC-9853-EB4A-9DB8-EF37014B86A8}" name="Norway" dataDxfId="364"/>
    <tableColumn id="3" xr3:uid="{2FA31933-91CD-A842-A495-32FE801BEDE1}" name="Portugal" dataDxfId="363"/>
    <tableColumn id="4" xr3:uid="{57B3F9E7-FC9D-134C-803C-FFB4583C9A0A}" name="Japan" dataDxfId="362"/>
    <tableColumn id="5" xr3:uid="{FE8A3509-BF19-4643-9C19-2BACED3B07B5}" name="Colombia" dataDxfId="361"/>
    <tableColumn id="6" xr3:uid="{86297EA4-2391-E94F-9349-26697AF64211}" name="Saudi Arabia" dataDxfId="360"/>
    <tableColumn id="16" xr3:uid="{65936C56-C5C9-2241-8471-7B8ABAE4D2B1}" name="France" dataDxfId="359"/>
    <tableColumn id="7" xr3:uid="{E869C87A-863B-7440-BD4C-74EE5EC860F6}" name="China" dataDxfId="358"/>
    <tableColumn id="8" xr3:uid="{1116C899-D83D-2D4A-8A1E-B93B2C821A6A}" name="Ireland" dataDxfId="357"/>
    <tableColumn id="9" xr3:uid="{36E8F57E-BD1D-E340-8219-26CC30C35934}" name="Philippines" dataDxfId="356"/>
    <tableColumn id="10" xr3:uid="{FECABF01-08C3-6641-904B-FB95C18AE792}" name="Spain" dataDxfId="355"/>
    <tableColumn id="11" xr3:uid="{00D82A6C-7CCA-EC46-9A1F-2A38ED7A09D5}" name="United States" dataDxfId="354"/>
    <tableColumn id="12" xr3:uid="{63FFE1F3-4165-9A47-B12B-536C3BB556C3}" name="Taiwan" dataDxfId="353"/>
    <tableColumn id="13" xr3:uid="{F876484C-F1EF-764C-ACF2-FF3CBD26C7C2}" name="South Korea" dataDxfId="352"/>
    <tableColumn id="14" xr3:uid="{6293D5D8-217C-B54D-8E04-9DAAB482A54F}" name="Sweden" dataDxfId="351"/>
    <tableColumn id="15" xr3:uid="{AA055558-E31F-2543-BE27-0C74F029F8D5}" name="Italy" dataDxfId="350"/>
    <tableColumn id="17" xr3:uid="{3BC27391-7B29-714D-A98F-294657BC6616}" name="United Kingdom" dataDxfId="349"/>
    <tableColumn id="18" xr3:uid="{B273DB86-1843-DE44-B31E-8C22DD32263D}" name="Total" dataDxfId="348"/>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E2CE8E-BDA6-744A-8F23-7A1A567E09F5}" name="Table7" displayName="Table7" ref="B3:G11" totalsRowShown="0" headerRowDxfId="347" dataDxfId="346" tableBorderDxfId="345">
  <autoFilter ref="B3:G11" xr:uid="{13A45933-010A-434E-AAEE-372B59ACB34B}">
    <filterColumn colId="0" hiddenButton="1"/>
    <filterColumn colId="1" hiddenButton="1"/>
    <filterColumn colId="2" hiddenButton="1"/>
    <filterColumn colId="3" hiddenButton="1"/>
    <filterColumn colId="4" hiddenButton="1"/>
    <filterColumn colId="5" hiddenButton="1"/>
  </autoFilter>
  <tableColumns count="6">
    <tableColumn id="1" xr3:uid="{0DC6B5F4-80B9-FB41-93D2-D302DA7CF099}" name="Pipeline Classification" dataDxfId="344"/>
    <tableColumn id="2" xr3:uid="{20F9D138-1891-6840-A132-325AA31B2DE4}" name="Asia" dataDxfId="343"/>
    <tableColumn id="3" xr3:uid="{0AFCA2A9-4A67-B244-BDC0-B79DCC2A27EB}" name="Europe" dataDxfId="342"/>
    <tableColumn id="4" xr3:uid="{B49D42D3-CE8B-A348-9869-E7DC64911D38}" name="United States" dataDxfId="341"/>
    <tableColumn id="5" xr3:uid="{6F891678-5697-154E-893E-A6CE1487F4EC}" name="Other" dataDxfId="340"/>
    <tableColumn id="6" xr3:uid="{77E44285-0C67-614F-B575-EC372720F61F}" name="Total" dataDxfId="339"/>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BB348F7-22BB-D04A-A8FE-ADAFE1A3FBCF}" name="Table740" displayName="Table740" ref="B3:G11" totalsRowShown="0" headerRowDxfId="338" dataDxfId="337" tableBorderDxfId="336">
  <autoFilter ref="B3:G11" xr:uid="{13A45933-010A-434E-AAEE-372B59ACB34B}">
    <filterColumn colId="0" hiddenButton="1"/>
    <filterColumn colId="1" hiddenButton="1"/>
    <filterColumn colId="2" hiddenButton="1"/>
    <filterColumn colId="3" hiddenButton="1"/>
    <filterColumn colId="4" hiddenButton="1"/>
    <filterColumn colId="5" hiddenButton="1"/>
  </autoFilter>
  <tableColumns count="6">
    <tableColumn id="1" xr3:uid="{4B2ABC2D-164F-9242-B975-9C4467E8D5C7}" name="Pipeline Classification" dataDxfId="335"/>
    <tableColumn id="2" xr3:uid="{1C32C1EE-D37E-0A45-858C-FCC1BE2F6C98}" name="United States" dataDxfId="334"/>
    <tableColumn id="3" xr3:uid="{3A6C7A27-D37D-2540-8267-0304B217CD05}" name="Other" dataDxfId="333"/>
    <tableColumn id="4" xr3:uid="{D383DFE1-5EF3-8243-A568-AAC73BCE7853}" name="Asia" dataDxfId="332"/>
    <tableColumn id="5" xr3:uid="{29E34B27-BEE6-2744-8BDF-EBE834EC2486}" name="Europe" dataDxfId="331"/>
    <tableColumn id="6" xr3:uid="{9531B1FB-BC30-7047-8CBF-95DA3691BE8A}" name="Total" dataDxfId="33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593E29-CE2C-4941-BA50-1EA133E64DB7}" name="Table2" displayName="Table2" ref="B3:Q11" totalsRowShown="0" headerRowDxfId="651" dataDxfId="649" headerRowBorderDxfId="650" tableBorderDxfId="648">
  <autoFilter ref="B3:Q11" xr:uid="{9E4D3C29-7BE2-9B4E-A8F4-956A9A4990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AFBCEEA-5E0A-EC46-9D3A-C3B8988323BA}" name="Pipeline Classification" dataDxfId="647"/>
    <tableColumn id="3" xr3:uid="{67A17737-3EF0-C34A-BB8D-4AF56174C601}" name="California" dataDxfId="646"/>
    <tableColumn id="4" xr3:uid="{DDA7B299-D3D8-E74F-A787-D3242D88633A}" name="Connecticut" dataDxfId="645"/>
    <tableColumn id="6" xr3:uid="{A44E6F26-91C4-5B4C-A129-4D181B04BCAA}" name="Delaware" dataDxfId="644"/>
    <tableColumn id="7" xr3:uid="{E43207CB-F1DE-D541-9B40-06C3FEC00029}" name="Louisiana" dataDxfId="643"/>
    <tableColumn id="8" xr3:uid="{8432F393-2CAC-0146-A044-0D1691290079}" name="Maine" dataDxfId="642"/>
    <tableColumn id="9" xr3:uid="{5CBF11DD-C680-6A43-978C-BF7DBAB600C6}" name="Maryland" dataDxfId="641"/>
    <tableColumn id="10" xr3:uid="{884C92BB-A244-3F4B-8D9E-BDC1BAE78945}" name="Massachusetts" dataDxfId="640"/>
    <tableColumn id="11" xr3:uid="{2A9AA0E9-7E45-B243-9E59-7C3C459E0A32}" name="New Jersey" dataDxfId="639"/>
    <tableColumn id="12" xr3:uid="{4E1625E8-AF01-6F46-8C66-A05094E896BB}" name="New York" dataDxfId="638"/>
    <tableColumn id="13" xr3:uid="{F49259B7-1E68-4B4E-A7DD-0A1DA08F1218}" name="North Carolina" dataDxfId="637"/>
    <tableColumn id="14" xr3:uid="{F43C641E-831B-3E46-AEB1-97AD55175952}" name="Ohio" dataDxfId="636"/>
    <tableColumn id="15" xr3:uid="{1D2F58CA-E9E2-DE45-9AB2-95311F8B5881}" name="Rhode Island" dataDxfId="635"/>
    <tableColumn id="2" xr3:uid="{52DD8F63-A1C9-7E45-87A8-AADD7CFD39FF}" name="Texas" dataDxfId="634"/>
    <tableColumn id="5" xr3:uid="{5EF1A089-ADD2-C247-9D15-47A097E7F1EA}" name="Virginia" dataDxfId="633"/>
    <tableColumn id="16" xr3:uid="{D30C7E54-42E7-5946-B829-9BA6ECABA967}" name="Total" dataDxfId="632"/>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AC64F5-06B6-6345-86C8-8FEF3CD38968}" name="Table40" displayName="Table40" ref="B3:H22" totalsRowShown="0" tableBorderDxfId="329">
  <autoFilter ref="B3:H22" xr:uid="{1BAC64F5-06B6-6345-86C8-8FEF3CD3896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A424303-F5B6-9F4C-8C54-BCE0A802B898}" name="Country"/>
    <tableColumn id="2" xr3:uid="{BE7F72FB-DDDB-B14C-85BA-99C4EF906E7F}" name="Operating (MW)"/>
    <tableColumn id="3" xr3:uid="{87DFB285-055C-904A-87CA-8B578F1394C6}" name="Under Construction (MW)"/>
    <tableColumn id="4" xr3:uid="{D1A038DC-3697-F44D-B6E2-271DF3449EDC}" name="Permitting (MW)"/>
    <tableColumn id="5" xr3:uid="{C88B5F97-3118-E949-AC04-6789BB502D06}" name="Site Control (MW)"/>
    <tableColumn id="6" xr3:uid="{C743F49E-3FA7-6F4C-A193-C5C8B31A2E6F}" name="Planning (MW)"/>
    <tableColumn id="7" xr3:uid="{A8C686ED-7E95-5843-A66F-4860D6C2E525}" name="Total (MW)" dataDxfId="328"/>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A720AAC-48F5-8443-AEEF-53DA1F9C279C}" name="Table42" displayName="Table42" ref="B4:AN19" totalsRowCount="1" headerRowDxfId="327" dataDxfId="326" totalsRowDxfId="324" tableBorderDxfId="325">
  <autoFilter ref="B4:AN18" xr:uid="{3A720AAC-48F5-8443-AEEF-53DA1F9C27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tableColumns count="39">
    <tableColumn id="1" xr3:uid="{8AD7628C-BA9D-9A4A-9B27-30298BBD2D74}" name="Country" totalsRowLabel="Total" dataDxfId="323" totalsRowDxfId="322"/>
    <tableColumn id="2" xr3:uid="{333EE39E-08C7-F449-BFFA-0C4BA2CD151A}" name="1995" totalsRowFunction="custom" dataDxfId="321" totalsRowDxfId="320">
      <totalsRowFormula>SUM(Table42[1995])</totalsRowFormula>
    </tableColumn>
    <tableColumn id="3" xr3:uid="{9B02DDDC-8D4F-9847-9F4B-ACD08FC5B424}" name="1996" totalsRowFunction="custom" dataDxfId="319" totalsRowDxfId="318">
      <totalsRowFormula>SUM(Table42[1996])</totalsRowFormula>
    </tableColumn>
    <tableColumn id="4" xr3:uid="{AF377D91-8D9F-CC4A-8A16-8E9275B661B2}" name="1997" totalsRowFunction="custom" dataDxfId="317" totalsRowDxfId="316">
      <totalsRowFormula>SUM(Table42[1997])</totalsRowFormula>
    </tableColumn>
    <tableColumn id="5" xr3:uid="{A90AAC75-8591-C24E-B00E-0B157CCEA4F1}" name="1998" totalsRowFunction="custom" dataDxfId="315" totalsRowDxfId="314">
      <totalsRowFormula>SUM(Table42[1998])</totalsRowFormula>
    </tableColumn>
    <tableColumn id="6" xr3:uid="{5DB30EFC-88CF-0E43-A71F-C6A16C734336}" name="1999" totalsRowFunction="custom" dataDxfId="313" totalsRowDxfId="312">
      <totalsRowFormula>SUM(Table42[1999])</totalsRowFormula>
    </tableColumn>
    <tableColumn id="7" xr3:uid="{180DF749-F99A-7A46-889C-3F66D1C75F74}" name="2000" totalsRowFunction="custom" dataDxfId="311" totalsRowDxfId="310">
      <totalsRowFormula>SUM(Table42[2000])</totalsRowFormula>
    </tableColumn>
    <tableColumn id="8" xr3:uid="{ACDFEF35-631D-A640-9C3C-4F7DF0C495F1}" name="2001" totalsRowFunction="custom" dataDxfId="309" totalsRowDxfId="308">
      <totalsRowFormula>SUM(Table42[2001])</totalsRowFormula>
    </tableColumn>
    <tableColumn id="9" xr3:uid="{8FE80019-9AFE-4D49-B533-7C935D9446B3}" name="2002" totalsRowFunction="custom" dataDxfId="307" totalsRowDxfId="306">
      <totalsRowFormula>SUM(Table42[2002])</totalsRowFormula>
    </tableColumn>
    <tableColumn id="10" xr3:uid="{EA9C1607-9C07-BC4D-8820-17EB118F89AC}" name="2003" totalsRowFunction="custom" dataDxfId="305" totalsRowDxfId="304">
      <totalsRowFormula>SUM(Table42[2003])</totalsRowFormula>
    </tableColumn>
    <tableColumn id="11" xr3:uid="{5648DECA-BD88-5248-8357-83DE5F893881}" name="2004" totalsRowFunction="custom" dataDxfId="303" totalsRowDxfId="302">
      <totalsRowFormula>SUM(Table42[2004])</totalsRowFormula>
    </tableColumn>
    <tableColumn id="12" xr3:uid="{6E36B711-5D0D-534A-87BC-42A9C00B0584}" name="2005" totalsRowFunction="custom" dataDxfId="301" totalsRowDxfId="300">
      <totalsRowFormula>SUM(Table42[2005])</totalsRowFormula>
    </tableColumn>
    <tableColumn id="13" xr3:uid="{782E4BC4-36D8-A246-A20E-605AC6A32ABE}" name="2006" totalsRowFunction="custom" dataDxfId="299" totalsRowDxfId="298">
      <totalsRowFormula>SUM(Table42[2006])</totalsRowFormula>
    </tableColumn>
    <tableColumn id="14" xr3:uid="{7937FF27-DAFC-F64D-9061-F4095E385C62}" name="2007" totalsRowFunction="custom" dataDxfId="297" totalsRowDxfId="296">
      <totalsRowFormula>SUM(Table42[2007])</totalsRowFormula>
    </tableColumn>
    <tableColumn id="15" xr3:uid="{BADAA228-DF6B-6242-B3B4-810E8C1B1656}" name="2008" totalsRowFunction="custom" dataDxfId="295" totalsRowDxfId="294">
      <totalsRowFormula>SUM(Table42[2008])</totalsRowFormula>
    </tableColumn>
    <tableColumn id="16" xr3:uid="{3B53ACCF-41D7-074A-97BB-8EAD94E8EE8E}" name="2009" totalsRowFunction="custom" dataDxfId="293" totalsRowDxfId="292">
      <totalsRowFormula>SUM(Table42[2009])</totalsRowFormula>
    </tableColumn>
    <tableColumn id="17" xr3:uid="{9BA6A392-5740-6C48-AA0F-8E3A6485363D}" name="2010" totalsRowFunction="custom" dataDxfId="291" totalsRowDxfId="290">
      <totalsRowFormula>SUM(Table42[2010])</totalsRowFormula>
    </tableColumn>
    <tableColumn id="18" xr3:uid="{DFB278BA-69C9-8D40-B762-0F038876EE1D}" name="2011" totalsRowFunction="custom" dataDxfId="289" totalsRowDxfId="288">
      <totalsRowFormula>SUM(Table42[2011])</totalsRowFormula>
    </tableColumn>
    <tableColumn id="19" xr3:uid="{C9DCEDAA-7E87-8D4B-B646-7DFA748C6314}" name="2012" totalsRowFunction="custom" dataDxfId="287" totalsRowDxfId="286">
      <totalsRowFormula>SUM(Table42[2012])</totalsRowFormula>
    </tableColumn>
    <tableColumn id="20" xr3:uid="{5EA6B9AC-087A-CD45-AFB6-079F554FC4EB}" name="2013" totalsRowFunction="custom" dataDxfId="285" totalsRowDxfId="284">
      <totalsRowFormula>SUM(Table42[2013])</totalsRowFormula>
    </tableColumn>
    <tableColumn id="21" xr3:uid="{3D494AD9-45FF-884F-97A8-F0F80BE5DE37}" name="2014" totalsRowFunction="custom" dataDxfId="283" totalsRowDxfId="282">
      <totalsRowFormula>SUM(Table42[2014])</totalsRowFormula>
    </tableColumn>
    <tableColumn id="22" xr3:uid="{ABAD9077-EDDA-444F-B8E2-5A0F7E68CD79}" name="2015" totalsRowFunction="custom" dataDxfId="281" totalsRowDxfId="280">
      <totalsRowFormula>SUM(Table42[2015])</totalsRowFormula>
    </tableColumn>
    <tableColumn id="23" xr3:uid="{88D32CF6-4322-094B-89FB-453AB1BE83DC}" name="2016" totalsRowFunction="custom" dataDxfId="279" totalsRowDxfId="278">
      <totalsRowFormula>SUM(Table42[2016])</totalsRowFormula>
    </tableColumn>
    <tableColumn id="24" xr3:uid="{91A253DB-0234-E242-BFE0-62B002436DB8}" name="2017" totalsRowFunction="custom" dataDxfId="277" totalsRowDxfId="276">
      <totalsRowFormula>SUM(Table42[2017])</totalsRowFormula>
    </tableColumn>
    <tableColumn id="25" xr3:uid="{68DA181F-8501-0D4D-89CA-6CD8B4732EC2}" name="2018" totalsRowFunction="custom" dataDxfId="275" totalsRowDxfId="274">
      <totalsRowFormula>SUM(Table42[2018])</totalsRowFormula>
    </tableColumn>
    <tableColumn id="26" xr3:uid="{5C8D42A1-C89D-0146-9DBD-888FB5849330}" name="2019" totalsRowFunction="custom" dataDxfId="273" totalsRowDxfId="272">
      <totalsRowFormula>SUM(Table42[2019])</totalsRowFormula>
    </tableColumn>
    <tableColumn id="27" xr3:uid="{82A10B77-BA40-9645-8973-72D99FEB030B}" name="2020" totalsRowFunction="custom" dataDxfId="271" totalsRowDxfId="270">
      <totalsRowFormula>SUM(Table42[2020])</totalsRowFormula>
    </tableColumn>
    <tableColumn id="28" xr3:uid="{1CD9A3C6-8B41-2B47-AA3E-8D88AF6B80CA}" name="2021" totalsRowFunction="custom" dataDxfId="269" totalsRowDxfId="268">
      <totalsRowFormula>SUM(Table42[2021])</totalsRowFormula>
    </tableColumn>
    <tableColumn id="29" xr3:uid="{373EF9DA-1A3F-744F-A10F-9CAACC376220}" name="2022" totalsRowFunction="custom" dataDxfId="267" totalsRowDxfId="266">
      <totalsRowFormula>SUM(Table42[2022])</totalsRowFormula>
    </tableColumn>
    <tableColumn id="30" xr3:uid="{42E2B201-5882-D34D-A994-97DDC1558880}" name="2023" totalsRowFunction="custom" dataDxfId="265" totalsRowDxfId="264">
      <totalsRowFormula>SUM(Table42[2023])</totalsRowFormula>
    </tableColumn>
    <tableColumn id="31" xr3:uid="{06D3061D-6549-C449-B030-D1DC1402FD11}" name="2024" totalsRowFunction="custom" dataDxfId="263" totalsRowDxfId="262">
      <totalsRowFormula>SUM(Table42[2024])</totalsRowFormula>
    </tableColumn>
    <tableColumn id="32" xr3:uid="{BE3FBB62-892D-6449-901C-950467A7DB20}" name="2025" totalsRowFunction="custom" dataDxfId="261" totalsRowDxfId="260">
      <totalsRowFormula>SUM(Table42[2025])</totalsRowFormula>
    </tableColumn>
    <tableColumn id="33" xr3:uid="{1CEF4777-BE27-DD40-994F-74200AD518D9}" name="2026" totalsRowFunction="custom" dataDxfId="259" totalsRowDxfId="258">
      <totalsRowFormula>SUM(Table42[2026])</totalsRowFormula>
    </tableColumn>
    <tableColumn id="34" xr3:uid="{1A2CCCEC-8E99-784D-9D1D-9FE56D7C14E7}" name="2027" totalsRowFunction="custom" dataDxfId="257" totalsRowDxfId="256">
      <totalsRowFormula>SUM(Table42[2027])</totalsRowFormula>
    </tableColumn>
    <tableColumn id="35" xr3:uid="{B63B4E8E-DB3C-F240-9295-241C339CB64C}" name="2028" totalsRowFunction="custom" dataDxfId="255" totalsRowDxfId="254">
      <totalsRowFormula>SUM(Table42[2028])</totalsRowFormula>
    </tableColumn>
    <tableColumn id="36" xr3:uid="{5DD1169D-D608-084F-A1ED-10E7FC80CC50}" name="2029" totalsRowFunction="custom" dataDxfId="253" totalsRowDxfId="252">
      <totalsRowFormula>SUM(Table42[2029])</totalsRowFormula>
    </tableColumn>
    <tableColumn id="37" xr3:uid="{6C046826-E639-C749-87F2-17165402B02A}" name="2030" totalsRowFunction="custom" dataDxfId="251" totalsRowDxfId="250">
      <totalsRowFormula>SUM(Table42[2030])</totalsRowFormula>
    </tableColumn>
    <tableColumn id="38" xr3:uid="{EFF4CAEA-9BBB-6C4F-873E-8DDAC3ED894A}" name="2031" totalsRowFunction="custom" dataDxfId="249" totalsRowDxfId="248">
      <totalsRowFormula>SUM(Table42[2031])</totalsRowFormula>
    </tableColumn>
    <tableColumn id="39" xr3:uid="{C901C5D6-B8D2-5243-AE2F-EBAD30992F2C}" name="2032" totalsRowFunction="custom" dataDxfId="247" totalsRowDxfId="246">
      <totalsRowFormula>SUM(Table42[2032])</totalsRow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79F7EC3-6B3C-7F40-9BEE-926E4A98F980}" name="Table43" displayName="Table43" ref="B23:AN39" totalsRowCount="1" headerRowDxfId="245" dataDxfId="244" totalsRowDxfId="242" tableBorderDxfId="243">
  <autoFilter ref="B23:AN38" xr:uid="{B79F7EC3-6B3C-7F40-9BEE-926E4A98F9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sortState xmlns:xlrd2="http://schemas.microsoft.com/office/spreadsheetml/2017/richdata2" ref="B24:AM38">
    <sortCondition ref="B23:B38"/>
  </sortState>
  <tableColumns count="39">
    <tableColumn id="1" xr3:uid="{F344B19B-2280-2547-A501-7F77C6A579ED}" name="Country" totalsRowLabel="Total" dataDxfId="241" totalsRowDxfId="240"/>
    <tableColumn id="2" xr3:uid="{AF8CFF55-965F-4D47-81B9-5AF6204E337D}" name="1995" totalsRowFunction="custom" dataDxfId="239" totalsRowDxfId="238" dataCellStyle="Comma">
      <totalsRowFormula>SUM(Table43[1995])</totalsRowFormula>
    </tableColumn>
    <tableColumn id="3" xr3:uid="{C094A8C7-C208-964D-A617-5E6A870F5D70}" name="1996" totalsRowFunction="sum" dataDxfId="237" totalsRowDxfId="236" dataCellStyle="Comma"/>
    <tableColumn id="4" xr3:uid="{4579D475-23C2-9B4C-98E1-489B0E51E488}" name="1997" totalsRowFunction="sum" dataDxfId="235" totalsRowDxfId="234" dataCellStyle="Comma"/>
    <tableColumn id="5" xr3:uid="{77B44B29-A588-9C45-A4D9-34B834E7F497}" name="1998" totalsRowFunction="sum" dataDxfId="233" totalsRowDxfId="232" dataCellStyle="Comma"/>
    <tableColumn id="6" xr3:uid="{EBB05E4D-3E3F-0944-B579-F86E9BA615C7}" name="1999" totalsRowFunction="sum" dataDxfId="231" totalsRowDxfId="230" dataCellStyle="Comma"/>
    <tableColumn id="7" xr3:uid="{8C96022F-DD4A-3943-AC06-C0DFF636B58B}" name="2000" totalsRowFunction="sum" dataDxfId="229" totalsRowDxfId="228" dataCellStyle="Comma"/>
    <tableColumn id="8" xr3:uid="{82EB6D02-712E-AE46-A578-703FB1F34F75}" name="2001" totalsRowFunction="sum" dataDxfId="227" totalsRowDxfId="226" dataCellStyle="Comma"/>
    <tableColumn id="9" xr3:uid="{4AB7FFB3-7DFA-7F4E-B037-C276CFBD221A}" name="2002" totalsRowFunction="sum" dataDxfId="225" totalsRowDxfId="224" dataCellStyle="Comma"/>
    <tableColumn id="10" xr3:uid="{92FFF291-4952-B944-8424-9B881812C93C}" name="2003" totalsRowFunction="sum" dataDxfId="223" totalsRowDxfId="222" dataCellStyle="Comma"/>
    <tableColumn id="11" xr3:uid="{F625E7CD-13FE-E943-8CA2-CA9E60306F4A}" name="2004" totalsRowFunction="sum" dataDxfId="221" totalsRowDxfId="220" dataCellStyle="Comma"/>
    <tableColumn id="12" xr3:uid="{2371CC36-480B-AF44-9A2A-742039100169}" name="2005" totalsRowFunction="sum" dataDxfId="219" totalsRowDxfId="218" dataCellStyle="Comma"/>
    <tableColumn id="13" xr3:uid="{CC84EE0E-0503-B24C-80AA-B8760EFB047F}" name="2006" totalsRowFunction="sum" dataDxfId="217" totalsRowDxfId="216" dataCellStyle="Comma"/>
    <tableColumn id="14" xr3:uid="{4437E699-347B-2A41-AB67-C8C46CE6F7D8}" name="2007" totalsRowFunction="sum" dataDxfId="215" totalsRowDxfId="214" dataCellStyle="Comma"/>
    <tableColumn id="15" xr3:uid="{C8CD8257-FF30-4740-BFE8-C96E9CA85232}" name="2008" totalsRowFunction="sum" dataDxfId="213" totalsRowDxfId="212" dataCellStyle="Comma"/>
    <tableColumn id="16" xr3:uid="{90E9D642-25AE-C047-AF29-C13ED068ADE4}" name="2009" totalsRowFunction="sum" dataDxfId="211" totalsRowDxfId="210" dataCellStyle="Comma"/>
    <tableColumn id="17" xr3:uid="{58334F1B-E995-634A-A9B8-776BFB65388D}" name="2010" totalsRowFunction="sum" dataDxfId="209" totalsRowDxfId="208" dataCellStyle="Comma"/>
    <tableColumn id="18" xr3:uid="{0DFCFF77-E5FA-7A4D-BF13-EB7D58238E9E}" name="2011" totalsRowFunction="sum" dataDxfId="207" totalsRowDxfId="206" dataCellStyle="Comma"/>
    <tableColumn id="19" xr3:uid="{45CDA51F-6BC5-084A-8106-3811DE66621C}" name="2012" totalsRowFunction="sum" dataDxfId="205" totalsRowDxfId="204" dataCellStyle="Comma"/>
    <tableColumn id="20" xr3:uid="{20EE4197-A814-4D47-83CA-F8A4E379034F}" name="2013" totalsRowFunction="sum" dataDxfId="203" totalsRowDxfId="202" dataCellStyle="Comma"/>
    <tableColumn id="21" xr3:uid="{4EF4011F-4BB7-AD4B-B4EE-DBC0CA8941B9}" name="2014" totalsRowFunction="sum" dataDxfId="201" totalsRowDxfId="200" dataCellStyle="Comma"/>
    <tableColumn id="22" xr3:uid="{668803B8-753E-2A4C-AB17-9DB30D394D18}" name="2015" totalsRowFunction="sum" dataDxfId="199" totalsRowDxfId="198" dataCellStyle="Comma"/>
    <tableColumn id="23" xr3:uid="{00FE4879-0D40-4F44-A41D-C5DAC48A893E}" name="2016" totalsRowFunction="sum" dataDxfId="197" totalsRowDxfId="196" dataCellStyle="Comma"/>
    <tableColumn id="24" xr3:uid="{9220E25B-D04F-F849-8446-6132D2D00430}" name="2017" totalsRowFunction="sum" dataDxfId="195" totalsRowDxfId="194" dataCellStyle="Comma"/>
    <tableColumn id="25" xr3:uid="{1FF6C211-70FE-A74F-BA78-14BBC1BF1BEC}" name="2018" totalsRowFunction="sum" dataDxfId="193" totalsRowDxfId="192" dataCellStyle="Comma"/>
    <tableColumn id="26" xr3:uid="{E1244BDA-EE04-C94B-9C8F-DE7E613D50D9}" name="2019" totalsRowFunction="sum" dataDxfId="191" totalsRowDxfId="190" dataCellStyle="Comma"/>
    <tableColumn id="27" xr3:uid="{50E64358-A390-CE4D-8669-85DC1377B595}" name="2020" totalsRowFunction="sum" dataDxfId="189" totalsRowDxfId="188" dataCellStyle="Comma"/>
    <tableColumn id="28" xr3:uid="{680EA6D6-8F2B-0343-BF71-8063AFFBDE0C}" name="2021" totalsRowFunction="sum" dataDxfId="187" totalsRowDxfId="186" dataCellStyle="Comma"/>
    <tableColumn id="29" xr3:uid="{D6D114E3-8332-9148-BA69-58851774A711}" name="2022" totalsRowFunction="sum" dataDxfId="185" totalsRowDxfId="184" dataCellStyle="Comma"/>
    <tableColumn id="30" xr3:uid="{0A406828-E70B-8844-B6C7-FC548F7725D4}" name="2023" totalsRowFunction="sum" dataDxfId="183" totalsRowDxfId="182" dataCellStyle="Comma"/>
    <tableColumn id="31" xr3:uid="{1C5A9A4C-6522-3641-A53F-BAC5D76CAF1E}" name="2024" totalsRowFunction="sum" dataDxfId="181" totalsRowDxfId="180" dataCellStyle="Comma"/>
    <tableColumn id="32" xr3:uid="{519DAAD5-700B-7F41-B18A-30AE10594585}" name="2025" totalsRowFunction="sum" dataDxfId="179" totalsRowDxfId="178" dataCellStyle="Comma"/>
    <tableColumn id="33" xr3:uid="{BA2C03BD-349E-404B-BB38-C852125F5478}" name="2026" totalsRowFunction="sum" dataDxfId="177" totalsRowDxfId="176" dataCellStyle="Comma"/>
    <tableColumn id="34" xr3:uid="{FC3957C4-F72F-0149-AC8D-58D3C1BB7B4F}" name="2027" totalsRowFunction="sum" dataDxfId="175" totalsRowDxfId="174" dataCellStyle="Comma"/>
    <tableColumn id="35" xr3:uid="{F0D47627-0E72-2948-B489-C28637E0A4FC}" name="2028" totalsRowFunction="sum" dataDxfId="173" totalsRowDxfId="172" dataCellStyle="Comma"/>
    <tableColumn id="36" xr3:uid="{9DE1A6F3-4786-774E-AD7E-0DC6D2B7DC62}" name="2029" totalsRowFunction="sum" dataDxfId="171" totalsRowDxfId="170" dataCellStyle="Comma"/>
    <tableColumn id="37" xr3:uid="{A0EAFB0A-5610-4B4A-864E-832AC41B30BB}" name="2030" totalsRowFunction="sum" dataDxfId="169" totalsRowDxfId="168" dataCellStyle="Comma"/>
    <tableColumn id="38" xr3:uid="{E3616BDA-720F-3649-A25C-B1A968BAFFA3}" name="2031" totalsRowFunction="sum" dataDxfId="167" totalsRowDxfId="166" dataCellStyle="Comma"/>
    <tableColumn id="39" xr3:uid="{7BB5DD1E-8AFD-0042-8F07-F9A838462094}" name="2032" totalsRowFunction="sum" dataDxfId="165" totalsRowDxfId="164" dataCellStyle="Comma"/>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6977EFF-0736-294B-8953-88EE3E1FFCDD}" name="Table74045" displayName="Table74045" ref="B3:R54" totalsRowShown="0" headerRowDxfId="163" dataDxfId="162" tableBorderDxfId="161">
  <autoFilter ref="B3:R54" xr:uid="{13A45933-010A-434E-AAEE-372B59ACB3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5D7D777-E1C6-2944-B58B-EDF374916773}" name="COD" dataDxfId="160"/>
    <tableColumn id="2" xr3:uid="{067D8AD7-19DD-3D49-8202-288FCC249CBF}" name="Equinor" dataDxfId="159"/>
    <tableColumn id="3" xr3:uid="{7527945C-D28F-8643-9507-ABC4583E94D2}" name="GWEC 2020 Max" dataDxfId="158"/>
    <tableColumn id="4" xr3:uid="{8E199FED-6AA7-CD4D-A00A-01D9483266C9}" name="GWEC 2020 Min" dataDxfId="157"/>
    <tableColumn id="5" xr3:uid="{ACCAE6DA-1436-804C-A4EC-D88917D65D5C}" name="GWEC 2020 Cumulative" dataDxfId="156"/>
    <tableColumn id="6" xr3:uid="{23708807-782C-1146-8C58-EE13A104E5B9}" name="GWEC 2022" dataDxfId="155"/>
    <tableColumn id="7" xr3:uid="{6F6C01B4-89DB-F24B-A44D-4A73C0C8D40E}" name="Wood Mackenzie 2020 Base" dataDxfId="154"/>
    <tableColumn id="8" xr3:uid="{BC0CB6F8-1FDC-BA4A-A2E5-780B36E3C16F}" name="Wood Mackenzie 2020 Bear" dataDxfId="153"/>
    <tableColumn id="9" xr3:uid="{D56AB0B8-0FD9-DE46-A079-C9284FD6E54E}" name="Wood Mackenzie 2020 Bull" dataDxfId="152"/>
    <tableColumn id="10" xr3:uid="{D45D4088-1A79-5046-91C8-BEF28C54EC82}" name="Strathclyde 2019" dataDxfId="151"/>
    <tableColumn id="11" xr3:uid="{6DAC4995-8356-A24E-8295-B970C925DFD0}" name="4C Offshore 2021" dataDxfId="150"/>
    <tableColumn id="12" xr3:uid="{7341AC75-D061-824A-81DF-0AC8727F50A7}" name="DNV 2022 Installed &amp; Off Grid" dataDxfId="149"/>
    <tableColumn id="13" xr3:uid="{36374009-F9F7-784F-82CB-BAD5E032F968}" name="DNV 2022 Installed" dataDxfId="148"/>
    <tableColumn id="14" xr3:uid="{7548E0CB-EDAC-F645-9D05-F2EFEE749C15}" name="ORE Catapult 2022" dataDxfId="147"/>
    <tableColumn id="15" xr3:uid="{8D385574-700E-1F49-9924-9CB6F4D0C2A2}" name="AEGIR 2022 Cumulative" dataDxfId="146"/>
    <tableColumn id="16" xr3:uid="{B1DC946B-CAF2-2645-AE26-AE8653FD664F}" name="EnergyPulse 2022" dataDxfId="145"/>
    <tableColumn id="17" xr3:uid="{7E6C4DDA-B3C1-9044-B99B-2BB447B56166}" name="Enerdata 2022" dataDxfId="14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8E64212-BA48-254D-940D-46836CC4AE65}" name="Table7404551" displayName="Table7404551" ref="B3:F45" totalsRowShown="0" headerRowDxfId="143" dataDxfId="142" tableBorderDxfId="141">
  <autoFilter ref="B3:F45" xr:uid="{13A45933-010A-434E-AAEE-372B59ACB34B}">
    <filterColumn colId="0" hiddenButton="1"/>
    <filterColumn colId="1" hiddenButton="1"/>
    <filterColumn colId="2" hiddenButton="1"/>
    <filterColumn colId="3" hiddenButton="1"/>
    <filterColumn colId="4" hiddenButton="1"/>
  </autoFilter>
  <tableColumns count="5">
    <tableColumn id="1" xr3:uid="{DEC5AAB3-6277-334C-98C6-6AF6D63311BB}" name="Country" dataDxfId="140"/>
    <tableColumn id="2" xr3:uid="{D6928671-F337-6E40-A287-E9186AC9E042}" name="Region" dataDxfId="139"/>
    <tableColumn id="4" xr3:uid="{F6E404C4-9FD8-4C4E-9952-32803DECDE19}" name="Year" dataDxfId="138" dataCellStyle="Comma"/>
    <tableColumn id="3" xr3:uid="{4CE13BBF-3A69-9B49-BFDE-215C3978C7FD}" name="Offshore Wind Capacity Target (GW)" dataDxfId="137"/>
    <tableColumn id="5" xr3:uid="{C141D752-6A48-E04C-9006-F8362F9BFC5C}" name="Current installed capacity (GW)" dataDxfId="136"/>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1D8274C-0FD8-0141-954A-BB4675F1A8E5}" name="Table7404546" displayName="Table7404546" ref="B3:F19" totalsRowShown="0" headerRowDxfId="135" dataDxfId="134" tableBorderDxfId="133">
  <autoFilter ref="B3:F19" xr:uid="{13A45933-010A-434E-AAEE-372B59ACB34B}">
    <filterColumn colId="0" hiddenButton="1"/>
    <filterColumn colId="1" hiddenButton="1"/>
    <filterColumn colId="2" hiddenButton="1"/>
    <filterColumn colId="3" hiddenButton="1"/>
    <filterColumn colId="4" hiddenButton="1"/>
  </autoFilter>
  <tableColumns count="5">
    <tableColumn id="1" xr3:uid="{4470BCFC-E06E-F44A-946E-E54D28AC00BF}" name="Country" dataDxfId="132"/>
    <tableColumn id="2" xr3:uid="{EC2C1CE9-304B-ED46-BE3F-67C785679E61}" name="Installed Capacity in 2022 (GW)" dataDxfId="131"/>
    <tableColumn id="3" xr3:uid="{1F463954-B39B-1248-9148-FAC1BDB1FFE1}" name="Target(s)" dataDxfId="130"/>
    <tableColumn id="4" xr3:uid="{4B180AC3-0359-8042-840D-5CAE982DC3B6}" name="Key Developments or Procurements" dataDxfId="129"/>
    <tableColumn id="5" xr3:uid="{852EE0B3-C558-3247-B79D-4C1461B1252B}" name="Source(s)" dataDxfId="128"/>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BD61391-4572-914D-83F4-0939077A9FAA}" name="Table740454647" displayName="Table740454647" ref="B3:F11" totalsRowShown="0" headerRowDxfId="127" dataDxfId="126" tableBorderDxfId="125">
  <autoFilter ref="B3:F11" xr:uid="{13A45933-010A-434E-AAEE-372B59ACB34B}">
    <filterColumn colId="0" hiddenButton="1"/>
    <filterColumn colId="1" hiddenButton="1"/>
    <filterColumn colId="2" hiddenButton="1"/>
    <filterColumn colId="3" hiddenButton="1"/>
    <filterColumn colId="4" hiddenButton="1"/>
  </autoFilter>
  <tableColumns count="5">
    <tableColumn id="1" xr3:uid="{21673BCD-30BB-B547-A526-74F3AEFCEABB}" name="Country" dataDxfId="124"/>
    <tableColumn id="2" xr3:uid="{11F30736-D739-9346-B2A2-426D102A86ED}" name="Installed Capacity in 2022 (GW)" dataDxfId="123"/>
    <tableColumn id="3" xr3:uid="{EE4DAC76-48AF-1640-AE46-A38B8A545F6B}" name="Target(s)" dataDxfId="122"/>
    <tableColumn id="4" xr3:uid="{A6250607-9011-1C49-AB32-BE3A421A0BBF}" name="Key Developments or Procurements" dataDxfId="121"/>
    <tableColumn id="5" xr3:uid="{DAF29BBB-84FC-4D46-ADCD-721C7B87D241}" name="Source(s)" dataDxfId="120"/>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B57D49D-7AC9-EC42-9C06-70C724A909C4}" name="Table74045464736" displayName="Table74045464736" ref="B3:F9" totalsRowShown="0" headerRowDxfId="119" dataDxfId="118" tableBorderDxfId="117">
  <autoFilter ref="B3:F9" xr:uid="{13A45933-010A-434E-AAEE-372B59ACB34B}">
    <filterColumn colId="0" hiddenButton="1"/>
    <filterColumn colId="1" hiddenButton="1"/>
    <filterColumn colId="2" hiddenButton="1"/>
    <filterColumn colId="3" hiddenButton="1"/>
    <filterColumn colId="4" hiddenButton="1"/>
  </autoFilter>
  <tableColumns count="5">
    <tableColumn id="1" xr3:uid="{78389887-8CD2-DB4A-9645-62443A004420}" name="Country" dataDxfId="116"/>
    <tableColumn id="2" xr3:uid="{6D1EE8F5-C6B1-164D-9AE0-E9CA92E5BF0F}" name="Installed Capacity in 2022 (GW)" dataDxfId="115"/>
    <tableColumn id="3" xr3:uid="{EBC96D38-A11F-5145-BF49-9B2F1B4683EB}" name="Target(s)" dataDxfId="114"/>
    <tableColumn id="4" xr3:uid="{5FCD20EE-5FF0-994D-8DAD-90F3F14706DE}" name="Key Developments or Procurements" dataDxfId="113"/>
    <tableColumn id="5" xr3:uid="{DFD4476F-9D0C-6B4D-A861-69A4D13C7774}" name="Source(s)" dataDxfId="112"/>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6DCC95-C19F-C344-A13A-5269FA93C469}" name="Table13" displayName="Table13" ref="B3:T31" totalsRowShown="0" dataDxfId="110" headerRowBorderDxfId="111" tableBorderDxfId="109">
  <autoFilter ref="B3:T31" xr:uid="{66D01478-AC65-BF46-85C9-5CFA5EC644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F1AC124-4E0E-F442-B525-8EBEED694249}" name="Commercial Operation Date" dataDxfId="108"/>
    <tableColumn id="8" xr3:uid="{645F41D1-C97F-3440-8222-E26CCF2086A8}" name="Global Water Depth Max (m)" dataDxfId="107"/>
    <tableColumn id="9" xr3:uid="{73EDDF3B-2F27-F744-98CB-EA7A636E2B32}" name="Global (excluding Asia) Water Depth Max (m)" dataDxfId="106"/>
    <tableColumn id="10" xr3:uid="{07493FDC-8528-E345-BA8F-E7305F367795}" name="Asian Water Depth Max (m)" dataDxfId="105"/>
    <tableColumn id="11" xr3:uid="{C17EBB3A-DAF6-4F46-96E1-03FEFB29310E}" name="Global Distance From Shore Auto (km)" dataDxfId="104"/>
    <tableColumn id="12" xr3:uid="{699CC8D8-39A4-9B4B-AED5-C1F4F8589D83}" name="Global (excluding Asia) Distance From Shore Auto (km)" dataDxfId="103"/>
    <tableColumn id="13" xr3:uid="{21979731-0A7C-314A-A4E6-89ED0F535EC5}" name="Asian Distance From Shore Auto (km)" dataDxfId="102"/>
    <tableColumn id="14" xr3:uid="{E68210CA-F35B-F043-AEA0-F88E1DDCF3DF}" name="Global Capacity MW (Max)" dataDxfId="101"/>
    <tableColumn id="15" xr3:uid="{4E7FDFB4-EF09-474F-8EFF-AF1795DA87E1}" name="Global (excluding Asia) Capacity MW (Max)" dataDxfId="100"/>
    <tableColumn id="16" xr3:uid="{2565F06A-E7F1-EC4E-B985-39E5C2614FED}" name="Asian Capacity MW (Max)" dataDxfId="99"/>
    <tableColumn id="17" xr3:uid="{1B837353-CA98-CA4E-8C8A-A375DB096A6A}" name="Global Weighted Capacity MW (Max)" dataDxfId="98"/>
    <tableColumn id="18" xr3:uid="{1F6A2577-E91E-7240-A007-5C3ED98B061F}" name="Global (excluding Asia) Weighted Capacity MW (Max)" dataDxfId="97"/>
    <tableColumn id="19" xr3:uid="{F3CEB486-0B2B-0048-A597-79EA6530C6CF}" name="Asian Weighted Capacity MW (Max)" dataDxfId="96"/>
    <tableColumn id="2" xr3:uid="{DB088C1A-8354-E747-A95F-FB5215466DAE}" name="Global 5-Year Weighted Mean Distance to Shore" dataDxfId="95"/>
    <tableColumn id="6" xr3:uid="{CFBD9C08-752F-C74C-8E41-BF1ECC7459A1}" name="Global (excluding Asia) 5-Year Weighted Mean Distance to Shore" dataDxfId="94"/>
    <tableColumn id="3" xr3:uid="{F1084E67-EFA1-6C4A-AE7E-E69C3C53FE55}" name="Asian 5-Year Weighted Mean Distance to Shore" dataDxfId="93"/>
    <tableColumn id="7" xr3:uid="{712E005E-C9D7-9A45-BA08-7271C38D8DB6}" name="Global 5-Year Weighted Mean Depth" dataDxfId="92"/>
    <tableColumn id="4" xr3:uid="{F10740C4-9767-C644-A2E1-9BA9EAA0BBC9}" name="Global (excluding Asia) 5-Year Weighted Mean Depth" dataDxfId="91"/>
    <tableColumn id="5" xr3:uid="{F6B3E417-8253-3E46-836C-B29684320C1F}" name="Asian 5-Year Weighted Mean Depth" dataDxfId="90"/>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22AC64-2ABF-F94A-91ED-D50FC5549893}" name="Table6" displayName="Table6" ref="B3:F17" totalsRowShown="0" headerRowDxfId="89" dataDxfId="87" headerRowBorderDxfId="88" tableBorderDxfId="86">
  <autoFilter ref="B3:F17" xr:uid="{B65E1B82-05D6-124E-BE27-017C1B0FBC06}">
    <filterColumn colId="0" hiddenButton="1"/>
    <filterColumn colId="1" hiddenButton="1"/>
    <filterColumn colId="2" hiddenButton="1"/>
    <filterColumn colId="3" hiddenButton="1"/>
    <filterColumn colId="4" hiddenButton="1"/>
  </autoFilter>
  <tableColumns count="5">
    <tableColumn id="1" xr3:uid="{197766B8-9BC8-B54F-B061-AE73A2AA7D1E}" name="Type" dataDxfId="85"/>
    <tableColumn id="5" xr3:uid="{5F201177-22BF-CF46-8EF5-C62A567DEA6A}" name="Category" dataDxfId="84"/>
    <tableColumn id="2" xr3:uid="{0B4EEB3A-29C5-914F-94EA-722A6B652995}" name="Operating (MW)" dataDxfId="83"/>
    <tableColumn id="3" xr3:uid="{A635C85F-0811-EF4F-97AD-72BB1CA59B57}" name="Announced (MW)" dataDxfId="82"/>
    <tableColumn id="4" xr3:uid="{DBAF2A7B-3F9C-6848-A039-A90F1F46D417}" name="Total (MW)" dataDxfId="8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7BF3439-5981-DA4F-A59C-DDC5DE593C97}" name="Table22" displayName="Table22" ref="B3:K23" totalsRowShown="0" headerRowDxfId="631" dataDxfId="630" tableBorderDxfId="629">
  <autoFilter ref="B3:K23"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BB249E6-1AE4-2649-AC3D-F2C318D7B679}" name="#" dataDxfId="628"/>
    <tableColumn id="2" xr3:uid="{08E7DFDC-E2F1-B946-BED7-92F1B52B2EC4}" name="Location" dataDxfId="627"/>
    <tableColumn id="3" xr3:uid="{A8E45897-4509-F840-A918-BA0329477F9F}" name="Name" dataDxfId="626"/>
    <tableColumn id="4" xr3:uid="{054C123E-5396-6A44-81C1-30AC643C21A6}" name="Developer" dataDxfId="625"/>
    <tableColumn id="5" xr3:uid="{334B7997-73A3-FF4F-BD29-BB64CF88BF53}" name="Lease Area" dataDxfId="624"/>
    <tableColumn id="6" xr3:uid="{12C1CF09-97AE-CD4F-929A-D69FA771018F}" name="Offtake Agreement" dataDxfId="623"/>
    <tableColumn id="7" xr3:uid="{9389F281-F2F7-4A4B-9CBD-1301B75A6494}" name="Estimated COD" dataDxfId="622" dataCellStyle="Comma"/>
    <tableColumn id="8" xr3:uid="{6AAA8A95-7467-7C4B-8FC1-318A9C8F3F5F}" name="Current Status" dataDxfId="621" dataCellStyle="Comma"/>
    <tableColumn id="9" xr3:uid="{4B334C57-E7C2-124C-BBC0-80ADF8C3683B}" name="Capacity (MW)" dataDxfId="620" dataCellStyle="Comma"/>
    <tableColumn id="10" xr3:uid="{1B0AA174-C704-FE40-BBD3-033F64B21C40}" name="Potential Point of Interconnection (POI) Location" dataDxfId="619" dataCellStyle="Comma"/>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AE6E66-CB42-714C-952E-F88EA9ECDD9D}" name="Table14" displayName="Table14" ref="B3:E31" totalsRowShown="0" headerRowDxfId="80" dataDxfId="78" headerRowBorderDxfId="79" tableBorderDxfId="77">
  <autoFilter ref="B3:E31" xr:uid="{CB4C2266-55C9-4E4D-B6EC-842E65BE666A}">
    <filterColumn colId="0" hiddenButton="1"/>
    <filterColumn colId="1" hiddenButton="1"/>
    <filterColumn colId="2" hiddenButton="1"/>
    <filterColumn colId="3" hiddenButton="1"/>
  </autoFilter>
  <tableColumns count="4">
    <tableColumn id="1" xr3:uid="{F8E10AEB-DDB0-3842-BA7A-5FC061A6ED99}" name="Commercial Operation Date" dataDxfId="76"/>
    <tableColumn id="2" xr3:uid="{80FCDD67-A8B2-FF44-BF0E-291DCE877AF9}" name="Turbine Capacity (MW)" dataDxfId="75"/>
    <tableColumn id="3" xr3:uid="{D472AF95-5759-C146-8FDB-DF284145A713}" name="Rotor Diameter (m)" dataDxfId="74"/>
    <tableColumn id="4" xr3:uid="{CDA262AE-FA5C-BA48-937F-7A84F108E7AE}" name="Hub Height (m)" dataDxfId="73"/>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87759-A179-1A40-89D7-D09B872F5EFF}" name="Table3" displayName="Table3" ref="B3:E24" totalsRowShown="0" headerRowDxfId="72" headerRowBorderDxfId="71" tableBorderDxfId="70">
  <autoFilter ref="B3:E24" xr:uid="{6A28E48C-27C1-294E-8A03-705E90443625}">
    <filterColumn colId="0" hiddenButton="1"/>
    <filterColumn colId="1" hiddenButton="1"/>
    <filterColumn colId="2" hiddenButton="1"/>
    <filterColumn colId="3" hiddenButton="1"/>
  </autoFilter>
  <tableColumns count="4">
    <tableColumn id="1" xr3:uid="{5D88933F-8039-7E4B-8728-776AD321FEB3}" name="OEM"/>
    <tableColumn id="2" xr3:uid="{06300E0B-7E8D-9D46-8851-A11A7051DD3A}" name="Operating" dataDxfId="69"/>
    <tableColumn id="3" xr3:uid="{81942593-08FB-0243-B379-110AA8B77C63}" name="Announced" dataDxfId="68"/>
    <tableColumn id="4" xr3:uid="{0401BE2C-F96A-4F44-90E3-47CD7D021C5D}" name="Total" dataDxfId="67"/>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CCBC58-20FB-6841-B189-BCC85314890A}" name="Table15" displayName="Table15" ref="B3:R13" totalsRowShown="0" headerRowDxfId="66" dataDxfId="65" tableBorderDxfId="64">
  <autoFilter ref="B3:R13" xr:uid="{1771AADC-26D4-8A46-BBFC-51C44C800A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6BD3592-87E3-6540-B1A4-923416D5D80F}" name="Source" dataDxfId="63"/>
    <tableColumn id="8" xr3:uid="{B9942FA5-003D-9D45-A983-67AF2C3BA9AF}" name="2020" dataDxfId="62"/>
    <tableColumn id="9" xr3:uid="{91D56969-FE4F-9E41-8AA2-50F5B8328E18}" name="2021" dataDxfId="61"/>
    <tableColumn id="10" xr3:uid="{B1E850C6-0F99-C947-AA53-52A084466283}" name="2022" dataDxfId="60"/>
    <tableColumn id="11" xr3:uid="{0247C75C-2BA7-3C45-998B-C2F705074D55}" name="2023" dataDxfId="59"/>
    <tableColumn id="12" xr3:uid="{EAF9C098-85CC-6140-94B5-A54B7B244476}" name="2024" dataDxfId="58"/>
    <tableColumn id="13" xr3:uid="{1C5EED00-F2CE-2B4B-905D-606F4F01A25B}" name="2025" dataDxfId="57"/>
    <tableColumn id="14" xr3:uid="{3FE10CFC-FBE7-3A43-8626-37611145191B}" name="2026" dataDxfId="56"/>
    <tableColumn id="15" xr3:uid="{C98EED23-E2BA-694D-B27C-BC8D14D43425}" name="2027" dataDxfId="55"/>
    <tableColumn id="16" xr3:uid="{6070DDBB-32F0-4A4F-987A-87DF65908E0C}" name="2028" dataDxfId="54"/>
    <tableColumn id="17" xr3:uid="{956B870C-294C-BF4E-AFD1-8A8F9345B98D}" name="2029" dataDxfId="53"/>
    <tableColumn id="18" xr3:uid="{ADD441C7-5AAD-1945-85CE-D3DDC866AA4A}" name="2030" dataDxfId="52"/>
    <tableColumn id="19" xr3:uid="{1D60139E-2B69-4346-83D2-83B220767047}" name="2031" dataDxfId="51"/>
    <tableColumn id="20" xr3:uid="{3D540916-AAD1-3D48-B885-C9268F008145}" name="2032" dataDxfId="50"/>
    <tableColumn id="21" xr3:uid="{7207ECA0-36BA-6843-AE82-FD4A4A8065F1}" name="2033" dataDxfId="49"/>
    <tableColumn id="22" xr3:uid="{79DE9B58-74E9-2F49-A16F-2457902E24BA}" name="2034" dataDxfId="48"/>
    <tableColumn id="23" xr3:uid="{493EBC8B-0A33-2B41-9293-1DEFBFD63BAF}" name="2035" dataDxfId="47"/>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593724-A414-1549-878D-440A3C085FB8}" name="Table16" displayName="Table16" ref="B3:H24" totalsRowShown="0" headerRowDxfId="46" dataDxfId="45" tableBorderDxfId="44">
  <autoFilter ref="B3:H24" xr:uid="{A8DCD14A-E3FA-C048-9A23-4B45403D19C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F83657-56B4-6F4E-A570-2C5008089851}" name="Commercial Operation Date" dataDxfId="43"/>
    <tableColumn id="4" xr3:uid="{450C46E8-BA03-2640-ADAA-0B28A99B77E6}" name="Global Capacity-Weighted Mean CapEx" dataDxfId="42"/>
    <tableColumn id="5" xr3:uid="{CDEDC09C-02DF-1646-9580-81CEFA9BFCC3}" name="Global 5-Year Rolling Capacity-Weighted Mean CapEx" dataDxfId="41"/>
    <tableColumn id="6" xr3:uid="{C1AE9CDF-C473-5C44-B1B1-142EFE9AA49E}" name="European and US Capacity-Weighted Mean CapEx" dataDxfId="40"/>
    <tableColumn id="7" xr3:uid="{79D68D9E-DAE5-774F-81B4-3141C91BEDDD}" name="European and US 5-Year Rolling Capacity-Weighted Mean CapEx" dataDxfId="39"/>
    <tableColumn id="2" xr3:uid="{7263536A-FE16-E14D-B388-60A271BEA7AB}" name="Asian Capacity-Weighted Mean CapEx" dataDxfId="38"/>
    <tableColumn id="3" xr3:uid="{16D49F5C-5C94-3842-90A2-7C4369A28445}" name="Asian 5-Year Rolling Capacity-Weighted Mean CapEx" dataDxfId="37"/>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55EFB0-AD1D-364E-9286-35B6910D73FA}" name="Table18" displayName="Table18" ref="B3:U10" totalsRowShown="0" headerRowDxfId="36" dataDxfId="35" tableBorderDxfId="34">
  <autoFilter ref="B3:U10" xr:uid="{B4C01D87-D7B5-7E48-9D42-6CAF2B9841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256955F2-0614-3441-8874-70F91C69CF61}" name="Source" dataDxfId="33"/>
    <tableColumn id="3" xr3:uid="{A448C91C-2573-2546-83B2-04646F7E6E1F}" name="Category" dataDxfId="32"/>
    <tableColumn id="4" xr3:uid="{8C2712D8-60F2-2843-9F08-9CF0827F9BA0}" name="2020" dataDxfId="31"/>
    <tableColumn id="5" xr3:uid="{040CD64D-602C-0C4D-AFCD-5040D5AFB1EF}" name="2021" dataDxfId="30"/>
    <tableColumn id="6" xr3:uid="{CCD0EAC0-5908-6146-9866-A47850666FA8}" name="2022" dataDxfId="29"/>
    <tableColumn id="7" xr3:uid="{AB347D2B-C079-6241-9A6D-5E572128EF47}" name="2023" dataDxfId="28"/>
    <tableColumn id="8" xr3:uid="{89A6B329-C69A-EF4E-8394-44942F9E4C8F}" name="2024" dataDxfId="27"/>
    <tableColumn id="9" xr3:uid="{F5313695-A40D-5447-8DF3-65CB28E5ED8A}" name="2025" dataDxfId="26"/>
    <tableColumn id="10" xr3:uid="{582E941F-BCDB-BE4A-801B-811551CE577B}" name="2026" dataDxfId="25"/>
    <tableColumn id="11" xr3:uid="{1A47D1E2-E30F-644A-BB83-B39CD1CBCD36}" name="2027" dataDxfId="24"/>
    <tableColumn id="12" xr3:uid="{3B88326D-1344-1543-A913-125B88ABE3E1}" name="2028" dataDxfId="23"/>
    <tableColumn id="13" xr3:uid="{F1BD2659-E12B-954A-A14A-697C500978C5}" name="2029" dataDxfId="22"/>
    <tableColumn id="14" xr3:uid="{E09ADCF3-3F29-C94B-A35D-CF9221971E3A}" name="2030" dataDxfId="21"/>
    <tableColumn id="15" xr3:uid="{60D23C25-BA76-374A-912A-4C136E79BF17}" name="2031" dataDxfId="20"/>
    <tableColumn id="16" xr3:uid="{C39DE9C0-B106-1249-BA28-36608FF6189E}" name="2032" dataDxfId="19"/>
    <tableColumn id="17" xr3:uid="{7A1A2DF8-9607-3643-A401-EA5081BB2A8C}" name="2033" dataDxfId="18"/>
    <tableColumn id="18" xr3:uid="{57DAB965-B43E-4B4C-B544-2629228C6AC3}" name="2034" dataDxfId="17"/>
    <tableColumn id="19" xr3:uid="{3CEEDFD1-3F2E-FB4E-B129-7DB9817F270F}" name="2035" dataDxfId="16"/>
    <tableColumn id="20" xr3:uid="{6EF05A8B-5B14-2E4A-9CDA-64035991797B}" name="2036" dataDxfId="15"/>
    <tableColumn id="2" xr3:uid="{57FC5D97-2402-2D47-8FEE-71B834E01E72}" name="2037" dataDxfId="14"/>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7DF078-97AA-064B-9BDE-B47BC2E9C80D}" name="Table1548" displayName="Table1548" ref="B3:G12" totalsRowShown="0" headerRowDxfId="13" dataDxfId="12" tableBorderDxfId="11">
  <autoFilter ref="B3:G12" xr:uid="{1771AADC-26D4-8A46-BBFC-51C44C800AB9}">
    <filterColumn colId="0" hiddenButton="1"/>
    <filterColumn colId="1" hiddenButton="1"/>
    <filterColumn colId="2" hiddenButton="1"/>
    <filterColumn colId="3" hiddenButton="1"/>
    <filterColumn colId="4" hiddenButton="1"/>
    <filterColumn colId="5" hiddenButton="1"/>
  </autoFilter>
  <tableColumns count="6">
    <tableColumn id="1" xr3:uid="{BE8C552E-29F2-544E-BBE7-3FBF3F5EC53B}" name="Year" dataDxfId="10"/>
    <tableColumn id="8" xr3:uid="{9F560DF6-3413-BD43-ADCF-748041F8E855}" name="Coverage" dataDxfId="9"/>
    <tableColumn id="9" xr3:uid="{7898D324-205B-A146-801E-CD97BA8FACC4}" name="Debt/Sponsor Equity/Tax Equity (%)" dataDxfId="8" dataCellStyle="Comma"/>
    <tableColumn id="2" xr3:uid="{0FF926EA-5156-BA42-99DD-821F7B30081E}" name="Pricing (Basis Points)[1]" dataDxfId="7"/>
    <tableColumn id="3" xr3:uid="{E1945035-88DF-B14A-8614-44C8B3733632}" name="Contingency Budget (%)" dataDxfId="6"/>
    <tableColumn id="4" xr3:uid="{2BDC03F5-4ABF-7D4A-8705-D5A390A9CF21}" name="Source" dataDxfId="5"/>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43765D0-4D32-7D48-AFE5-59377935425C}" name="Table12" displayName="Table12" ref="B3:H20" totalsRowShown="0" headerRowDxfId="4" tableBorderDxfId="3">
  <autoFilter ref="B3:H20" xr:uid="{343765D0-4D32-7D48-AFE5-59377935425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C0A992A-464B-004B-A67C-131795CFF7FF}" name="Project"/>
    <tableColumn id="2" xr3:uid="{447D128D-4659-6849-B29B-BE27477A2BAF}" name="Lease Area Name"/>
    <tableColumn id="3" xr3:uid="{A8CFAC5D-70AF-AA4F-A129-76AB8517B59B}" name="State"/>
    <tableColumn id="4" xr3:uid="{85540530-D96D-8043-A799-2D122E7C9E21}" name="Area (acres)" dataDxfId="2"/>
    <tableColumn id="5" xr3:uid="{3963C8C3-5F35-D745-9A33-C14BF3042B74}" name="Area (square kilometers [km2])"/>
    <tableColumn id="6" xr3:uid="{EF183CFF-5F5F-2546-8D35-7A232120C822}" name="Project Capacity (megawatts [MW])" dataDxfId="1"/>
    <tableColumn id="7" xr3:uid="{CE98D338-E478-5645-8760-A1A0681FA26C}" name="Capacity Density (MW/km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F237FA6-DC4D-3F47-8320-36E6F912C70B}" name="Table2224" displayName="Table2224" ref="B3:K29" totalsRowShown="0" headerRowDxfId="618" dataDxfId="617" tableBorderDxfId="616">
  <autoFilter ref="B3:K29"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F6C963A-9D58-3240-92A4-16667F66F4DA}" name="#" dataDxfId="615"/>
    <tableColumn id="2" xr3:uid="{166BF9FC-13B6-774A-9088-050A9CAAF8E3}" name="Location" dataDxfId="614"/>
    <tableColumn id="3" xr3:uid="{E75C5AEE-2EE8-D042-B746-87DAEC934F67}" name="Name" dataDxfId="613"/>
    <tableColumn id="4" xr3:uid="{F89D9C84-5D1F-CD42-AA8C-1DCFDC87108D}" name="Developer" dataDxfId="612"/>
    <tableColumn id="5" xr3:uid="{83FAF3C0-6FE1-9046-84EC-F7FA68D9B373}" name="Lease Area" dataDxfId="611"/>
    <tableColumn id="6" xr3:uid="{EC2E44C7-E1E8-884D-B356-90EF27C3CFCB}" name="Offtake Agreement" dataDxfId="610"/>
    <tableColumn id="7" xr3:uid="{AE5FCC47-6AE9-F748-A891-1CDA34E7150C}" name="Estimated COD" dataDxfId="609"/>
    <tableColumn id="8" xr3:uid="{DD8BD2A9-AFEB-BD43-8572-41E12513CDE6}" name="Current Status" dataDxfId="608"/>
    <tableColumn id="9" xr3:uid="{D1FBE503-B8CB-8A47-A6DF-2F458DD4357C}" name="Capacity (MW)" dataDxfId="607" dataCellStyle="Comma"/>
    <tableColumn id="10" xr3:uid="{DF9B2280-DDE1-B741-95BD-2CC512A3A1A9}" name="Potential POI Location " dataDxfId="60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15E130-09B2-9A4F-A0C3-893D42443B94}" name="Table22242511" displayName="Table22242511" ref="B3:K6" totalsRowShown="0" headerRowDxfId="605" dataDxfId="604" tableBorderDxfId="603">
  <autoFilter ref="B3:K6"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5AD9782-67BF-9140-B6C9-747C39A4B104}" name="#" dataDxfId="602"/>
    <tableColumn id="2" xr3:uid="{51B89FF1-CC46-1542-879A-D8FDFC6FAADF}" name="Location" dataDxfId="601"/>
    <tableColumn id="3" xr3:uid="{759735B5-D426-3544-B499-9BFC1857AD45}" name="Name" dataDxfId="600"/>
    <tableColumn id="4" xr3:uid="{16BAD70E-32C3-B147-AC62-3C6E4EA6235E}" name="Developer" dataDxfId="599"/>
    <tableColumn id="5" xr3:uid="{C87BFB29-25BC-744F-9B92-41CEE28295BD}" name="Lease Area" dataDxfId="598"/>
    <tableColumn id="6" xr3:uid="{871A02BC-F09F-E245-BD67-BA2580C52E75}" name="Offtake Agreement" dataDxfId="597"/>
    <tableColumn id="7" xr3:uid="{6831A486-99D0-4348-8A4E-E6F921E07AD0}" name="Estimated COD" dataDxfId="596"/>
    <tableColumn id="8" xr3:uid="{C315D2C8-E747-534B-9C7A-13BDD7F600CF}" name="Current Status " dataDxfId="595">
      <calculatedColumnFormula>SUM(I1:I3)</calculatedColumnFormula>
    </tableColumn>
    <tableColumn id="9" xr3:uid="{C927DC73-2726-1A48-B58B-79308EF24642}" name="Capacity (MW)" dataDxfId="594" dataCellStyle="Comma">
      <calculatedColumnFormula>SUM(J1:J3)</calculatedColumnFormula>
    </tableColumn>
    <tableColumn id="10" xr3:uid="{B66798C7-CF52-9340-986F-1F5E1987106A}" name="Potential POI Location" dataDxfId="593">
      <calculatedColumnFormula>SUM(K1:K3)</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318492E-3FF4-8B42-8DB4-E612E67CEEB1}" name="Table222425" displayName="Table222425" ref="B3:K13" totalsRowShown="0" headerRowDxfId="592" dataDxfId="591" tableBorderDxfId="590">
  <autoFilter ref="B3:K13"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4630CEE-D6CD-504E-9A87-345474FFDE73}" name="#" dataDxfId="589"/>
    <tableColumn id="2" xr3:uid="{C3155A5C-5889-B54D-A265-556DAB4D69EF}" name="Location" dataDxfId="588"/>
    <tableColumn id="3" xr3:uid="{E2508B1C-5A2B-A04A-80E5-4417D9474441}" name="Name" dataDxfId="587"/>
    <tableColumn id="4" xr3:uid="{E6BD06B1-3F6F-044C-A42D-127E5061F340}" name="Developer" dataDxfId="586"/>
    <tableColumn id="5" xr3:uid="{43E32024-7387-4E4B-BB3E-6E38524AF695}" name="Lease Area" dataDxfId="585"/>
    <tableColumn id="6" xr3:uid="{7D4C0A01-1212-8E41-9038-28A16213BEDB}" name="Offtake Agreement" dataDxfId="584"/>
    <tableColumn id="7" xr3:uid="{34F699DC-D898-084B-928B-AD731B1BD317}" name="Estimated COD" dataDxfId="583"/>
    <tableColumn id="8" xr3:uid="{83CDB09E-FB94-AC4A-A2AB-223CCEB4EDF8}" name="Current Status" dataDxfId="582"/>
    <tableColumn id="9" xr3:uid="{D95AF7C0-95C9-3343-8344-79FD5BC3C190}" name="Capacity (MW)" dataDxfId="581"/>
    <tableColumn id="10" xr3:uid="{D425C9DA-3104-3B4C-A223-3671897EEAFA}" name="Potential POI Location" dataDxfId="58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A9DC0-6C08-E740-A8D0-883051654452}" name="Table1" displayName="Table1" ref="B4:N21" totalsRowShown="0" headerRowDxfId="579" dataDxfId="578" tableBorderDxfId="577">
  <autoFilter ref="B4:N21" xr:uid="{45D9EE2C-1641-9546-92BE-23B0C67B16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71508EE-9654-1E4E-AC13-D831EE267DDE}" name="State" dataDxfId="576"/>
    <tableColumn id="3" xr3:uid="{96AC315B-F3AC-5E44-8B85-C48571E53F2F}" name="2022" dataDxfId="575"/>
    <tableColumn id="4" xr3:uid="{5A508CE7-2307-0949-880D-4A393C79116C}" name="2023" dataDxfId="574"/>
    <tableColumn id="5" xr3:uid="{5A486A73-DECC-F741-B25E-5508E9AB62E1}" name="2024" dataDxfId="573"/>
    <tableColumn id="6" xr3:uid="{A8791A42-9AD2-5640-A5ED-DC18791BAF70}" name="2025" dataDxfId="572"/>
    <tableColumn id="7" xr3:uid="{6564E0CD-D39D-2342-AF84-98513B0D536A}" name="2026" dataDxfId="571"/>
    <tableColumn id="8" xr3:uid="{81C4AE61-B73A-6943-8CB4-0CC6D4A0CC8B}" name="2027" dataDxfId="570"/>
    <tableColumn id="9" xr3:uid="{415C8D96-1694-5543-9823-EFA6784A282A}" name="2028" dataDxfId="569"/>
    <tableColumn id="10" xr3:uid="{D2651202-F1A7-BD4B-BB64-BAA02AA94764}" name="2029" dataDxfId="568"/>
    <tableColumn id="11" xr3:uid="{18BAACAB-24CF-5F47-9D16-FCE75FC5F2C1}" name="2030" dataDxfId="567"/>
    <tableColumn id="12" xr3:uid="{01923A59-BC51-B642-83E3-A299F154900F}" name="2031" dataDxfId="566"/>
    <tableColumn id="13" xr3:uid="{1DDE40EA-60C2-7D4E-9D4A-C1DA6863EDDD}" name="2032" dataDxfId="565"/>
    <tableColumn id="2" xr3:uid="{57337E84-8B68-6E45-A57B-6C44050048C3}" name="Total" dataDxfId="56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4250AC5B-DCB3-2948-86AF-5F2E8753329C}" name="Table53" displayName="Table53" ref="B25:N42" totalsRowShown="0" headerRowDxfId="563" dataDxfId="562" tableBorderDxfId="561">
  <autoFilter ref="B25:N42" xr:uid="{4250AC5B-DCB3-2948-86AF-5F2E87533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893C6B5-B7AB-BD43-A742-5C6821443362}" name="State" dataDxfId="560"/>
    <tableColumn id="2" xr3:uid="{64D01773-F3F6-4440-A8F1-B24A8ED045DC}" name="2022" dataDxfId="559"/>
    <tableColumn id="3" xr3:uid="{0A36FFE5-35AA-F441-A46B-484369520CF4}" name="2023" dataDxfId="558"/>
    <tableColumn id="4" xr3:uid="{C4F439B9-6B1B-4247-8E66-FC0F68F12A0A}" name="2024" dataDxfId="557"/>
    <tableColumn id="5" xr3:uid="{11222C05-2607-3F4B-88B5-92E1D66844D8}" name="2025" dataDxfId="556"/>
    <tableColumn id="6" xr3:uid="{2E1479C5-88B0-9344-9DC0-E01340A59253}" name="2026" dataDxfId="555"/>
    <tableColumn id="7" xr3:uid="{45F09FF5-29EF-8F4B-BCDB-921EB6F0BD4C}" name="2027" dataDxfId="554"/>
    <tableColumn id="8" xr3:uid="{3C2C82B1-9852-E64F-996D-BD85782C7CBE}" name="2028" dataDxfId="553"/>
    <tableColumn id="9" xr3:uid="{4F43F72D-8A66-1244-89B8-A788BCAF341A}" name="2029" dataDxfId="552"/>
    <tableColumn id="10" xr3:uid="{2745AADB-6913-CC4B-8013-07CB02420024}" name="2030" dataDxfId="551"/>
    <tableColumn id="11" xr3:uid="{A973F91F-F062-B04A-9AAA-1AB82DCB2E6E}" name="2031" dataDxfId="550"/>
    <tableColumn id="12" xr3:uid="{EAEE096A-6734-5242-8363-AC4C49FC5455}" name="2032" dataDxfId="549"/>
    <tableColumn id="13" xr3:uid="{7532A5D7-7223-214E-9427-1442D55DCD4F}" name="Total" dataDxfId="54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55"/>
  <sheetViews>
    <sheetView workbookViewId="0">
      <selection activeCell="A26" sqref="A26"/>
    </sheetView>
  </sheetViews>
  <sheetFormatPr defaultColWidth="8.796875" defaultRowHeight="15.6"/>
  <cols>
    <col min="1" max="1" width="100.19921875" customWidth="1"/>
    <col min="2" max="2" width="9.796875" bestFit="1" customWidth="1"/>
  </cols>
  <sheetData>
    <row r="2" spans="1:1" ht="23.4">
      <c r="A2" s="5" t="s">
        <v>344</v>
      </c>
    </row>
    <row r="4" spans="1:1" ht="23.4">
      <c r="A4" s="5" t="s">
        <v>80</v>
      </c>
    </row>
    <row r="5" spans="1:1">
      <c r="A5" s="6" t="str">
        <f>HYPERLINK('T1, Pipeline Classification'!$B$1,'T1, Pipeline Classification'!$B$1)</f>
        <v>Table 1: Offshore Wind Project Pipeline Classification Criteria</v>
      </c>
    </row>
    <row r="6" spans="1:1">
      <c r="A6" s="6" t="str">
        <f>HYPERLINK('T2, US Pipeline Definition'!$B$1,'T2, US Pipeline Definition'!$B$1)</f>
        <v>Table 2: U.S. Offshore Wind Energy Pipeline Categories</v>
      </c>
    </row>
    <row r="7" spans="1:1">
      <c r="A7" s="6" t="str">
        <f>HYPERLINK('F1-2, US State Pipeline'!$B$1,'F1-2, US State Pipeline'!$B$1)</f>
        <v>Figures 1-2: US Pipeline by State and Status (MW)</v>
      </c>
    </row>
    <row r="8" spans="1:1">
      <c r="A8" s="6" t="str">
        <f>HYPERLINK('T3, US Pipeline, Part 1'!$B$1,'T3, US Pipeline, Part 1'!$B$1)</f>
        <v>Table 3: U.S. Offshore Wind Energy Project Pipeline (North Atlantic and Great Lakes)</v>
      </c>
    </row>
    <row r="9" spans="1:1">
      <c r="A9" s="6" t="str">
        <f>HYPERLINK('T4, US Pipeline, Part 2'!$B$1,'T4, US Pipeline, Part 2'!$B$1)</f>
        <v>Table 4: U.S. Offshore Wind Energy Project Pipeline (Mid- and South Atlantic)</v>
      </c>
    </row>
    <row r="10" spans="1:1">
      <c r="A10" s="6" t="str">
        <f>HYPERLINK('T5, US Pipeline, Part 3'!$B$1,'T5, US Pipeline, Part 3'!$B$1)</f>
        <v xml:space="preserve">Table 5: U.S. Offshore Wind Energy Project Pipeline (Gulf of Mexico) </v>
      </c>
    </row>
    <row r="11" spans="1:1">
      <c r="A11" s="6" t="str">
        <f>HYPERLINK('T6, US Pipeline, Part 4'!$B$1,'T6, US Pipeline, Part 4'!$B$1)</f>
        <v xml:space="preserve">Table 6: U.S. Offshore Wind Energy Project Pipeline (Pacific) </v>
      </c>
    </row>
    <row r="12" spans="1:1">
      <c r="A12" s="6" t="str">
        <f>HYPERLINK('F8, US Forecasts'!$B$1,'F8, US Forecasts'!$B$1)</f>
        <v>Figure 8: Industry offshore wind energy U.S. deployment projections through 2032</v>
      </c>
    </row>
    <row r="13" spans="1:1">
      <c r="A13" s="6" t="str">
        <f>HYPERLINK('T7, US Permitting Status'!$B$1,'T7, US Permitting Status'!$B$1)</f>
        <v>Table 7: U.S. Federal Offshore Wind Energy Permitting Status Summary as of May 31, 2023</v>
      </c>
    </row>
    <row r="14" spans="1:1">
      <c r="A14" s="6" t="str">
        <f>HYPERLINK('T8, Ca Long Bay Lease Auctions'!$B$1,'T8, Ca Long Bay Lease Auctions'!$B$1)</f>
        <v>Table 8: Carolina Long Bay Auction Results</v>
      </c>
    </row>
    <row r="15" spans="1:1">
      <c r="A15" s="6" t="str">
        <f>HYPERLINK('T9, California Lease Auctions'!$B$1,'T9, California Lease Auctions'!$B$1)</f>
        <v>Table 9: California Auction Results</v>
      </c>
    </row>
    <row r="16" spans="1:1">
      <c r="A16" s="6" t="str">
        <f>HYPERLINK('F10, US Lease Prices'!$B$1,'F10, US Lease Prices'!$B$1)</f>
        <v>Figure 10: U.S. offshore wind energy lease prices</v>
      </c>
    </row>
    <row r="17" spans="1:1">
      <c r="A17" s="6" t="str">
        <f>HYPERLINK('T10, US Lease Prices'!$B$1,'T10, US Lease Prices'!$B$1)</f>
        <v>Table 10: U.S. Offshore Wind Energy Lease Prices (in Order Sold)</v>
      </c>
    </row>
    <row r="18" spans="1:1">
      <c r="A18" s="6" t="str">
        <f>HYPERLINK('T11, Gulf of Mexico WEAs'!$B$1,'T11, Gulf of Mexico WEAs'!$B$1)</f>
        <v>Table 11: Gulf of Mexico Wind Energy Areas</v>
      </c>
    </row>
    <row r="19" spans="1:1">
      <c r="A19" s="6" t="str">
        <f>HYPERLINK('T12, US Call Areas Outer Shelf'!$B$1,'T12, US Call Areas Outer Shelf'!$B$1)</f>
        <v>Table 12: BOEM Call Areas on U.S. Outer Continental Shelf</v>
      </c>
    </row>
    <row r="20" spans="1:1">
      <c r="A20" s="6" t="str">
        <f>HYPERLINK('F15, US Capacity Density'!$B$1,'F15, US Capacity Density'!$B$1)</f>
        <v>Figure 15: Weighted-average capacity densities by state calculated from project data</v>
      </c>
    </row>
    <row r="21" spans="1:1">
      <c r="A21" s="6" t="str">
        <f>HYPERLINK('T13, US Offtake Contracts'!$B$1,'T13, US Offtake Contracts'!$B$1)</f>
        <v>Table 13: Power Offtake Contracts for U.S. Offshore Wind Energy Projects</v>
      </c>
    </row>
    <row r="22" spans="1:1">
      <c r="A22" s="6" t="str">
        <f>HYPERLINK('T14, US Procurement Policies'!$B$1,'T14, US Procurement Policies'!$B$1)</f>
        <v>Table 14: State Plannning Goals and Mandated State Procurements by Year</v>
      </c>
    </row>
    <row r="23" spans="1:1">
      <c r="A23" s="6" t="str">
        <f>HYPERLINK('T15, US Flagged Vessels Pt 1'!$B$1,'T15, US Flagged Vessels Pt 1'!$B$1)</f>
        <v>Table 15: Commissioned U.S.-Flagged Vessels To Serve the Offshore Wind Energy Industry</v>
      </c>
    </row>
    <row r="24" spans="1:1">
      <c r="A24" s="6" t="str">
        <f>HYPERLINK('T16, US Flagged Vessels Pt 2'!$B$1,'T16, US Flagged Vessels Pt 2'!$B$1)</f>
        <v>Table 16: Actively Announced or Under Construction U.S.-Flagged Vessels To Serve the Offshore Wind Energy Industry</v>
      </c>
    </row>
    <row r="25" spans="1:1">
      <c r="A25" s="6" t="str">
        <f>HYPERLINK('T17, US Ports and Manufacturing'!$B$1,'T17, US Ports and Manufacturing'!$B$1)</f>
        <v>Table 17: Investments in Offshore Wind Ports and Tier 1 Manufacturing Facilities From January 1, 2022, to May 2023</v>
      </c>
    </row>
    <row r="26" spans="1:1">
      <c r="A26" s="6" t="str">
        <f>HYPERLINK('F17, Global Annual Additions'!$B$1,'F17, Global Annual Additions'!$B$1)</f>
        <v>Figure 17: Global Annual Offshore Wind Energy Capacity Additions (MW) Through December 31, 2022</v>
      </c>
    </row>
    <row r="27" spans="1:1">
      <c r="A27" s="6" t="str">
        <f>HYPERLINK('F18,20, Installed and Const.'!$B$1,'F18,20, Installed and Const.'!$B$1)</f>
        <v>Figures 18, 20: Installed and Under Construction Offshore Wind Energy Capacity by Country (MW)</v>
      </c>
    </row>
    <row r="28" spans="1:1">
      <c r="A28" s="6" t="str">
        <f>HYPERLINK('F19,22, Global Cumulative'!$B$1,'F19,22, Global Cumulative'!$B$1)</f>
        <v>Figures 19, 22: Estimated cumulative offshore wind capacity by country based on developer-announced CODs</v>
      </c>
    </row>
    <row r="29" spans="1:1">
      <c r="A29" s="6" t="str">
        <f>HYPERLINK('F21, Developer Announced'!$B$1,'F21, Developer Announced'!$B$1)</f>
        <v>Figure 21: Developer-announced COD for offshore wind energy projects under construction with financial closure</v>
      </c>
    </row>
    <row r="30" spans="1:1">
      <c r="A30" s="6" t="str">
        <f>HYPERLINK('F23, Global Floating Cumulative'!$B$1,'F23, Global Floating Cumulative'!$B$1)</f>
        <v>Figures 23: Cumulative floating offshore wind capacity by country based on announced CODs through 2030</v>
      </c>
    </row>
    <row r="31" spans="1:1">
      <c r="A31" s="6" t="str">
        <f>HYPERLINK('F24, Global Regional'!$B$1,'F24, Global Regional'!$B$1)</f>
        <v>Figure 24: Total global offshore wind energy pipeline by regulatory status</v>
      </c>
    </row>
    <row r="32" spans="1:1">
      <c r="A32" s="6" t="str">
        <f>HYPERLINK('F25, Global Floating Regional'!$B$1,'F25, Global Floating Regional'!$B$1)</f>
        <v>Figure 25: Total global floating offshore wind energy pipeline by regulatory status</v>
      </c>
    </row>
    <row r="33" spans="1:1">
      <c r="A33" s="6" t="str">
        <f>HYPERLINK('T18, Global Floating Pipeline'!$B$1,'T18, Global Floating Pipeline'!$B$1)</f>
        <v>Table 18: Global Floating Offshore Wind Energy Pipeline</v>
      </c>
    </row>
    <row r="34" spans="1:1">
      <c r="A34" s="6" t="str">
        <f>HYPERLINK('F26, Global Forecasts'!$B$1,'F26, Global Forecasts'!$B$1)</f>
        <v>Figure 26: Industry forecasts for global offshore wind energy deployment to 2032</v>
      </c>
    </row>
    <row r="35" spans="1:1">
      <c r="A35" s="6" t="str">
        <f>HYPERLINK('F27, Floating Projections'!$B$1,'F27, Floating Projections'!$B$1)</f>
        <v>Figure 27: Long-term cumulative floating offshore wind energy deployment projections</v>
      </c>
    </row>
    <row r="36" spans="1:1">
      <c r="A36" s="6" t="str">
        <f>HYPERLINK('F28, Global Targets'!$B$1,'F28, Global Targets'!$B$1)</f>
        <v>Figure 28: Country-specific offshore wind energy tagets</v>
      </c>
    </row>
    <row r="37" spans="1:1">
      <c r="A37" s="6" t="str">
        <f>HYPERLINK('T19, European Targets'!$B$1,'T19, European Targets'!$B$1)</f>
        <v>Table 19: European National Offshore Wind Energy Targets</v>
      </c>
    </row>
    <row r="38" spans="1:1">
      <c r="A38" s="6" t="str">
        <f>HYPERLINK('T20, Asian Targets'!$B$1,'T20, Asian Targets'!$B$1)</f>
        <v>Table 20: Asian National Offshore Wind Energy Targets</v>
      </c>
    </row>
    <row r="39" spans="1:1">
      <c r="A39" s="6" t="str">
        <f>HYPERLINK('T21, Rest of World Targets'!$B$1,'T21, Rest of World Targets'!$B$1)</f>
        <v>Table 21: Rest-of-the-World National Offshore Wind Energy Targets</v>
      </c>
    </row>
    <row r="40" spans="1:1">
      <c r="A40" s="6" t="str">
        <f>HYPERLINK('F30-31, Depth and Dist to Shore'!$B$1,'F30-31, Depth and Dist to Shore'!$B$1)</f>
        <v>Figures 30-31: Global Fixed-Bottom Turbine Water Depth (m) and Distance from Shore (km) Trends</v>
      </c>
    </row>
    <row r="41" spans="1:1">
      <c r="A41" s="6" t="str">
        <f>HYPERLINK('F32-34, Sub. Market Share'!$B$1,'F32-34, Sub. Market Share'!$B$1)</f>
        <v>Figures 32-34: Offshore Wind Substructure Technology Trend for 2022 and Future Disclosed Pipeline</v>
      </c>
    </row>
    <row r="42" spans="1:1">
      <c r="A42" s="6" t="str">
        <f>HYPERLINK('F35-36, Global Turbine Trends'!$B$1,'F35-36, Global Turbine Trends'!$B$1)</f>
        <v>Figure 35-36: Global Offshore Wind Turbine Rating, Hub Height, and Diameter</v>
      </c>
    </row>
    <row r="43" spans="1:1">
      <c r="A43" s="6" t="str">
        <f>HYPERLINK('F37-38, OEM Market Share'!$B$1,'F37-38, OEM Market Share'!$B$1)</f>
        <v>Figures 37-38: Offshore Wind Turbine Manufacturers by Market Share for 2022 and Future Disclosed Pipeline</v>
      </c>
    </row>
    <row r="44" spans="1:1">
      <c r="A44" s="6" t="str">
        <f>HYPERLINK('F39, Fixed LCOE Projections'!$B$1,'F39, Fixed LCOE Projections'!$B$1)</f>
        <v>Figure 39: LCOE estimates for fixed-bottom offshore wind energy in the United States</v>
      </c>
    </row>
    <row r="45" spans="1:1">
      <c r="A45" s="6" t="str">
        <f>HYPERLINK('F40 Project CapEx'!$B$1,'F40 Project CapEx'!$B$1)</f>
        <v>Figure 40: Capital expenditures for global offshore wind energy projects</v>
      </c>
    </row>
    <row r="46" spans="1:1">
      <c r="A46" s="6" t="str">
        <f>HYPERLINK('F41, Floating LCOE'!$B$1,'F41, Floating LCOE'!$B$1)</f>
        <v>Figure 41: U.S. LCOE estimates for floating offshore wind technologies (USD2022/MWh)</v>
      </c>
    </row>
    <row r="47" spans="1:1">
      <c r="A47" s="6" t="str">
        <f>HYPERLINK('T22, Financing Conditions'!$B$1,'T22, Financing Conditions'!$B$1)</f>
        <v>Table 22. Indicative Financing Conditions for U.S. and European Offshore Wind Energy</v>
      </c>
    </row>
    <row r="48" spans="1:1">
      <c r="A48" s="6" t="str">
        <f>HYPERLINK('TA1, US Capacity Density'!$B$1,'TA1, US Capacity Density'!$B$1)</f>
        <v>Table A-1. Proposed Capacity Density of U.S. Projects</v>
      </c>
    </row>
    <row r="49" spans="1:1">
      <c r="A49" s="6"/>
    </row>
    <row r="50" spans="1:1">
      <c r="A50" s="6"/>
    </row>
    <row r="51" spans="1:1">
      <c r="A51" s="6"/>
    </row>
    <row r="52" spans="1:1">
      <c r="A52" s="6"/>
    </row>
    <row r="53" spans="1:1">
      <c r="A53" s="6"/>
    </row>
    <row r="54" spans="1:1">
      <c r="A54" s="6"/>
    </row>
    <row r="55" spans="1:1">
      <c r="A55" s="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FE68-EFA7-4D4D-9BC2-04D48F3FDD10}">
  <dimension ref="B1:G35"/>
  <sheetViews>
    <sheetView workbookViewId="0">
      <selection activeCell="B2" sqref="B2"/>
    </sheetView>
  </sheetViews>
  <sheetFormatPr defaultColWidth="10.69921875" defaultRowHeight="15.6"/>
  <cols>
    <col min="2" max="2" width="26.5" customWidth="1"/>
    <col min="3" max="3" width="15.296875" customWidth="1"/>
    <col min="4" max="4" width="12.69921875" customWidth="1"/>
    <col min="5" max="5" width="13" customWidth="1"/>
    <col min="6" max="6" width="41" bestFit="1" customWidth="1"/>
    <col min="7" max="7" width="34" customWidth="1"/>
  </cols>
  <sheetData>
    <row r="1" spans="2:7" ht="23.4">
      <c r="B1" s="4" t="s">
        <v>340</v>
      </c>
    </row>
    <row r="3" spans="2:7" s="27" customFormat="1">
      <c r="B3" s="22" t="s">
        <v>212</v>
      </c>
      <c r="C3" s="22" t="s">
        <v>261</v>
      </c>
      <c r="D3" s="22" t="s">
        <v>262</v>
      </c>
      <c r="E3" s="22" t="s">
        <v>263</v>
      </c>
      <c r="F3" s="22" t="s">
        <v>459</v>
      </c>
      <c r="G3" s="22" t="s">
        <v>72</v>
      </c>
    </row>
    <row r="4" spans="2:7" s="27" customFormat="1" ht="46.8">
      <c r="B4" s="22" t="s">
        <v>243</v>
      </c>
      <c r="C4" s="22" t="s">
        <v>158</v>
      </c>
      <c r="D4" s="22">
        <v>284</v>
      </c>
      <c r="E4" s="22">
        <v>2012</v>
      </c>
      <c r="F4" s="22" t="s">
        <v>460</v>
      </c>
      <c r="G4" s="22" t="s">
        <v>904</v>
      </c>
    </row>
    <row r="5" spans="2:7" s="27" customFormat="1" ht="34.049999999999997" customHeight="1">
      <c r="B5" s="22" t="s">
        <v>275</v>
      </c>
      <c r="C5" s="22" t="s">
        <v>152</v>
      </c>
      <c r="D5" s="22"/>
      <c r="E5" s="22">
        <v>2013</v>
      </c>
      <c r="F5" s="22" t="s">
        <v>84</v>
      </c>
      <c r="G5" s="22" t="s">
        <v>461</v>
      </c>
    </row>
    <row r="6" spans="2:7" s="27" customFormat="1">
      <c r="B6" s="22" t="s">
        <v>275</v>
      </c>
      <c r="C6" s="22" t="s">
        <v>462</v>
      </c>
      <c r="D6" s="22">
        <v>55</v>
      </c>
      <c r="E6" s="22">
        <v>2013</v>
      </c>
      <c r="F6" s="22" t="s">
        <v>214</v>
      </c>
      <c r="G6" s="22" t="s">
        <v>266</v>
      </c>
    </row>
    <row r="7" spans="2:7" s="27" customFormat="1">
      <c r="B7" s="22" t="s">
        <v>275</v>
      </c>
      <c r="C7" s="22" t="s">
        <v>216</v>
      </c>
      <c r="D7" s="22">
        <v>445</v>
      </c>
      <c r="E7" s="22">
        <v>2013</v>
      </c>
      <c r="F7" s="22" t="s">
        <v>215</v>
      </c>
      <c r="G7" s="22" t="s">
        <v>463</v>
      </c>
    </row>
    <row r="8" spans="2:7" s="27" customFormat="1">
      <c r="B8" s="22" t="s">
        <v>249</v>
      </c>
      <c r="C8" s="22" t="s">
        <v>162</v>
      </c>
      <c r="D8" s="22">
        <v>456</v>
      </c>
      <c r="E8" s="22">
        <v>2013</v>
      </c>
      <c r="F8" s="22" t="s">
        <v>421</v>
      </c>
      <c r="G8" s="22" t="s">
        <v>463</v>
      </c>
    </row>
    <row r="9" spans="2:7" s="27" customFormat="1" ht="46.8">
      <c r="B9" s="22" t="s">
        <v>246</v>
      </c>
      <c r="C9" s="22" t="s">
        <v>160</v>
      </c>
      <c r="D9" s="22">
        <v>323</v>
      </c>
      <c r="E9" s="22">
        <v>2014</v>
      </c>
      <c r="F9" s="22" t="s">
        <v>476</v>
      </c>
      <c r="G9" s="22" t="s">
        <v>464</v>
      </c>
    </row>
    <row r="10" spans="2:7" s="27" customFormat="1">
      <c r="B10" s="22" t="s">
        <v>218</v>
      </c>
      <c r="C10" s="22" t="s">
        <v>147</v>
      </c>
      <c r="D10" s="22">
        <v>759</v>
      </c>
      <c r="E10" s="22">
        <v>2015</v>
      </c>
      <c r="F10" s="22" t="s">
        <v>74</v>
      </c>
      <c r="G10" s="22" t="s">
        <v>267</v>
      </c>
    </row>
    <row r="11" spans="2:7" s="27" customFormat="1">
      <c r="B11" s="22" t="s">
        <v>218</v>
      </c>
      <c r="C11" s="22" t="s">
        <v>148</v>
      </c>
      <c r="D11" s="22">
        <v>264</v>
      </c>
      <c r="E11" s="22">
        <v>2015</v>
      </c>
      <c r="F11" s="22" t="s">
        <v>29</v>
      </c>
      <c r="G11" s="22" t="s">
        <v>266</v>
      </c>
    </row>
    <row r="12" spans="2:7" s="27" customFormat="1" ht="31.2">
      <c r="B12" s="22" t="s">
        <v>218</v>
      </c>
      <c r="C12" s="22" t="s">
        <v>219</v>
      </c>
      <c r="D12" s="22">
        <v>411</v>
      </c>
      <c r="E12" s="22">
        <v>2015</v>
      </c>
      <c r="F12" s="22" t="s">
        <v>475</v>
      </c>
      <c r="G12" s="22" t="s">
        <v>463</v>
      </c>
    </row>
    <row r="13" spans="2:7" s="27" customFormat="1">
      <c r="B13" s="22" t="s">
        <v>237</v>
      </c>
      <c r="C13" s="22" t="s">
        <v>157</v>
      </c>
      <c r="D13" s="22">
        <v>306</v>
      </c>
      <c r="E13" s="22">
        <v>2016</v>
      </c>
      <c r="F13" s="22" t="s">
        <v>238</v>
      </c>
      <c r="G13" s="22" t="s">
        <v>465</v>
      </c>
    </row>
    <row r="14" spans="2:7" s="27" customFormat="1">
      <c r="B14" s="22" t="s">
        <v>237</v>
      </c>
      <c r="C14" s="22" t="s">
        <v>240</v>
      </c>
      <c r="D14" s="22">
        <v>344</v>
      </c>
      <c r="E14" s="22">
        <v>2016</v>
      </c>
      <c r="F14" s="22" t="s">
        <v>239</v>
      </c>
      <c r="G14" s="22" t="s">
        <v>466</v>
      </c>
    </row>
    <row r="15" spans="2:7" s="27" customFormat="1" ht="62.4">
      <c r="B15" s="22" t="s">
        <v>237</v>
      </c>
      <c r="C15" s="22" t="s">
        <v>156</v>
      </c>
      <c r="D15" s="22">
        <v>348</v>
      </c>
      <c r="E15" s="22">
        <v>2016</v>
      </c>
      <c r="F15" s="22" t="s">
        <v>472</v>
      </c>
      <c r="G15" s="22" t="s">
        <v>463</v>
      </c>
    </row>
    <row r="16" spans="2:7" s="27" customFormat="1">
      <c r="B16" s="22" t="s">
        <v>237</v>
      </c>
      <c r="C16" s="22" t="s">
        <v>405</v>
      </c>
      <c r="D16" s="22">
        <v>394</v>
      </c>
      <c r="E16" s="22">
        <v>2016</v>
      </c>
      <c r="F16" s="22" t="s">
        <v>404</v>
      </c>
      <c r="G16" s="22" t="s">
        <v>267</v>
      </c>
    </row>
    <row r="17" spans="2:7" s="27" customFormat="1" ht="31.2">
      <c r="B17" s="22" t="s">
        <v>224</v>
      </c>
      <c r="C17" s="22" t="s">
        <v>155</v>
      </c>
      <c r="D17" s="22">
        <v>321</v>
      </c>
      <c r="E17" s="22">
        <v>2017</v>
      </c>
      <c r="F17" s="22" t="s">
        <v>473</v>
      </c>
      <c r="G17" s="22" t="s">
        <v>463</v>
      </c>
    </row>
    <row r="18" spans="2:7" s="27" customFormat="1">
      <c r="B18" s="22" t="s">
        <v>250</v>
      </c>
      <c r="C18" s="22" t="s">
        <v>467</v>
      </c>
      <c r="D18" s="22">
        <v>495</v>
      </c>
      <c r="E18" s="22">
        <v>2017</v>
      </c>
      <c r="F18" s="22" t="s">
        <v>79</v>
      </c>
      <c r="G18" s="22" t="s">
        <v>265</v>
      </c>
    </row>
    <row r="19" spans="2:7" s="27" customFormat="1" ht="31.2">
      <c r="B19" s="22" t="s">
        <v>243</v>
      </c>
      <c r="C19" s="22" t="s">
        <v>468</v>
      </c>
      <c r="D19" s="22">
        <v>107</v>
      </c>
      <c r="E19" s="22">
        <v>2018</v>
      </c>
      <c r="F19" s="22" t="s">
        <v>474</v>
      </c>
      <c r="G19" s="22" t="s">
        <v>466</v>
      </c>
    </row>
    <row r="20" spans="2:7" s="27" customFormat="1" ht="31.2">
      <c r="B20" s="22" t="s">
        <v>218</v>
      </c>
      <c r="C20" s="22" t="s">
        <v>149</v>
      </c>
      <c r="D20" s="22">
        <v>521</v>
      </c>
      <c r="E20" s="22">
        <v>2019</v>
      </c>
      <c r="F20" s="22" t="s">
        <v>477</v>
      </c>
      <c r="G20" s="22" t="s">
        <v>267</v>
      </c>
    </row>
    <row r="21" spans="2:7" s="27" customFormat="1" ht="46.8">
      <c r="B21" s="22" t="s">
        <v>218</v>
      </c>
      <c r="C21" s="22" t="s">
        <v>150</v>
      </c>
      <c r="D21" s="22">
        <v>516</v>
      </c>
      <c r="E21" s="22">
        <v>2019</v>
      </c>
      <c r="F21" s="22" t="s">
        <v>478</v>
      </c>
      <c r="G21" s="22" t="s">
        <v>463</v>
      </c>
    </row>
    <row r="22" spans="2:7" s="27" customFormat="1">
      <c r="B22" s="22" t="s">
        <v>218</v>
      </c>
      <c r="C22" s="22" t="s">
        <v>151</v>
      </c>
      <c r="D22" s="22">
        <v>536</v>
      </c>
      <c r="E22" s="22">
        <v>2019</v>
      </c>
      <c r="F22" s="22" t="s">
        <v>388</v>
      </c>
      <c r="G22" s="22" t="s">
        <v>264</v>
      </c>
    </row>
    <row r="23" spans="2:7" s="27" customFormat="1">
      <c r="B23" s="22" t="s">
        <v>227</v>
      </c>
      <c r="C23" s="22" t="s">
        <v>229</v>
      </c>
      <c r="D23" s="22">
        <v>289</v>
      </c>
      <c r="E23" s="22">
        <v>2022</v>
      </c>
      <c r="F23" s="22" t="s">
        <v>397</v>
      </c>
      <c r="G23" s="22" t="s">
        <v>469</v>
      </c>
    </row>
    <row r="24" spans="2:7" s="27" customFormat="1">
      <c r="B24" s="22" t="s">
        <v>227</v>
      </c>
      <c r="C24" s="22" t="s">
        <v>232</v>
      </c>
      <c r="D24" s="22">
        <v>341</v>
      </c>
      <c r="E24" s="22">
        <v>2022</v>
      </c>
      <c r="F24" s="22" t="s">
        <v>230</v>
      </c>
      <c r="G24" s="22" t="s">
        <v>469</v>
      </c>
    </row>
    <row r="25" spans="2:7" s="27" customFormat="1">
      <c r="B25" s="22" t="s">
        <v>227</v>
      </c>
      <c r="C25" s="22" t="s">
        <v>233</v>
      </c>
      <c r="D25" s="22">
        <v>510</v>
      </c>
      <c r="E25" s="22">
        <v>2022</v>
      </c>
      <c r="F25" s="22" t="s">
        <v>399</v>
      </c>
      <c r="G25" s="22" t="s">
        <v>469</v>
      </c>
    </row>
    <row r="26" spans="2:7" s="27" customFormat="1">
      <c r="B26" s="22" t="s">
        <v>227</v>
      </c>
      <c r="C26" s="22" t="s">
        <v>235</v>
      </c>
      <c r="D26" s="22">
        <v>321</v>
      </c>
      <c r="E26" s="22">
        <v>2022</v>
      </c>
      <c r="F26" s="22" t="s">
        <v>234</v>
      </c>
      <c r="G26" s="22" t="s">
        <v>469</v>
      </c>
    </row>
    <row r="27" spans="2:7" s="27" customFormat="1">
      <c r="B27" s="22" t="s">
        <v>227</v>
      </c>
      <c r="C27" s="22" t="s">
        <v>236</v>
      </c>
      <c r="D27" s="22">
        <v>340</v>
      </c>
      <c r="E27" s="22">
        <v>2022</v>
      </c>
      <c r="F27" s="22" t="s">
        <v>402</v>
      </c>
      <c r="G27" s="22" t="s">
        <v>469</v>
      </c>
    </row>
    <row r="28" spans="2:7" s="27" customFormat="1">
      <c r="B28" s="22" t="s">
        <v>227</v>
      </c>
      <c r="C28" s="22" t="s">
        <v>228</v>
      </c>
      <c r="D28" s="22">
        <v>174</v>
      </c>
      <c r="E28" s="22">
        <v>2022</v>
      </c>
      <c r="F28" s="22" t="s">
        <v>396</v>
      </c>
      <c r="G28" s="22" t="s">
        <v>469</v>
      </c>
    </row>
    <row r="29" spans="2:7" s="27" customFormat="1">
      <c r="B29" s="22" t="s">
        <v>250</v>
      </c>
      <c r="C29" s="22" t="s">
        <v>253</v>
      </c>
      <c r="D29" s="22">
        <v>222</v>
      </c>
      <c r="E29" s="22">
        <v>2022</v>
      </c>
      <c r="F29" s="22" t="s">
        <v>470</v>
      </c>
      <c r="G29" s="22" t="s">
        <v>469</v>
      </c>
    </row>
    <row r="30" spans="2:7" s="27" customFormat="1">
      <c r="B30" s="22" t="s">
        <v>250</v>
      </c>
      <c r="C30" s="22" t="s">
        <v>255</v>
      </c>
      <c r="D30" s="22">
        <v>223</v>
      </c>
      <c r="E30" s="22">
        <v>2022</v>
      </c>
      <c r="F30" s="22" t="s">
        <v>471</v>
      </c>
      <c r="G30" s="22" t="s">
        <v>469</v>
      </c>
    </row>
    <row r="31" spans="2:7" s="27" customFormat="1">
      <c r="B31" s="22" t="s">
        <v>256</v>
      </c>
      <c r="C31" s="22" t="s">
        <v>454</v>
      </c>
      <c r="D31" s="22">
        <v>256</v>
      </c>
      <c r="E31" s="22">
        <v>2022</v>
      </c>
      <c r="F31" s="22" t="s">
        <v>453</v>
      </c>
      <c r="G31" s="22" t="s">
        <v>469</v>
      </c>
    </row>
    <row r="32" spans="2:7" s="27" customFormat="1">
      <c r="B32" s="22" t="s">
        <v>256</v>
      </c>
      <c r="C32" s="22" t="s">
        <v>457</v>
      </c>
      <c r="D32" s="22">
        <v>279</v>
      </c>
      <c r="E32" s="22">
        <v>2022</v>
      </c>
      <c r="F32" s="22" t="s">
        <v>455</v>
      </c>
      <c r="G32" s="22" t="s">
        <v>469</v>
      </c>
    </row>
    <row r="33" spans="2:7" s="27" customFormat="1">
      <c r="B33" s="22" t="s">
        <v>256</v>
      </c>
      <c r="C33" s="22" t="s">
        <v>447</v>
      </c>
      <c r="D33" s="22">
        <v>324</v>
      </c>
      <c r="E33" s="22">
        <v>2022</v>
      </c>
      <c r="F33" s="22" t="s">
        <v>445</v>
      </c>
      <c r="G33" s="22" t="s">
        <v>469</v>
      </c>
    </row>
    <row r="34" spans="2:7" s="27" customFormat="1">
      <c r="B34" s="22" t="s">
        <v>256</v>
      </c>
      <c r="C34" s="22" t="s">
        <v>449</v>
      </c>
      <c r="D34" s="22">
        <v>325</v>
      </c>
      <c r="E34" s="22">
        <v>2022</v>
      </c>
      <c r="F34" s="22" t="s">
        <v>448</v>
      </c>
      <c r="G34" s="22" t="s">
        <v>469</v>
      </c>
    </row>
    <row r="35" spans="2:7" s="27" customFormat="1">
      <c r="B35" s="22" t="s">
        <v>256</v>
      </c>
      <c r="C35" s="22" t="s">
        <v>452</v>
      </c>
      <c r="D35" s="22">
        <v>325</v>
      </c>
      <c r="E35" s="22">
        <v>2022</v>
      </c>
      <c r="F35" s="22" t="s">
        <v>450</v>
      </c>
      <c r="G35" s="22" t="s">
        <v>469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9681-E127-8047-9556-181B98110B07}">
  <dimension ref="B1:G5"/>
  <sheetViews>
    <sheetView workbookViewId="0">
      <selection activeCell="K3" sqref="K3"/>
    </sheetView>
  </sheetViews>
  <sheetFormatPr defaultColWidth="10.69921875" defaultRowHeight="15.6"/>
  <cols>
    <col min="2" max="2" width="16.19921875" customWidth="1"/>
    <col min="3" max="3" width="12.796875" bestFit="1" customWidth="1"/>
    <col min="4" max="4" width="10.19921875" bestFit="1" customWidth="1"/>
    <col min="5" max="5" width="13.5" bestFit="1" customWidth="1"/>
    <col min="6" max="6" width="11.19921875" bestFit="1" customWidth="1"/>
    <col min="7" max="7" width="12.19921875" bestFit="1" customWidth="1"/>
  </cols>
  <sheetData>
    <row r="1" spans="2:7" ht="23.4">
      <c r="B1" s="4" t="s">
        <v>341</v>
      </c>
    </row>
    <row r="3" spans="2:7" ht="18">
      <c r="B3" s="22" t="s">
        <v>261</v>
      </c>
      <c r="C3" s="22" t="s">
        <v>139</v>
      </c>
      <c r="D3" s="22" t="s">
        <v>482</v>
      </c>
      <c r="E3" s="22" t="s">
        <v>268</v>
      </c>
      <c r="F3" s="22" t="s">
        <v>269</v>
      </c>
      <c r="G3" s="22" t="s">
        <v>481</v>
      </c>
    </row>
    <row r="4" spans="2:7">
      <c r="B4" s="22" t="s">
        <v>253</v>
      </c>
      <c r="C4" s="22" t="s">
        <v>231</v>
      </c>
      <c r="D4" s="22">
        <v>223</v>
      </c>
      <c r="E4" s="22">
        <v>889</v>
      </c>
      <c r="F4" s="53" t="s">
        <v>479</v>
      </c>
      <c r="G4" s="53">
        <v>720721</v>
      </c>
    </row>
    <row r="5" spans="2:7">
      <c r="B5" s="22" t="s">
        <v>255</v>
      </c>
      <c r="C5" s="22" t="s">
        <v>254</v>
      </c>
      <c r="D5" s="22">
        <v>222</v>
      </c>
      <c r="E5" s="22">
        <v>893</v>
      </c>
      <c r="F5" s="53" t="s">
        <v>480</v>
      </c>
      <c r="G5" s="53">
        <v>695067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6BAA-6DA3-6646-8D3E-BD6D970BFD3C}">
  <dimension ref="B1:H8"/>
  <sheetViews>
    <sheetView workbookViewId="0">
      <selection activeCell="G9" sqref="G9"/>
    </sheetView>
  </sheetViews>
  <sheetFormatPr defaultColWidth="10.69921875" defaultRowHeight="15.6"/>
  <cols>
    <col min="2" max="2" width="16.19921875" customWidth="1"/>
    <col min="3" max="3" width="9.69921875" bestFit="1" customWidth="1"/>
    <col min="4" max="4" width="26" customWidth="1"/>
    <col min="5" max="5" width="10.19921875" bestFit="1" customWidth="1"/>
    <col min="6" max="6" width="13.19921875" customWidth="1"/>
    <col min="7" max="7" width="14.19921875" bestFit="1" customWidth="1"/>
    <col min="8" max="8" width="12.19921875" bestFit="1" customWidth="1"/>
  </cols>
  <sheetData>
    <row r="1" spans="2:8" ht="23.4">
      <c r="B1" s="4" t="s">
        <v>342</v>
      </c>
    </row>
    <row r="3" spans="2:8" s="27" customFormat="1" ht="31.2">
      <c r="B3" s="22" t="s">
        <v>261</v>
      </c>
      <c r="C3" s="22" t="s">
        <v>212</v>
      </c>
      <c r="D3" s="22" t="s">
        <v>139</v>
      </c>
      <c r="E3" s="22" t="s">
        <v>482</v>
      </c>
      <c r="F3" s="22" t="s">
        <v>268</v>
      </c>
      <c r="G3" s="22" t="s">
        <v>269</v>
      </c>
      <c r="H3" s="22" t="s">
        <v>481</v>
      </c>
    </row>
    <row r="4" spans="2:8" s="27" customFormat="1">
      <c r="B4" s="22" t="s">
        <v>483</v>
      </c>
      <c r="C4" s="22" t="s">
        <v>484</v>
      </c>
      <c r="D4" s="22" t="s">
        <v>446</v>
      </c>
      <c r="E4" s="22">
        <v>256</v>
      </c>
      <c r="F4" s="23">
        <v>1025</v>
      </c>
      <c r="G4" s="53">
        <v>157700000</v>
      </c>
      <c r="H4" s="53">
        <v>616016</v>
      </c>
    </row>
    <row r="5" spans="2:8" s="27" customFormat="1" ht="31.2">
      <c r="B5" s="22" t="s">
        <v>485</v>
      </c>
      <c r="C5" s="22" t="s">
        <v>484</v>
      </c>
      <c r="D5" s="22" t="s">
        <v>486</v>
      </c>
      <c r="E5" s="22">
        <v>279</v>
      </c>
      <c r="F5" s="23">
        <v>1117</v>
      </c>
      <c r="G5" s="53">
        <v>173800000</v>
      </c>
      <c r="H5" s="53">
        <v>622939</v>
      </c>
    </row>
    <row r="6" spans="2:8" s="27" customFormat="1">
      <c r="B6" s="22" t="s">
        <v>487</v>
      </c>
      <c r="C6" s="22" t="s">
        <v>488</v>
      </c>
      <c r="D6" s="22" t="s">
        <v>451</v>
      </c>
      <c r="E6" s="22">
        <v>324</v>
      </c>
      <c r="F6" s="23">
        <v>1296</v>
      </c>
      <c r="G6" s="53">
        <v>130000000</v>
      </c>
      <c r="H6" s="53">
        <v>401235</v>
      </c>
    </row>
    <row r="7" spans="2:8" s="27" customFormat="1" ht="31.2">
      <c r="B7" s="22" t="s">
        <v>489</v>
      </c>
      <c r="C7" s="22" t="s">
        <v>488</v>
      </c>
      <c r="D7" s="22" t="s">
        <v>490</v>
      </c>
      <c r="E7" s="22">
        <v>325</v>
      </c>
      <c r="F7" s="23">
        <v>1302</v>
      </c>
      <c r="G7" s="53">
        <v>150300000</v>
      </c>
      <c r="H7" s="53">
        <v>461836</v>
      </c>
    </row>
    <row r="8" spans="2:8" s="27" customFormat="1">
      <c r="B8" s="22" t="s">
        <v>491</v>
      </c>
      <c r="C8" s="22" t="s">
        <v>488</v>
      </c>
      <c r="D8" s="22" t="s">
        <v>456</v>
      </c>
      <c r="E8" s="22">
        <v>325</v>
      </c>
      <c r="F8" s="23">
        <v>1302</v>
      </c>
      <c r="G8" s="53">
        <v>145300000</v>
      </c>
      <c r="H8" s="53">
        <v>447077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8A5C-1ACC-5447-A37A-8D203E414033}">
  <dimension ref="B1:G30"/>
  <sheetViews>
    <sheetView workbookViewId="0">
      <selection activeCell="B2" sqref="B2"/>
    </sheetView>
  </sheetViews>
  <sheetFormatPr defaultColWidth="10.69921875" defaultRowHeight="15.6"/>
  <cols>
    <col min="2" max="2" width="16.19921875" customWidth="1"/>
    <col min="3" max="3" width="22.5" customWidth="1"/>
    <col min="4" max="4" width="10.5" bestFit="1" customWidth="1"/>
    <col min="5" max="5" width="13.69921875" bestFit="1" customWidth="1"/>
    <col min="6" max="6" width="10.19921875" bestFit="1" customWidth="1"/>
    <col min="7" max="7" width="15.69921875" bestFit="1" customWidth="1"/>
  </cols>
  <sheetData>
    <row r="1" spans="2:7" ht="23.4">
      <c r="B1" s="4" t="s">
        <v>492</v>
      </c>
    </row>
    <row r="3" spans="2:7">
      <c r="B3" s="22" t="s">
        <v>51</v>
      </c>
      <c r="C3" s="22" t="s">
        <v>270</v>
      </c>
      <c r="D3" s="22" t="s">
        <v>271</v>
      </c>
      <c r="E3" s="22" t="s">
        <v>493</v>
      </c>
      <c r="F3" s="22" t="s">
        <v>272</v>
      </c>
      <c r="G3" s="22" t="s">
        <v>273</v>
      </c>
    </row>
    <row r="4" spans="2:7">
      <c r="B4" s="22" t="s">
        <v>243</v>
      </c>
      <c r="C4" s="22" t="s">
        <v>274</v>
      </c>
      <c r="D4" s="22">
        <v>2012</v>
      </c>
      <c r="E4" s="54">
        <v>0</v>
      </c>
      <c r="F4" s="55">
        <v>0</v>
      </c>
      <c r="G4" s="22" t="s">
        <v>279</v>
      </c>
    </row>
    <row r="5" spans="2:7">
      <c r="B5" s="22" t="s">
        <v>218</v>
      </c>
      <c r="C5" s="22" t="s">
        <v>147</v>
      </c>
      <c r="D5" s="22">
        <v>2015</v>
      </c>
      <c r="E5" s="54">
        <v>281285</v>
      </c>
      <c r="F5" s="55">
        <v>583</v>
      </c>
      <c r="G5" s="22" t="s">
        <v>277</v>
      </c>
    </row>
    <row r="6" spans="2:7">
      <c r="B6" s="22" t="s">
        <v>218</v>
      </c>
      <c r="C6" s="22" t="s">
        <v>280</v>
      </c>
      <c r="D6" s="22">
        <v>2015</v>
      </c>
      <c r="E6" s="54">
        <v>150197</v>
      </c>
      <c r="F6" s="55">
        <v>270</v>
      </c>
      <c r="G6" s="22" t="s">
        <v>277</v>
      </c>
    </row>
    <row r="7" spans="2:7">
      <c r="B7" s="22" t="s">
        <v>218</v>
      </c>
      <c r="C7" s="22" t="s">
        <v>149</v>
      </c>
      <c r="D7" s="22">
        <v>2018.8</v>
      </c>
      <c r="E7" s="54">
        <v>135000000</v>
      </c>
      <c r="F7" s="55">
        <v>296593</v>
      </c>
      <c r="G7" s="22" t="s">
        <v>277</v>
      </c>
    </row>
    <row r="8" spans="2:7">
      <c r="B8" s="22" t="s">
        <v>218</v>
      </c>
      <c r="C8" s="22" t="s">
        <v>150</v>
      </c>
      <c r="D8" s="22">
        <v>2018.8</v>
      </c>
      <c r="E8" s="54">
        <v>135000000</v>
      </c>
      <c r="F8" s="55">
        <v>299467</v>
      </c>
      <c r="G8" s="22" t="s">
        <v>277</v>
      </c>
    </row>
    <row r="9" spans="2:7">
      <c r="B9" s="22" t="s">
        <v>218</v>
      </c>
      <c r="C9" s="22" t="s">
        <v>151</v>
      </c>
      <c r="D9" s="22">
        <v>2018.8</v>
      </c>
      <c r="E9" s="54">
        <v>135100000</v>
      </c>
      <c r="F9" s="55">
        <v>288507</v>
      </c>
      <c r="G9" s="22" t="s">
        <v>277</v>
      </c>
    </row>
    <row r="10" spans="2:7">
      <c r="B10" s="22" t="s">
        <v>246</v>
      </c>
      <c r="C10" s="22" t="s">
        <v>160</v>
      </c>
      <c r="D10" s="22">
        <v>2014</v>
      </c>
      <c r="E10" s="54">
        <v>8701098</v>
      </c>
      <c r="F10" s="55">
        <v>32673</v>
      </c>
      <c r="G10" s="22" t="s">
        <v>279</v>
      </c>
    </row>
    <row r="11" spans="2:7">
      <c r="B11" s="22" t="s">
        <v>250</v>
      </c>
      <c r="C11" s="22" t="s">
        <v>165</v>
      </c>
      <c r="D11" s="22">
        <v>2017.2</v>
      </c>
      <c r="E11" s="54">
        <v>9066650</v>
      </c>
      <c r="F11" s="55">
        <v>21400</v>
      </c>
      <c r="G11" s="22" t="s">
        <v>277</v>
      </c>
    </row>
    <row r="12" spans="2:7">
      <c r="B12" s="22" t="s">
        <v>250</v>
      </c>
      <c r="C12" s="22" t="s">
        <v>253</v>
      </c>
      <c r="D12" s="22">
        <v>2022.5</v>
      </c>
      <c r="E12" s="54">
        <v>160000000</v>
      </c>
      <c r="F12" s="55">
        <v>720721</v>
      </c>
      <c r="G12" s="22" t="s">
        <v>277</v>
      </c>
    </row>
    <row r="13" spans="2:7">
      <c r="B13" s="22" t="s">
        <v>250</v>
      </c>
      <c r="C13" s="22" t="s">
        <v>255</v>
      </c>
      <c r="D13" s="22">
        <v>2022.5</v>
      </c>
      <c r="E13" s="54">
        <v>155000000</v>
      </c>
      <c r="F13" s="55">
        <v>695067</v>
      </c>
      <c r="G13" s="22" t="s">
        <v>277</v>
      </c>
    </row>
    <row r="14" spans="2:7">
      <c r="B14" s="22" t="s">
        <v>237</v>
      </c>
      <c r="C14" s="22" t="s">
        <v>281</v>
      </c>
      <c r="D14" s="22">
        <v>2016.2</v>
      </c>
      <c r="E14" s="54">
        <v>880715</v>
      </c>
      <c r="F14" s="55">
        <v>1625</v>
      </c>
      <c r="G14" s="22" t="s">
        <v>279</v>
      </c>
    </row>
    <row r="15" spans="2:7">
      <c r="B15" s="22" t="s">
        <v>237</v>
      </c>
      <c r="C15" s="22" t="s">
        <v>156</v>
      </c>
      <c r="D15" s="22">
        <v>2016.2</v>
      </c>
      <c r="E15" s="54">
        <v>1006240</v>
      </c>
      <c r="F15" s="55">
        <v>1624</v>
      </c>
      <c r="G15" s="22" t="s">
        <v>279</v>
      </c>
    </row>
    <row r="16" spans="2:7">
      <c r="B16" s="22" t="s">
        <v>224</v>
      </c>
      <c r="C16" s="22" t="s">
        <v>155</v>
      </c>
      <c r="D16" s="22">
        <v>2016.9</v>
      </c>
      <c r="E16" s="54">
        <v>42469725</v>
      </c>
      <c r="F16" s="55">
        <v>151437</v>
      </c>
      <c r="G16" s="22" t="s">
        <v>277</v>
      </c>
    </row>
    <row r="17" spans="2:7">
      <c r="B17" s="22" t="s">
        <v>227</v>
      </c>
      <c r="C17" s="22" t="s">
        <v>229</v>
      </c>
      <c r="D17" s="22">
        <v>2022.1</v>
      </c>
      <c r="E17" s="54">
        <v>765000000</v>
      </c>
      <c r="F17" s="55">
        <v>2643039</v>
      </c>
      <c r="G17" s="22" t="s">
        <v>279</v>
      </c>
    </row>
    <row r="18" spans="2:7">
      <c r="B18" s="22" t="s">
        <v>227</v>
      </c>
      <c r="C18" s="22" t="s">
        <v>232</v>
      </c>
      <c r="D18" s="22">
        <v>2022.1</v>
      </c>
      <c r="E18" s="54">
        <v>795000000</v>
      </c>
      <c r="F18" s="55">
        <v>2472980</v>
      </c>
      <c r="G18" s="22" t="s">
        <v>279</v>
      </c>
    </row>
    <row r="19" spans="2:7">
      <c r="B19" s="22" t="s">
        <v>227</v>
      </c>
      <c r="C19" s="22" t="s">
        <v>233</v>
      </c>
      <c r="D19" s="22">
        <v>2022.1</v>
      </c>
      <c r="E19" s="54">
        <v>1100000000</v>
      </c>
      <c r="F19" s="55">
        <v>2378569</v>
      </c>
      <c r="G19" s="22" t="s">
        <v>279</v>
      </c>
    </row>
    <row r="20" spans="2:7">
      <c r="B20" s="22" t="s">
        <v>227</v>
      </c>
      <c r="C20" s="22" t="s">
        <v>235</v>
      </c>
      <c r="D20" s="22">
        <v>2022.1</v>
      </c>
      <c r="E20" s="54">
        <v>780000000</v>
      </c>
      <c r="F20" s="55">
        <v>2531449</v>
      </c>
      <c r="G20" s="22" t="s">
        <v>279</v>
      </c>
    </row>
    <row r="21" spans="2:7">
      <c r="B21" s="22" t="s">
        <v>227</v>
      </c>
      <c r="C21" s="22" t="s">
        <v>236</v>
      </c>
      <c r="D21" s="22">
        <v>2022.1</v>
      </c>
      <c r="E21" s="54">
        <v>645000000</v>
      </c>
      <c r="F21" s="55">
        <v>2072760</v>
      </c>
      <c r="G21" s="22" t="s">
        <v>279</v>
      </c>
    </row>
    <row r="22" spans="2:7">
      <c r="B22" s="22" t="s">
        <v>227</v>
      </c>
      <c r="C22" s="22" t="s">
        <v>228</v>
      </c>
      <c r="D22" s="22">
        <v>2022.1</v>
      </c>
      <c r="E22" s="54">
        <v>285000000</v>
      </c>
      <c r="F22" s="55">
        <v>1635660</v>
      </c>
      <c r="G22" s="22" t="s">
        <v>279</v>
      </c>
    </row>
    <row r="23" spans="2:7">
      <c r="B23" s="22" t="s">
        <v>275</v>
      </c>
      <c r="C23" s="22" t="s">
        <v>276</v>
      </c>
      <c r="D23" s="22">
        <v>2013.5</v>
      </c>
      <c r="E23" s="54">
        <v>1544730</v>
      </c>
      <c r="F23" s="55">
        <v>4830</v>
      </c>
      <c r="G23" s="22" t="s">
        <v>277</v>
      </c>
    </row>
    <row r="24" spans="2:7">
      <c r="B24" s="22" t="s">
        <v>275</v>
      </c>
      <c r="C24" s="22" t="s">
        <v>216</v>
      </c>
      <c r="D24" s="22">
        <v>2013.5</v>
      </c>
      <c r="E24" s="54">
        <v>1544730</v>
      </c>
      <c r="F24" s="55">
        <v>4277</v>
      </c>
      <c r="G24" s="22" t="s">
        <v>277</v>
      </c>
    </row>
    <row r="25" spans="2:7">
      <c r="B25" s="22" t="s">
        <v>249</v>
      </c>
      <c r="C25" s="22" t="s">
        <v>278</v>
      </c>
      <c r="D25" s="22">
        <v>2013.8</v>
      </c>
      <c r="E25" s="54">
        <v>1600000</v>
      </c>
      <c r="F25" s="55">
        <v>4323</v>
      </c>
      <c r="G25" s="22" t="s">
        <v>277</v>
      </c>
    </row>
    <row r="26" spans="2:7">
      <c r="B26" s="22" t="s">
        <v>256</v>
      </c>
      <c r="C26" s="22" t="s">
        <v>483</v>
      </c>
      <c r="D26" s="22">
        <v>2022.9</v>
      </c>
      <c r="E26" s="54">
        <v>157700000</v>
      </c>
      <c r="F26" s="55">
        <v>615246.522</v>
      </c>
      <c r="G26" s="22" t="s">
        <v>277</v>
      </c>
    </row>
    <row r="27" spans="2:7">
      <c r="B27" s="22" t="s">
        <v>256</v>
      </c>
      <c r="C27" s="22" t="s">
        <v>485</v>
      </c>
      <c r="D27" s="22">
        <v>2022.9</v>
      </c>
      <c r="E27" s="54">
        <v>173800000</v>
      </c>
      <c r="F27" s="55">
        <v>622139.00029999996</v>
      </c>
      <c r="G27" s="22" t="s">
        <v>277</v>
      </c>
    </row>
    <row r="28" spans="2:7">
      <c r="B28" s="22" t="s">
        <v>256</v>
      </c>
      <c r="C28" s="22" t="s">
        <v>487</v>
      </c>
      <c r="D28" s="22">
        <v>2022.9</v>
      </c>
      <c r="E28" s="54">
        <v>130000000</v>
      </c>
      <c r="F28" s="55">
        <v>401234.93280000001</v>
      </c>
      <c r="G28" s="22" t="s">
        <v>277</v>
      </c>
    </row>
    <row r="29" spans="2:7">
      <c r="B29" s="22" t="s">
        <v>256</v>
      </c>
      <c r="C29" s="22" t="s">
        <v>489</v>
      </c>
      <c r="D29" s="22">
        <v>2022.9</v>
      </c>
      <c r="E29" s="54">
        <v>150300000</v>
      </c>
      <c r="F29" s="55">
        <v>461835.73330000002</v>
      </c>
      <c r="G29" s="22" t="s">
        <v>277</v>
      </c>
    </row>
    <row r="30" spans="2:7">
      <c r="B30" s="22" t="s">
        <v>256</v>
      </c>
      <c r="C30" s="22" t="s">
        <v>491</v>
      </c>
      <c r="D30" s="22">
        <v>2022.9</v>
      </c>
      <c r="E30" s="54">
        <v>145300000</v>
      </c>
      <c r="F30" s="55">
        <v>446471.93650000001</v>
      </c>
      <c r="G30" s="22" t="s">
        <v>277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4B9F-9D0C-8345-9550-5FBB6CA7EB88}">
  <dimension ref="B1:G30"/>
  <sheetViews>
    <sheetView workbookViewId="0">
      <selection activeCell="B2" sqref="B2"/>
    </sheetView>
  </sheetViews>
  <sheetFormatPr defaultColWidth="10.69921875" defaultRowHeight="15.6"/>
  <cols>
    <col min="2" max="2" width="5.296875" customWidth="1"/>
    <col min="3" max="3" width="6.5" bestFit="1" customWidth="1"/>
    <col min="4" max="4" width="21.796875" bestFit="1" customWidth="1"/>
    <col min="5" max="5" width="15.796875" bestFit="1" customWidth="1"/>
    <col min="6" max="6" width="10.69921875" bestFit="1" customWidth="1"/>
    <col min="7" max="7" width="11.5" bestFit="1" customWidth="1"/>
  </cols>
  <sheetData>
    <row r="1" spans="2:7" ht="23.4">
      <c r="B1" s="4" t="s">
        <v>494</v>
      </c>
    </row>
    <row r="3" spans="2:7" s="27" customFormat="1" ht="31.2">
      <c r="B3" s="22" t="s">
        <v>271</v>
      </c>
      <c r="C3" s="22" t="s">
        <v>51</v>
      </c>
      <c r="D3" s="22" t="s">
        <v>282</v>
      </c>
      <c r="E3" s="22" t="s">
        <v>495</v>
      </c>
      <c r="F3" s="22" t="s">
        <v>272</v>
      </c>
      <c r="G3" s="22" t="s">
        <v>496</v>
      </c>
    </row>
    <row r="4" spans="2:7" s="27" customFormat="1">
      <c r="B4" s="22">
        <v>2012</v>
      </c>
      <c r="C4" s="22" t="s">
        <v>243</v>
      </c>
      <c r="D4" s="22" t="s">
        <v>274</v>
      </c>
      <c r="E4" s="115">
        <v>0</v>
      </c>
      <c r="F4" s="115">
        <v>0</v>
      </c>
      <c r="G4" s="22" t="s">
        <v>131</v>
      </c>
    </row>
    <row r="5" spans="2:7" s="27" customFormat="1">
      <c r="B5" s="22">
        <v>2013</v>
      </c>
      <c r="C5" s="22" t="s">
        <v>275</v>
      </c>
      <c r="D5" s="22" t="s">
        <v>276</v>
      </c>
      <c r="E5" s="53">
        <v>1903181</v>
      </c>
      <c r="F5" s="53">
        <v>4830</v>
      </c>
      <c r="G5" s="22" t="s">
        <v>131</v>
      </c>
    </row>
    <row r="6" spans="2:7" s="27" customFormat="1">
      <c r="B6" s="22">
        <v>2013</v>
      </c>
      <c r="C6" s="22" t="s">
        <v>275</v>
      </c>
      <c r="D6" s="22" t="s">
        <v>216</v>
      </c>
      <c r="E6" s="53">
        <v>1903181</v>
      </c>
      <c r="F6" s="53">
        <v>4277</v>
      </c>
      <c r="G6" s="22" t="s">
        <v>131</v>
      </c>
    </row>
    <row r="7" spans="2:7" s="27" customFormat="1">
      <c r="B7" s="22">
        <v>2013</v>
      </c>
      <c r="C7" s="22" t="s">
        <v>249</v>
      </c>
      <c r="D7" s="22" t="s">
        <v>278</v>
      </c>
      <c r="E7" s="53">
        <v>1971276</v>
      </c>
      <c r="F7" s="53">
        <v>4323</v>
      </c>
      <c r="G7" s="22" t="s">
        <v>131</v>
      </c>
    </row>
    <row r="8" spans="2:7" s="27" customFormat="1">
      <c r="B8" s="22">
        <v>2014</v>
      </c>
      <c r="C8" s="22" t="s">
        <v>246</v>
      </c>
      <c r="D8" s="22" t="s">
        <v>160</v>
      </c>
      <c r="E8" s="53">
        <v>10553535</v>
      </c>
      <c r="F8" s="53">
        <v>32673</v>
      </c>
      <c r="G8" s="22" t="s">
        <v>131</v>
      </c>
    </row>
    <row r="9" spans="2:7" s="27" customFormat="1">
      <c r="B9" s="22">
        <v>2015</v>
      </c>
      <c r="C9" s="22" t="s">
        <v>218</v>
      </c>
      <c r="D9" s="22" t="s">
        <v>147</v>
      </c>
      <c r="E9" s="53">
        <v>341474</v>
      </c>
      <c r="F9" s="53">
        <v>583</v>
      </c>
      <c r="G9" s="22" t="s">
        <v>131</v>
      </c>
    </row>
    <row r="10" spans="2:7" s="27" customFormat="1">
      <c r="B10" s="22">
        <v>2015</v>
      </c>
      <c r="C10" s="22" t="s">
        <v>218</v>
      </c>
      <c r="D10" s="22" t="s">
        <v>280</v>
      </c>
      <c r="E10" s="53">
        <v>182336</v>
      </c>
      <c r="F10" s="53">
        <v>270</v>
      </c>
      <c r="G10" s="22" t="s">
        <v>131</v>
      </c>
    </row>
    <row r="11" spans="2:7" s="27" customFormat="1">
      <c r="B11" s="22">
        <v>2016</v>
      </c>
      <c r="C11" s="22" t="s">
        <v>237</v>
      </c>
      <c r="D11" s="22" t="s">
        <v>281</v>
      </c>
      <c r="E11" s="53">
        <v>1054690</v>
      </c>
      <c r="F11" s="53">
        <v>1625</v>
      </c>
      <c r="G11" s="22" t="s">
        <v>131</v>
      </c>
    </row>
    <row r="12" spans="2:7" s="27" customFormat="1">
      <c r="B12" s="22">
        <v>2016</v>
      </c>
      <c r="C12" s="22" t="s">
        <v>237</v>
      </c>
      <c r="D12" s="22" t="s">
        <v>156</v>
      </c>
      <c r="E12" s="53">
        <v>1205011</v>
      </c>
      <c r="F12" s="53">
        <v>1624</v>
      </c>
      <c r="G12" s="22" t="s">
        <v>131</v>
      </c>
    </row>
    <row r="13" spans="2:7" s="27" customFormat="1">
      <c r="B13" s="22">
        <v>2016</v>
      </c>
      <c r="C13" s="22" t="s">
        <v>224</v>
      </c>
      <c r="D13" s="22" t="s">
        <v>155</v>
      </c>
      <c r="E13" s="53">
        <v>48611290</v>
      </c>
      <c r="F13" s="53">
        <v>151437</v>
      </c>
      <c r="G13" s="22" t="s">
        <v>131</v>
      </c>
    </row>
    <row r="14" spans="2:7" s="27" customFormat="1">
      <c r="B14" s="22">
        <v>2017</v>
      </c>
      <c r="C14" s="22" t="s">
        <v>250</v>
      </c>
      <c r="D14" s="22" t="s">
        <v>165</v>
      </c>
      <c r="E14" s="53">
        <v>10592835</v>
      </c>
      <c r="F14" s="53">
        <v>21400</v>
      </c>
      <c r="G14" s="22" t="s">
        <v>131</v>
      </c>
    </row>
    <row r="15" spans="2:7" s="27" customFormat="1">
      <c r="B15" s="22">
        <v>2018</v>
      </c>
      <c r="C15" s="22" t="s">
        <v>218</v>
      </c>
      <c r="D15" s="22" t="s">
        <v>149</v>
      </c>
      <c r="E15" s="53">
        <v>154525000</v>
      </c>
      <c r="F15" s="53">
        <v>296593</v>
      </c>
      <c r="G15" s="22" t="s">
        <v>131</v>
      </c>
    </row>
    <row r="16" spans="2:7" s="27" customFormat="1">
      <c r="B16" s="22">
        <v>2018</v>
      </c>
      <c r="C16" s="22" t="s">
        <v>218</v>
      </c>
      <c r="D16" s="22" t="s">
        <v>150</v>
      </c>
      <c r="E16" s="53">
        <v>154525000</v>
      </c>
      <c r="F16" s="53">
        <v>299467</v>
      </c>
      <c r="G16" s="22" t="s">
        <v>131</v>
      </c>
    </row>
    <row r="17" spans="2:7" s="27" customFormat="1">
      <c r="B17" s="22">
        <v>2018</v>
      </c>
      <c r="C17" s="22" t="s">
        <v>218</v>
      </c>
      <c r="D17" s="22" t="s">
        <v>151</v>
      </c>
      <c r="E17" s="53">
        <v>154639500</v>
      </c>
      <c r="F17" s="53">
        <v>288507</v>
      </c>
      <c r="G17" s="22" t="s">
        <v>131</v>
      </c>
    </row>
    <row r="18" spans="2:7" s="27" customFormat="1">
      <c r="B18" s="22">
        <v>2022</v>
      </c>
      <c r="C18" s="22" t="s">
        <v>227</v>
      </c>
      <c r="D18" s="22" t="s">
        <v>229</v>
      </c>
      <c r="E18" s="53">
        <v>765000000</v>
      </c>
      <c r="F18" s="53">
        <v>2643039</v>
      </c>
      <c r="G18" s="22" t="s">
        <v>131</v>
      </c>
    </row>
    <row r="19" spans="2:7" s="27" customFormat="1">
      <c r="B19" s="22">
        <v>2022</v>
      </c>
      <c r="C19" s="22" t="s">
        <v>227</v>
      </c>
      <c r="D19" s="22" t="s">
        <v>232</v>
      </c>
      <c r="E19" s="53">
        <v>795000000</v>
      </c>
      <c r="F19" s="53">
        <v>2472980</v>
      </c>
      <c r="G19" s="22" t="s">
        <v>131</v>
      </c>
    </row>
    <row r="20" spans="2:7" s="27" customFormat="1">
      <c r="B20" s="22">
        <v>2022</v>
      </c>
      <c r="C20" s="22" t="s">
        <v>227</v>
      </c>
      <c r="D20" s="22" t="s">
        <v>233</v>
      </c>
      <c r="E20" s="53">
        <v>1100000000</v>
      </c>
      <c r="F20" s="53">
        <v>2378569</v>
      </c>
      <c r="G20" s="22" t="s">
        <v>131</v>
      </c>
    </row>
    <row r="21" spans="2:7" s="27" customFormat="1">
      <c r="B21" s="22">
        <v>2022</v>
      </c>
      <c r="C21" s="22" t="s">
        <v>227</v>
      </c>
      <c r="D21" s="22" t="s">
        <v>235</v>
      </c>
      <c r="E21" s="53">
        <v>780000000</v>
      </c>
      <c r="F21" s="53">
        <v>2531449</v>
      </c>
      <c r="G21" s="22" t="s">
        <v>131</v>
      </c>
    </row>
    <row r="22" spans="2:7" s="27" customFormat="1">
      <c r="B22" s="22">
        <v>2022</v>
      </c>
      <c r="C22" s="22" t="s">
        <v>227</v>
      </c>
      <c r="D22" s="22" t="s">
        <v>236</v>
      </c>
      <c r="E22" s="53">
        <v>645000000</v>
      </c>
      <c r="F22" s="53">
        <v>2072760</v>
      </c>
      <c r="G22" s="22" t="s">
        <v>131</v>
      </c>
    </row>
    <row r="23" spans="2:7" s="27" customFormat="1">
      <c r="B23" s="22">
        <v>2022</v>
      </c>
      <c r="C23" s="22" t="s">
        <v>227</v>
      </c>
      <c r="D23" s="22" t="s">
        <v>228</v>
      </c>
      <c r="E23" s="53">
        <v>285000000</v>
      </c>
      <c r="F23" s="53">
        <v>1635660</v>
      </c>
      <c r="G23" s="22" t="s">
        <v>131</v>
      </c>
    </row>
    <row r="24" spans="2:7" s="27" customFormat="1">
      <c r="B24" s="22">
        <v>2022</v>
      </c>
      <c r="C24" s="22" t="s">
        <v>250</v>
      </c>
      <c r="D24" s="22" t="s">
        <v>253</v>
      </c>
      <c r="E24" s="53">
        <v>160000000</v>
      </c>
      <c r="F24" s="53">
        <v>720721</v>
      </c>
      <c r="G24" s="22" t="s">
        <v>131</v>
      </c>
    </row>
    <row r="25" spans="2:7" s="27" customFormat="1">
      <c r="B25" s="22">
        <v>2022</v>
      </c>
      <c r="C25" s="22" t="s">
        <v>250</v>
      </c>
      <c r="D25" s="22" t="s">
        <v>255</v>
      </c>
      <c r="E25" s="53">
        <v>155000000</v>
      </c>
      <c r="F25" s="53">
        <v>695067</v>
      </c>
      <c r="G25" s="22" t="s">
        <v>131</v>
      </c>
    </row>
    <row r="26" spans="2:7" s="27" customFormat="1">
      <c r="B26" s="22">
        <v>2022</v>
      </c>
      <c r="C26" s="22" t="s">
        <v>256</v>
      </c>
      <c r="D26" s="22" t="s">
        <v>454</v>
      </c>
      <c r="E26" s="53">
        <v>157700000</v>
      </c>
      <c r="F26" s="53">
        <v>615247</v>
      </c>
      <c r="G26" s="22" t="s">
        <v>130</v>
      </c>
    </row>
    <row r="27" spans="2:7" s="27" customFormat="1">
      <c r="B27" s="22">
        <v>2022</v>
      </c>
      <c r="C27" s="22" t="s">
        <v>256</v>
      </c>
      <c r="D27" s="22" t="s">
        <v>457</v>
      </c>
      <c r="E27" s="53">
        <v>173800000</v>
      </c>
      <c r="F27" s="53">
        <v>622139</v>
      </c>
      <c r="G27" s="22" t="s">
        <v>130</v>
      </c>
    </row>
    <row r="28" spans="2:7" s="27" customFormat="1">
      <c r="B28" s="22">
        <v>2022</v>
      </c>
      <c r="C28" s="22" t="s">
        <v>256</v>
      </c>
      <c r="D28" s="22" t="s">
        <v>447</v>
      </c>
      <c r="E28" s="53">
        <v>130000000</v>
      </c>
      <c r="F28" s="53">
        <v>401235</v>
      </c>
      <c r="G28" s="22" t="s">
        <v>130</v>
      </c>
    </row>
    <row r="29" spans="2:7" s="27" customFormat="1">
      <c r="B29" s="22">
        <v>2022</v>
      </c>
      <c r="C29" s="22" t="s">
        <v>256</v>
      </c>
      <c r="D29" s="22" t="s">
        <v>449</v>
      </c>
      <c r="E29" s="53">
        <v>150300000</v>
      </c>
      <c r="F29" s="53">
        <v>461836</v>
      </c>
      <c r="G29" s="22" t="s">
        <v>130</v>
      </c>
    </row>
    <row r="30" spans="2:7" s="27" customFormat="1">
      <c r="B30" s="22">
        <v>2022</v>
      </c>
      <c r="C30" s="22" t="s">
        <v>256</v>
      </c>
      <c r="D30" s="22" t="s">
        <v>452</v>
      </c>
      <c r="E30" s="53">
        <v>145300000</v>
      </c>
      <c r="F30" s="53">
        <v>446472</v>
      </c>
      <c r="G30" s="22" t="s">
        <v>130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CAB1-B608-7048-9CDF-58218B86FB27}">
  <dimension ref="B1:E7"/>
  <sheetViews>
    <sheetView workbookViewId="0">
      <selection activeCell="D5" sqref="D5"/>
    </sheetView>
  </sheetViews>
  <sheetFormatPr defaultColWidth="10.69921875" defaultRowHeight="15.6"/>
  <cols>
    <col min="2" max="2" width="27.5" customWidth="1"/>
    <col min="3" max="3" width="28.5" customWidth="1"/>
    <col min="4" max="4" width="12.69921875" customWidth="1"/>
    <col min="5" max="5" width="18" customWidth="1"/>
  </cols>
  <sheetData>
    <row r="1" spans="2:5" ht="23.4">
      <c r="B1" s="4" t="s">
        <v>333</v>
      </c>
    </row>
    <row r="3" spans="2:5" s="27" customFormat="1" ht="18">
      <c r="B3" s="22" t="s">
        <v>261</v>
      </c>
      <c r="C3" s="22" t="s">
        <v>212</v>
      </c>
      <c r="D3" s="22" t="s">
        <v>482</v>
      </c>
      <c r="E3" s="22" t="s">
        <v>268</v>
      </c>
    </row>
    <row r="4" spans="2:5" s="27" customFormat="1">
      <c r="B4" s="22" t="s">
        <v>437</v>
      </c>
      <c r="C4" s="22" t="s">
        <v>497</v>
      </c>
      <c r="D4" s="22">
        <v>415</v>
      </c>
      <c r="E4" s="23">
        <v>1659</v>
      </c>
    </row>
    <row r="5" spans="2:5" s="27" customFormat="1">
      <c r="B5" s="22" t="s">
        <v>440</v>
      </c>
      <c r="C5" s="22" t="s">
        <v>498</v>
      </c>
      <c r="D5" s="22">
        <v>415</v>
      </c>
      <c r="E5" s="23">
        <v>1659</v>
      </c>
    </row>
    <row r="6" spans="2:5" s="27" customFormat="1">
      <c r="B6" s="22" t="s">
        <v>434</v>
      </c>
      <c r="C6" s="22" t="s">
        <v>499</v>
      </c>
      <c r="D6" s="22">
        <v>392</v>
      </c>
      <c r="E6" s="23">
        <v>1567</v>
      </c>
    </row>
    <row r="7" spans="2:5" s="27" customFormat="1"/>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67D4-A610-244A-9813-1BE002B19409}">
  <dimension ref="B1:F19"/>
  <sheetViews>
    <sheetView workbookViewId="0">
      <selection activeCell="B2" sqref="B2"/>
    </sheetView>
  </sheetViews>
  <sheetFormatPr defaultColWidth="10.69921875" defaultRowHeight="15.6"/>
  <cols>
    <col min="2" max="2" width="27.5" customWidth="1"/>
    <col min="3" max="3" width="26" bestFit="1" customWidth="1"/>
    <col min="4" max="4" width="14.69921875" bestFit="1" customWidth="1"/>
    <col min="5" max="5" width="10.5" bestFit="1" customWidth="1"/>
    <col min="6" max="6" width="21.69921875" bestFit="1" customWidth="1"/>
  </cols>
  <sheetData>
    <row r="1" spans="2:6" ht="23.4">
      <c r="B1" s="4" t="s">
        <v>334</v>
      </c>
    </row>
    <row r="3" spans="2:6" s="27" customFormat="1" ht="18">
      <c r="B3" s="22" t="s">
        <v>51</v>
      </c>
      <c r="C3" s="22" t="s">
        <v>283</v>
      </c>
      <c r="D3" s="22" t="s">
        <v>284</v>
      </c>
      <c r="E3" s="22" t="s">
        <v>482</v>
      </c>
      <c r="F3" s="22" t="s">
        <v>285</v>
      </c>
    </row>
    <row r="4" spans="2:6" s="27" customFormat="1">
      <c r="B4" s="22" t="s">
        <v>260</v>
      </c>
      <c r="C4" s="22" t="s">
        <v>500</v>
      </c>
      <c r="D4" s="22">
        <v>2016</v>
      </c>
      <c r="E4" s="23">
        <v>1331</v>
      </c>
      <c r="F4" s="22" t="s">
        <v>130</v>
      </c>
    </row>
    <row r="5" spans="2:6" s="27" customFormat="1">
      <c r="B5" s="22" t="s">
        <v>260</v>
      </c>
      <c r="C5" s="22" t="s">
        <v>501</v>
      </c>
      <c r="D5" s="22">
        <v>2016</v>
      </c>
      <c r="E5" s="23">
        <v>626</v>
      </c>
      <c r="F5" s="22" t="s">
        <v>130</v>
      </c>
    </row>
    <row r="6" spans="2:6" s="27" customFormat="1">
      <c r="B6" s="22" t="s">
        <v>257</v>
      </c>
      <c r="C6" s="22" t="s">
        <v>258</v>
      </c>
      <c r="D6" s="22">
        <v>2022</v>
      </c>
      <c r="E6" s="23">
        <v>1160</v>
      </c>
      <c r="F6" s="22" t="s">
        <v>130</v>
      </c>
    </row>
    <row r="7" spans="2:6" s="27" customFormat="1">
      <c r="B7" s="22" t="s">
        <v>257</v>
      </c>
      <c r="C7" s="22" t="s">
        <v>259</v>
      </c>
      <c r="D7" s="22">
        <v>2022</v>
      </c>
      <c r="E7" s="23">
        <v>3528</v>
      </c>
      <c r="F7" s="22" t="s">
        <v>130</v>
      </c>
    </row>
    <row r="8" spans="2:6" s="27" customFormat="1">
      <c r="B8" s="22" t="s">
        <v>213</v>
      </c>
      <c r="C8" s="22" t="s">
        <v>369</v>
      </c>
      <c r="D8" s="22">
        <v>2022</v>
      </c>
      <c r="E8" s="23">
        <v>39677</v>
      </c>
      <c r="F8" s="22" t="s">
        <v>130</v>
      </c>
    </row>
    <row r="9" spans="2:6" s="27" customFormat="1">
      <c r="B9" s="22" t="s">
        <v>251</v>
      </c>
      <c r="C9" s="22" t="s">
        <v>502</v>
      </c>
      <c r="D9" s="22">
        <v>2022</v>
      </c>
      <c r="E9" s="23">
        <v>710</v>
      </c>
      <c r="F9" s="22" t="s">
        <v>131</v>
      </c>
    </row>
    <row r="10" spans="2:6" s="27" customFormat="1" ht="31.2">
      <c r="B10" s="22" t="s">
        <v>251</v>
      </c>
      <c r="C10" s="22" t="s">
        <v>503</v>
      </c>
      <c r="D10" s="22">
        <v>2022</v>
      </c>
      <c r="E10" s="23">
        <v>128</v>
      </c>
      <c r="F10" s="22" t="s">
        <v>131</v>
      </c>
    </row>
    <row r="11" spans="2:6" s="27" customFormat="1" ht="31.2">
      <c r="B11" s="22" t="s">
        <v>251</v>
      </c>
      <c r="C11" s="22" t="s">
        <v>504</v>
      </c>
      <c r="D11" s="22">
        <v>2022</v>
      </c>
      <c r="E11" s="23">
        <v>1176</v>
      </c>
      <c r="F11" s="22" t="s">
        <v>131</v>
      </c>
    </row>
    <row r="12" spans="2:6" s="27" customFormat="1">
      <c r="B12" s="22" t="s">
        <v>251</v>
      </c>
      <c r="C12" s="22" t="s">
        <v>505</v>
      </c>
      <c r="D12" s="22">
        <v>2022</v>
      </c>
      <c r="E12" s="23">
        <v>741</v>
      </c>
      <c r="F12" s="22" t="s">
        <v>131</v>
      </c>
    </row>
    <row r="13" spans="2:6" s="27" customFormat="1">
      <c r="B13" s="22" t="s">
        <v>251</v>
      </c>
      <c r="C13" s="22" t="s">
        <v>506</v>
      </c>
      <c r="D13" s="22">
        <v>2022</v>
      </c>
      <c r="E13" s="23">
        <v>849</v>
      </c>
      <c r="F13" s="22" t="s">
        <v>131</v>
      </c>
    </row>
    <row r="14" spans="2:6" s="27" customFormat="1" ht="31.2">
      <c r="B14" s="22" t="s">
        <v>251</v>
      </c>
      <c r="C14" s="22" t="s">
        <v>507</v>
      </c>
      <c r="D14" s="22">
        <v>2022</v>
      </c>
      <c r="E14" s="23">
        <v>1904</v>
      </c>
      <c r="F14" s="22" t="s">
        <v>130</v>
      </c>
    </row>
    <row r="15" spans="2:6" s="27" customFormat="1" ht="31.2">
      <c r="B15" s="22" t="s">
        <v>251</v>
      </c>
      <c r="C15" s="22" t="s">
        <v>508</v>
      </c>
      <c r="D15" s="22">
        <v>2022</v>
      </c>
      <c r="E15" s="23">
        <v>1392</v>
      </c>
      <c r="F15" s="22" t="s">
        <v>130</v>
      </c>
    </row>
    <row r="16" spans="2:6" s="27" customFormat="1">
      <c r="B16" s="22" t="s">
        <v>251</v>
      </c>
      <c r="C16" s="22" t="s">
        <v>509</v>
      </c>
      <c r="D16" s="22">
        <v>2022</v>
      </c>
      <c r="E16" s="23">
        <v>170</v>
      </c>
      <c r="F16" s="22" t="s">
        <v>130</v>
      </c>
    </row>
    <row r="17" s="27" customFormat="1"/>
    <row r="18" s="27" customFormat="1"/>
    <row r="19" s="27"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026F-124F-4E41-BF85-127EFDF4B3A8}">
  <dimension ref="B1:H22"/>
  <sheetViews>
    <sheetView workbookViewId="0">
      <selection activeCell="I10" sqref="I10"/>
    </sheetView>
  </sheetViews>
  <sheetFormatPr defaultColWidth="10.69921875" defaultRowHeight="15.6"/>
  <cols>
    <col min="2" max="2" width="27.5" customWidth="1"/>
    <col min="3" max="3" width="15.69921875" bestFit="1" customWidth="1"/>
    <col min="4" max="4" width="6.5" bestFit="1" customWidth="1"/>
    <col min="5" max="5" width="11.19921875" bestFit="1" customWidth="1"/>
    <col min="6" max="6" width="10.19921875" bestFit="1" customWidth="1"/>
    <col min="7" max="7" width="19.796875" bestFit="1" customWidth="1"/>
    <col min="8" max="8" width="24.796875" bestFit="1" customWidth="1"/>
  </cols>
  <sheetData>
    <row r="1" spans="2:8" ht="23.4">
      <c r="B1" s="4" t="s">
        <v>343</v>
      </c>
    </row>
    <row r="3" spans="2:8" ht="33.6">
      <c r="B3" s="22" t="s">
        <v>287</v>
      </c>
      <c r="C3" s="22" t="s">
        <v>510</v>
      </c>
      <c r="D3" s="22" t="s">
        <v>51</v>
      </c>
      <c r="E3" s="22" t="s">
        <v>511</v>
      </c>
      <c r="F3" s="22" t="s">
        <v>482</v>
      </c>
      <c r="G3" s="22" t="s">
        <v>512</v>
      </c>
      <c r="H3" s="22" t="s">
        <v>848</v>
      </c>
    </row>
    <row r="4" spans="2:8">
      <c r="B4" s="22" t="s">
        <v>84</v>
      </c>
      <c r="C4" s="22" t="s">
        <v>152</v>
      </c>
      <c r="D4" s="22" t="s">
        <v>275</v>
      </c>
      <c r="E4" s="23">
        <v>82732</v>
      </c>
      <c r="F4" s="22">
        <v>335</v>
      </c>
      <c r="G4" s="22">
        <v>704</v>
      </c>
      <c r="H4" s="58">
        <v>2.1</v>
      </c>
    </row>
    <row r="5" spans="2:8">
      <c r="B5" s="22" t="s">
        <v>214</v>
      </c>
      <c r="C5" s="22" t="s">
        <v>153</v>
      </c>
      <c r="D5" s="22" t="s">
        <v>275</v>
      </c>
      <c r="E5" s="23">
        <v>13700</v>
      </c>
      <c r="F5" s="22">
        <v>55</v>
      </c>
      <c r="G5" s="22">
        <v>132</v>
      </c>
      <c r="H5" s="58">
        <v>2.38</v>
      </c>
    </row>
    <row r="6" spans="2:8">
      <c r="B6" s="22" t="s">
        <v>215</v>
      </c>
      <c r="C6" s="22" t="s">
        <v>216</v>
      </c>
      <c r="D6" s="22" t="s">
        <v>275</v>
      </c>
      <c r="E6" s="23">
        <v>86823</v>
      </c>
      <c r="F6" s="22">
        <v>351</v>
      </c>
      <c r="G6" s="22">
        <v>924</v>
      </c>
      <c r="H6" s="58">
        <v>2.63</v>
      </c>
    </row>
    <row r="7" spans="2:8">
      <c r="B7" s="22" t="s">
        <v>74</v>
      </c>
      <c r="C7" s="22" t="s">
        <v>147</v>
      </c>
      <c r="D7" s="22" t="s">
        <v>218</v>
      </c>
      <c r="E7" s="23">
        <v>187523</v>
      </c>
      <c r="F7" s="22">
        <v>759</v>
      </c>
      <c r="G7" s="23">
        <v>2000</v>
      </c>
      <c r="H7" s="58">
        <v>2.64</v>
      </c>
    </row>
    <row r="8" spans="2:8">
      <c r="B8" s="22" t="s">
        <v>29</v>
      </c>
      <c r="C8" s="22" t="s">
        <v>148</v>
      </c>
      <c r="D8" s="22" t="s">
        <v>218</v>
      </c>
      <c r="E8" s="23">
        <v>65296</v>
      </c>
      <c r="F8" s="22">
        <v>264</v>
      </c>
      <c r="G8" s="22">
        <v>800</v>
      </c>
      <c r="H8" s="58">
        <v>3.03</v>
      </c>
    </row>
    <row r="9" spans="2:8">
      <c r="B9" s="22" t="s">
        <v>239</v>
      </c>
      <c r="C9" s="22" t="s">
        <v>240</v>
      </c>
      <c r="D9" s="22" t="s">
        <v>237</v>
      </c>
      <c r="E9" s="23">
        <v>84955</v>
      </c>
      <c r="F9" s="22">
        <v>344</v>
      </c>
      <c r="G9" s="23">
        <v>1148</v>
      </c>
      <c r="H9" s="58">
        <v>3.34</v>
      </c>
    </row>
    <row r="10" spans="2:8">
      <c r="B10" s="22" t="s">
        <v>238</v>
      </c>
      <c r="C10" s="22" t="s">
        <v>157</v>
      </c>
      <c r="D10" s="22" t="s">
        <v>237</v>
      </c>
      <c r="E10" s="23">
        <v>75525</v>
      </c>
      <c r="F10" s="22">
        <v>306</v>
      </c>
      <c r="G10" s="23">
        <v>1100</v>
      </c>
      <c r="H10" s="58">
        <v>3.6</v>
      </c>
    </row>
    <row r="11" spans="2:8">
      <c r="B11" s="22" t="s">
        <v>513</v>
      </c>
      <c r="C11" s="22" t="s">
        <v>150</v>
      </c>
      <c r="D11" s="22" t="s">
        <v>218</v>
      </c>
      <c r="E11" s="23">
        <v>127388</v>
      </c>
      <c r="F11" s="22">
        <v>516</v>
      </c>
      <c r="G11" s="23">
        <v>2004</v>
      </c>
      <c r="H11" s="58">
        <v>3.89</v>
      </c>
    </row>
    <row r="12" spans="2:8">
      <c r="B12" s="22" t="s">
        <v>514</v>
      </c>
      <c r="C12" s="22" t="s">
        <v>149</v>
      </c>
      <c r="D12" s="22" t="s">
        <v>218</v>
      </c>
      <c r="E12" s="23">
        <v>128811</v>
      </c>
      <c r="F12" s="22">
        <v>521</v>
      </c>
      <c r="G12" s="23">
        <v>2430</v>
      </c>
      <c r="H12" s="58">
        <v>4.66</v>
      </c>
    </row>
    <row r="13" spans="2:8">
      <c r="B13" s="22" t="s">
        <v>515</v>
      </c>
      <c r="C13" s="22" t="s">
        <v>219</v>
      </c>
      <c r="D13" s="22" t="s">
        <v>218</v>
      </c>
      <c r="E13" s="23">
        <v>101590</v>
      </c>
      <c r="F13" s="22">
        <v>411</v>
      </c>
      <c r="G13" s="23">
        <v>2036</v>
      </c>
      <c r="H13" s="58">
        <v>4.95</v>
      </c>
    </row>
    <row r="14" spans="2:8">
      <c r="B14" s="22" t="s">
        <v>414</v>
      </c>
      <c r="C14" s="22" t="s">
        <v>160</v>
      </c>
      <c r="D14" s="22" t="s">
        <v>246</v>
      </c>
      <c r="E14" s="23">
        <v>79707</v>
      </c>
      <c r="F14" s="22">
        <v>323</v>
      </c>
      <c r="G14" s="23">
        <v>1678</v>
      </c>
      <c r="H14" s="58">
        <v>5.2</v>
      </c>
    </row>
    <row r="15" spans="2:8" ht="31.2">
      <c r="B15" s="22" t="s">
        <v>516</v>
      </c>
      <c r="C15" s="22" t="s">
        <v>156</v>
      </c>
      <c r="D15" s="22" t="s">
        <v>237</v>
      </c>
      <c r="E15" s="23">
        <v>70272</v>
      </c>
      <c r="F15" s="22">
        <v>284</v>
      </c>
      <c r="G15" s="23">
        <v>1510</v>
      </c>
      <c r="H15" s="58">
        <v>5.31</v>
      </c>
    </row>
    <row r="16" spans="2:8">
      <c r="B16" s="22" t="s">
        <v>421</v>
      </c>
      <c r="C16" s="22" t="s">
        <v>162</v>
      </c>
      <c r="D16" s="22" t="s">
        <v>249</v>
      </c>
      <c r="E16" s="23">
        <v>112799</v>
      </c>
      <c r="F16" s="22">
        <v>456</v>
      </c>
      <c r="G16" s="23">
        <v>2587</v>
      </c>
      <c r="H16" s="58">
        <v>5.67</v>
      </c>
    </row>
    <row r="17" spans="2:8">
      <c r="B17" s="22" t="s">
        <v>79</v>
      </c>
      <c r="C17" s="22" t="s">
        <v>165</v>
      </c>
      <c r="D17" s="22" t="s">
        <v>250</v>
      </c>
      <c r="E17" s="23">
        <v>122405</v>
      </c>
      <c r="F17" s="22">
        <v>495</v>
      </c>
      <c r="G17" s="23">
        <v>3500</v>
      </c>
      <c r="H17" s="58">
        <v>7.07</v>
      </c>
    </row>
    <row r="18" spans="2:8">
      <c r="B18" s="22" t="s">
        <v>225</v>
      </c>
      <c r="C18" s="22" t="s">
        <v>155</v>
      </c>
      <c r="D18" s="22" t="s">
        <v>224</v>
      </c>
      <c r="E18" s="23">
        <v>27951</v>
      </c>
      <c r="F18" s="22">
        <v>112</v>
      </c>
      <c r="G18" s="22">
        <v>816</v>
      </c>
      <c r="H18" s="58">
        <v>7.44</v>
      </c>
    </row>
    <row r="19" spans="2:8">
      <c r="B19" s="22" t="s">
        <v>226</v>
      </c>
      <c r="C19" s="22" t="s">
        <v>155</v>
      </c>
      <c r="D19" s="22" t="s">
        <v>224</v>
      </c>
      <c r="E19" s="23">
        <v>38363</v>
      </c>
      <c r="F19" s="22">
        <v>155</v>
      </c>
      <c r="G19" s="23">
        <v>1260</v>
      </c>
      <c r="H19" s="58">
        <v>8.1199999999999992</v>
      </c>
    </row>
    <row r="20" spans="2:8">
      <c r="B20" s="22" t="s">
        <v>78</v>
      </c>
      <c r="C20" s="22" t="s">
        <v>159</v>
      </c>
      <c r="D20" s="22" t="s">
        <v>243</v>
      </c>
      <c r="E20" s="23">
        <v>26332</v>
      </c>
      <c r="F20" s="22">
        <v>107</v>
      </c>
      <c r="G20" s="22">
        <v>966</v>
      </c>
      <c r="H20" s="58">
        <v>9.07</v>
      </c>
    </row>
    <row r="21" spans="2:8">
      <c r="B21" s="40" t="s">
        <v>517</v>
      </c>
      <c r="C21" s="40"/>
      <c r="D21" s="40"/>
      <c r="E21" s="40"/>
      <c r="F21" s="40"/>
      <c r="G21" s="40"/>
      <c r="H21" s="57">
        <v>5.6453488372093004</v>
      </c>
    </row>
    <row r="22" spans="2:8">
      <c r="B22" s="40" t="s">
        <v>68</v>
      </c>
      <c r="C22" s="40"/>
      <c r="D22" s="40"/>
      <c r="E22" s="56"/>
      <c r="F22" s="40"/>
      <c r="G22" s="40"/>
      <c r="H22" s="57">
        <v>4.4190262430939198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90C4-19A9-B540-89D0-FF8BF70C5B30}">
  <dimension ref="B1:J30"/>
  <sheetViews>
    <sheetView workbookViewId="0">
      <selection activeCell="B2" sqref="B2"/>
    </sheetView>
  </sheetViews>
  <sheetFormatPr defaultColWidth="10.69921875" defaultRowHeight="15.6"/>
  <cols>
    <col min="2" max="2" width="39.19921875" customWidth="1"/>
    <col min="3" max="3" width="12.69921875" bestFit="1" customWidth="1"/>
    <col min="4" max="4" width="9.796875" bestFit="1" customWidth="1"/>
    <col min="5" max="5" width="14.69921875" bestFit="1" customWidth="1"/>
    <col min="6" max="6" width="12.5" bestFit="1" customWidth="1"/>
    <col min="7" max="7" width="9.19921875" bestFit="1" customWidth="1"/>
    <col min="8" max="8" width="24.5" customWidth="1"/>
    <col min="9" max="9" width="18.19921875" bestFit="1" customWidth="1"/>
    <col min="10" max="10" width="27" customWidth="1"/>
  </cols>
  <sheetData>
    <row r="1" spans="2:10" ht="23.4">
      <c r="B1" s="4" t="s">
        <v>870</v>
      </c>
    </row>
    <row r="3" spans="2:10" s="27" customFormat="1" ht="31.2">
      <c r="B3" s="22" t="s">
        <v>287</v>
      </c>
      <c r="C3" s="22" t="s">
        <v>518</v>
      </c>
      <c r="D3" s="22" t="s">
        <v>288</v>
      </c>
      <c r="E3" s="22" t="s">
        <v>289</v>
      </c>
      <c r="F3" s="22" t="s">
        <v>519</v>
      </c>
      <c r="G3" s="22" t="s">
        <v>290</v>
      </c>
      <c r="H3" s="22" t="s">
        <v>871</v>
      </c>
      <c r="I3" s="22" t="s">
        <v>872</v>
      </c>
      <c r="J3" s="22" t="s">
        <v>295</v>
      </c>
    </row>
    <row r="4" spans="2:10" s="27" customFormat="1">
      <c r="B4" s="22" t="s">
        <v>76</v>
      </c>
      <c r="C4" s="22">
        <v>2010</v>
      </c>
      <c r="D4" s="22">
        <v>30</v>
      </c>
      <c r="E4" s="53">
        <v>20</v>
      </c>
      <c r="F4" s="22" t="s">
        <v>166</v>
      </c>
      <c r="G4" s="22" t="s">
        <v>279</v>
      </c>
      <c r="H4" s="22">
        <v>244</v>
      </c>
      <c r="I4" s="22"/>
      <c r="J4" s="22">
        <v>2016</v>
      </c>
    </row>
    <row r="5" spans="2:10" s="27" customFormat="1">
      <c r="B5" s="22" t="s">
        <v>214</v>
      </c>
      <c r="C5" s="22">
        <v>2017</v>
      </c>
      <c r="D5" s="22">
        <v>132</v>
      </c>
      <c r="E5" s="53">
        <v>20</v>
      </c>
      <c r="F5" s="22" t="s">
        <v>166</v>
      </c>
      <c r="G5" s="22" t="s">
        <v>279</v>
      </c>
      <c r="H5" s="22">
        <v>141</v>
      </c>
      <c r="I5" s="22"/>
      <c r="J5" s="22">
        <v>2024</v>
      </c>
    </row>
    <row r="6" spans="2:10" s="27" customFormat="1">
      <c r="B6" s="22" t="s">
        <v>247</v>
      </c>
      <c r="C6" s="22">
        <v>2017</v>
      </c>
      <c r="D6" s="22">
        <v>270</v>
      </c>
      <c r="E6" s="53">
        <v>20</v>
      </c>
      <c r="F6" s="22" t="s">
        <v>291</v>
      </c>
      <c r="G6" s="22" t="s">
        <v>279</v>
      </c>
      <c r="H6" s="22">
        <v>131.9</v>
      </c>
      <c r="I6" s="22"/>
      <c r="J6" s="22">
        <v>2026</v>
      </c>
    </row>
    <row r="7" spans="2:10" s="27" customFormat="1">
      <c r="B7" s="22" t="s">
        <v>244</v>
      </c>
      <c r="C7" s="22">
        <v>2017</v>
      </c>
      <c r="D7" s="22">
        <v>120</v>
      </c>
      <c r="E7" s="53">
        <v>20</v>
      </c>
      <c r="F7" s="22" t="s">
        <v>291</v>
      </c>
      <c r="G7" s="22" t="s">
        <v>279</v>
      </c>
      <c r="H7" s="22">
        <v>131.9</v>
      </c>
      <c r="I7" s="22"/>
      <c r="J7" s="22">
        <v>2026</v>
      </c>
    </row>
    <row r="8" spans="2:10" s="27" customFormat="1">
      <c r="B8" s="22" t="s">
        <v>29</v>
      </c>
      <c r="C8" s="22">
        <v>2018</v>
      </c>
      <c r="D8" s="22">
        <v>400</v>
      </c>
      <c r="E8" s="53">
        <v>20</v>
      </c>
      <c r="F8" s="22" t="s">
        <v>166</v>
      </c>
      <c r="G8" s="22" t="s">
        <v>279</v>
      </c>
      <c r="H8" s="22">
        <v>74</v>
      </c>
      <c r="I8" s="22"/>
      <c r="J8" s="22">
        <v>2024</v>
      </c>
    </row>
    <row r="9" spans="2:10" s="27" customFormat="1">
      <c r="B9" s="22" t="s">
        <v>29</v>
      </c>
      <c r="C9" s="22">
        <v>2018</v>
      </c>
      <c r="D9" s="22">
        <v>400</v>
      </c>
      <c r="E9" s="53">
        <v>20</v>
      </c>
      <c r="F9" s="22" t="s">
        <v>166</v>
      </c>
      <c r="G9" s="22" t="s">
        <v>279</v>
      </c>
      <c r="H9" s="22">
        <v>65</v>
      </c>
      <c r="I9" s="22"/>
      <c r="J9" s="22">
        <v>2024</v>
      </c>
    </row>
    <row r="10" spans="2:10" s="27" customFormat="1">
      <c r="B10" s="22" t="s">
        <v>520</v>
      </c>
      <c r="C10" s="22">
        <v>2018</v>
      </c>
      <c r="D10" s="22">
        <v>12</v>
      </c>
      <c r="E10" s="53">
        <v>12</v>
      </c>
      <c r="F10" s="22" t="s">
        <v>163</v>
      </c>
      <c r="G10" s="22" t="s">
        <v>279</v>
      </c>
      <c r="H10" s="22">
        <v>780</v>
      </c>
      <c r="I10" s="22"/>
      <c r="J10" s="22">
        <v>2020</v>
      </c>
    </row>
    <row r="11" spans="2:10" s="27" customFormat="1">
      <c r="B11" s="22" t="s">
        <v>84</v>
      </c>
      <c r="C11" s="22">
        <v>2018</v>
      </c>
      <c r="D11" s="22">
        <v>400</v>
      </c>
      <c r="E11" s="53">
        <v>20</v>
      </c>
      <c r="F11" s="22" t="s">
        <v>166</v>
      </c>
      <c r="G11" s="22" t="s">
        <v>279</v>
      </c>
      <c r="H11" s="22">
        <v>99.5</v>
      </c>
      <c r="I11" s="22"/>
      <c r="J11" s="22">
        <v>2026</v>
      </c>
    </row>
    <row r="12" spans="2:10" s="27" customFormat="1">
      <c r="B12" s="22" t="s">
        <v>84</v>
      </c>
      <c r="C12" s="22">
        <v>2018</v>
      </c>
      <c r="D12" s="22">
        <v>200</v>
      </c>
      <c r="E12" s="53">
        <v>20</v>
      </c>
      <c r="F12" s="22" t="s">
        <v>166</v>
      </c>
      <c r="G12" s="22" t="s">
        <v>279</v>
      </c>
      <c r="H12" s="22">
        <v>98.4</v>
      </c>
      <c r="I12" s="22"/>
      <c r="J12" s="22">
        <v>2026</v>
      </c>
    </row>
    <row r="13" spans="2:10" s="27" customFormat="1">
      <c r="B13" s="22" t="s">
        <v>84</v>
      </c>
      <c r="C13" s="22">
        <v>2019</v>
      </c>
      <c r="D13" s="22">
        <v>104</v>
      </c>
      <c r="E13" s="53">
        <v>20</v>
      </c>
      <c r="F13" s="22" t="s">
        <v>166</v>
      </c>
      <c r="G13" s="22" t="s">
        <v>279</v>
      </c>
      <c r="H13" s="22">
        <v>98.4</v>
      </c>
      <c r="I13" s="22"/>
      <c r="J13" s="22">
        <v>2026</v>
      </c>
    </row>
    <row r="14" spans="2:10" s="27" customFormat="1">
      <c r="B14" s="22" t="s">
        <v>238</v>
      </c>
      <c r="C14" s="22">
        <v>2019</v>
      </c>
      <c r="D14" s="23">
        <v>1100</v>
      </c>
      <c r="E14" s="53">
        <v>20</v>
      </c>
      <c r="F14" s="22" t="s">
        <v>292</v>
      </c>
      <c r="G14" s="22" t="s">
        <v>279</v>
      </c>
      <c r="H14" s="22">
        <v>116.8</v>
      </c>
      <c r="I14" s="22"/>
      <c r="J14" s="22">
        <v>2025</v>
      </c>
    </row>
    <row r="15" spans="2:10" s="27" customFormat="1">
      <c r="B15" s="22" t="s">
        <v>225</v>
      </c>
      <c r="C15" s="22">
        <v>2019</v>
      </c>
      <c r="D15" s="22">
        <v>816</v>
      </c>
      <c r="E15" s="22">
        <v>25</v>
      </c>
      <c r="F15" s="22" t="s">
        <v>293</v>
      </c>
      <c r="G15" s="22" t="s">
        <v>279</v>
      </c>
      <c r="H15" s="22">
        <v>99</v>
      </c>
      <c r="I15" s="22"/>
      <c r="J15" s="22">
        <v>2026</v>
      </c>
    </row>
    <row r="16" spans="2:10" s="27" customFormat="1">
      <c r="B16" s="22" t="s">
        <v>215</v>
      </c>
      <c r="C16" s="22">
        <v>2019</v>
      </c>
      <c r="D16" s="22">
        <v>924</v>
      </c>
      <c r="E16" s="22">
        <v>25</v>
      </c>
      <c r="F16" s="22" t="s">
        <v>293</v>
      </c>
      <c r="G16" s="22" t="s">
        <v>279</v>
      </c>
      <c r="H16" s="22">
        <v>110</v>
      </c>
      <c r="I16" s="22"/>
      <c r="J16" s="22">
        <v>2026</v>
      </c>
    </row>
    <row r="17" spans="2:10" s="27" customFormat="1">
      <c r="B17" s="22" t="s">
        <v>73</v>
      </c>
      <c r="C17" s="22">
        <v>2019</v>
      </c>
      <c r="D17" s="22">
        <v>12</v>
      </c>
      <c r="E17" s="22">
        <v>20</v>
      </c>
      <c r="F17" s="22" t="s">
        <v>166</v>
      </c>
      <c r="G17" s="22" t="s">
        <v>279</v>
      </c>
      <c r="H17" s="22" t="s">
        <v>294</v>
      </c>
      <c r="I17" s="22"/>
      <c r="J17" s="22">
        <v>2024</v>
      </c>
    </row>
    <row r="18" spans="2:10" s="27" customFormat="1">
      <c r="B18" s="22" t="s">
        <v>858</v>
      </c>
      <c r="C18" s="22">
        <v>2020</v>
      </c>
      <c r="D18" s="22">
        <v>400</v>
      </c>
      <c r="E18" s="22">
        <v>20</v>
      </c>
      <c r="F18" s="22" t="s">
        <v>166</v>
      </c>
      <c r="G18" s="22" t="s">
        <v>279</v>
      </c>
      <c r="H18" s="22">
        <v>58.4</v>
      </c>
      <c r="I18" s="22"/>
      <c r="J18" s="22">
        <v>2028</v>
      </c>
    </row>
    <row r="19" spans="2:10" s="27" customFormat="1">
      <c r="B19" s="22" t="s">
        <v>858</v>
      </c>
      <c r="C19" s="22">
        <v>2020</v>
      </c>
      <c r="D19" s="22">
        <v>404</v>
      </c>
      <c r="E19" s="22">
        <v>20</v>
      </c>
      <c r="F19" s="22" t="s">
        <v>166</v>
      </c>
      <c r="G19" s="22" t="s">
        <v>279</v>
      </c>
      <c r="H19" s="22">
        <v>58.4</v>
      </c>
      <c r="I19" s="22"/>
      <c r="J19" s="22">
        <v>2029</v>
      </c>
    </row>
    <row r="20" spans="2:10" s="27" customFormat="1">
      <c r="B20" s="22" t="s">
        <v>241</v>
      </c>
      <c r="C20" s="22">
        <v>2020</v>
      </c>
      <c r="D20" s="22">
        <v>21</v>
      </c>
      <c r="E20" s="22">
        <v>20</v>
      </c>
      <c r="F20" s="22" t="s">
        <v>166</v>
      </c>
      <c r="G20" s="22" t="s">
        <v>279</v>
      </c>
      <c r="H20" s="22" t="s">
        <v>294</v>
      </c>
      <c r="I20" s="22"/>
      <c r="J20" s="22">
        <v>2024</v>
      </c>
    </row>
    <row r="21" spans="2:10" s="27" customFormat="1">
      <c r="B21" s="22" t="s">
        <v>873</v>
      </c>
      <c r="C21" s="22">
        <v>2021</v>
      </c>
      <c r="D21" s="22">
        <v>800</v>
      </c>
      <c r="E21" s="22">
        <v>20</v>
      </c>
      <c r="F21" s="22" t="s">
        <v>166</v>
      </c>
      <c r="G21" s="22" t="s">
        <v>279</v>
      </c>
      <c r="H21" s="22">
        <v>79.8</v>
      </c>
      <c r="I21" s="22"/>
      <c r="J21" s="22">
        <v>2027</v>
      </c>
    </row>
    <row r="22" spans="2:10" s="27" customFormat="1">
      <c r="B22" s="22" t="s">
        <v>226</v>
      </c>
      <c r="C22" s="22">
        <v>2021</v>
      </c>
      <c r="D22" s="23">
        <v>1260</v>
      </c>
      <c r="E22" s="22">
        <v>25</v>
      </c>
      <c r="F22" s="22" t="s">
        <v>293</v>
      </c>
      <c r="G22" s="22" t="s">
        <v>279</v>
      </c>
      <c r="H22" s="22">
        <v>107.5</v>
      </c>
      <c r="I22" s="22"/>
      <c r="J22" s="22">
        <v>2027</v>
      </c>
    </row>
    <row r="23" spans="2:10" s="27" customFormat="1">
      <c r="B23" s="22" t="s">
        <v>220</v>
      </c>
      <c r="C23" s="22">
        <v>2021</v>
      </c>
      <c r="D23" s="23">
        <v>1230</v>
      </c>
      <c r="E23" s="22">
        <v>25</v>
      </c>
      <c r="F23" s="22" t="s">
        <v>293</v>
      </c>
      <c r="G23" s="22" t="s">
        <v>279</v>
      </c>
      <c r="H23" s="22">
        <v>118</v>
      </c>
      <c r="I23" s="22"/>
      <c r="J23" s="22">
        <v>2029</v>
      </c>
    </row>
    <row r="24" spans="2:10" s="27" customFormat="1">
      <c r="B24" s="22" t="s">
        <v>239</v>
      </c>
      <c r="C24" s="22">
        <v>2021</v>
      </c>
      <c r="D24" s="23">
        <v>1148</v>
      </c>
      <c r="E24" s="22">
        <v>20</v>
      </c>
      <c r="F24" s="22" t="s">
        <v>292</v>
      </c>
      <c r="G24" s="22" t="s">
        <v>279</v>
      </c>
      <c r="H24" s="22">
        <v>42.3</v>
      </c>
      <c r="I24" s="22"/>
      <c r="J24" s="22">
        <v>2028</v>
      </c>
    </row>
    <row r="25" spans="2:10" s="27" customFormat="1" ht="31.2">
      <c r="B25" s="22" t="s">
        <v>521</v>
      </c>
      <c r="C25" s="22">
        <v>2021</v>
      </c>
      <c r="D25" s="23">
        <v>1510</v>
      </c>
      <c r="E25" s="22">
        <v>20</v>
      </c>
      <c r="F25" s="22" t="s">
        <v>292</v>
      </c>
      <c r="G25" s="22" t="s">
        <v>279</v>
      </c>
      <c r="H25" s="22">
        <v>58.8</v>
      </c>
      <c r="I25" s="22"/>
      <c r="J25" s="22">
        <v>2027</v>
      </c>
    </row>
    <row r="26" spans="2:10" s="27" customFormat="1">
      <c r="B26" s="22" t="s">
        <v>245</v>
      </c>
      <c r="C26" s="22">
        <v>2021</v>
      </c>
      <c r="D26" s="22">
        <v>846</v>
      </c>
      <c r="E26" s="22">
        <v>20</v>
      </c>
      <c r="F26" s="22" t="s">
        <v>291</v>
      </c>
      <c r="G26" s="22" t="s">
        <v>279</v>
      </c>
      <c r="H26" s="22">
        <v>71.599999999999994</v>
      </c>
      <c r="I26" s="22"/>
      <c r="J26" s="22">
        <v>2027</v>
      </c>
    </row>
    <row r="27" spans="2:10" s="27" customFormat="1">
      <c r="B27" s="22" t="s">
        <v>248</v>
      </c>
      <c r="C27" s="22">
        <v>2021</v>
      </c>
      <c r="D27" s="22">
        <v>809</v>
      </c>
      <c r="E27" s="22">
        <v>20</v>
      </c>
      <c r="F27" s="22" t="s">
        <v>291</v>
      </c>
      <c r="G27" s="22" t="s">
        <v>279</v>
      </c>
      <c r="H27" s="22">
        <v>54.17</v>
      </c>
      <c r="I27" s="22"/>
      <c r="J27" s="22">
        <v>2028</v>
      </c>
    </row>
    <row r="28" spans="2:10" s="27" customFormat="1">
      <c r="B28" s="22" t="s">
        <v>859</v>
      </c>
      <c r="C28" s="22">
        <v>2021</v>
      </c>
      <c r="D28" s="22">
        <v>400</v>
      </c>
      <c r="E28" s="22">
        <v>20</v>
      </c>
      <c r="F28" s="22" t="s">
        <v>166</v>
      </c>
      <c r="G28" s="22" t="s">
        <v>279</v>
      </c>
      <c r="H28" s="22">
        <v>77</v>
      </c>
      <c r="I28" s="22"/>
      <c r="J28" s="22">
        <v>2027</v>
      </c>
    </row>
    <row r="29" spans="2:10" s="27" customFormat="1">
      <c r="B29" s="22" t="s">
        <v>874</v>
      </c>
      <c r="C29" s="22">
        <v>2021</v>
      </c>
      <c r="D29" s="23">
        <v>1232</v>
      </c>
      <c r="E29" s="22">
        <v>20</v>
      </c>
      <c r="F29" s="22" t="s">
        <v>166</v>
      </c>
      <c r="G29" s="22" t="s">
        <v>279</v>
      </c>
      <c r="H29" s="22">
        <v>72</v>
      </c>
      <c r="I29" s="22"/>
      <c r="J29" s="22">
        <v>2027</v>
      </c>
    </row>
    <row r="30" spans="2:10" s="27" customFormat="1">
      <c r="B30" s="22" t="s">
        <v>522</v>
      </c>
      <c r="C30" s="22">
        <v>2021</v>
      </c>
      <c r="D30" s="23">
        <v>2587</v>
      </c>
      <c r="E30" s="22">
        <v>20</v>
      </c>
      <c r="F30" s="22" t="s">
        <v>163</v>
      </c>
      <c r="G30" s="22" t="s">
        <v>279</v>
      </c>
      <c r="H30" s="22">
        <v>87</v>
      </c>
      <c r="I30" s="22"/>
      <c r="J30" s="22">
        <v>2026</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A06C-C726-C447-B5FB-6C98716EB7D0}">
  <dimension ref="B1:J31"/>
  <sheetViews>
    <sheetView topLeftCell="A12" workbookViewId="0">
      <selection activeCell="E5" sqref="E5"/>
    </sheetView>
  </sheetViews>
  <sheetFormatPr defaultColWidth="10.69921875" defaultRowHeight="15.6"/>
  <cols>
    <col min="2" max="2" width="27.5" customWidth="1"/>
    <col min="3" max="3" width="14.69921875" customWidth="1"/>
    <col min="4" max="4" width="15.5" customWidth="1"/>
    <col min="5" max="6" width="21.796875" customWidth="1"/>
    <col min="7" max="7" width="16.5" bestFit="1" customWidth="1"/>
    <col min="8" max="8" width="47.69921875" customWidth="1"/>
    <col min="9" max="9" width="30.69921875" bestFit="1" customWidth="1"/>
    <col min="10" max="10" width="70.5" bestFit="1" customWidth="1"/>
  </cols>
  <sheetData>
    <row r="1" spans="2:10" ht="23.4">
      <c r="B1" s="4" t="s">
        <v>875</v>
      </c>
    </row>
    <row r="3" spans="2:10" s="27" customFormat="1" ht="31.2">
      <c r="B3" s="22" t="s">
        <v>51</v>
      </c>
      <c r="C3" s="22" t="s">
        <v>549</v>
      </c>
      <c r="D3" s="22" t="s">
        <v>550</v>
      </c>
      <c r="E3" s="22" t="s">
        <v>551</v>
      </c>
      <c r="F3" s="22" t="s">
        <v>552</v>
      </c>
      <c r="G3" s="22" t="s">
        <v>553</v>
      </c>
      <c r="H3" s="59" t="s">
        <v>523</v>
      </c>
      <c r="I3" s="59" t="s">
        <v>554</v>
      </c>
      <c r="J3" s="22" t="s">
        <v>524</v>
      </c>
    </row>
    <row r="4" spans="2:10" s="27" customFormat="1">
      <c r="B4" s="22" t="s">
        <v>528</v>
      </c>
      <c r="C4" s="86">
        <v>156</v>
      </c>
      <c r="D4" s="112">
        <v>2030</v>
      </c>
      <c r="E4" s="86" t="s">
        <v>132</v>
      </c>
      <c r="F4" s="112" t="s">
        <v>132</v>
      </c>
      <c r="G4" s="86">
        <v>12</v>
      </c>
      <c r="H4" s="59" t="s">
        <v>525</v>
      </c>
      <c r="I4" s="59"/>
      <c r="J4" s="60" t="s">
        <v>529</v>
      </c>
    </row>
    <row r="5" spans="2:10" s="27" customFormat="1" ht="62.4">
      <c r="B5" s="22" t="s">
        <v>530</v>
      </c>
      <c r="C5" s="86">
        <v>23000</v>
      </c>
      <c r="D5" s="112">
        <v>2050</v>
      </c>
      <c r="E5" s="86">
        <v>5600</v>
      </c>
      <c r="F5" s="112">
        <v>2035</v>
      </c>
      <c r="G5" s="86">
        <v>3236</v>
      </c>
      <c r="H5" s="59" t="s">
        <v>555</v>
      </c>
      <c r="I5" s="59" t="s">
        <v>556</v>
      </c>
      <c r="J5" s="60" t="s">
        <v>557</v>
      </c>
    </row>
    <row r="6" spans="2:10" s="27" customFormat="1" ht="39" customHeight="1">
      <c r="B6" s="22" t="s">
        <v>531</v>
      </c>
      <c r="C6" s="86">
        <v>1430</v>
      </c>
      <c r="D6" s="112">
        <v>2030</v>
      </c>
      <c r="E6" s="86">
        <v>1430</v>
      </c>
      <c r="F6" s="112">
        <v>2030</v>
      </c>
      <c r="G6" s="86">
        <v>430</v>
      </c>
      <c r="H6" s="59" t="s">
        <v>558</v>
      </c>
      <c r="I6" s="59" t="s">
        <v>559</v>
      </c>
      <c r="J6" s="60" t="s">
        <v>532</v>
      </c>
    </row>
    <row r="7" spans="2:10" s="27" customFormat="1" ht="31.2">
      <c r="B7" s="22" t="s">
        <v>533</v>
      </c>
      <c r="C7" s="86">
        <v>2000</v>
      </c>
      <c r="D7" s="112">
        <v>2030</v>
      </c>
      <c r="E7" s="86">
        <v>2000</v>
      </c>
      <c r="F7" s="112">
        <v>2030</v>
      </c>
      <c r="G7" s="86">
        <v>1104</v>
      </c>
      <c r="H7" s="59" t="s">
        <v>560</v>
      </c>
      <c r="I7" s="59" t="s">
        <v>526</v>
      </c>
      <c r="J7" s="60" t="s">
        <v>534</v>
      </c>
    </row>
    <row r="8" spans="2:10" s="27" customFormat="1" ht="78">
      <c r="B8" s="22" t="s">
        <v>535</v>
      </c>
      <c r="C8" s="86">
        <v>20000</v>
      </c>
      <c r="D8" s="112">
        <v>2050</v>
      </c>
      <c r="E8" s="86">
        <v>9000</v>
      </c>
      <c r="F8" s="112">
        <v>2035</v>
      </c>
      <c r="G8" s="86">
        <v>4362</v>
      </c>
      <c r="H8" s="59" t="s">
        <v>561</v>
      </c>
      <c r="I8" s="59" t="s">
        <v>562</v>
      </c>
      <c r="J8" s="60" t="s">
        <v>563</v>
      </c>
    </row>
    <row r="9" spans="2:10" s="27" customFormat="1" ht="62.4">
      <c r="B9" s="22" t="s">
        <v>536</v>
      </c>
      <c r="C9" s="86">
        <v>11000</v>
      </c>
      <c r="D9" s="112">
        <v>2040</v>
      </c>
      <c r="E9" s="86">
        <v>11000</v>
      </c>
      <c r="F9" s="112">
        <v>2040</v>
      </c>
      <c r="G9" s="86">
        <v>3758</v>
      </c>
      <c r="H9" s="59" t="s">
        <v>564</v>
      </c>
      <c r="I9" s="59" t="s">
        <v>565</v>
      </c>
      <c r="J9" s="60" t="s">
        <v>566</v>
      </c>
    </row>
    <row r="10" spans="2:10" s="27" customFormat="1" ht="62.4">
      <c r="B10" s="22" t="s">
        <v>537</v>
      </c>
      <c r="C10" s="86">
        <v>8500</v>
      </c>
      <c r="D10" s="112">
        <v>2031</v>
      </c>
      <c r="E10" s="86">
        <v>8500</v>
      </c>
      <c r="F10" s="112">
        <v>2031</v>
      </c>
      <c r="G10" s="86">
        <v>2045</v>
      </c>
      <c r="H10" s="59" t="s">
        <v>568</v>
      </c>
      <c r="I10" s="59"/>
      <c r="J10" s="60" t="s">
        <v>567</v>
      </c>
    </row>
    <row r="11" spans="2:10" s="27" customFormat="1" ht="31.2">
      <c r="B11" s="22" t="s">
        <v>538</v>
      </c>
      <c r="C11" s="86">
        <v>5200</v>
      </c>
      <c r="D11" s="112">
        <v>2034</v>
      </c>
      <c r="E11" s="86">
        <v>5200</v>
      </c>
      <c r="F11" s="112">
        <v>2034</v>
      </c>
      <c r="G11" s="86">
        <v>2599</v>
      </c>
      <c r="H11" s="59" t="s">
        <v>569</v>
      </c>
      <c r="I11" s="59"/>
      <c r="J11" s="60" t="s">
        <v>539</v>
      </c>
    </row>
    <row r="12" spans="2:10" s="27" customFormat="1">
      <c r="B12" s="22" t="s">
        <v>540</v>
      </c>
      <c r="C12" s="86">
        <v>8000</v>
      </c>
      <c r="D12" s="112">
        <v>2040</v>
      </c>
      <c r="E12" s="86" t="s">
        <v>132</v>
      </c>
      <c r="F12" s="112" t="s">
        <v>132</v>
      </c>
      <c r="G12" s="86" t="s">
        <v>132</v>
      </c>
      <c r="H12" s="59"/>
      <c r="I12" s="59"/>
      <c r="J12" s="60" t="s">
        <v>541</v>
      </c>
    </row>
    <row r="13" spans="2:10" s="27" customFormat="1" ht="46.8">
      <c r="B13" s="22" t="s">
        <v>542</v>
      </c>
      <c r="C13" s="86">
        <v>25000</v>
      </c>
      <c r="D13" s="112">
        <v>2045</v>
      </c>
      <c r="E13" s="86" t="s">
        <v>132</v>
      </c>
      <c r="F13" s="112" t="s">
        <v>132</v>
      </c>
      <c r="G13" s="86" t="s">
        <v>132</v>
      </c>
      <c r="H13" s="59"/>
      <c r="I13" s="59"/>
      <c r="J13" s="60" t="s">
        <v>570</v>
      </c>
    </row>
    <row r="14" spans="2:10" s="27" customFormat="1">
      <c r="B14" s="22" t="s">
        <v>543</v>
      </c>
      <c r="C14" s="86" t="s">
        <v>132</v>
      </c>
      <c r="D14" s="112" t="s">
        <v>132</v>
      </c>
      <c r="E14" s="86" t="s">
        <v>132</v>
      </c>
      <c r="F14" s="112" t="s">
        <v>132</v>
      </c>
      <c r="G14" s="86">
        <v>21</v>
      </c>
      <c r="H14" s="59" t="s">
        <v>527</v>
      </c>
      <c r="I14" s="59"/>
      <c r="J14" s="60" t="s">
        <v>544</v>
      </c>
    </row>
    <row r="15" spans="2:10" s="27" customFormat="1">
      <c r="B15" s="22" t="s">
        <v>545</v>
      </c>
      <c r="C15" s="86">
        <v>5000</v>
      </c>
      <c r="D15" s="112">
        <v>2035</v>
      </c>
      <c r="E15" s="86" t="s">
        <v>132</v>
      </c>
      <c r="F15" s="112" t="s">
        <v>132</v>
      </c>
      <c r="G15" s="86" t="s">
        <v>132</v>
      </c>
      <c r="H15" s="59"/>
      <c r="I15" s="59"/>
      <c r="J15" s="60" t="s">
        <v>546</v>
      </c>
    </row>
    <row r="16" spans="2:10" s="27" customFormat="1">
      <c r="B16" s="22" t="s">
        <v>547</v>
      </c>
      <c r="C16" s="86">
        <v>3000</v>
      </c>
      <c r="D16" s="112">
        <v>2030</v>
      </c>
      <c r="E16" s="86" t="s">
        <v>132</v>
      </c>
      <c r="F16" s="112" t="s">
        <v>132</v>
      </c>
      <c r="G16" s="86" t="s">
        <v>132</v>
      </c>
      <c r="H16" s="59"/>
      <c r="I16" s="59"/>
      <c r="J16" s="60" t="s">
        <v>548</v>
      </c>
    </row>
    <row r="17" spans="2:10" s="27" customFormat="1">
      <c r="B17" s="40" t="s">
        <v>68</v>
      </c>
      <c r="C17" s="111">
        <f>SUM(C4:C16)</f>
        <v>112286</v>
      </c>
      <c r="D17" s="113">
        <v>2050</v>
      </c>
      <c r="E17" s="111">
        <f t="shared" ref="E17:G17" si="0">SUM(E4:E16)</f>
        <v>42730</v>
      </c>
      <c r="F17" s="113">
        <v>2040</v>
      </c>
      <c r="G17" s="111">
        <f t="shared" si="0"/>
        <v>17567</v>
      </c>
      <c r="H17" s="61"/>
      <c r="I17" s="61"/>
      <c r="J17" s="62"/>
    </row>
    <row r="18" spans="2:10" s="27" customFormat="1">
      <c r="B18"/>
      <c r="C18"/>
      <c r="D18"/>
      <c r="E18"/>
      <c r="F18"/>
      <c r="G18"/>
      <c r="H18"/>
      <c r="I18"/>
      <c r="J18"/>
    </row>
    <row r="19" spans="2:10" s="27" customFormat="1">
      <c r="B19"/>
      <c r="C19"/>
      <c r="D19"/>
      <c r="E19"/>
      <c r="F19"/>
      <c r="G19"/>
      <c r="H19"/>
      <c r="I19"/>
      <c r="J19"/>
    </row>
    <row r="20" spans="2:10" s="27" customFormat="1">
      <c r="B20"/>
      <c r="C20"/>
      <c r="D20"/>
      <c r="E20"/>
      <c r="F20"/>
      <c r="G20"/>
      <c r="H20"/>
      <c r="I20"/>
      <c r="J20"/>
    </row>
    <row r="21" spans="2:10" s="27" customFormat="1">
      <c r="B21"/>
      <c r="C21"/>
      <c r="D21"/>
      <c r="E21"/>
      <c r="F21"/>
      <c r="G21"/>
      <c r="H21"/>
      <c r="I21"/>
      <c r="J21"/>
    </row>
    <row r="22" spans="2:10" s="27" customFormat="1">
      <c r="B22"/>
      <c r="C22"/>
      <c r="D22"/>
      <c r="E22"/>
      <c r="F22"/>
      <c r="G22"/>
      <c r="H22"/>
      <c r="I22"/>
      <c r="J22"/>
    </row>
    <row r="23" spans="2:10" s="27" customFormat="1">
      <c r="B23"/>
      <c r="C23"/>
      <c r="D23"/>
      <c r="E23"/>
      <c r="F23"/>
      <c r="G23"/>
      <c r="H23"/>
      <c r="I23"/>
      <c r="J23"/>
    </row>
    <row r="24" spans="2:10" s="27" customFormat="1">
      <c r="B24"/>
      <c r="C24"/>
      <c r="D24"/>
      <c r="E24"/>
      <c r="F24"/>
      <c r="G24"/>
      <c r="H24"/>
      <c r="I24"/>
      <c r="J24"/>
    </row>
    <row r="25" spans="2:10" s="27" customFormat="1">
      <c r="B25"/>
      <c r="C25"/>
      <c r="D25"/>
      <c r="E25"/>
      <c r="F25"/>
      <c r="G25"/>
      <c r="H25"/>
      <c r="I25"/>
      <c r="J25"/>
    </row>
    <row r="26" spans="2:10" s="27" customFormat="1">
      <c r="B26"/>
      <c r="C26"/>
      <c r="D26"/>
      <c r="E26"/>
      <c r="F26"/>
      <c r="G26"/>
      <c r="H26"/>
      <c r="I26"/>
      <c r="J26"/>
    </row>
    <row r="27" spans="2:10" s="27" customFormat="1">
      <c r="B27"/>
      <c r="C27"/>
      <c r="D27"/>
      <c r="E27"/>
      <c r="F27"/>
      <c r="G27"/>
      <c r="H27"/>
      <c r="I27"/>
      <c r="J27"/>
    </row>
    <row r="28" spans="2:10" s="27" customFormat="1">
      <c r="B28"/>
      <c r="C28"/>
      <c r="D28"/>
      <c r="E28"/>
      <c r="F28"/>
      <c r="G28"/>
      <c r="H28"/>
      <c r="I28"/>
      <c r="J28"/>
    </row>
    <row r="29" spans="2:10" s="27" customFormat="1">
      <c r="B29"/>
      <c r="C29"/>
      <c r="D29"/>
      <c r="E29"/>
      <c r="F29"/>
      <c r="G29"/>
      <c r="H29"/>
      <c r="I29"/>
      <c r="J29"/>
    </row>
    <row r="30" spans="2:10" s="27" customFormat="1">
      <c r="B30"/>
      <c r="C30"/>
      <c r="D30"/>
      <c r="E30"/>
      <c r="F30"/>
      <c r="G30"/>
      <c r="H30"/>
      <c r="I30"/>
      <c r="J30"/>
    </row>
    <row r="31" spans="2:10" s="27" customFormat="1">
      <c r="B31"/>
      <c r="C31"/>
      <c r="D31"/>
      <c r="E31"/>
      <c r="F31"/>
      <c r="G31"/>
      <c r="H31"/>
      <c r="I31"/>
      <c r="J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647D2-B0A3-7247-8F1D-D51EA421A0A0}">
  <dimension ref="B1:F11"/>
  <sheetViews>
    <sheetView workbookViewId="0">
      <selection activeCell="D6" sqref="D6"/>
    </sheetView>
  </sheetViews>
  <sheetFormatPr defaultColWidth="10.69921875" defaultRowHeight="15.6"/>
  <cols>
    <col min="2" max="2" width="8.5" customWidth="1"/>
    <col min="3" max="3" width="37.796875" bestFit="1" customWidth="1"/>
    <col min="4" max="4" width="65.5" customWidth="1"/>
    <col min="5" max="5" width="60.796875" bestFit="1" customWidth="1"/>
  </cols>
  <sheetData>
    <row r="1" spans="2:6" ht="23.4">
      <c r="B1" s="5" t="s">
        <v>194</v>
      </c>
    </row>
    <row r="3" spans="2:6">
      <c r="B3" t="s">
        <v>195</v>
      </c>
      <c r="C3" t="s">
        <v>196</v>
      </c>
      <c r="D3" t="s">
        <v>197</v>
      </c>
      <c r="E3" t="s">
        <v>199</v>
      </c>
    </row>
    <row r="4" spans="2:6" ht="46.8">
      <c r="B4" s="22">
        <v>1</v>
      </c>
      <c r="C4" s="22" t="s">
        <v>26</v>
      </c>
      <c r="D4" s="22" t="s">
        <v>345</v>
      </c>
      <c r="E4" s="22" t="s">
        <v>200</v>
      </c>
      <c r="F4" s="2"/>
    </row>
    <row r="5" spans="2:6" ht="34.049999999999997" customHeight="1">
      <c r="B5" s="22">
        <v>2</v>
      </c>
      <c r="C5" s="22" t="s">
        <v>25</v>
      </c>
      <c r="D5" s="22" t="s">
        <v>346</v>
      </c>
      <c r="E5" s="22" t="s">
        <v>201</v>
      </c>
      <c r="F5" s="2"/>
    </row>
    <row r="6" spans="2:6" ht="31.2">
      <c r="B6" s="22">
        <v>3</v>
      </c>
      <c r="C6" s="22" t="s">
        <v>209</v>
      </c>
      <c r="D6" s="22" t="s">
        <v>347</v>
      </c>
      <c r="E6" s="22" t="s">
        <v>202</v>
      </c>
      <c r="F6" s="2"/>
    </row>
    <row r="7" spans="2:6" ht="31.2">
      <c r="B7" s="22">
        <v>4</v>
      </c>
      <c r="C7" s="22" t="s">
        <v>23</v>
      </c>
      <c r="D7" s="22" t="s">
        <v>198</v>
      </c>
      <c r="E7" s="22" t="s">
        <v>348</v>
      </c>
      <c r="F7" s="2"/>
    </row>
    <row r="8" spans="2:6" ht="31.2">
      <c r="B8" s="22">
        <v>5</v>
      </c>
      <c r="C8" s="22" t="s">
        <v>22</v>
      </c>
      <c r="D8" s="22" t="s">
        <v>349</v>
      </c>
      <c r="E8" s="22" t="s">
        <v>203</v>
      </c>
      <c r="F8" s="2"/>
    </row>
    <row r="9" spans="2:6" ht="31.2">
      <c r="B9" s="22">
        <v>6</v>
      </c>
      <c r="C9" s="22" t="s">
        <v>16</v>
      </c>
      <c r="D9" s="22" t="s">
        <v>350</v>
      </c>
      <c r="E9" s="22" t="s">
        <v>204</v>
      </c>
      <c r="F9" s="2"/>
    </row>
    <row r="10" spans="2:6" ht="46.8">
      <c r="B10" s="22">
        <v>7</v>
      </c>
      <c r="C10" s="22" t="s">
        <v>85</v>
      </c>
      <c r="D10" s="22" t="s">
        <v>351</v>
      </c>
      <c r="E10" s="22" t="s">
        <v>205</v>
      </c>
      <c r="F10" s="2"/>
    </row>
    <row r="11" spans="2:6" ht="31.2">
      <c r="B11" s="22">
        <v>8</v>
      </c>
      <c r="C11" s="22" t="s">
        <v>206</v>
      </c>
      <c r="D11" s="22" t="s">
        <v>207</v>
      </c>
      <c r="E11" s="22" t="s">
        <v>208</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3349D-F4E2-0D4D-9D91-B71C914C61F8}">
  <dimension ref="B1:F12"/>
  <sheetViews>
    <sheetView workbookViewId="0">
      <selection activeCell="B2" sqref="B2"/>
    </sheetView>
  </sheetViews>
  <sheetFormatPr defaultColWidth="10.69921875" defaultRowHeight="15.6"/>
  <cols>
    <col min="2" max="2" width="34.5" customWidth="1"/>
    <col min="3" max="3" width="29.69921875" customWidth="1"/>
    <col min="4" max="4" width="20.69921875" bestFit="1" customWidth="1"/>
    <col min="5" max="5" width="13.69921875" bestFit="1" customWidth="1"/>
    <col min="6" max="6" width="32.5" bestFit="1" customWidth="1"/>
  </cols>
  <sheetData>
    <row r="1" spans="2:6" ht="23.4">
      <c r="B1" s="4" t="s">
        <v>876</v>
      </c>
    </row>
    <row r="3" spans="2:6" s="27" customFormat="1">
      <c r="B3" s="22" t="s">
        <v>296</v>
      </c>
      <c r="C3" s="22" t="s">
        <v>297</v>
      </c>
      <c r="D3" s="22" t="s">
        <v>298</v>
      </c>
      <c r="E3" s="22" t="s">
        <v>571</v>
      </c>
      <c r="F3" s="22" t="s">
        <v>299</v>
      </c>
    </row>
    <row r="4" spans="2:6" s="27" customFormat="1" ht="31.2">
      <c r="B4" s="22" t="s">
        <v>658</v>
      </c>
      <c r="C4" s="22" t="s">
        <v>572</v>
      </c>
      <c r="D4" s="22" t="s">
        <v>659</v>
      </c>
      <c r="E4" s="63">
        <v>1990</v>
      </c>
      <c r="F4" s="22" t="s">
        <v>660</v>
      </c>
    </row>
    <row r="5" spans="2:6" s="27" customFormat="1" ht="31.2">
      <c r="B5" s="22" t="s">
        <v>573</v>
      </c>
      <c r="C5" s="23" t="s">
        <v>574</v>
      </c>
      <c r="D5" s="22" t="s">
        <v>76</v>
      </c>
      <c r="E5" s="63">
        <v>2016</v>
      </c>
      <c r="F5" s="22" t="s">
        <v>661</v>
      </c>
    </row>
    <row r="6" spans="2:6" s="27" customFormat="1" ht="31.2">
      <c r="B6" s="22" t="s">
        <v>575</v>
      </c>
      <c r="C6" s="22" t="s">
        <v>574</v>
      </c>
      <c r="D6" s="22" t="s">
        <v>576</v>
      </c>
      <c r="E6" s="63">
        <v>2020</v>
      </c>
      <c r="F6" s="22" t="s">
        <v>661</v>
      </c>
    </row>
    <row r="7" spans="2:6" s="27" customFormat="1" ht="31.2">
      <c r="B7" s="22" t="s">
        <v>577</v>
      </c>
      <c r="C7" s="23" t="s">
        <v>578</v>
      </c>
      <c r="D7" s="22" t="s">
        <v>579</v>
      </c>
      <c r="E7" s="63">
        <v>2020</v>
      </c>
      <c r="F7" s="22" t="s">
        <v>661</v>
      </c>
    </row>
    <row r="8" spans="2:6" s="27" customFormat="1">
      <c r="B8" s="22" t="s">
        <v>580</v>
      </c>
      <c r="C8" s="23" t="s">
        <v>581</v>
      </c>
      <c r="D8" s="22" t="s">
        <v>576</v>
      </c>
      <c r="E8" s="63">
        <v>2020</v>
      </c>
      <c r="F8" s="22" t="s">
        <v>582</v>
      </c>
    </row>
    <row r="9" spans="2:6" s="27" customFormat="1">
      <c r="B9" s="22" t="s">
        <v>583</v>
      </c>
      <c r="C9" s="23" t="s">
        <v>584</v>
      </c>
      <c r="D9" s="22" t="s">
        <v>84</v>
      </c>
      <c r="E9" s="63" t="s">
        <v>579</v>
      </c>
      <c r="F9" s="22" t="s">
        <v>582</v>
      </c>
    </row>
    <row r="10" spans="2:6" s="27" customFormat="1" ht="31.2">
      <c r="B10" s="22" t="s">
        <v>577</v>
      </c>
      <c r="C10" s="23" t="s">
        <v>585</v>
      </c>
      <c r="D10" s="22" t="s">
        <v>579</v>
      </c>
      <c r="E10" s="63" t="s">
        <v>579</v>
      </c>
      <c r="F10" s="22" t="s">
        <v>662</v>
      </c>
    </row>
    <row r="11" spans="2:6" s="27" customFormat="1">
      <c r="B11" s="22" t="s">
        <v>586</v>
      </c>
      <c r="C11" s="23" t="s">
        <v>587</v>
      </c>
      <c r="D11" s="22" t="s">
        <v>588</v>
      </c>
      <c r="E11" s="63">
        <v>2018</v>
      </c>
      <c r="F11" s="22" t="s">
        <v>663</v>
      </c>
    </row>
    <row r="12" spans="2:6" s="27" customFormat="1"/>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611-EBA0-4A4A-9525-FF83C76A1F04}">
  <dimension ref="B1:F31"/>
  <sheetViews>
    <sheetView workbookViewId="0">
      <selection activeCell="B2" sqref="B2"/>
    </sheetView>
  </sheetViews>
  <sheetFormatPr defaultColWidth="10.69921875" defaultRowHeight="15.6"/>
  <cols>
    <col min="2" max="2" width="27.5" customWidth="1"/>
    <col min="3" max="3" width="31.296875" bestFit="1" customWidth="1"/>
    <col min="4" max="4" width="27.5" bestFit="1" customWidth="1"/>
    <col min="5" max="5" width="13.69921875" bestFit="1" customWidth="1"/>
    <col min="6" max="6" width="34.796875" bestFit="1" customWidth="1"/>
  </cols>
  <sheetData>
    <row r="1" spans="2:6" ht="23.4">
      <c r="B1" s="4" t="s">
        <v>877</v>
      </c>
    </row>
    <row r="3" spans="2:6">
      <c r="B3" s="22" t="s">
        <v>296</v>
      </c>
      <c r="C3" s="22" t="s">
        <v>297</v>
      </c>
      <c r="D3" s="22" t="s">
        <v>298</v>
      </c>
      <c r="E3" s="22" t="s">
        <v>571</v>
      </c>
      <c r="F3" s="22" t="s">
        <v>299</v>
      </c>
    </row>
    <row r="4" spans="2:6">
      <c r="B4" s="22" t="s">
        <v>88</v>
      </c>
      <c r="C4" s="22" t="s">
        <v>589</v>
      </c>
      <c r="D4" s="22" t="s">
        <v>77</v>
      </c>
      <c r="E4" s="63">
        <v>2030</v>
      </c>
      <c r="F4" s="22" t="s">
        <v>590</v>
      </c>
    </row>
    <row r="5" spans="2:6">
      <c r="B5" s="22" t="s">
        <v>88</v>
      </c>
      <c r="C5" s="23" t="s">
        <v>589</v>
      </c>
      <c r="D5" s="22" t="s">
        <v>77</v>
      </c>
      <c r="E5" s="63">
        <v>2030</v>
      </c>
      <c r="F5" s="22" t="s">
        <v>591</v>
      </c>
    </row>
    <row r="6" spans="2:6" ht="31.2">
      <c r="B6" s="22" t="s">
        <v>577</v>
      </c>
      <c r="C6" s="22" t="s">
        <v>592</v>
      </c>
      <c r="D6" s="22" t="s">
        <v>301</v>
      </c>
      <c r="E6" s="63">
        <v>2023</v>
      </c>
      <c r="F6" s="22" t="s">
        <v>593</v>
      </c>
    </row>
    <row r="7" spans="2:6" ht="31.2">
      <c r="B7" s="22" t="s">
        <v>577</v>
      </c>
      <c r="C7" s="23" t="s">
        <v>594</v>
      </c>
      <c r="D7" s="22" t="s">
        <v>579</v>
      </c>
      <c r="E7" s="63">
        <v>2023</v>
      </c>
      <c r="F7" s="22" t="s">
        <v>595</v>
      </c>
    </row>
    <row r="8" spans="2:6">
      <c r="B8" s="22" t="s">
        <v>577</v>
      </c>
      <c r="C8" s="23" t="s">
        <v>596</v>
      </c>
      <c r="D8" s="22" t="s">
        <v>301</v>
      </c>
      <c r="E8" s="63">
        <v>2023</v>
      </c>
      <c r="F8" s="22" t="s">
        <v>597</v>
      </c>
    </row>
    <row r="9" spans="2:6">
      <c r="B9" s="22" t="s">
        <v>577</v>
      </c>
      <c r="C9" s="23" t="s">
        <v>598</v>
      </c>
      <c r="D9" s="22" t="s">
        <v>301</v>
      </c>
      <c r="E9" s="63">
        <v>2023</v>
      </c>
      <c r="F9" s="22" t="s">
        <v>597</v>
      </c>
    </row>
    <row r="10" spans="2:6" ht="46.8">
      <c r="B10" s="22" t="s">
        <v>577</v>
      </c>
      <c r="C10" s="23" t="s">
        <v>599</v>
      </c>
      <c r="D10" s="22" t="s">
        <v>83</v>
      </c>
      <c r="E10" s="63">
        <v>2023</v>
      </c>
      <c r="F10" s="22" t="s">
        <v>600</v>
      </c>
    </row>
    <row r="11" spans="2:6">
      <c r="B11" s="22" t="s">
        <v>577</v>
      </c>
      <c r="C11" s="23" t="s">
        <v>598</v>
      </c>
      <c r="D11" s="22" t="s">
        <v>301</v>
      </c>
      <c r="E11" s="63">
        <v>2023</v>
      </c>
      <c r="F11" s="22" t="s">
        <v>597</v>
      </c>
    </row>
    <row r="12" spans="2:6" ht="46.8">
      <c r="B12" s="22" t="s">
        <v>577</v>
      </c>
      <c r="C12" s="23" t="s">
        <v>664</v>
      </c>
      <c r="D12" s="22" t="s">
        <v>665</v>
      </c>
      <c r="E12" s="63">
        <v>2023</v>
      </c>
      <c r="F12" s="22" t="s">
        <v>601</v>
      </c>
    </row>
    <row r="13" spans="2:6" ht="31.2">
      <c r="B13" s="22" t="s">
        <v>577</v>
      </c>
      <c r="C13" s="23" t="s">
        <v>666</v>
      </c>
      <c r="D13" s="22" t="s">
        <v>579</v>
      </c>
      <c r="E13" s="63">
        <v>2024</v>
      </c>
      <c r="F13" s="22" t="s">
        <v>602</v>
      </c>
    </row>
    <row r="14" spans="2:6" ht="31.2">
      <c r="B14" s="22" t="s">
        <v>577</v>
      </c>
      <c r="C14" s="22" t="s">
        <v>667</v>
      </c>
      <c r="D14" s="22" t="s">
        <v>301</v>
      </c>
      <c r="E14" s="63">
        <v>2024</v>
      </c>
      <c r="F14" s="22" t="s">
        <v>603</v>
      </c>
    </row>
    <row r="15" spans="2:6" ht="31.2">
      <c r="B15" s="22" t="s">
        <v>577</v>
      </c>
      <c r="C15" s="22" t="s">
        <v>668</v>
      </c>
      <c r="D15" s="22" t="s">
        <v>300</v>
      </c>
      <c r="E15" s="63">
        <v>2024</v>
      </c>
      <c r="F15" s="22" t="s">
        <v>604</v>
      </c>
    </row>
    <row r="16" spans="2:6" ht="31.2">
      <c r="B16" s="22" t="s">
        <v>577</v>
      </c>
      <c r="C16" s="22" t="s">
        <v>594</v>
      </c>
      <c r="D16" s="22" t="s">
        <v>579</v>
      </c>
      <c r="E16" s="63">
        <v>2024</v>
      </c>
      <c r="F16" s="22" t="s">
        <v>595</v>
      </c>
    </row>
    <row r="17" spans="2:6" ht="46.8">
      <c r="B17" s="22" t="s">
        <v>577</v>
      </c>
      <c r="C17" s="22" t="s">
        <v>669</v>
      </c>
      <c r="D17" s="22" t="s">
        <v>300</v>
      </c>
      <c r="E17" s="63">
        <v>2024</v>
      </c>
      <c r="F17" s="22" t="s">
        <v>601</v>
      </c>
    </row>
    <row r="18" spans="2:6" ht="31.2">
      <c r="B18" s="22" t="s">
        <v>577</v>
      </c>
      <c r="C18" s="22" t="s">
        <v>668</v>
      </c>
      <c r="D18" s="22" t="s">
        <v>665</v>
      </c>
      <c r="E18" s="63">
        <v>2025</v>
      </c>
      <c r="F18" s="22" t="s">
        <v>604</v>
      </c>
    </row>
    <row r="19" spans="2:6" ht="31.2">
      <c r="B19" s="22" t="s">
        <v>577</v>
      </c>
      <c r="C19" s="22" t="s">
        <v>668</v>
      </c>
      <c r="D19" s="22" t="s">
        <v>300</v>
      </c>
      <c r="E19" s="63">
        <v>2025</v>
      </c>
      <c r="F19" s="22" t="s">
        <v>604</v>
      </c>
    </row>
    <row r="20" spans="2:6" ht="31.2">
      <c r="B20" s="22" t="s">
        <v>577</v>
      </c>
      <c r="C20" s="22" t="s">
        <v>594</v>
      </c>
      <c r="D20" s="22" t="s">
        <v>579</v>
      </c>
      <c r="E20" s="63">
        <v>2026</v>
      </c>
      <c r="F20" s="22" t="s">
        <v>605</v>
      </c>
    </row>
    <row r="21" spans="2:6" ht="31.2">
      <c r="B21" s="22" t="s">
        <v>577</v>
      </c>
      <c r="C21" s="22" t="s">
        <v>594</v>
      </c>
      <c r="D21" s="22" t="s">
        <v>579</v>
      </c>
      <c r="E21" s="63">
        <v>2028</v>
      </c>
      <c r="F21" s="22" t="s">
        <v>605</v>
      </c>
    </row>
    <row r="22" spans="2:6" ht="31.2">
      <c r="B22" s="22" t="s">
        <v>577</v>
      </c>
      <c r="C22" s="22" t="s">
        <v>594</v>
      </c>
      <c r="D22" s="22" t="s">
        <v>579</v>
      </c>
      <c r="E22" s="63">
        <v>2030</v>
      </c>
      <c r="F22" s="22" t="s">
        <v>605</v>
      </c>
    </row>
    <row r="23" spans="2:6" ht="31.2">
      <c r="B23" s="22" t="s">
        <v>577</v>
      </c>
      <c r="C23" s="22" t="s">
        <v>594</v>
      </c>
      <c r="D23" s="22" t="s">
        <v>579</v>
      </c>
      <c r="E23" s="63">
        <v>2032</v>
      </c>
      <c r="F23" s="22" t="s">
        <v>595</v>
      </c>
    </row>
    <row r="24" spans="2:6" ht="62.4">
      <c r="B24" s="22" t="s">
        <v>670</v>
      </c>
      <c r="C24" s="22" t="s">
        <v>671</v>
      </c>
      <c r="D24" s="22" t="s">
        <v>579</v>
      </c>
      <c r="E24" s="63">
        <v>2023</v>
      </c>
      <c r="F24" s="22" t="s">
        <v>672</v>
      </c>
    </row>
    <row r="25" spans="2:6" ht="46.8">
      <c r="B25" s="22" t="s">
        <v>606</v>
      </c>
      <c r="C25" s="22" t="s">
        <v>673</v>
      </c>
      <c r="D25" s="22" t="s">
        <v>77</v>
      </c>
      <c r="E25" s="63">
        <v>2024</v>
      </c>
      <c r="F25" s="22" t="s">
        <v>674</v>
      </c>
    </row>
    <row r="26" spans="2:6" ht="31.2">
      <c r="B26" s="22" t="s">
        <v>607</v>
      </c>
      <c r="C26" s="22" t="s">
        <v>608</v>
      </c>
      <c r="D26" s="22" t="s">
        <v>609</v>
      </c>
      <c r="E26" s="63">
        <v>2024</v>
      </c>
      <c r="F26" s="22" t="s">
        <v>610</v>
      </c>
    </row>
    <row r="27" spans="2:6" ht="31.2">
      <c r="B27" s="22" t="s">
        <v>611</v>
      </c>
      <c r="C27" s="22" t="s">
        <v>612</v>
      </c>
      <c r="D27" s="22" t="s">
        <v>77</v>
      </c>
      <c r="E27" s="63">
        <v>2026</v>
      </c>
      <c r="F27" s="22" t="s">
        <v>613</v>
      </c>
    </row>
    <row r="28" spans="2:6" ht="31.2">
      <c r="B28" s="22" t="s">
        <v>611</v>
      </c>
      <c r="C28" s="22" t="s">
        <v>614</v>
      </c>
      <c r="D28" s="22" t="s">
        <v>615</v>
      </c>
      <c r="E28" s="63">
        <v>2026</v>
      </c>
      <c r="F28" s="22" t="s">
        <v>616</v>
      </c>
    </row>
    <row r="29" spans="2:6">
      <c r="B29" s="22" t="s">
        <v>617</v>
      </c>
      <c r="C29" s="22" t="s">
        <v>589</v>
      </c>
      <c r="D29" s="22" t="s">
        <v>77</v>
      </c>
      <c r="E29" s="63">
        <v>2030</v>
      </c>
      <c r="F29" s="22" t="s">
        <v>590</v>
      </c>
    </row>
    <row r="30" spans="2:6">
      <c r="B30" s="22" t="s">
        <v>617</v>
      </c>
      <c r="C30" s="22" t="s">
        <v>589</v>
      </c>
      <c r="D30" s="22" t="s">
        <v>618</v>
      </c>
      <c r="E30" s="63">
        <v>2030</v>
      </c>
      <c r="F30" s="22" t="s">
        <v>590</v>
      </c>
    </row>
    <row r="31" spans="2:6" ht="31.2">
      <c r="B31" s="22" t="s">
        <v>619</v>
      </c>
      <c r="C31" s="22" t="s">
        <v>675</v>
      </c>
      <c r="D31" s="22" t="s">
        <v>620</v>
      </c>
      <c r="E31" s="63">
        <v>2023</v>
      </c>
      <c r="F31" s="22" t="s">
        <v>676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31D8-BD26-E640-9958-F8AD330D299D}">
  <dimension ref="B1:F18"/>
  <sheetViews>
    <sheetView workbookViewId="0">
      <selection activeCell="B2" sqref="B2"/>
    </sheetView>
  </sheetViews>
  <sheetFormatPr defaultColWidth="10.69921875" defaultRowHeight="15.6"/>
  <cols>
    <col min="2" max="2" width="36.796875" customWidth="1"/>
    <col min="3" max="3" width="25.296875" bestFit="1" customWidth="1"/>
    <col min="4" max="4" width="27" bestFit="1" customWidth="1"/>
    <col min="5" max="5" width="19.69921875" bestFit="1" customWidth="1"/>
    <col min="6" max="6" width="19.5" bestFit="1" customWidth="1"/>
  </cols>
  <sheetData>
    <row r="1" spans="2:6" ht="23.4">
      <c r="B1" s="4" t="s">
        <v>878</v>
      </c>
    </row>
    <row r="3" spans="2:6" ht="31.2">
      <c r="B3" s="22" t="s">
        <v>621</v>
      </c>
      <c r="C3" s="22" t="s">
        <v>51</v>
      </c>
      <c r="D3" s="22" t="s">
        <v>622</v>
      </c>
      <c r="E3" s="22" t="s">
        <v>654</v>
      </c>
      <c r="F3" s="22" t="s">
        <v>657</v>
      </c>
    </row>
    <row r="4" spans="2:6">
      <c r="B4" s="22" t="s">
        <v>623</v>
      </c>
      <c r="C4" s="23" t="s">
        <v>218</v>
      </c>
      <c r="D4" s="22" t="s">
        <v>624</v>
      </c>
      <c r="E4" s="67">
        <v>45</v>
      </c>
      <c r="F4" s="22" t="s">
        <v>625</v>
      </c>
    </row>
    <row r="5" spans="2:6" ht="31.2">
      <c r="B5" s="22" t="s">
        <v>626</v>
      </c>
      <c r="C5" s="22" t="s">
        <v>218</v>
      </c>
      <c r="D5" s="22" t="s">
        <v>624</v>
      </c>
      <c r="E5" s="67">
        <v>108.8</v>
      </c>
      <c r="F5" s="22" t="s">
        <v>655</v>
      </c>
    </row>
    <row r="6" spans="2:6">
      <c r="B6" s="22" t="s">
        <v>628</v>
      </c>
      <c r="C6" s="23" t="s">
        <v>218</v>
      </c>
      <c r="D6" s="22" t="s">
        <v>629</v>
      </c>
      <c r="E6" s="67">
        <v>15</v>
      </c>
      <c r="F6" s="22" t="s">
        <v>625</v>
      </c>
    </row>
    <row r="7" spans="2:6" ht="31.2">
      <c r="B7" s="22" t="s">
        <v>630</v>
      </c>
      <c r="C7" s="23" t="s">
        <v>218</v>
      </c>
      <c r="D7" s="22" t="s">
        <v>631</v>
      </c>
      <c r="E7" s="67">
        <v>225</v>
      </c>
      <c r="F7" s="22" t="s">
        <v>632</v>
      </c>
    </row>
    <row r="8" spans="2:6">
      <c r="B8" s="22"/>
      <c r="C8" s="23"/>
      <c r="D8" s="22"/>
      <c r="E8" s="67"/>
      <c r="F8" s="22" t="s">
        <v>625</v>
      </c>
    </row>
    <row r="9" spans="2:6">
      <c r="B9" s="22" t="s">
        <v>633</v>
      </c>
      <c r="C9" s="23" t="s">
        <v>634</v>
      </c>
      <c r="D9" s="22" t="s">
        <v>629</v>
      </c>
      <c r="E9" s="67">
        <v>10.5</v>
      </c>
      <c r="F9" s="22" t="s">
        <v>627</v>
      </c>
    </row>
    <row r="10" spans="2:6">
      <c r="B10" s="22" t="s">
        <v>635</v>
      </c>
      <c r="C10" s="23" t="s">
        <v>224</v>
      </c>
      <c r="D10" s="22" t="s">
        <v>624</v>
      </c>
      <c r="E10" s="67">
        <v>200</v>
      </c>
      <c r="F10" s="22" t="s">
        <v>636</v>
      </c>
    </row>
    <row r="11" spans="2:6">
      <c r="B11" s="22" t="s">
        <v>637</v>
      </c>
      <c r="C11" s="23" t="s">
        <v>224</v>
      </c>
      <c r="D11" s="22" t="s">
        <v>624</v>
      </c>
      <c r="E11" s="67">
        <v>48</v>
      </c>
      <c r="F11" s="22" t="s">
        <v>627</v>
      </c>
    </row>
    <row r="12" spans="2:6" ht="31.2">
      <c r="B12" s="22" t="s">
        <v>638</v>
      </c>
      <c r="C12" s="22" t="s">
        <v>223</v>
      </c>
      <c r="D12" s="22" t="s">
        <v>639</v>
      </c>
      <c r="E12" s="67">
        <v>1.8</v>
      </c>
      <c r="F12" s="22" t="s">
        <v>656</v>
      </c>
    </row>
    <row r="13" spans="2:6" ht="31.2">
      <c r="B13" s="22" t="s">
        <v>640</v>
      </c>
      <c r="C13" s="22" t="s">
        <v>246</v>
      </c>
      <c r="D13" s="22" t="s">
        <v>641</v>
      </c>
      <c r="E13" s="67" t="s">
        <v>642</v>
      </c>
      <c r="F13" s="22" t="s">
        <v>642</v>
      </c>
    </row>
    <row r="14" spans="2:6" ht="31.2">
      <c r="B14" s="22" t="s">
        <v>643</v>
      </c>
      <c r="C14" s="22" t="s">
        <v>249</v>
      </c>
      <c r="D14" s="22" t="s">
        <v>624</v>
      </c>
      <c r="E14" s="67">
        <v>223</v>
      </c>
      <c r="F14" s="22" t="s">
        <v>644</v>
      </c>
    </row>
    <row r="15" spans="2:6" ht="31.2">
      <c r="B15" s="22" t="s">
        <v>645</v>
      </c>
      <c r="C15" s="22" t="s">
        <v>249</v>
      </c>
      <c r="D15" s="22" t="s">
        <v>646</v>
      </c>
      <c r="E15" s="67">
        <v>100</v>
      </c>
      <c r="F15" s="22" t="s">
        <v>647</v>
      </c>
    </row>
    <row r="16" spans="2:6">
      <c r="B16" s="22" t="s">
        <v>648</v>
      </c>
      <c r="C16" s="22" t="s">
        <v>649</v>
      </c>
      <c r="D16" s="22" t="s">
        <v>650</v>
      </c>
      <c r="E16" s="67">
        <v>1700</v>
      </c>
      <c r="F16" s="22" t="s">
        <v>642</v>
      </c>
    </row>
    <row r="17" spans="2:6">
      <c r="B17" s="22" t="s">
        <v>651</v>
      </c>
      <c r="C17" s="22" t="s">
        <v>256</v>
      </c>
      <c r="D17" s="22" t="s">
        <v>624</v>
      </c>
      <c r="E17" s="67">
        <v>10.5</v>
      </c>
      <c r="F17" s="22" t="s">
        <v>652</v>
      </c>
    </row>
    <row r="18" spans="2:6">
      <c r="B18" s="40" t="s">
        <v>653</v>
      </c>
      <c r="C18" s="40"/>
      <c r="D18" s="40"/>
      <c r="E18" s="68">
        <v>2687.6</v>
      </c>
      <c r="F18" s="40"/>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8"/>
  <sheetViews>
    <sheetView tabSelected="1" workbookViewId="0">
      <selection activeCell="Q4" sqref="Q4:Q26"/>
    </sheetView>
  </sheetViews>
  <sheetFormatPr defaultColWidth="11" defaultRowHeight="15.6"/>
  <cols>
    <col min="2" max="2" width="26.5" customWidth="1"/>
    <col min="3" max="3" width="6.69921875" bestFit="1" customWidth="1"/>
    <col min="4" max="4" width="8.796875" bestFit="1" customWidth="1"/>
    <col min="5" max="5" width="6.69921875" bestFit="1" customWidth="1"/>
    <col min="6" max="6" width="8.796875" bestFit="1" customWidth="1"/>
    <col min="7" max="7" width="4.796875" bestFit="1" customWidth="1"/>
    <col min="8" max="8" width="5.796875" bestFit="1" customWidth="1"/>
    <col min="9" max="9" width="11.19921875" bestFit="1" customWidth="1"/>
    <col min="10" max="10" width="9.796875" bestFit="1" customWidth="1"/>
    <col min="11" max="11" width="12" bestFit="1" customWidth="1"/>
    <col min="12" max="12" width="7.19921875" bestFit="1" customWidth="1"/>
    <col min="13" max="13" width="14.5" bestFit="1" customWidth="1"/>
    <col min="14" max="14" width="12.296875" bestFit="1" customWidth="1"/>
    <col min="15" max="15" width="8.19921875" bestFit="1" customWidth="1"/>
    <col min="16" max="16" width="6.69921875" bestFit="1" customWidth="1"/>
  </cols>
  <sheetData>
    <row r="1" spans="2:17" ht="23.4">
      <c r="B1" s="5" t="s">
        <v>879</v>
      </c>
    </row>
    <row r="3" spans="2:17">
      <c r="B3" s="69" t="s">
        <v>3</v>
      </c>
      <c r="C3" s="9" t="s">
        <v>5</v>
      </c>
      <c r="D3" s="9" t="s">
        <v>6</v>
      </c>
      <c r="E3" s="9" t="s">
        <v>35</v>
      </c>
      <c r="F3" s="9" t="s">
        <v>7</v>
      </c>
      <c r="G3" s="9" t="s">
        <v>13</v>
      </c>
      <c r="H3" s="9" t="s">
        <v>37</v>
      </c>
      <c r="I3" s="9" t="s">
        <v>8</v>
      </c>
      <c r="J3" s="9" t="s">
        <v>9</v>
      </c>
      <c r="K3" s="9" t="s">
        <v>10</v>
      </c>
      <c r="L3" s="9" t="s">
        <v>38</v>
      </c>
      <c r="M3" s="9" t="s">
        <v>11</v>
      </c>
      <c r="N3" s="9" t="s">
        <v>12</v>
      </c>
      <c r="O3" s="9" t="s">
        <v>15</v>
      </c>
      <c r="P3" s="65" t="s">
        <v>68</v>
      </c>
      <c r="Q3" s="9" t="s">
        <v>912</v>
      </c>
    </row>
    <row r="4" spans="2:17">
      <c r="B4" s="13" t="s">
        <v>69</v>
      </c>
      <c r="C4" s="21">
        <v>0</v>
      </c>
      <c r="D4" s="21">
        <v>5</v>
      </c>
      <c r="E4" s="21">
        <v>0</v>
      </c>
      <c r="F4" s="21">
        <v>0</v>
      </c>
      <c r="G4" s="21">
        <v>0</v>
      </c>
      <c r="H4" s="21">
        <v>0</v>
      </c>
      <c r="I4" s="21">
        <v>16.8</v>
      </c>
      <c r="J4" s="21">
        <v>0</v>
      </c>
      <c r="K4" s="21">
        <v>3.3</v>
      </c>
      <c r="L4" s="21">
        <v>0</v>
      </c>
      <c r="M4" s="64">
        <v>0</v>
      </c>
      <c r="N4" s="21">
        <v>0</v>
      </c>
      <c r="O4" s="21">
        <v>0</v>
      </c>
      <c r="P4" s="19">
        <v>25.1</v>
      </c>
      <c r="Q4" s="1">
        <f>ROUND(Table4[[#This Row],[Total]]/1000,3)</f>
        <v>2.5000000000000001E-2</v>
      </c>
    </row>
    <row r="5" spans="2:17">
      <c r="B5" s="1">
        <v>2001</v>
      </c>
      <c r="C5" s="21">
        <v>0</v>
      </c>
      <c r="D5" s="21">
        <v>40</v>
      </c>
      <c r="E5" s="21">
        <v>0</v>
      </c>
      <c r="F5" s="21">
        <v>0</v>
      </c>
      <c r="G5" s="21">
        <v>0</v>
      </c>
      <c r="H5" s="21">
        <v>0</v>
      </c>
      <c r="I5" s="21">
        <v>0</v>
      </c>
      <c r="J5" s="21">
        <v>0</v>
      </c>
      <c r="K5" s="21">
        <v>0</v>
      </c>
      <c r="L5" s="21">
        <v>0</v>
      </c>
      <c r="M5" s="21">
        <v>0</v>
      </c>
      <c r="N5" s="21">
        <v>0</v>
      </c>
      <c r="O5" s="21">
        <v>0</v>
      </c>
      <c r="P5" s="19">
        <v>40</v>
      </c>
      <c r="Q5" s="1">
        <f>ROUND(Table4[[#This Row],[Total]]/1000,3)</f>
        <v>0.04</v>
      </c>
    </row>
    <row r="6" spans="2:17">
      <c r="B6" s="1">
        <v>2002</v>
      </c>
      <c r="C6" s="21">
        <v>0</v>
      </c>
      <c r="D6" s="21">
        <v>160</v>
      </c>
      <c r="E6" s="21">
        <v>0</v>
      </c>
      <c r="F6" s="21">
        <v>0</v>
      </c>
      <c r="G6" s="21">
        <v>0</v>
      </c>
      <c r="H6" s="21">
        <v>0</v>
      </c>
      <c r="I6" s="21">
        <v>0</v>
      </c>
      <c r="J6" s="21">
        <v>0</v>
      </c>
      <c r="K6" s="21">
        <v>0</v>
      </c>
      <c r="L6" s="21">
        <v>0</v>
      </c>
      <c r="M6" s="21">
        <v>0</v>
      </c>
      <c r="N6" s="21">
        <v>0</v>
      </c>
      <c r="O6" s="21">
        <v>0</v>
      </c>
      <c r="P6" s="19">
        <v>160</v>
      </c>
      <c r="Q6" s="1">
        <f>ROUND(Table4[[#This Row],[Total]]/1000,3)</f>
        <v>0.16</v>
      </c>
    </row>
    <row r="7" spans="2:17">
      <c r="B7" s="1">
        <v>2003</v>
      </c>
      <c r="C7" s="21">
        <v>0</v>
      </c>
      <c r="D7" s="21">
        <v>216.39999999999901</v>
      </c>
      <c r="E7" s="21">
        <v>0</v>
      </c>
      <c r="F7" s="21">
        <v>0</v>
      </c>
      <c r="G7" s="21">
        <v>0</v>
      </c>
      <c r="H7" s="21">
        <v>0</v>
      </c>
      <c r="I7" s="21">
        <v>0</v>
      </c>
      <c r="J7" s="21">
        <v>0</v>
      </c>
      <c r="K7" s="21">
        <v>0</v>
      </c>
      <c r="L7" s="21">
        <v>0</v>
      </c>
      <c r="M7" s="21">
        <v>0</v>
      </c>
      <c r="N7" s="21">
        <v>0</v>
      </c>
      <c r="O7" s="21">
        <v>0</v>
      </c>
      <c r="P7" s="19">
        <v>216.39999999999901</v>
      </c>
      <c r="Q7" s="1">
        <f>ROUND(Table4[[#This Row],[Total]]/1000,3)</f>
        <v>0.216</v>
      </c>
    </row>
    <row r="8" spans="2:17">
      <c r="B8" s="1">
        <v>2004</v>
      </c>
      <c r="C8" s="21">
        <v>0</v>
      </c>
      <c r="D8" s="21">
        <v>0</v>
      </c>
      <c r="E8" s="21">
        <v>0</v>
      </c>
      <c r="F8" s="21">
        <v>4.5</v>
      </c>
      <c r="G8" s="21">
        <v>0</v>
      </c>
      <c r="H8" s="21">
        <v>11.32</v>
      </c>
      <c r="I8" s="21">
        <v>0</v>
      </c>
      <c r="J8" s="21">
        <v>0</v>
      </c>
      <c r="K8" s="21">
        <v>25.2</v>
      </c>
      <c r="L8" s="21">
        <v>0</v>
      </c>
      <c r="M8" s="21">
        <v>120</v>
      </c>
      <c r="N8" s="21">
        <v>0</v>
      </c>
      <c r="O8" s="21">
        <v>0</v>
      </c>
      <c r="P8" s="19">
        <v>161.01999999999899</v>
      </c>
      <c r="Q8" s="1">
        <f>ROUND(Table4[[#This Row],[Total]]/1000,3)</f>
        <v>0.161</v>
      </c>
    </row>
    <row r="9" spans="2:17">
      <c r="B9" s="1">
        <v>2005</v>
      </c>
      <c r="C9" s="21">
        <v>0</v>
      </c>
      <c r="D9" s="21">
        <v>0</v>
      </c>
      <c r="E9" s="21">
        <v>0</v>
      </c>
      <c r="F9" s="21">
        <v>0</v>
      </c>
      <c r="G9" s="21">
        <v>0</v>
      </c>
      <c r="H9" s="21">
        <v>0</v>
      </c>
      <c r="I9" s="21">
        <v>0</v>
      </c>
      <c r="J9" s="21">
        <v>0</v>
      </c>
      <c r="K9" s="21">
        <v>0</v>
      </c>
      <c r="L9" s="21">
        <v>0</v>
      </c>
      <c r="M9" s="21">
        <v>90</v>
      </c>
      <c r="N9" s="21">
        <v>0</v>
      </c>
      <c r="O9" s="21">
        <v>0</v>
      </c>
      <c r="P9" s="19">
        <v>90</v>
      </c>
      <c r="Q9" s="1">
        <f>ROUND(Table4[[#This Row],[Total]]/1000,3)</f>
        <v>0.09</v>
      </c>
    </row>
    <row r="10" spans="2:17">
      <c r="B10" s="1">
        <v>2006</v>
      </c>
      <c r="C10" s="21">
        <v>0</v>
      </c>
      <c r="D10" s="21">
        <v>0</v>
      </c>
      <c r="E10" s="21">
        <v>0</v>
      </c>
      <c r="F10" s="21">
        <v>2.5</v>
      </c>
      <c r="G10" s="21">
        <v>0</v>
      </c>
      <c r="H10" s="21">
        <v>0</v>
      </c>
      <c r="I10" s="21">
        <v>0</v>
      </c>
      <c r="J10" s="21">
        <v>0</v>
      </c>
      <c r="K10" s="21">
        <v>0</v>
      </c>
      <c r="L10" s="21">
        <v>0</v>
      </c>
      <c r="M10" s="21">
        <v>90</v>
      </c>
      <c r="N10" s="21">
        <v>0</v>
      </c>
      <c r="O10" s="21">
        <v>0</v>
      </c>
      <c r="P10" s="19">
        <v>92.5</v>
      </c>
      <c r="Q10" s="1">
        <f>ROUND(Table4[[#This Row],[Total]]/1000,3)</f>
        <v>9.2999999999999999E-2</v>
      </c>
    </row>
    <row r="11" spans="2:17">
      <c r="B11" s="1">
        <v>2007</v>
      </c>
      <c r="C11" s="21">
        <v>0</v>
      </c>
      <c r="D11" s="21">
        <v>0</v>
      </c>
      <c r="E11" s="21">
        <v>0</v>
      </c>
      <c r="F11" s="21">
        <v>0</v>
      </c>
      <c r="G11" s="21">
        <v>0</v>
      </c>
      <c r="H11" s="21">
        <v>0</v>
      </c>
      <c r="I11" s="21">
        <v>108</v>
      </c>
      <c r="J11" s="21">
        <v>0</v>
      </c>
      <c r="K11" s="21">
        <v>110.4</v>
      </c>
      <c r="L11" s="21">
        <v>0</v>
      </c>
      <c r="M11" s="21">
        <v>90</v>
      </c>
      <c r="N11" s="21">
        <v>0</v>
      </c>
      <c r="O11" s="21">
        <v>0</v>
      </c>
      <c r="P11" s="19">
        <v>308.39999999999998</v>
      </c>
      <c r="Q11" s="1">
        <f>ROUND(Table4[[#This Row],[Total]]/1000,3)</f>
        <v>0.308</v>
      </c>
    </row>
    <row r="12" spans="2:17">
      <c r="B12" s="1">
        <v>2008</v>
      </c>
      <c r="C12" s="21">
        <v>0</v>
      </c>
      <c r="D12" s="21">
        <v>0</v>
      </c>
      <c r="E12" s="21">
        <v>0</v>
      </c>
      <c r="F12" s="21">
        <v>0</v>
      </c>
      <c r="G12" s="21">
        <v>0</v>
      </c>
      <c r="H12" s="21">
        <v>0</v>
      </c>
      <c r="I12" s="21">
        <v>120</v>
      </c>
      <c r="J12" s="21">
        <v>0</v>
      </c>
      <c r="K12" s="21">
        <v>0</v>
      </c>
      <c r="L12" s="21">
        <v>0</v>
      </c>
      <c r="M12" s="21">
        <v>0</v>
      </c>
      <c r="N12" s="21">
        <v>0</v>
      </c>
      <c r="O12" s="21">
        <v>0</v>
      </c>
      <c r="P12" s="19">
        <v>120</v>
      </c>
      <c r="Q12" s="1">
        <f>ROUND(Table4[[#This Row],[Total]]/1000,3)</f>
        <v>0.12</v>
      </c>
    </row>
    <row r="13" spans="2:17">
      <c r="B13" s="1">
        <v>2009</v>
      </c>
      <c r="C13" s="21">
        <v>2</v>
      </c>
      <c r="D13" s="21">
        <v>21</v>
      </c>
      <c r="E13" s="21">
        <v>0</v>
      </c>
      <c r="F13" s="21">
        <v>0</v>
      </c>
      <c r="G13" s="21">
        <v>0</v>
      </c>
      <c r="H13" s="21">
        <v>0</v>
      </c>
      <c r="I13" s="21">
        <v>0</v>
      </c>
      <c r="J13" s="21">
        <v>0</v>
      </c>
      <c r="K13" s="21">
        <v>42.3</v>
      </c>
      <c r="L13" s="21">
        <v>0</v>
      </c>
      <c r="M13" s="21">
        <v>284.39999999999998</v>
      </c>
      <c r="N13" s="21">
        <v>0</v>
      </c>
      <c r="O13" s="21">
        <v>0</v>
      </c>
      <c r="P13" s="19">
        <v>349.7</v>
      </c>
      <c r="Q13" s="1">
        <f>ROUND(Table4[[#This Row],[Total]]/1000,3)</f>
        <v>0.35</v>
      </c>
    </row>
    <row r="14" spans="2:17">
      <c r="B14" s="1">
        <v>2010</v>
      </c>
      <c r="C14" s="21">
        <v>136.5</v>
      </c>
      <c r="D14" s="21">
        <v>416.3</v>
      </c>
      <c r="E14" s="21">
        <v>0</v>
      </c>
      <c r="F14" s="21">
        <v>60</v>
      </c>
      <c r="G14" s="21">
        <v>0</v>
      </c>
      <c r="H14" s="21">
        <v>14</v>
      </c>
      <c r="I14" s="21">
        <v>0</v>
      </c>
      <c r="J14" s="21">
        <v>0</v>
      </c>
      <c r="K14" s="21">
        <v>207.3</v>
      </c>
      <c r="L14" s="21">
        <v>0</v>
      </c>
      <c r="M14" s="21">
        <v>646.79999999999995</v>
      </c>
      <c r="N14" s="21">
        <v>0</v>
      </c>
      <c r="O14" s="21">
        <v>0</v>
      </c>
      <c r="P14" s="19">
        <v>1480.8999999999901</v>
      </c>
      <c r="Q14" s="1">
        <f>ROUND(Table4[[#This Row],[Total]]/1000,3)</f>
        <v>1.4810000000000001</v>
      </c>
    </row>
    <row r="15" spans="2:17">
      <c r="B15" s="1">
        <v>2011</v>
      </c>
      <c r="C15" s="21">
        <v>6.5</v>
      </c>
      <c r="D15" s="21">
        <v>10.8</v>
      </c>
      <c r="E15" s="21">
        <v>0</v>
      </c>
      <c r="F15" s="21">
        <v>48.3</v>
      </c>
      <c r="G15" s="21">
        <v>0</v>
      </c>
      <c r="H15" s="21">
        <v>0</v>
      </c>
      <c r="I15" s="21">
        <v>0</v>
      </c>
      <c r="J15" s="21">
        <v>0</v>
      </c>
      <c r="K15" s="21">
        <v>0</v>
      </c>
      <c r="L15" s="21">
        <v>0</v>
      </c>
      <c r="M15" s="21">
        <v>183.6</v>
      </c>
      <c r="N15" s="21">
        <v>0</v>
      </c>
      <c r="O15" s="21">
        <v>0</v>
      </c>
      <c r="P15" s="19">
        <v>249.2</v>
      </c>
      <c r="Q15" s="1">
        <f>ROUND(Table4[[#This Row],[Total]]/1000,3)</f>
        <v>0.249</v>
      </c>
    </row>
    <row r="16" spans="2:17">
      <c r="B16" s="1">
        <v>2012</v>
      </c>
      <c r="C16" s="21">
        <v>154.30000000000001</v>
      </c>
      <c r="D16" s="21">
        <v>0</v>
      </c>
      <c r="E16" s="21">
        <v>0</v>
      </c>
      <c r="F16" s="21">
        <v>0</v>
      </c>
      <c r="G16" s="21">
        <v>0</v>
      </c>
      <c r="H16" s="21">
        <v>6.0000000000000001E-3</v>
      </c>
      <c r="I16" s="21">
        <v>0</v>
      </c>
      <c r="J16" s="21">
        <v>0</v>
      </c>
      <c r="K16" s="21">
        <v>0</v>
      </c>
      <c r="L16" s="21">
        <v>0</v>
      </c>
      <c r="M16" s="21">
        <v>333.6</v>
      </c>
      <c r="N16" s="21">
        <v>0</v>
      </c>
      <c r="O16" s="21">
        <v>0</v>
      </c>
      <c r="P16" s="19">
        <v>487.90600000000001</v>
      </c>
      <c r="Q16" s="1">
        <f>ROUND(Table4[[#This Row],[Total]]/1000,3)</f>
        <v>0.48799999999999999</v>
      </c>
    </row>
    <row r="17" spans="1:17">
      <c r="B17" s="1">
        <v>2013</v>
      </c>
      <c r="C17" s="21">
        <v>56</v>
      </c>
      <c r="D17" s="21">
        <v>399.6</v>
      </c>
      <c r="E17" s="21">
        <v>0</v>
      </c>
      <c r="F17" s="21">
        <v>400</v>
      </c>
      <c r="G17" s="21">
        <v>0</v>
      </c>
      <c r="H17" s="21">
        <v>18.399999999999999</v>
      </c>
      <c r="I17" s="21">
        <v>0</v>
      </c>
      <c r="J17" s="21">
        <v>0</v>
      </c>
      <c r="K17" s="21">
        <v>343.2</v>
      </c>
      <c r="L17" s="21">
        <v>0</v>
      </c>
      <c r="M17" s="21">
        <v>1732.8</v>
      </c>
      <c r="N17" s="21">
        <v>0</v>
      </c>
      <c r="O17" s="21">
        <v>16</v>
      </c>
      <c r="P17" s="19">
        <v>2966</v>
      </c>
      <c r="Q17" s="1">
        <f>ROUND(Table4[[#This Row],[Total]]/1000,3)</f>
        <v>2.9660000000000002</v>
      </c>
    </row>
    <row r="18" spans="1:17">
      <c r="B18" s="1">
        <v>2014</v>
      </c>
      <c r="C18" s="21">
        <v>0</v>
      </c>
      <c r="D18" s="21">
        <v>0</v>
      </c>
      <c r="E18" s="21">
        <v>0</v>
      </c>
      <c r="F18" s="21">
        <v>396</v>
      </c>
      <c r="G18" s="21">
        <v>0</v>
      </c>
      <c r="H18" s="21">
        <v>0</v>
      </c>
      <c r="I18" s="21">
        <v>0</v>
      </c>
      <c r="J18" s="21">
        <v>0</v>
      </c>
      <c r="K18" s="21">
        <v>222</v>
      </c>
      <c r="L18" s="21">
        <v>0</v>
      </c>
      <c r="M18" s="21">
        <v>451.1</v>
      </c>
      <c r="N18" s="21">
        <v>0</v>
      </c>
      <c r="O18" s="21">
        <v>0</v>
      </c>
      <c r="P18" s="19">
        <v>1069.0999999999999</v>
      </c>
      <c r="Q18" s="1">
        <f>ROUND(Table4[[#This Row],[Total]]/1000,3)</f>
        <v>1.069</v>
      </c>
    </row>
    <row r="19" spans="1:17">
      <c r="B19" s="1">
        <v>2015</v>
      </c>
      <c r="C19" s="21">
        <v>367.4</v>
      </c>
      <c r="D19" s="21">
        <v>0</v>
      </c>
      <c r="E19" s="21">
        <v>0</v>
      </c>
      <c r="F19" s="21">
        <v>2373.1999999999998</v>
      </c>
      <c r="G19" s="21">
        <v>0</v>
      </c>
      <c r="H19" s="21">
        <v>18</v>
      </c>
      <c r="I19" s="21">
        <v>129</v>
      </c>
      <c r="J19" s="21">
        <v>0</v>
      </c>
      <c r="K19" s="21">
        <v>0.03</v>
      </c>
      <c r="L19" s="21">
        <v>0</v>
      </c>
      <c r="M19" s="21">
        <v>1061.5</v>
      </c>
      <c r="N19" s="21">
        <v>0</v>
      </c>
      <c r="O19" s="21">
        <v>0</v>
      </c>
      <c r="P19" s="19">
        <v>3949.13</v>
      </c>
      <c r="Q19" s="1">
        <f>ROUND(Table4[[#This Row],[Total]]/1000,3)</f>
        <v>3.9489999999999998</v>
      </c>
    </row>
    <row r="20" spans="1:17">
      <c r="B20" s="1">
        <v>2016</v>
      </c>
      <c r="C20" s="21">
        <v>482.8</v>
      </c>
      <c r="D20" s="21">
        <v>0</v>
      </c>
      <c r="E20" s="21">
        <v>0</v>
      </c>
      <c r="F20" s="21">
        <v>582</v>
      </c>
      <c r="G20" s="21">
        <v>0</v>
      </c>
      <c r="H20" s="21">
        <v>2</v>
      </c>
      <c r="I20" s="21">
        <v>144</v>
      </c>
      <c r="J20" s="21">
        <v>0</v>
      </c>
      <c r="K20" s="21">
        <v>0</v>
      </c>
      <c r="L20" s="21">
        <v>0</v>
      </c>
      <c r="M20" s="21">
        <v>0</v>
      </c>
      <c r="N20" s="21">
        <v>30</v>
      </c>
      <c r="O20" s="21">
        <v>83.2</v>
      </c>
      <c r="P20" s="19">
        <v>1324</v>
      </c>
      <c r="Q20" s="1">
        <f>ROUND(Table4[[#This Row],[Total]]/1000,3)</f>
        <v>1.3240000000000001</v>
      </c>
    </row>
    <row r="21" spans="1:17">
      <c r="B21" s="1">
        <v>2017</v>
      </c>
      <c r="C21" s="21">
        <v>704.4</v>
      </c>
      <c r="D21" s="21">
        <v>0</v>
      </c>
      <c r="E21" s="21">
        <v>0</v>
      </c>
      <c r="F21" s="21">
        <v>1132.8</v>
      </c>
      <c r="G21" s="21">
        <v>0</v>
      </c>
      <c r="H21" s="21">
        <v>0</v>
      </c>
      <c r="I21" s="21">
        <v>600</v>
      </c>
      <c r="J21" s="21">
        <v>33</v>
      </c>
      <c r="K21" s="21">
        <v>233.4</v>
      </c>
      <c r="L21" s="21">
        <v>8</v>
      </c>
      <c r="M21" s="21">
        <v>686.2</v>
      </c>
      <c r="N21" s="21">
        <v>0</v>
      </c>
      <c r="O21" s="21">
        <v>0</v>
      </c>
      <c r="P21" s="19">
        <v>3397.8</v>
      </c>
      <c r="Q21" s="1">
        <f>ROUND(Table4[[#This Row],[Total]]/1000,3)</f>
        <v>3.3980000000000001</v>
      </c>
    </row>
    <row r="22" spans="1:17">
      <c r="B22" s="1">
        <v>2018</v>
      </c>
      <c r="C22" s="21">
        <v>1280.8</v>
      </c>
      <c r="D22" s="21">
        <v>28</v>
      </c>
      <c r="E22" s="21">
        <v>2</v>
      </c>
      <c r="F22" s="21">
        <v>800</v>
      </c>
      <c r="G22" s="21">
        <v>0</v>
      </c>
      <c r="H22" s="21">
        <v>0</v>
      </c>
      <c r="I22" s="21">
        <v>0</v>
      </c>
      <c r="J22" s="21">
        <v>0</v>
      </c>
      <c r="K22" s="21">
        <v>359</v>
      </c>
      <c r="L22" s="21">
        <v>0</v>
      </c>
      <c r="M22" s="21">
        <v>2122.1999999999998</v>
      </c>
      <c r="N22" s="21">
        <v>0</v>
      </c>
      <c r="O22" s="21">
        <v>0</v>
      </c>
      <c r="P22" s="19">
        <v>4592</v>
      </c>
      <c r="Q22" s="1">
        <f>ROUND(Table4[[#This Row],[Total]]/1000,3)</f>
        <v>4.5919999999999996</v>
      </c>
    </row>
    <row r="23" spans="1:17">
      <c r="B23" s="1">
        <v>2019</v>
      </c>
      <c r="C23" s="21">
        <v>1607.2</v>
      </c>
      <c r="D23" s="21">
        <v>406.7</v>
      </c>
      <c r="E23" s="21">
        <v>0</v>
      </c>
      <c r="F23" s="21">
        <v>1530</v>
      </c>
      <c r="G23" s="21">
        <v>0</v>
      </c>
      <c r="H23" s="21">
        <v>3</v>
      </c>
      <c r="I23" s="21">
        <v>0</v>
      </c>
      <c r="J23" s="21">
        <v>0</v>
      </c>
      <c r="K23" s="21">
        <v>374.6</v>
      </c>
      <c r="L23" s="21">
        <v>120</v>
      </c>
      <c r="M23" s="21">
        <v>1806</v>
      </c>
      <c r="N23" s="21">
        <v>0</v>
      </c>
      <c r="O23" s="21">
        <v>0</v>
      </c>
      <c r="P23" s="19">
        <v>5847.5</v>
      </c>
      <c r="Q23" s="1">
        <f>ROUND(Table4[[#This Row],[Total]]/1000,3)</f>
        <v>5.8479999999999999</v>
      </c>
    </row>
    <row r="24" spans="1:17">
      <c r="B24" s="1">
        <v>2020</v>
      </c>
      <c r="C24" s="21">
        <v>2983.4</v>
      </c>
      <c r="D24" s="21">
        <v>0</v>
      </c>
      <c r="E24" s="21">
        <v>0</v>
      </c>
      <c r="F24" s="21">
        <v>315</v>
      </c>
      <c r="G24" s="21">
        <v>0</v>
      </c>
      <c r="H24" s="21">
        <v>0</v>
      </c>
      <c r="I24" s="21">
        <v>1483.5</v>
      </c>
      <c r="J24" s="21">
        <v>60</v>
      </c>
      <c r="K24" s="21">
        <v>731</v>
      </c>
      <c r="L24" s="21">
        <v>0</v>
      </c>
      <c r="M24" s="21">
        <v>714</v>
      </c>
      <c r="N24" s="21">
        <v>12</v>
      </c>
      <c r="O24" s="21">
        <v>0</v>
      </c>
      <c r="P24" s="19">
        <v>6298.9</v>
      </c>
      <c r="Q24" s="1">
        <f>ROUND(Table4[[#This Row],[Total]]/1000,3)</f>
        <v>6.2990000000000004</v>
      </c>
    </row>
    <row r="25" spans="1:17">
      <c r="B25" s="1">
        <v>2021</v>
      </c>
      <c r="C25" s="21">
        <v>13789.85</v>
      </c>
      <c r="D25" s="21">
        <v>605</v>
      </c>
      <c r="E25" s="21">
        <v>0</v>
      </c>
      <c r="F25" s="21">
        <v>0</v>
      </c>
      <c r="G25" s="21">
        <v>0</v>
      </c>
      <c r="H25" s="21">
        <v>0</v>
      </c>
      <c r="I25" s="21">
        <v>401.7</v>
      </c>
      <c r="J25" s="21">
        <v>0</v>
      </c>
      <c r="K25" s="21">
        <v>3.6</v>
      </c>
      <c r="L25" s="21">
        <v>109.2</v>
      </c>
      <c r="M25" s="21">
        <v>1855</v>
      </c>
      <c r="N25" s="21">
        <v>0</v>
      </c>
      <c r="O25" s="21">
        <v>634.29999999999995</v>
      </c>
      <c r="P25" s="19">
        <v>17398.650000000001</v>
      </c>
      <c r="Q25" s="1">
        <f>ROUND(Table4[[#This Row],[Total]]/1000,3)</f>
        <v>17.399000000000001</v>
      </c>
    </row>
    <row r="26" spans="1:17">
      <c r="B26" s="1">
        <v>2022</v>
      </c>
      <c r="C26" s="21">
        <v>5719.6</v>
      </c>
      <c r="D26" s="21">
        <v>0</v>
      </c>
      <c r="E26" s="21">
        <v>480</v>
      </c>
      <c r="F26" s="21">
        <v>342</v>
      </c>
      <c r="G26" s="21">
        <v>30</v>
      </c>
      <c r="H26" s="21">
        <v>84</v>
      </c>
      <c r="I26" s="21">
        <v>0</v>
      </c>
      <c r="J26" s="21">
        <v>12.3</v>
      </c>
      <c r="K26" s="21">
        <v>0.2</v>
      </c>
      <c r="L26" s="21">
        <v>0</v>
      </c>
      <c r="M26" s="21">
        <v>1386</v>
      </c>
      <c r="N26" s="21">
        <v>0</v>
      </c>
      <c r="O26" s="21">
        <v>331</v>
      </c>
      <c r="P26" s="19">
        <v>8385.1</v>
      </c>
      <c r="Q26" s="1">
        <f>ROUND(Table4[[#This Row],[Total]]/1000,3)</f>
        <v>8.3849999999999998</v>
      </c>
    </row>
    <row r="27" spans="1:17">
      <c r="A27" s="10"/>
      <c r="B27" s="70" t="s">
        <v>68</v>
      </c>
      <c r="C27" s="66">
        <v>27290.75</v>
      </c>
      <c r="D27" s="66">
        <v>2308.8000000000002</v>
      </c>
      <c r="E27" s="66">
        <v>482</v>
      </c>
      <c r="F27" s="66">
        <v>7986.3</v>
      </c>
      <c r="G27" s="66">
        <v>30</v>
      </c>
      <c r="H27" s="66">
        <v>150.726</v>
      </c>
      <c r="I27" s="66">
        <v>3003</v>
      </c>
      <c r="J27" s="66">
        <v>105.3</v>
      </c>
      <c r="K27" s="66">
        <v>2655.5299999999902</v>
      </c>
      <c r="L27" s="66">
        <v>237.2</v>
      </c>
      <c r="M27" s="66">
        <v>13653.2</v>
      </c>
      <c r="N27" s="66">
        <v>42</v>
      </c>
      <c r="O27" s="66">
        <v>1064.5</v>
      </c>
      <c r="P27" s="18">
        <v>59009.305999999997</v>
      </c>
      <c r="Q27" s="1">
        <f>ROUND(Table4[[#This Row],[Total]]/1000,3)</f>
        <v>59.009</v>
      </c>
    </row>
    <row r="28" spans="1:17">
      <c r="E28" s="1"/>
      <c r="H28" s="1"/>
    </row>
  </sheetData>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16"/>
  <sheetViews>
    <sheetView workbookViewId="0">
      <selection activeCell="D16" sqref="D16"/>
    </sheetView>
  </sheetViews>
  <sheetFormatPr defaultColWidth="11" defaultRowHeight="15.6"/>
  <cols>
    <col min="2" max="2" width="17.296875" customWidth="1"/>
    <col min="3" max="3" width="15.5" bestFit="1" customWidth="1"/>
    <col min="4" max="4" width="19.19921875" customWidth="1"/>
  </cols>
  <sheetData>
    <row r="1" spans="2:4" ht="23.4">
      <c r="B1" s="5" t="s">
        <v>880</v>
      </c>
    </row>
    <row r="3" spans="2:4">
      <c r="B3" s="71" t="s">
        <v>18</v>
      </c>
      <c r="C3" s="71" t="s">
        <v>21</v>
      </c>
      <c r="D3" s="71" t="s">
        <v>16</v>
      </c>
    </row>
    <row r="4" spans="2:4">
      <c r="B4" s="71" t="s">
        <v>4</v>
      </c>
      <c r="C4" s="30">
        <v>2261.8000000000002</v>
      </c>
      <c r="D4" s="30">
        <v>0</v>
      </c>
    </row>
    <row r="5" spans="2:4">
      <c r="B5" s="71" t="s">
        <v>5</v>
      </c>
      <c r="C5" s="30">
        <v>27290.75</v>
      </c>
      <c r="D5" s="30">
        <v>4585.2</v>
      </c>
    </row>
    <row r="6" spans="2:4">
      <c r="B6" s="71" t="s">
        <v>6</v>
      </c>
      <c r="C6" s="30">
        <v>2308.7999999999902</v>
      </c>
      <c r="D6" s="30">
        <v>344</v>
      </c>
    </row>
    <row r="7" spans="2:4">
      <c r="B7" s="71" t="s">
        <v>35</v>
      </c>
      <c r="C7" s="30">
        <v>0</v>
      </c>
      <c r="D7" s="30">
        <v>1534.2</v>
      </c>
    </row>
    <row r="8" spans="2:4">
      <c r="B8" s="71" t="s">
        <v>7</v>
      </c>
      <c r="C8" s="30">
        <v>7986.3</v>
      </c>
      <c r="D8" s="30">
        <v>1642</v>
      </c>
    </row>
    <row r="9" spans="2:4">
      <c r="B9" s="71" t="s">
        <v>37</v>
      </c>
      <c r="C9" s="30">
        <v>0</v>
      </c>
      <c r="D9" s="30">
        <v>412.4</v>
      </c>
    </row>
    <row r="10" spans="2:4">
      <c r="B10" s="71" t="s">
        <v>8</v>
      </c>
      <c r="C10" s="30">
        <v>3003</v>
      </c>
      <c r="D10" s="30">
        <v>2431</v>
      </c>
    </row>
    <row r="11" spans="2:4">
      <c r="B11" s="71" t="s">
        <v>17</v>
      </c>
      <c r="C11" s="30">
        <v>2463.4560000000001</v>
      </c>
      <c r="D11" s="30">
        <v>296.22500000000002</v>
      </c>
    </row>
    <row r="12" spans="2:4">
      <c r="B12" s="71" t="s">
        <v>38</v>
      </c>
      <c r="C12" s="30">
        <v>0</v>
      </c>
      <c r="D12" s="30">
        <v>2412</v>
      </c>
    </row>
    <row r="13" spans="2:4">
      <c r="B13" s="71" t="s">
        <v>11</v>
      </c>
      <c r="C13" s="30">
        <v>13653.2</v>
      </c>
      <c r="D13" s="30">
        <v>6676</v>
      </c>
    </row>
    <row r="14" spans="2:4">
      <c r="B14" s="71" t="s">
        <v>12</v>
      </c>
      <c r="C14" s="30">
        <v>42</v>
      </c>
      <c r="D14" s="30">
        <v>932</v>
      </c>
    </row>
    <row r="15" spans="2:4">
      <c r="B15" s="71" t="s">
        <v>15</v>
      </c>
      <c r="C15" s="30">
        <v>0</v>
      </c>
      <c r="D15" s="30">
        <v>451.5</v>
      </c>
    </row>
    <row r="16" spans="2:4">
      <c r="B16" s="72" t="s">
        <v>68</v>
      </c>
      <c r="C16" s="34">
        <v>59009.305999999997</v>
      </c>
      <c r="D16" s="34">
        <v>21716.525000000001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37"/>
  <sheetViews>
    <sheetView zoomScaleNormal="100" workbookViewId="0">
      <selection activeCell="B1" sqref="B1"/>
    </sheetView>
  </sheetViews>
  <sheetFormatPr defaultColWidth="11" defaultRowHeight="15.6"/>
  <cols>
    <col min="2" max="2" width="26.5" customWidth="1"/>
    <col min="3" max="8" width="15.5" customWidth="1"/>
    <col min="9" max="9" width="16.296875" customWidth="1"/>
    <col min="10" max="13" width="15.5" customWidth="1"/>
    <col min="14" max="14" width="16.796875" customWidth="1"/>
    <col min="15" max="16" width="15.5" customWidth="1"/>
  </cols>
  <sheetData>
    <row r="1" spans="2:18" ht="23.4">
      <c r="B1" s="5" t="s">
        <v>881</v>
      </c>
    </row>
    <row r="2" spans="2:18">
      <c r="B2" t="s">
        <v>89</v>
      </c>
    </row>
    <row r="3" spans="2:18">
      <c r="B3" s="27" t="s">
        <v>3</v>
      </c>
      <c r="C3" s="27" t="s">
        <v>4</v>
      </c>
      <c r="D3" s="27" t="s">
        <v>5</v>
      </c>
      <c r="E3" s="27" t="s">
        <v>6</v>
      </c>
      <c r="F3" s="27" t="s">
        <v>7</v>
      </c>
      <c r="G3" s="27" t="s">
        <v>8</v>
      </c>
      <c r="H3" s="27" t="s">
        <v>677</v>
      </c>
      <c r="I3" s="27" t="s">
        <v>678</v>
      </c>
      <c r="J3" s="27" t="s">
        <v>86</v>
      </c>
      <c r="K3" s="27" t="s">
        <v>9</v>
      </c>
      <c r="L3" s="27" t="s">
        <v>10</v>
      </c>
      <c r="M3" s="27" t="s">
        <v>36</v>
      </c>
      <c r="N3" s="27" t="s">
        <v>38</v>
      </c>
      <c r="O3" s="27" t="s">
        <v>11</v>
      </c>
      <c r="P3" s="27" t="s">
        <v>12</v>
      </c>
      <c r="Q3" s="27" t="s">
        <v>15</v>
      </c>
      <c r="R3" s="29" t="s">
        <v>68</v>
      </c>
    </row>
    <row r="4" spans="2:18">
      <c r="B4" s="27">
        <v>1995</v>
      </c>
      <c r="C4" s="30">
        <v>0</v>
      </c>
      <c r="D4" s="30">
        <v>0</v>
      </c>
      <c r="E4" s="30">
        <v>5</v>
      </c>
      <c r="F4" s="30">
        <v>0</v>
      </c>
      <c r="G4" s="30">
        <v>0</v>
      </c>
      <c r="H4" s="30">
        <v>0</v>
      </c>
      <c r="I4" s="30">
        <v>0</v>
      </c>
      <c r="J4" s="30">
        <v>0</v>
      </c>
      <c r="K4" s="30">
        <v>0</v>
      </c>
      <c r="L4" s="30">
        <v>0</v>
      </c>
      <c r="M4" s="30">
        <v>0</v>
      </c>
      <c r="N4" s="30">
        <v>0</v>
      </c>
      <c r="O4" s="30">
        <v>0</v>
      </c>
      <c r="P4" s="30">
        <v>0</v>
      </c>
      <c r="Q4" s="30">
        <v>0</v>
      </c>
      <c r="R4" s="32">
        <v>5</v>
      </c>
    </row>
    <row r="5" spans="2:18">
      <c r="B5" s="27">
        <v>1996</v>
      </c>
      <c r="C5" s="30">
        <v>0</v>
      </c>
      <c r="D5" s="30">
        <v>0</v>
      </c>
      <c r="E5" s="30">
        <v>5</v>
      </c>
      <c r="F5" s="30">
        <v>0</v>
      </c>
      <c r="G5" s="30">
        <v>16.8</v>
      </c>
      <c r="H5" s="30">
        <v>0</v>
      </c>
      <c r="I5" s="30">
        <v>0</v>
      </c>
      <c r="J5" s="30">
        <v>0</v>
      </c>
      <c r="K5" s="30">
        <v>0</v>
      </c>
      <c r="L5" s="30">
        <v>0</v>
      </c>
      <c r="M5" s="30">
        <v>0</v>
      </c>
      <c r="N5" s="30">
        <v>0</v>
      </c>
      <c r="O5" s="30">
        <v>0</v>
      </c>
      <c r="P5" s="30">
        <v>0</v>
      </c>
      <c r="Q5" s="30">
        <v>0</v>
      </c>
      <c r="R5" s="32">
        <v>21.8</v>
      </c>
    </row>
    <row r="6" spans="2:18">
      <c r="B6" s="27">
        <v>1997</v>
      </c>
      <c r="C6" s="30">
        <v>0</v>
      </c>
      <c r="D6" s="30">
        <v>0</v>
      </c>
      <c r="E6" s="30">
        <v>5</v>
      </c>
      <c r="F6" s="30">
        <v>0</v>
      </c>
      <c r="G6" s="30">
        <v>16.8</v>
      </c>
      <c r="H6" s="30">
        <v>0</v>
      </c>
      <c r="I6" s="30">
        <v>0</v>
      </c>
      <c r="J6" s="30">
        <v>0</v>
      </c>
      <c r="K6" s="30">
        <v>0</v>
      </c>
      <c r="L6" s="30">
        <v>0</v>
      </c>
      <c r="M6" s="30">
        <v>0</v>
      </c>
      <c r="N6" s="30">
        <v>0</v>
      </c>
      <c r="O6" s="30">
        <v>0</v>
      </c>
      <c r="P6" s="30">
        <v>0</v>
      </c>
      <c r="Q6" s="30">
        <v>0</v>
      </c>
      <c r="R6" s="32">
        <v>21.8</v>
      </c>
    </row>
    <row r="7" spans="2:18">
      <c r="B7" s="27">
        <v>1998</v>
      </c>
      <c r="C7" s="30">
        <v>0</v>
      </c>
      <c r="D7" s="30">
        <v>0</v>
      </c>
      <c r="E7" s="30">
        <v>5</v>
      </c>
      <c r="F7" s="30">
        <v>0</v>
      </c>
      <c r="G7" s="30">
        <v>16.8</v>
      </c>
      <c r="H7" s="30">
        <v>0</v>
      </c>
      <c r="I7" s="30">
        <v>0</v>
      </c>
      <c r="J7" s="30">
        <v>0</v>
      </c>
      <c r="K7" s="30">
        <v>0</v>
      </c>
      <c r="L7" s="30">
        <v>3.3</v>
      </c>
      <c r="M7" s="30">
        <v>0</v>
      </c>
      <c r="N7" s="30">
        <v>0</v>
      </c>
      <c r="O7" s="30">
        <v>0</v>
      </c>
      <c r="P7" s="30">
        <v>0</v>
      </c>
      <c r="Q7" s="30">
        <v>0</v>
      </c>
      <c r="R7" s="32">
        <v>25.1</v>
      </c>
    </row>
    <row r="8" spans="2:18">
      <c r="B8" s="27">
        <v>1999</v>
      </c>
      <c r="C8" s="30">
        <v>0</v>
      </c>
      <c r="D8" s="30">
        <v>0</v>
      </c>
      <c r="E8" s="30">
        <v>5</v>
      </c>
      <c r="F8" s="30">
        <v>0</v>
      </c>
      <c r="G8" s="30">
        <v>16.8</v>
      </c>
      <c r="H8" s="30">
        <v>0</v>
      </c>
      <c r="I8" s="30">
        <v>0</v>
      </c>
      <c r="J8" s="30">
        <v>0</v>
      </c>
      <c r="K8" s="30">
        <v>0</v>
      </c>
      <c r="L8" s="30">
        <v>3.3</v>
      </c>
      <c r="M8" s="30">
        <v>0</v>
      </c>
      <c r="N8" s="30">
        <v>0</v>
      </c>
      <c r="O8" s="30">
        <v>0</v>
      </c>
      <c r="P8" s="30">
        <v>0</v>
      </c>
      <c r="Q8" s="30">
        <v>0</v>
      </c>
      <c r="R8" s="32">
        <v>25.1</v>
      </c>
    </row>
    <row r="9" spans="2:18">
      <c r="B9" s="27">
        <v>2000</v>
      </c>
      <c r="C9" s="30">
        <v>0</v>
      </c>
      <c r="D9" s="30">
        <v>0</v>
      </c>
      <c r="E9" s="30">
        <v>5</v>
      </c>
      <c r="F9" s="30">
        <v>0</v>
      </c>
      <c r="G9" s="30">
        <v>16.8</v>
      </c>
      <c r="H9" s="30">
        <v>0</v>
      </c>
      <c r="I9" s="30">
        <v>0</v>
      </c>
      <c r="J9" s="30">
        <v>0</v>
      </c>
      <c r="K9" s="30">
        <v>0</v>
      </c>
      <c r="L9" s="30">
        <v>3.3</v>
      </c>
      <c r="M9" s="30">
        <v>0</v>
      </c>
      <c r="N9" s="30">
        <v>0</v>
      </c>
      <c r="O9" s="30">
        <v>0</v>
      </c>
      <c r="P9" s="30">
        <v>0</v>
      </c>
      <c r="Q9" s="30">
        <v>0</v>
      </c>
      <c r="R9" s="32">
        <v>25.1</v>
      </c>
    </row>
    <row r="10" spans="2:18">
      <c r="B10" s="27">
        <v>2001</v>
      </c>
      <c r="C10" s="30">
        <v>0</v>
      </c>
      <c r="D10" s="30">
        <v>0</v>
      </c>
      <c r="E10" s="30">
        <v>45</v>
      </c>
      <c r="F10" s="30">
        <v>0</v>
      </c>
      <c r="G10" s="30">
        <v>16.8</v>
      </c>
      <c r="H10" s="30">
        <v>0</v>
      </c>
      <c r="I10" s="30">
        <v>0</v>
      </c>
      <c r="J10" s="30">
        <v>0</v>
      </c>
      <c r="K10" s="30">
        <v>0</v>
      </c>
      <c r="L10" s="30">
        <v>3.3</v>
      </c>
      <c r="M10" s="30">
        <v>0</v>
      </c>
      <c r="N10" s="30">
        <v>0</v>
      </c>
      <c r="O10" s="30">
        <v>0</v>
      </c>
      <c r="P10" s="30">
        <v>0</v>
      </c>
      <c r="Q10" s="30">
        <v>0</v>
      </c>
      <c r="R10" s="32">
        <v>65.099999999999994</v>
      </c>
    </row>
    <row r="11" spans="2:18">
      <c r="B11" s="27">
        <v>2002</v>
      </c>
      <c r="C11" s="30">
        <v>0</v>
      </c>
      <c r="D11" s="30">
        <v>0</v>
      </c>
      <c r="E11" s="30">
        <v>205</v>
      </c>
      <c r="F11" s="30">
        <v>0</v>
      </c>
      <c r="G11" s="30">
        <v>16.8</v>
      </c>
      <c r="H11" s="30">
        <v>0</v>
      </c>
      <c r="I11" s="30">
        <v>0</v>
      </c>
      <c r="J11" s="30">
        <v>0</v>
      </c>
      <c r="K11" s="30">
        <v>0</v>
      </c>
      <c r="L11" s="30">
        <v>3.3</v>
      </c>
      <c r="M11" s="30">
        <v>0</v>
      </c>
      <c r="N11" s="30">
        <v>0</v>
      </c>
      <c r="O11" s="30">
        <v>0</v>
      </c>
      <c r="P11" s="30">
        <v>0</v>
      </c>
      <c r="Q11" s="30">
        <v>0</v>
      </c>
      <c r="R11" s="32">
        <v>225.1</v>
      </c>
    </row>
    <row r="12" spans="2:18">
      <c r="B12" s="27">
        <v>2003</v>
      </c>
      <c r="C12" s="30">
        <v>0</v>
      </c>
      <c r="D12" s="30">
        <v>0</v>
      </c>
      <c r="E12" s="30">
        <v>421.4</v>
      </c>
      <c r="F12" s="30">
        <v>0</v>
      </c>
      <c r="G12" s="30">
        <v>16.8</v>
      </c>
      <c r="H12" s="30">
        <v>0</v>
      </c>
      <c r="I12" s="30">
        <v>0</v>
      </c>
      <c r="J12" s="30">
        <v>0</v>
      </c>
      <c r="K12" s="30">
        <v>0</v>
      </c>
      <c r="L12" s="30">
        <v>3.3</v>
      </c>
      <c r="M12" s="30">
        <v>0</v>
      </c>
      <c r="N12" s="30">
        <v>0</v>
      </c>
      <c r="O12" s="30">
        <v>0</v>
      </c>
      <c r="P12" s="30">
        <v>0</v>
      </c>
      <c r="Q12" s="30">
        <v>0</v>
      </c>
      <c r="R12" s="32">
        <v>441.5</v>
      </c>
    </row>
    <row r="13" spans="2:18">
      <c r="B13" s="27">
        <v>2004</v>
      </c>
      <c r="C13" s="30">
        <v>0</v>
      </c>
      <c r="D13" s="30">
        <v>0</v>
      </c>
      <c r="E13" s="30">
        <v>421.4</v>
      </c>
      <c r="F13" s="30">
        <v>4.5</v>
      </c>
      <c r="G13" s="30">
        <v>16.8</v>
      </c>
      <c r="H13" s="30">
        <v>0</v>
      </c>
      <c r="I13" s="30">
        <v>0</v>
      </c>
      <c r="J13" s="30">
        <v>0</v>
      </c>
      <c r="K13" s="30">
        <v>11.32</v>
      </c>
      <c r="L13" s="30">
        <v>28.5</v>
      </c>
      <c r="M13" s="30">
        <v>0</v>
      </c>
      <c r="N13" s="30">
        <v>0</v>
      </c>
      <c r="O13" s="30">
        <v>120</v>
      </c>
      <c r="P13" s="30">
        <v>0</v>
      </c>
      <c r="Q13" s="30">
        <v>0</v>
      </c>
      <c r="R13" s="32">
        <v>602.52</v>
      </c>
    </row>
    <row r="14" spans="2:18">
      <c r="B14" s="27">
        <v>2005</v>
      </c>
      <c r="C14" s="30">
        <v>0</v>
      </c>
      <c r="D14" s="30">
        <v>0</v>
      </c>
      <c r="E14" s="30">
        <v>421.4</v>
      </c>
      <c r="F14" s="30">
        <v>4.5</v>
      </c>
      <c r="G14" s="30">
        <v>16.8</v>
      </c>
      <c r="H14" s="30">
        <v>0</v>
      </c>
      <c r="I14" s="30">
        <v>0</v>
      </c>
      <c r="J14" s="30">
        <v>0</v>
      </c>
      <c r="K14" s="30">
        <v>11.32</v>
      </c>
      <c r="L14" s="30">
        <v>28.5</v>
      </c>
      <c r="M14" s="30">
        <v>0</v>
      </c>
      <c r="N14" s="30">
        <v>0</v>
      </c>
      <c r="O14" s="30">
        <v>210</v>
      </c>
      <c r="P14" s="30">
        <v>0</v>
      </c>
      <c r="Q14" s="30">
        <v>0</v>
      </c>
      <c r="R14" s="32">
        <v>692.52</v>
      </c>
    </row>
    <row r="15" spans="2:18">
      <c r="B15" s="27">
        <v>2006</v>
      </c>
      <c r="C15" s="30">
        <v>0</v>
      </c>
      <c r="D15" s="30">
        <v>0</v>
      </c>
      <c r="E15" s="30">
        <v>421.4</v>
      </c>
      <c r="F15" s="30">
        <v>7</v>
      </c>
      <c r="G15" s="30">
        <v>16.8</v>
      </c>
      <c r="H15" s="30">
        <v>0</v>
      </c>
      <c r="I15" s="30">
        <v>0</v>
      </c>
      <c r="J15" s="30">
        <v>0</v>
      </c>
      <c r="K15" s="30">
        <v>11.32</v>
      </c>
      <c r="L15" s="30">
        <v>28.5</v>
      </c>
      <c r="M15" s="30">
        <v>0</v>
      </c>
      <c r="N15" s="30">
        <v>0</v>
      </c>
      <c r="O15" s="30">
        <v>300</v>
      </c>
      <c r="P15" s="30">
        <v>0</v>
      </c>
      <c r="Q15" s="30">
        <v>0</v>
      </c>
      <c r="R15" s="32">
        <v>785.02</v>
      </c>
    </row>
    <row r="16" spans="2:18">
      <c r="B16" s="27">
        <v>2007</v>
      </c>
      <c r="C16" s="30">
        <v>0</v>
      </c>
      <c r="D16" s="30">
        <v>0</v>
      </c>
      <c r="E16" s="30">
        <v>421.4</v>
      </c>
      <c r="F16" s="30">
        <v>7</v>
      </c>
      <c r="G16" s="30">
        <v>124.8</v>
      </c>
      <c r="H16" s="30">
        <v>0</v>
      </c>
      <c r="I16" s="30">
        <v>0</v>
      </c>
      <c r="J16" s="30">
        <v>0</v>
      </c>
      <c r="K16" s="30">
        <v>11.32</v>
      </c>
      <c r="L16" s="30">
        <v>138.9</v>
      </c>
      <c r="M16" s="30">
        <v>0</v>
      </c>
      <c r="N16" s="30">
        <v>0</v>
      </c>
      <c r="O16" s="30">
        <v>390</v>
      </c>
      <c r="P16" s="30">
        <v>0</v>
      </c>
      <c r="Q16" s="30">
        <v>0</v>
      </c>
      <c r="R16" s="32">
        <v>1093.42</v>
      </c>
    </row>
    <row r="17" spans="2:18">
      <c r="B17" s="27">
        <v>2008</v>
      </c>
      <c r="C17" s="30">
        <v>0</v>
      </c>
      <c r="D17" s="30">
        <v>0</v>
      </c>
      <c r="E17" s="30">
        <v>421.4</v>
      </c>
      <c r="F17" s="30">
        <v>7</v>
      </c>
      <c r="G17" s="30">
        <v>244.8</v>
      </c>
      <c r="H17" s="30">
        <v>0</v>
      </c>
      <c r="I17" s="30">
        <v>0</v>
      </c>
      <c r="J17" s="30">
        <v>0</v>
      </c>
      <c r="K17" s="30">
        <v>11.32</v>
      </c>
      <c r="L17" s="30">
        <v>138.9</v>
      </c>
      <c r="M17" s="30">
        <v>0</v>
      </c>
      <c r="N17" s="30">
        <v>0</v>
      </c>
      <c r="O17" s="30">
        <v>390</v>
      </c>
      <c r="P17" s="30">
        <v>0</v>
      </c>
      <c r="Q17" s="30">
        <v>0</v>
      </c>
      <c r="R17" s="32">
        <v>1213.42</v>
      </c>
    </row>
    <row r="18" spans="2:18">
      <c r="B18" s="27">
        <v>2009</v>
      </c>
      <c r="C18" s="30">
        <v>30</v>
      </c>
      <c r="D18" s="30">
        <v>2</v>
      </c>
      <c r="E18" s="30">
        <v>442.4</v>
      </c>
      <c r="F18" s="30">
        <v>7</v>
      </c>
      <c r="G18" s="30">
        <v>244.8</v>
      </c>
      <c r="H18" s="30">
        <v>0</v>
      </c>
      <c r="I18" s="30">
        <v>0</v>
      </c>
      <c r="J18" s="30">
        <v>0</v>
      </c>
      <c r="K18" s="30">
        <v>11.32</v>
      </c>
      <c r="L18" s="30">
        <v>151.19999999999999</v>
      </c>
      <c r="M18" s="30">
        <v>0</v>
      </c>
      <c r="N18" s="30">
        <v>0</v>
      </c>
      <c r="O18" s="30">
        <v>674.4</v>
      </c>
      <c r="P18" s="30">
        <v>0</v>
      </c>
      <c r="Q18" s="30">
        <v>0</v>
      </c>
      <c r="R18" s="32">
        <v>1563.12</v>
      </c>
    </row>
    <row r="19" spans="2:18">
      <c r="B19" s="27">
        <v>2010</v>
      </c>
      <c r="C19" s="30">
        <v>195</v>
      </c>
      <c r="D19" s="30">
        <v>138.5</v>
      </c>
      <c r="E19" s="30">
        <v>858.7</v>
      </c>
      <c r="F19" s="30">
        <v>67</v>
      </c>
      <c r="G19" s="30">
        <v>244.8</v>
      </c>
      <c r="H19" s="30">
        <v>0</v>
      </c>
      <c r="I19" s="30">
        <v>0</v>
      </c>
      <c r="J19" s="30">
        <v>0</v>
      </c>
      <c r="K19" s="30">
        <v>25.32</v>
      </c>
      <c r="L19" s="30">
        <v>193.5</v>
      </c>
      <c r="M19" s="30">
        <v>0</v>
      </c>
      <c r="N19" s="30">
        <v>0</v>
      </c>
      <c r="O19" s="30">
        <v>1321.19999999999</v>
      </c>
      <c r="P19" s="30">
        <v>0</v>
      </c>
      <c r="Q19" s="30">
        <v>0</v>
      </c>
      <c r="R19" s="32">
        <v>3044.01999999999</v>
      </c>
    </row>
    <row r="20" spans="2:18">
      <c r="B20" s="27">
        <v>2011</v>
      </c>
      <c r="C20" s="30">
        <v>195</v>
      </c>
      <c r="D20" s="30">
        <v>145</v>
      </c>
      <c r="E20" s="30">
        <v>869.5</v>
      </c>
      <c r="F20" s="30">
        <v>115.3</v>
      </c>
      <c r="G20" s="30">
        <v>244.8</v>
      </c>
      <c r="H20" s="30">
        <v>0</v>
      </c>
      <c r="I20" s="30">
        <v>0</v>
      </c>
      <c r="J20" s="30">
        <v>0</v>
      </c>
      <c r="K20" s="30">
        <v>25.32</v>
      </c>
      <c r="L20" s="30">
        <v>193.5</v>
      </c>
      <c r="M20" s="30">
        <v>0</v>
      </c>
      <c r="N20" s="30">
        <v>0</v>
      </c>
      <c r="O20" s="30">
        <v>1504.79999999999</v>
      </c>
      <c r="P20" s="30">
        <v>0</v>
      </c>
      <c r="Q20" s="30">
        <v>0</v>
      </c>
      <c r="R20" s="32">
        <v>3293.2199999999898</v>
      </c>
    </row>
    <row r="21" spans="2:18">
      <c r="B21" s="27">
        <v>2012</v>
      </c>
      <c r="C21" s="30">
        <v>195</v>
      </c>
      <c r="D21" s="30">
        <v>299.3</v>
      </c>
      <c r="E21" s="30">
        <v>869.5</v>
      </c>
      <c r="F21" s="30">
        <v>115.3</v>
      </c>
      <c r="G21" s="30">
        <v>244.8</v>
      </c>
      <c r="H21" s="30">
        <v>0</v>
      </c>
      <c r="I21" s="30">
        <v>0</v>
      </c>
      <c r="J21" s="30">
        <v>0</v>
      </c>
      <c r="K21" s="30">
        <v>25.326000000000001</v>
      </c>
      <c r="L21" s="30">
        <v>193.5</v>
      </c>
      <c r="M21" s="30">
        <v>0</v>
      </c>
      <c r="N21" s="30">
        <v>0</v>
      </c>
      <c r="O21" s="30">
        <v>1838.3999999999901</v>
      </c>
      <c r="P21" s="30">
        <v>0</v>
      </c>
      <c r="Q21" s="30">
        <v>0</v>
      </c>
      <c r="R21" s="32">
        <v>3781.1259999999902</v>
      </c>
    </row>
    <row r="22" spans="2:18">
      <c r="B22" s="27">
        <v>2013</v>
      </c>
      <c r="C22" s="30">
        <v>490.2</v>
      </c>
      <c r="D22" s="30">
        <v>355.3</v>
      </c>
      <c r="E22" s="30">
        <v>1269.0999999999999</v>
      </c>
      <c r="F22" s="30">
        <v>515.29999999999995</v>
      </c>
      <c r="G22" s="30">
        <v>244.8</v>
      </c>
      <c r="H22" s="30">
        <v>0</v>
      </c>
      <c r="I22" s="30">
        <v>0</v>
      </c>
      <c r="J22" s="30">
        <v>0</v>
      </c>
      <c r="K22" s="30">
        <v>43.725999999999999</v>
      </c>
      <c r="L22" s="30">
        <v>241.5</v>
      </c>
      <c r="M22" s="30">
        <v>0</v>
      </c>
      <c r="N22" s="30">
        <v>0</v>
      </c>
      <c r="O22" s="30">
        <v>3571.2</v>
      </c>
      <c r="P22" s="30">
        <v>0</v>
      </c>
      <c r="Q22" s="30">
        <v>16</v>
      </c>
      <c r="R22" s="32">
        <v>6747.1260000000002</v>
      </c>
    </row>
    <row r="23" spans="2:18">
      <c r="B23" s="27">
        <v>2014</v>
      </c>
      <c r="C23" s="30">
        <v>712.2</v>
      </c>
      <c r="D23" s="30">
        <v>355.3</v>
      </c>
      <c r="E23" s="30">
        <v>1269.0999999999999</v>
      </c>
      <c r="F23" s="30">
        <v>911.3</v>
      </c>
      <c r="G23" s="30">
        <v>244.8</v>
      </c>
      <c r="H23" s="30">
        <v>0</v>
      </c>
      <c r="I23" s="30">
        <v>0</v>
      </c>
      <c r="J23" s="30">
        <v>0</v>
      </c>
      <c r="K23" s="30">
        <v>43.725999999999999</v>
      </c>
      <c r="L23" s="30">
        <v>241.5</v>
      </c>
      <c r="M23" s="30">
        <v>0</v>
      </c>
      <c r="N23" s="30">
        <v>0</v>
      </c>
      <c r="O23" s="30">
        <v>4022.2999999999902</v>
      </c>
      <c r="P23" s="30">
        <v>0</v>
      </c>
      <c r="Q23" s="30">
        <v>16</v>
      </c>
      <c r="R23" s="32">
        <v>7816.2259999999997</v>
      </c>
    </row>
    <row r="24" spans="2:18">
      <c r="B24" s="27">
        <v>2015</v>
      </c>
      <c r="C24" s="30">
        <v>712.2</v>
      </c>
      <c r="D24" s="30">
        <v>722.7</v>
      </c>
      <c r="E24" s="30">
        <v>1269.0999999999999</v>
      </c>
      <c r="F24" s="30">
        <v>3284.5</v>
      </c>
      <c r="G24" s="30">
        <v>373.8</v>
      </c>
      <c r="H24" s="30">
        <v>0</v>
      </c>
      <c r="I24" s="30">
        <v>0</v>
      </c>
      <c r="J24" s="30">
        <v>0</v>
      </c>
      <c r="K24" s="30">
        <v>61.725999999999999</v>
      </c>
      <c r="L24" s="30">
        <v>241.53</v>
      </c>
      <c r="M24" s="30">
        <v>0</v>
      </c>
      <c r="N24" s="30">
        <v>0</v>
      </c>
      <c r="O24" s="30">
        <v>5083.7999999999902</v>
      </c>
      <c r="P24" s="30">
        <v>0</v>
      </c>
      <c r="Q24" s="30">
        <v>16</v>
      </c>
      <c r="R24" s="32">
        <v>11765.356</v>
      </c>
    </row>
    <row r="25" spans="2:18">
      <c r="B25" s="27">
        <v>2016</v>
      </c>
      <c r="C25" s="30">
        <v>712.2</v>
      </c>
      <c r="D25" s="30">
        <v>1205.5</v>
      </c>
      <c r="E25" s="30">
        <v>1269.0999999999999</v>
      </c>
      <c r="F25" s="30">
        <v>3866.5</v>
      </c>
      <c r="G25" s="30">
        <v>517.79999999999995</v>
      </c>
      <c r="H25" s="30">
        <v>0</v>
      </c>
      <c r="I25" s="30">
        <v>0</v>
      </c>
      <c r="J25" s="30">
        <v>0</v>
      </c>
      <c r="K25" s="30">
        <v>63.725999999999999</v>
      </c>
      <c r="L25" s="30">
        <v>241.53</v>
      </c>
      <c r="M25" s="30">
        <v>0</v>
      </c>
      <c r="N25" s="30">
        <v>0</v>
      </c>
      <c r="O25" s="30">
        <v>5083.7999999999902</v>
      </c>
      <c r="P25" s="30">
        <v>30</v>
      </c>
      <c r="Q25" s="30">
        <v>99.2</v>
      </c>
      <c r="R25" s="32">
        <v>13089.356</v>
      </c>
    </row>
    <row r="26" spans="2:18">
      <c r="B26" s="27">
        <v>2017</v>
      </c>
      <c r="C26" s="30">
        <v>877.2</v>
      </c>
      <c r="D26" s="30">
        <v>1909.9</v>
      </c>
      <c r="E26" s="30">
        <v>1269.0999999999999</v>
      </c>
      <c r="F26" s="30">
        <v>4999.3</v>
      </c>
      <c r="G26" s="30">
        <v>1117.8</v>
      </c>
      <c r="H26" s="30">
        <v>0</v>
      </c>
      <c r="I26" s="30">
        <v>0</v>
      </c>
      <c r="J26" s="30">
        <v>0</v>
      </c>
      <c r="K26" s="30">
        <v>63.725999999999999</v>
      </c>
      <c r="L26" s="30">
        <v>309.93</v>
      </c>
      <c r="M26" s="30">
        <v>33</v>
      </c>
      <c r="N26" s="30">
        <v>8</v>
      </c>
      <c r="O26" s="30">
        <v>5769.99999999999</v>
      </c>
      <c r="P26" s="30">
        <v>30</v>
      </c>
      <c r="Q26" s="30">
        <v>99.2</v>
      </c>
      <c r="R26" s="32">
        <v>16487.155999999999</v>
      </c>
    </row>
    <row r="27" spans="2:18">
      <c r="B27" s="27">
        <v>2018</v>
      </c>
      <c r="C27" s="30">
        <v>1186.2</v>
      </c>
      <c r="D27" s="30">
        <v>3190.7</v>
      </c>
      <c r="E27" s="30">
        <v>1297.0999999999999</v>
      </c>
      <c r="F27" s="30">
        <v>5799.3</v>
      </c>
      <c r="G27" s="30">
        <v>1117.8</v>
      </c>
      <c r="H27" s="30">
        <v>0</v>
      </c>
      <c r="I27" s="30">
        <v>0</v>
      </c>
      <c r="J27" s="30">
        <v>0</v>
      </c>
      <c r="K27" s="30">
        <v>63.725999999999999</v>
      </c>
      <c r="L27" s="30">
        <v>361.93</v>
      </c>
      <c r="M27" s="30">
        <v>33</v>
      </c>
      <c r="N27" s="30">
        <v>8</v>
      </c>
      <c r="O27" s="30">
        <v>7892.1999999999898</v>
      </c>
      <c r="P27" s="30">
        <v>30</v>
      </c>
      <c r="Q27" s="30">
        <v>99.2</v>
      </c>
      <c r="R27" s="32">
        <v>21079.155999999999</v>
      </c>
    </row>
    <row r="28" spans="2:18">
      <c r="B28" s="27">
        <v>2019</v>
      </c>
      <c r="C28" s="30">
        <v>1555.8</v>
      </c>
      <c r="D28" s="30">
        <v>4797.8999999999996</v>
      </c>
      <c r="E28" s="30">
        <v>1703.8</v>
      </c>
      <c r="F28" s="30">
        <v>7329.3</v>
      </c>
      <c r="G28" s="30">
        <v>1117.8</v>
      </c>
      <c r="H28" s="30">
        <v>0</v>
      </c>
      <c r="I28" s="30">
        <v>0</v>
      </c>
      <c r="J28" s="30">
        <v>0</v>
      </c>
      <c r="K28" s="30">
        <v>66.725999999999999</v>
      </c>
      <c r="L28" s="30">
        <v>366.93</v>
      </c>
      <c r="M28" s="30">
        <v>33</v>
      </c>
      <c r="N28" s="30">
        <v>128</v>
      </c>
      <c r="O28" s="30">
        <v>9698.1999999999898</v>
      </c>
      <c r="P28" s="30">
        <v>30</v>
      </c>
      <c r="Q28" s="30">
        <v>99.2</v>
      </c>
      <c r="R28" s="32">
        <v>26926.655999999999</v>
      </c>
    </row>
    <row r="29" spans="2:18">
      <c r="B29" s="27">
        <v>2020</v>
      </c>
      <c r="C29" s="30">
        <v>2261.8000000000002</v>
      </c>
      <c r="D29" s="30">
        <v>7781.2999999999902</v>
      </c>
      <c r="E29" s="30">
        <v>1703.8</v>
      </c>
      <c r="F29" s="30">
        <v>7644.3</v>
      </c>
      <c r="G29" s="30">
        <v>2601.3000000000002</v>
      </c>
      <c r="H29" s="30">
        <v>0</v>
      </c>
      <c r="I29" s="30">
        <v>0</v>
      </c>
      <c r="J29" s="30">
        <v>0</v>
      </c>
      <c r="K29" s="30">
        <v>66.725999999999999</v>
      </c>
      <c r="L29" s="30">
        <v>391.93</v>
      </c>
      <c r="M29" s="30">
        <v>93</v>
      </c>
      <c r="N29" s="30">
        <v>128</v>
      </c>
      <c r="O29" s="30">
        <v>10412.199999999901</v>
      </c>
      <c r="P29" s="30">
        <v>42</v>
      </c>
      <c r="Q29" s="30">
        <v>99.2</v>
      </c>
      <c r="R29" s="32">
        <v>33225.555999999902</v>
      </c>
    </row>
    <row r="30" spans="2:18">
      <c r="B30" s="27">
        <v>2021</v>
      </c>
      <c r="C30" s="30">
        <v>2261.8000000000002</v>
      </c>
      <c r="D30" s="30">
        <v>21571.15</v>
      </c>
      <c r="E30" s="30">
        <v>2308.8000000000002</v>
      </c>
      <c r="F30" s="30">
        <v>7644.3</v>
      </c>
      <c r="G30" s="30">
        <v>3003</v>
      </c>
      <c r="H30" s="30">
        <v>0</v>
      </c>
      <c r="I30" s="30">
        <v>0</v>
      </c>
      <c r="J30" s="30">
        <v>0</v>
      </c>
      <c r="K30" s="30">
        <v>66.725999999999999</v>
      </c>
      <c r="L30" s="30">
        <v>395.53</v>
      </c>
      <c r="M30" s="30">
        <v>93</v>
      </c>
      <c r="N30" s="30">
        <v>237.2</v>
      </c>
      <c r="O30" s="30">
        <v>12267.199999999901</v>
      </c>
      <c r="P30" s="30">
        <v>42</v>
      </c>
      <c r="Q30" s="30">
        <v>733.5</v>
      </c>
      <c r="R30" s="32">
        <v>50624.205999999998</v>
      </c>
    </row>
    <row r="31" spans="2:18">
      <c r="B31" s="27">
        <v>2022</v>
      </c>
      <c r="C31" s="30">
        <v>2261.8000000000002</v>
      </c>
      <c r="D31" s="30">
        <v>27290.75</v>
      </c>
      <c r="E31" s="30">
        <v>2308.8000000000002</v>
      </c>
      <c r="F31" s="30">
        <v>7986.3</v>
      </c>
      <c r="G31" s="30">
        <v>3003</v>
      </c>
      <c r="H31" s="30">
        <v>0</v>
      </c>
      <c r="I31" s="30">
        <v>0</v>
      </c>
      <c r="J31" s="30">
        <v>0</v>
      </c>
      <c r="K31" s="30">
        <v>150.726</v>
      </c>
      <c r="L31" s="30">
        <v>905.73</v>
      </c>
      <c r="M31" s="30">
        <v>105.3</v>
      </c>
      <c r="N31" s="30">
        <v>237.2</v>
      </c>
      <c r="O31" s="30">
        <v>13653.199999999901</v>
      </c>
      <c r="P31" s="30">
        <v>42</v>
      </c>
      <c r="Q31" s="30">
        <v>1064.5</v>
      </c>
      <c r="R31" s="32">
        <v>59009.305999999997</v>
      </c>
    </row>
    <row r="32" spans="2:18">
      <c r="B32" s="27">
        <v>2023</v>
      </c>
      <c r="C32" s="30">
        <v>2261.8000000000002</v>
      </c>
      <c r="D32" s="30">
        <v>34437.949999999997</v>
      </c>
      <c r="E32" s="30">
        <v>2652.8</v>
      </c>
      <c r="F32" s="30">
        <v>7986.3</v>
      </c>
      <c r="G32" s="30">
        <v>5434</v>
      </c>
      <c r="H32" s="30">
        <v>0</v>
      </c>
      <c r="I32" s="30">
        <v>0</v>
      </c>
      <c r="J32" s="30">
        <v>0</v>
      </c>
      <c r="K32" s="30">
        <v>326.32600000000002</v>
      </c>
      <c r="L32" s="30">
        <v>2022.155</v>
      </c>
      <c r="M32" s="30">
        <v>106.3</v>
      </c>
      <c r="N32" s="30">
        <v>2601.6999999999998</v>
      </c>
      <c r="O32" s="30">
        <v>16028.199999999901</v>
      </c>
      <c r="P32" s="30">
        <v>42</v>
      </c>
      <c r="Q32" s="30">
        <v>1516</v>
      </c>
      <c r="R32" s="32">
        <v>75415.531000000003</v>
      </c>
    </row>
    <row r="33" spans="2:18">
      <c r="B33" s="27">
        <v>2024</v>
      </c>
      <c r="C33" s="30">
        <v>2261.8000000000002</v>
      </c>
      <c r="D33" s="30">
        <v>40774.949999999997</v>
      </c>
      <c r="E33" s="30">
        <v>2652.8</v>
      </c>
      <c r="F33" s="30">
        <v>8715.2999999999993</v>
      </c>
      <c r="G33" s="30">
        <v>5434</v>
      </c>
      <c r="H33" s="30">
        <v>0</v>
      </c>
      <c r="I33" s="30">
        <v>0</v>
      </c>
      <c r="J33" s="30">
        <v>0</v>
      </c>
      <c r="K33" s="30">
        <v>343.12599999999998</v>
      </c>
      <c r="L33" s="30">
        <v>2646.6549999999902</v>
      </c>
      <c r="M33" s="30">
        <v>305.3</v>
      </c>
      <c r="N33" s="30">
        <v>2949.2</v>
      </c>
      <c r="O33" s="30">
        <v>16506.099999999999</v>
      </c>
      <c r="P33" s="30">
        <v>995</v>
      </c>
      <c r="Q33" s="30">
        <v>1596</v>
      </c>
      <c r="R33" s="32">
        <v>85180.231</v>
      </c>
    </row>
    <row r="34" spans="2:18">
      <c r="B34" s="27">
        <v>2025</v>
      </c>
      <c r="C34" s="30">
        <v>2261.8000000000002</v>
      </c>
      <c r="D34" s="30">
        <v>44730.95</v>
      </c>
      <c r="E34" s="30">
        <v>2912.8</v>
      </c>
      <c r="F34" s="30">
        <v>10538.3</v>
      </c>
      <c r="G34" s="30">
        <v>5434</v>
      </c>
      <c r="H34" s="30">
        <v>0</v>
      </c>
      <c r="I34" s="30">
        <v>0</v>
      </c>
      <c r="J34" s="30">
        <v>500</v>
      </c>
      <c r="K34" s="30">
        <v>563.12599999999998</v>
      </c>
      <c r="L34" s="30">
        <v>3868.6549999999902</v>
      </c>
      <c r="M34" s="30">
        <v>413.3</v>
      </c>
      <c r="N34" s="30">
        <v>3586.2999999999902</v>
      </c>
      <c r="O34" s="30">
        <v>18638.099999999999</v>
      </c>
      <c r="P34" s="30">
        <v>2365</v>
      </c>
      <c r="Q34" s="30">
        <v>1596</v>
      </c>
      <c r="R34" s="32">
        <v>97408.331000000006</v>
      </c>
    </row>
    <row r="35" spans="2:18">
      <c r="B35" s="27">
        <v>2026</v>
      </c>
      <c r="C35" s="30">
        <v>2261.8000000000002</v>
      </c>
      <c r="D35" s="30">
        <v>44730.95</v>
      </c>
      <c r="E35" s="30">
        <v>3518.8</v>
      </c>
      <c r="F35" s="30">
        <v>12361.5</v>
      </c>
      <c r="G35" s="30">
        <v>6950</v>
      </c>
      <c r="H35" s="30">
        <v>0</v>
      </c>
      <c r="I35" s="30">
        <v>1000</v>
      </c>
      <c r="J35" s="30">
        <v>500</v>
      </c>
      <c r="K35" s="30">
        <v>1295.2260000000001</v>
      </c>
      <c r="L35" s="30">
        <v>9350.1549999999897</v>
      </c>
      <c r="M35" s="30">
        <v>2378.3000000000002</v>
      </c>
      <c r="N35" s="30">
        <v>8499.1999999999898</v>
      </c>
      <c r="O35" s="30">
        <v>23116.5</v>
      </c>
      <c r="P35" s="30">
        <v>5787</v>
      </c>
      <c r="Q35" s="30">
        <v>2096</v>
      </c>
      <c r="R35" s="32">
        <v>123845.431</v>
      </c>
    </row>
    <row r="36" spans="2:18">
      <c r="B36" s="27">
        <v>2027</v>
      </c>
      <c r="C36" s="30">
        <v>2261.8000000000002</v>
      </c>
      <c r="D36" s="30">
        <v>45530.95</v>
      </c>
      <c r="E36" s="30">
        <v>4990.8</v>
      </c>
      <c r="F36" s="30">
        <v>13291.5</v>
      </c>
      <c r="G36" s="30">
        <v>6950</v>
      </c>
      <c r="H36" s="30">
        <v>0</v>
      </c>
      <c r="I36" s="30">
        <v>2795</v>
      </c>
      <c r="J36" s="30">
        <v>500</v>
      </c>
      <c r="K36" s="30">
        <v>1295.2260000000001</v>
      </c>
      <c r="L36" s="30">
        <v>13380.154999999901</v>
      </c>
      <c r="M36" s="30">
        <v>3842.78</v>
      </c>
      <c r="N36" s="30">
        <v>11903.199999999901</v>
      </c>
      <c r="O36" s="30">
        <v>28048.5</v>
      </c>
      <c r="P36" s="30">
        <v>13176</v>
      </c>
      <c r="Q36" s="30">
        <v>2696</v>
      </c>
      <c r="R36" s="32">
        <v>150661.91099999999</v>
      </c>
    </row>
    <row r="37" spans="2:18">
      <c r="B37" s="49">
        <v>2028</v>
      </c>
      <c r="C37" s="31">
        <v>2261.8000000000002</v>
      </c>
      <c r="D37" s="31">
        <v>45530.95</v>
      </c>
      <c r="E37" s="31">
        <v>10985.8</v>
      </c>
      <c r="F37" s="31">
        <v>13291.5</v>
      </c>
      <c r="G37" s="31">
        <v>6950</v>
      </c>
      <c r="H37" s="31">
        <v>0</v>
      </c>
      <c r="I37" s="31">
        <v>2795</v>
      </c>
      <c r="J37" s="31">
        <v>1640</v>
      </c>
      <c r="K37" s="31">
        <v>3681.2260000000001</v>
      </c>
      <c r="L37" s="31">
        <v>26818.055</v>
      </c>
      <c r="M37" s="31">
        <v>6482.78</v>
      </c>
      <c r="N37" s="31">
        <v>13403.199999999901</v>
      </c>
      <c r="O37" s="31">
        <v>28648.5</v>
      </c>
      <c r="P37" s="31">
        <v>16971</v>
      </c>
      <c r="Q37" s="31">
        <v>2696</v>
      </c>
      <c r="R37" s="32">
        <v>182155.81099999999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8"/>
  <sheetViews>
    <sheetView workbookViewId="0">
      <selection activeCell="B2" sqref="B2"/>
    </sheetView>
  </sheetViews>
  <sheetFormatPr defaultColWidth="11" defaultRowHeight="15.6"/>
  <cols>
    <col min="2" max="2" width="24.796875" customWidth="1"/>
    <col min="3" max="7" width="14.296875" style="1" customWidth="1"/>
    <col min="8" max="8" width="16.296875" style="1" customWidth="1"/>
    <col min="9" max="10" width="14.296875" style="1" customWidth="1"/>
    <col min="11" max="11" width="16.796875" style="1" customWidth="1"/>
  </cols>
  <sheetData>
    <row r="1" spans="2:11" ht="23.4">
      <c r="B1" s="5" t="s">
        <v>882</v>
      </c>
    </row>
    <row r="3" spans="2:11">
      <c r="B3" s="27" t="s">
        <v>3</v>
      </c>
      <c r="C3" s="27" t="s">
        <v>5</v>
      </c>
      <c r="D3" s="27" t="s">
        <v>6</v>
      </c>
      <c r="E3" s="27" t="s">
        <v>7</v>
      </c>
      <c r="F3" s="27" t="s">
        <v>8</v>
      </c>
      <c r="G3" s="27" t="s">
        <v>9</v>
      </c>
      <c r="H3" s="27" t="s">
        <v>10</v>
      </c>
      <c r="I3" s="27" t="s">
        <v>11</v>
      </c>
      <c r="J3" s="27" t="s">
        <v>12</v>
      </c>
      <c r="K3" s="74" t="s">
        <v>68</v>
      </c>
    </row>
    <row r="4" spans="2:11">
      <c r="B4" s="27">
        <v>2023</v>
      </c>
      <c r="C4" s="75">
        <v>4385.2</v>
      </c>
      <c r="D4" s="75">
        <v>344</v>
      </c>
      <c r="E4" s="75">
        <v>0</v>
      </c>
      <c r="F4" s="75">
        <v>2431</v>
      </c>
      <c r="G4" s="75">
        <v>2991.6</v>
      </c>
      <c r="H4" s="75">
        <v>1116.425</v>
      </c>
      <c r="I4" s="75">
        <v>2375</v>
      </c>
      <c r="J4" s="75">
        <v>0</v>
      </c>
      <c r="K4" s="76">
        <v>13643.2249999999</v>
      </c>
    </row>
    <row r="5" spans="2:11">
      <c r="B5" s="27">
        <v>2024</v>
      </c>
      <c r="C5" s="75">
        <v>0</v>
      </c>
      <c r="D5" s="75">
        <v>0</v>
      </c>
      <c r="E5" s="75">
        <v>729</v>
      </c>
      <c r="F5" s="75">
        <v>0</v>
      </c>
      <c r="G5" s="75">
        <v>263.3</v>
      </c>
      <c r="H5" s="75">
        <v>515</v>
      </c>
      <c r="I5" s="75">
        <v>448</v>
      </c>
      <c r="J5" s="75">
        <v>932</v>
      </c>
      <c r="K5" s="76">
        <v>2887.3</v>
      </c>
    </row>
    <row r="6" spans="2:11">
      <c r="B6" s="27">
        <v>2025</v>
      </c>
      <c r="C6" s="75">
        <v>200</v>
      </c>
      <c r="D6" s="75">
        <v>0</v>
      </c>
      <c r="E6" s="75">
        <v>913</v>
      </c>
      <c r="F6" s="75">
        <v>0</v>
      </c>
      <c r="G6" s="75">
        <v>220</v>
      </c>
      <c r="H6" s="75">
        <v>0</v>
      </c>
      <c r="I6" s="75">
        <v>1235</v>
      </c>
      <c r="J6" s="75">
        <v>0</v>
      </c>
      <c r="K6" s="76">
        <v>2568</v>
      </c>
    </row>
    <row r="7" spans="2:11">
      <c r="B7" s="27">
        <v>2026</v>
      </c>
      <c r="C7" s="75">
        <v>0</v>
      </c>
      <c r="D7" s="75">
        <v>0</v>
      </c>
      <c r="E7" s="75">
        <v>0</v>
      </c>
      <c r="F7" s="75">
        <v>0</v>
      </c>
      <c r="G7" s="75">
        <v>0</v>
      </c>
      <c r="H7" s="75">
        <v>0</v>
      </c>
      <c r="I7" s="75">
        <v>2618</v>
      </c>
      <c r="J7" s="75">
        <v>0</v>
      </c>
      <c r="K7" s="76">
        <v>2618</v>
      </c>
    </row>
    <row r="8" spans="2:11">
      <c r="B8" s="33" t="s">
        <v>68</v>
      </c>
      <c r="C8" s="77">
        <v>4585.2</v>
      </c>
      <c r="D8" s="77">
        <v>344</v>
      </c>
      <c r="E8" s="77">
        <v>1642</v>
      </c>
      <c r="F8" s="77">
        <v>2431</v>
      </c>
      <c r="G8" s="77">
        <v>3474.9</v>
      </c>
      <c r="H8" s="77">
        <v>1631.425</v>
      </c>
      <c r="I8" s="77">
        <v>6676</v>
      </c>
      <c r="J8" s="77">
        <v>932</v>
      </c>
      <c r="K8" s="78">
        <v>21716.525000000001</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236F-90ED-6A45-BEC7-368E4414BE11}">
  <dimension ref="B1:S26"/>
  <sheetViews>
    <sheetView zoomScaleNormal="100" workbookViewId="0">
      <selection activeCell="B2" sqref="B2"/>
    </sheetView>
  </sheetViews>
  <sheetFormatPr defaultColWidth="11" defaultRowHeight="15.6"/>
  <cols>
    <col min="2" max="2" width="26.5" customWidth="1"/>
    <col min="3" max="8" width="15.5" customWidth="1"/>
    <col min="9" max="9" width="16.296875" customWidth="1"/>
    <col min="10" max="13" width="15.5" customWidth="1"/>
    <col min="14" max="14" width="16.796875" customWidth="1"/>
    <col min="15" max="16" width="15.5" customWidth="1"/>
  </cols>
  <sheetData>
    <row r="1" spans="2:19" ht="23.4">
      <c r="B1" s="5" t="s">
        <v>883</v>
      </c>
    </row>
    <row r="2" spans="2:19">
      <c r="B2" t="s">
        <v>89</v>
      </c>
    </row>
    <row r="3" spans="2:19">
      <c r="B3" s="27" t="s">
        <v>18</v>
      </c>
      <c r="C3" s="27" t="s">
        <v>33</v>
      </c>
      <c r="D3" s="27" t="s">
        <v>14</v>
      </c>
      <c r="E3" s="27" t="s">
        <v>37</v>
      </c>
      <c r="F3" s="27" t="s">
        <v>679</v>
      </c>
      <c r="G3" s="27" t="s">
        <v>126</v>
      </c>
      <c r="H3" s="27" t="s">
        <v>35</v>
      </c>
      <c r="I3" s="27" t="s">
        <v>5</v>
      </c>
      <c r="J3" s="27" t="s">
        <v>31</v>
      </c>
      <c r="K3" s="27" t="s">
        <v>680</v>
      </c>
      <c r="L3" s="27" t="s">
        <v>34</v>
      </c>
      <c r="M3" s="27" t="s">
        <v>12</v>
      </c>
      <c r="N3" s="27" t="s">
        <v>38</v>
      </c>
      <c r="O3" s="27" t="s">
        <v>36</v>
      </c>
      <c r="P3" s="27" t="s">
        <v>32</v>
      </c>
      <c r="Q3" s="27" t="s">
        <v>13</v>
      </c>
      <c r="R3" s="79" t="s">
        <v>11</v>
      </c>
      <c r="S3" s="80" t="s">
        <v>68</v>
      </c>
    </row>
    <row r="4" spans="2:19">
      <c r="B4" s="27">
        <v>2009</v>
      </c>
      <c r="C4" s="27">
        <v>2.2999999999999998</v>
      </c>
      <c r="D4" s="27">
        <v>0</v>
      </c>
      <c r="E4" s="27">
        <v>0</v>
      </c>
      <c r="F4" s="27">
        <v>0</v>
      </c>
      <c r="G4" s="27">
        <v>0</v>
      </c>
      <c r="H4" s="27">
        <v>0</v>
      </c>
      <c r="I4" s="27">
        <v>0</v>
      </c>
      <c r="J4" s="27">
        <v>0</v>
      </c>
      <c r="K4" s="27">
        <v>0</v>
      </c>
      <c r="L4" s="27">
        <v>0</v>
      </c>
      <c r="M4" s="27">
        <v>0</v>
      </c>
      <c r="N4" s="27">
        <v>0</v>
      </c>
      <c r="O4" s="27">
        <v>0</v>
      </c>
      <c r="P4" s="27">
        <v>0</v>
      </c>
      <c r="Q4" s="27">
        <v>0</v>
      </c>
      <c r="R4" s="31">
        <v>0</v>
      </c>
      <c r="S4" s="32">
        <v>2.2999999999999998</v>
      </c>
    </row>
    <row r="5" spans="2:19">
      <c r="B5" s="27">
        <v>2010</v>
      </c>
      <c r="C5" s="27">
        <v>2.2999999999999998</v>
      </c>
      <c r="D5" s="27">
        <v>0</v>
      </c>
      <c r="E5" s="27">
        <v>0</v>
      </c>
      <c r="F5" s="27">
        <v>0</v>
      </c>
      <c r="G5" s="27">
        <v>0</v>
      </c>
      <c r="H5" s="27">
        <v>0</v>
      </c>
      <c r="I5" s="27">
        <v>0</v>
      </c>
      <c r="J5" s="27">
        <v>0</v>
      </c>
      <c r="K5" s="27">
        <v>0</v>
      </c>
      <c r="L5" s="27">
        <v>0</v>
      </c>
      <c r="M5" s="27">
        <v>0</v>
      </c>
      <c r="N5" s="27">
        <v>0</v>
      </c>
      <c r="O5" s="27">
        <v>0</v>
      </c>
      <c r="P5" s="27">
        <v>0</v>
      </c>
      <c r="Q5" s="27">
        <v>0</v>
      </c>
      <c r="R5" s="31">
        <v>0</v>
      </c>
      <c r="S5" s="32">
        <v>2.2999999999999998</v>
      </c>
    </row>
    <row r="6" spans="2:19">
      <c r="B6" s="27">
        <v>2011</v>
      </c>
      <c r="C6" s="27">
        <v>2.2999999999999998</v>
      </c>
      <c r="D6" s="27">
        <v>0</v>
      </c>
      <c r="E6" s="27">
        <v>0</v>
      </c>
      <c r="F6" s="27">
        <v>0</v>
      </c>
      <c r="G6" s="27">
        <v>0</v>
      </c>
      <c r="H6" s="27">
        <v>0</v>
      </c>
      <c r="I6" s="27">
        <v>0</v>
      </c>
      <c r="J6" s="27">
        <v>0</v>
      </c>
      <c r="K6" s="27">
        <v>0</v>
      </c>
      <c r="L6" s="27">
        <v>0</v>
      </c>
      <c r="M6" s="27">
        <v>0</v>
      </c>
      <c r="N6" s="27">
        <v>0</v>
      </c>
      <c r="O6" s="27">
        <v>0</v>
      </c>
      <c r="P6" s="27">
        <v>0</v>
      </c>
      <c r="Q6" s="27">
        <v>0</v>
      </c>
      <c r="R6" s="31">
        <v>0</v>
      </c>
      <c r="S6" s="32">
        <v>2.2999999999999998</v>
      </c>
    </row>
    <row r="7" spans="2:19">
      <c r="B7" s="27">
        <v>2012</v>
      </c>
      <c r="C7" s="27">
        <v>2.2999999999999998</v>
      </c>
      <c r="D7" s="27">
        <v>0</v>
      </c>
      <c r="E7" s="27">
        <v>6.0000000000000001E-3</v>
      </c>
      <c r="F7" s="27">
        <v>0</v>
      </c>
      <c r="G7" s="27">
        <v>0</v>
      </c>
      <c r="H7" s="27">
        <v>0</v>
      </c>
      <c r="I7" s="27">
        <v>0</v>
      </c>
      <c r="J7" s="27">
        <v>0</v>
      </c>
      <c r="K7" s="27">
        <v>0</v>
      </c>
      <c r="L7" s="27">
        <v>0</v>
      </c>
      <c r="M7" s="27">
        <v>0</v>
      </c>
      <c r="N7" s="27">
        <v>0</v>
      </c>
      <c r="O7" s="27">
        <v>0</v>
      </c>
      <c r="P7" s="27">
        <v>0</v>
      </c>
      <c r="Q7" s="27">
        <v>0</v>
      </c>
      <c r="R7" s="31">
        <v>0</v>
      </c>
      <c r="S7" s="32">
        <v>2.3059999999999898</v>
      </c>
    </row>
    <row r="8" spans="2:19">
      <c r="B8" s="27">
        <v>2013</v>
      </c>
      <c r="C8" s="27">
        <v>2.2999999999999998</v>
      </c>
      <c r="D8" s="27">
        <v>0</v>
      </c>
      <c r="E8" s="27">
        <v>6.0000000000000001E-3</v>
      </c>
      <c r="F8" s="27">
        <v>0</v>
      </c>
      <c r="G8" s="27">
        <v>0</v>
      </c>
      <c r="H8" s="27">
        <v>0</v>
      </c>
      <c r="I8" s="27">
        <v>0</v>
      </c>
      <c r="J8" s="27">
        <v>0</v>
      </c>
      <c r="K8" s="27">
        <v>0</v>
      </c>
      <c r="L8" s="27">
        <v>0</v>
      </c>
      <c r="M8" s="27">
        <v>0</v>
      </c>
      <c r="N8" s="27">
        <v>0</v>
      </c>
      <c r="O8" s="27">
        <v>0</v>
      </c>
      <c r="P8" s="27">
        <v>0</v>
      </c>
      <c r="Q8" s="27">
        <v>0</v>
      </c>
      <c r="R8" s="31">
        <v>0</v>
      </c>
      <c r="S8" s="32">
        <v>2.3059999999999898</v>
      </c>
    </row>
    <row r="9" spans="2:19">
      <c r="B9" s="27">
        <v>2014</v>
      </c>
      <c r="C9" s="27">
        <v>2.2999999999999998</v>
      </c>
      <c r="D9" s="27">
        <v>0</v>
      </c>
      <c r="E9" s="27">
        <v>6.0000000000000001E-3</v>
      </c>
      <c r="F9" s="27">
        <v>0</v>
      </c>
      <c r="G9" s="27">
        <v>0</v>
      </c>
      <c r="H9" s="27">
        <v>0</v>
      </c>
      <c r="I9" s="27">
        <v>0</v>
      </c>
      <c r="J9" s="27">
        <v>0</v>
      </c>
      <c r="K9" s="27">
        <v>0</v>
      </c>
      <c r="L9" s="27">
        <v>0</v>
      </c>
      <c r="M9" s="27">
        <v>0</v>
      </c>
      <c r="N9" s="27">
        <v>0</v>
      </c>
      <c r="O9" s="27">
        <v>0</v>
      </c>
      <c r="P9" s="27">
        <v>0</v>
      </c>
      <c r="Q9" s="27">
        <v>0</v>
      </c>
      <c r="R9" s="31">
        <v>0</v>
      </c>
      <c r="S9" s="32">
        <v>2.3059999999999898</v>
      </c>
    </row>
    <row r="10" spans="2:19">
      <c r="B10" s="27">
        <v>2015</v>
      </c>
      <c r="C10" s="27">
        <v>2.2999999999999998</v>
      </c>
      <c r="D10" s="27">
        <v>0</v>
      </c>
      <c r="E10" s="27">
        <v>6.0000000000000001E-3</v>
      </c>
      <c r="F10" s="27">
        <v>0</v>
      </c>
      <c r="G10" s="27">
        <v>0</v>
      </c>
      <c r="H10" s="27">
        <v>0</v>
      </c>
      <c r="I10" s="27">
        <v>0</v>
      </c>
      <c r="J10" s="27">
        <v>0</v>
      </c>
      <c r="K10" s="27">
        <v>0</v>
      </c>
      <c r="L10" s="27">
        <v>0</v>
      </c>
      <c r="M10" s="27">
        <v>0</v>
      </c>
      <c r="N10" s="27">
        <v>0</v>
      </c>
      <c r="O10" s="27">
        <v>0</v>
      </c>
      <c r="P10" s="27">
        <v>0.03</v>
      </c>
      <c r="Q10" s="27">
        <v>0</v>
      </c>
      <c r="R10" s="31">
        <v>0</v>
      </c>
      <c r="S10" s="32">
        <v>2.3359999999999901</v>
      </c>
    </row>
    <row r="11" spans="2:19">
      <c r="B11" s="27">
        <v>2016</v>
      </c>
      <c r="C11" s="27">
        <v>2.2999999999999998</v>
      </c>
      <c r="D11" s="27">
        <v>0</v>
      </c>
      <c r="E11" s="27">
        <v>2.0059999999999998</v>
      </c>
      <c r="F11" s="27">
        <v>0</v>
      </c>
      <c r="G11" s="27">
        <v>0</v>
      </c>
      <c r="H11" s="27">
        <v>0</v>
      </c>
      <c r="I11" s="27">
        <v>0</v>
      </c>
      <c r="J11" s="27">
        <v>0</v>
      </c>
      <c r="K11" s="27">
        <v>0</v>
      </c>
      <c r="L11" s="27">
        <v>0</v>
      </c>
      <c r="M11" s="27">
        <v>0</v>
      </c>
      <c r="N11" s="27">
        <v>0</v>
      </c>
      <c r="O11" s="27">
        <v>0</v>
      </c>
      <c r="P11" s="27">
        <v>0.03</v>
      </c>
      <c r="Q11" s="27">
        <v>0</v>
      </c>
      <c r="R11" s="31">
        <v>0</v>
      </c>
      <c r="S11" s="32">
        <v>4.3359999999999896</v>
      </c>
    </row>
    <row r="12" spans="2:19">
      <c r="B12" s="27">
        <v>2017</v>
      </c>
      <c r="C12" s="27">
        <v>2.2999999999999998</v>
      </c>
      <c r="D12" s="27">
        <v>0</v>
      </c>
      <c r="E12" s="27">
        <v>2.0059999999999998</v>
      </c>
      <c r="F12" s="27">
        <v>0</v>
      </c>
      <c r="G12" s="27">
        <v>0</v>
      </c>
      <c r="H12" s="27">
        <v>0</v>
      </c>
      <c r="I12" s="27">
        <v>0</v>
      </c>
      <c r="J12" s="27">
        <v>0</v>
      </c>
      <c r="K12" s="27">
        <v>0</v>
      </c>
      <c r="L12" s="27">
        <v>0</v>
      </c>
      <c r="M12" s="27">
        <v>0</v>
      </c>
      <c r="N12" s="27">
        <v>0</v>
      </c>
      <c r="O12" s="27">
        <v>0</v>
      </c>
      <c r="P12" s="27">
        <v>0.03</v>
      </c>
      <c r="Q12" s="27">
        <v>0</v>
      </c>
      <c r="R12" s="31">
        <v>30</v>
      </c>
      <c r="S12" s="32">
        <v>34.335999999999999</v>
      </c>
    </row>
    <row r="13" spans="2:19">
      <c r="B13" s="27">
        <v>2018</v>
      </c>
      <c r="C13" s="27">
        <v>2.2999999999999998</v>
      </c>
      <c r="D13" s="27">
        <v>0</v>
      </c>
      <c r="E13" s="27">
        <v>2.0059999999999998</v>
      </c>
      <c r="F13" s="27">
        <v>0</v>
      </c>
      <c r="G13" s="27">
        <v>0</v>
      </c>
      <c r="H13" s="27">
        <v>2</v>
      </c>
      <c r="I13" s="27">
        <v>0</v>
      </c>
      <c r="J13" s="27">
        <v>0</v>
      </c>
      <c r="K13" s="27">
        <v>0</v>
      </c>
      <c r="L13" s="27">
        <v>0</v>
      </c>
      <c r="M13" s="27">
        <v>0</v>
      </c>
      <c r="N13" s="27">
        <v>0</v>
      </c>
      <c r="O13" s="27">
        <v>0</v>
      </c>
      <c r="P13" s="27">
        <v>0.03</v>
      </c>
      <c r="Q13" s="27">
        <v>0</v>
      </c>
      <c r="R13" s="31">
        <v>32</v>
      </c>
      <c r="S13" s="32">
        <v>38.335999999999999</v>
      </c>
    </row>
    <row r="14" spans="2:19">
      <c r="B14" s="27">
        <v>2019</v>
      </c>
      <c r="C14" s="27">
        <v>2.2999999999999998</v>
      </c>
      <c r="D14" s="27">
        <v>0</v>
      </c>
      <c r="E14" s="27">
        <v>5.0060000000000002</v>
      </c>
      <c r="F14" s="27">
        <v>0</v>
      </c>
      <c r="G14" s="27">
        <v>0</v>
      </c>
      <c r="H14" s="27">
        <v>2</v>
      </c>
      <c r="I14" s="27">
        <v>0</v>
      </c>
      <c r="J14" s="27">
        <v>0</v>
      </c>
      <c r="K14" s="27">
        <v>0</v>
      </c>
      <c r="L14" s="27">
        <v>0</v>
      </c>
      <c r="M14" s="27">
        <v>0</v>
      </c>
      <c r="N14" s="27">
        <v>0</v>
      </c>
      <c r="O14" s="27">
        <v>0</v>
      </c>
      <c r="P14" s="27">
        <v>0.03</v>
      </c>
      <c r="Q14" s="27">
        <v>0</v>
      </c>
      <c r="R14" s="31">
        <v>32</v>
      </c>
      <c r="S14" s="32">
        <v>41.335999999999999</v>
      </c>
    </row>
    <row r="15" spans="2:19">
      <c r="B15" s="27">
        <v>2020</v>
      </c>
      <c r="C15" s="27">
        <v>2.2999999999999998</v>
      </c>
      <c r="D15" s="27">
        <v>25</v>
      </c>
      <c r="E15" s="27">
        <v>5.0060000000000002</v>
      </c>
      <c r="F15" s="27">
        <v>0</v>
      </c>
      <c r="G15" s="27">
        <v>0</v>
      </c>
      <c r="H15" s="27">
        <v>2</v>
      </c>
      <c r="I15" s="27">
        <v>0</v>
      </c>
      <c r="J15" s="27">
        <v>0</v>
      </c>
      <c r="K15" s="27">
        <v>0</v>
      </c>
      <c r="L15" s="27">
        <v>0</v>
      </c>
      <c r="M15" s="27">
        <v>0</v>
      </c>
      <c r="N15" s="27">
        <v>0</v>
      </c>
      <c r="O15" s="27">
        <v>0</v>
      </c>
      <c r="P15" s="27">
        <v>0.03</v>
      </c>
      <c r="Q15" s="27">
        <v>0</v>
      </c>
      <c r="R15" s="31">
        <v>32</v>
      </c>
      <c r="S15" s="32">
        <v>66.335999999999999</v>
      </c>
    </row>
    <row r="16" spans="2:19">
      <c r="B16" s="27">
        <v>2021</v>
      </c>
      <c r="C16" s="27">
        <v>5.9</v>
      </c>
      <c r="D16" s="27">
        <v>25</v>
      </c>
      <c r="E16" s="27">
        <v>5.0060000000000002</v>
      </c>
      <c r="F16" s="27">
        <v>0</v>
      </c>
      <c r="G16" s="27">
        <v>0</v>
      </c>
      <c r="H16" s="27">
        <v>2</v>
      </c>
      <c r="I16" s="27">
        <v>5.5</v>
      </c>
      <c r="J16" s="27">
        <v>0</v>
      </c>
      <c r="K16" s="27">
        <v>0</v>
      </c>
      <c r="L16" s="27">
        <v>0</v>
      </c>
      <c r="M16" s="27">
        <v>0</v>
      </c>
      <c r="N16" s="27">
        <v>0</v>
      </c>
      <c r="O16" s="27">
        <v>0</v>
      </c>
      <c r="P16" s="27">
        <v>0.03</v>
      </c>
      <c r="Q16" s="27">
        <v>0</v>
      </c>
      <c r="R16" s="31">
        <v>80</v>
      </c>
      <c r="S16" s="32">
        <v>123.43600000000001</v>
      </c>
    </row>
    <row r="17" spans="2:19">
      <c r="B17" s="27">
        <v>2022</v>
      </c>
      <c r="C17" s="27">
        <v>5.9</v>
      </c>
      <c r="D17" s="27">
        <v>25</v>
      </c>
      <c r="E17" s="27">
        <v>5.0060000000000002</v>
      </c>
      <c r="F17" s="27">
        <v>0</v>
      </c>
      <c r="G17" s="27">
        <v>0</v>
      </c>
      <c r="H17" s="27">
        <v>2</v>
      </c>
      <c r="I17" s="27">
        <v>5.5</v>
      </c>
      <c r="J17" s="27">
        <v>0</v>
      </c>
      <c r="K17" s="27">
        <v>0</v>
      </c>
      <c r="L17" s="27">
        <v>0.2</v>
      </c>
      <c r="M17" s="27">
        <v>0</v>
      </c>
      <c r="N17" s="27">
        <v>0</v>
      </c>
      <c r="O17" s="27">
        <v>0</v>
      </c>
      <c r="P17" s="27">
        <v>0.03</v>
      </c>
      <c r="Q17" s="27">
        <v>0</v>
      </c>
      <c r="R17" s="31">
        <v>80</v>
      </c>
      <c r="S17" s="32">
        <v>123.636</v>
      </c>
    </row>
    <row r="18" spans="2:19">
      <c r="B18" s="27">
        <v>2023</v>
      </c>
      <c r="C18" s="27">
        <v>100.9</v>
      </c>
      <c r="D18" s="27">
        <v>25</v>
      </c>
      <c r="E18" s="27">
        <v>5.0060000000000002</v>
      </c>
      <c r="F18" s="27">
        <v>0</v>
      </c>
      <c r="G18" s="27">
        <v>0</v>
      </c>
      <c r="H18" s="27">
        <v>27.2</v>
      </c>
      <c r="I18" s="27">
        <v>48.3</v>
      </c>
      <c r="J18" s="27">
        <v>0</v>
      </c>
      <c r="K18" s="27">
        <v>0</v>
      </c>
      <c r="L18" s="27">
        <v>2.4249999999999998</v>
      </c>
      <c r="M18" s="27">
        <v>0</v>
      </c>
      <c r="N18" s="27">
        <v>0</v>
      </c>
      <c r="O18" s="27">
        <v>1</v>
      </c>
      <c r="P18" s="27">
        <v>0.03</v>
      </c>
      <c r="Q18" s="27">
        <v>0</v>
      </c>
      <c r="R18" s="31">
        <v>80</v>
      </c>
      <c r="S18" s="32">
        <v>289.86099999999999</v>
      </c>
    </row>
    <row r="19" spans="2:19">
      <c r="B19" s="27">
        <v>2024</v>
      </c>
      <c r="C19" s="27">
        <v>107.9</v>
      </c>
      <c r="D19" s="27">
        <v>25</v>
      </c>
      <c r="E19" s="27">
        <v>21.806000000000001</v>
      </c>
      <c r="F19" s="27">
        <v>0</v>
      </c>
      <c r="G19" s="27">
        <v>0</v>
      </c>
      <c r="H19" s="27">
        <v>92.2</v>
      </c>
      <c r="I19" s="27">
        <v>48.3</v>
      </c>
      <c r="J19" s="27">
        <v>0</v>
      </c>
      <c r="K19" s="27">
        <v>0</v>
      </c>
      <c r="L19" s="27">
        <v>4.9249999999999998</v>
      </c>
      <c r="M19" s="27">
        <v>0</v>
      </c>
      <c r="N19" s="27">
        <v>0</v>
      </c>
      <c r="O19" s="27">
        <v>1</v>
      </c>
      <c r="P19" s="27">
        <v>0.03</v>
      </c>
      <c r="Q19" s="27">
        <v>0</v>
      </c>
      <c r="R19" s="31">
        <v>80</v>
      </c>
      <c r="S19" s="32">
        <v>381.161</v>
      </c>
    </row>
    <row r="20" spans="2:19">
      <c r="B20" s="27">
        <v>2025</v>
      </c>
      <c r="C20" s="27">
        <v>107.9</v>
      </c>
      <c r="D20" s="27">
        <v>25</v>
      </c>
      <c r="E20" s="27">
        <v>21.806000000000001</v>
      </c>
      <c r="F20" s="27">
        <v>500</v>
      </c>
      <c r="G20" s="27">
        <v>0</v>
      </c>
      <c r="H20" s="27">
        <v>92.2</v>
      </c>
      <c r="I20" s="27">
        <v>248.3</v>
      </c>
      <c r="J20" s="27">
        <v>0</v>
      </c>
      <c r="K20" s="27">
        <v>0</v>
      </c>
      <c r="L20" s="27">
        <v>110.925</v>
      </c>
      <c r="M20" s="27">
        <v>0</v>
      </c>
      <c r="N20" s="27">
        <v>0</v>
      </c>
      <c r="O20" s="27">
        <v>1</v>
      </c>
      <c r="P20" s="27">
        <v>0.03</v>
      </c>
      <c r="Q20" s="27">
        <v>0</v>
      </c>
      <c r="R20" s="31">
        <v>95</v>
      </c>
      <c r="S20" s="32">
        <v>1202.1610000000001</v>
      </c>
    </row>
    <row r="21" spans="2:19">
      <c r="B21" s="27">
        <v>2026</v>
      </c>
      <c r="C21" s="27">
        <v>107.9</v>
      </c>
      <c r="D21" s="27">
        <v>25</v>
      </c>
      <c r="E21" s="27">
        <v>66.805999999999997</v>
      </c>
      <c r="F21" s="27">
        <v>500</v>
      </c>
      <c r="G21" s="27">
        <v>500</v>
      </c>
      <c r="H21" s="27">
        <v>92.2</v>
      </c>
      <c r="I21" s="27">
        <v>248.3</v>
      </c>
      <c r="J21" s="27">
        <v>10</v>
      </c>
      <c r="K21" s="27">
        <v>0</v>
      </c>
      <c r="L21" s="27">
        <v>1395.925</v>
      </c>
      <c r="M21" s="27">
        <v>12</v>
      </c>
      <c r="N21" s="27">
        <v>1786</v>
      </c>
      <c r="O21" s="27">
        <v>1</v>
      </c>
      <c r="P21" s="27">
        <v>0.03</v>
      </c>
      <c r="Q21" s="27">
        <v>0</v>
      </c>
      <c r="R21" s="31">
        <v>375.4</v>
      </c>
      <c r="S21" s="32">
        <v>5120.5609999999997</v>
      </c>
    </row>
    <row r="22" spans="2:19">
      <c r="B22" s="27">
        <v>2027</v>
      </c>
      <c r="C22" s="27">
        <v>107.9</v>
      </c>
      <c r="D22" s="27">
        <v>25</v>
      </c>
      <c r="E22" s="27">
        <v>66.805999999999997</v>
      </c>
      <c r="F22" s="27">
        <v>500</v>
      </c>
      <c r="G22" s="27">
        <v>500</v>
      </c>
      <c r="H22" s="27">
        <v>132.19999999999999</v>
      </c>
      <c r="I22" s="27">
        <v>1048.3</v>
      </c>
      <c r="J22" s="27">
        <v>10</v>
      </c>
      <c r="K22" s="27">
        <v>0</v>
      </c>
      <c r="L22" s="27">
        <v>1395.925</v>
      </c>
      <c r="M22" s="27">
        <v>12</v>
      </c>
      <c r="N22" s="27">
        <v>1786</v>
      </c>
      <c r="O22" s="27">
        <v>201</v>
      </c>
      <c r="P22" s="27">
        <v>0.03</v>
      </c>
      <c r="Q22" s="27">
        <v>972</v>
      </c>
      <c r="R22" s="31">
        <v>1055.4000000000001</v>
      </c>
      <c r="S22" s="32">
        <v>7812.5609999999997</v>
      </c>
    </row>
    <row r="23" spans="2:19">
      <c r="B23" s="27">
        <v>2028</v>
      </c>
      <c r="C23" s="27">
        <v>107.9</v>
      </c>
      <c r="D23" s="27">
        <v>25</v>
      </c>
      <c r="E23" s="27">
        <v>66.805999999999997</v>
      </c>
      <c r="F23" s="27">
        <v>500</v>
      </c>
      <c r="G23" s="27">
        <v>500</v>
      </c>
      <c r="H23" s="27">
        <v>132.19999999999999</v>
      </c>
      <c r="I23" s="27">
        <v>1048.3</v>
      </c>
      <c r="J23" s="27">
        <v>10</v>
      </c>
      <c r="K23" s="27">
        <v>0</v>
      </c>
      <c r="L23" s="27">
        <v>1395.925</v>
      </c>
      <c r="M23" s="27">
        <v>156</v>
      </c>
      <c r="N23" s="27">
        <v>1786</v>
      </c>
      <c r="O23" s="27">
        <v>201</v>
      </c>
      <c r="P23" s="27">
        <v>0.03</v>
      </c>
      <c r="Q23" s="27">
        <v>972</v>
      </c>
      <c r="R23" s="31">
        <v>1055.4000000000001</v>
      </c>
      <c r="S23" s="32">
        <v>7956.5609999999997</v>
      </c>
    </row>
    <row r="24" spans="2:19">
      <c r="B24" s="27">
        <v>2029</v>
      </c>
      <c r="C24" s="27">
        <v>107.9</v>
      </c>
      <c r="D24" s="27">
        <v>25</v>
      </c>
      <c r="E24" s="27">
        <v>66.805999999999997</v>
      </c>
      <c r="F24" s="27">
        <v>500</v>
      </c>
      <c r="G24" s="27">
        <v>500</v>
      </c>
      <c r="H24" s="27">
        <v>882.2</v>
      </c>
      <c r="I24" s="27">
        <v>1048.3</v>
      </c>
      <c r="J24" s="27">
        <v>10</v>
      </c>
      <c r="K24" s="27">
        <v>0</v>
      </c>
      <c r="L24" s="27">
        <v>2343.9250000000002</v>
      </c>
      <c r="M24" s="27">
        <v>156</v>
      </c>
      <c r="N24" s="27">
        <v>2986</v>
      </c>
      <c r="O24" s="27">
        <v>1205</v>
      </c>
      <c r="P24" s="27">
        <v>6450.03</v>
      </c>
      <c r="Q24" s="27">
        <v>4122</v>
      </c>
      <c r="R24" s="31">
        <v>5955.4</v>
      </c>
      <c r="S24" s="32">
        <v>26358.561000000002</v>
      </c>
    </row>
    <row r="25" spans="2:19">
      <c r="B25" s="27">
        <v>2030</v>
      </c>
      <c r="C25" s="27">
        <v>107.9</v>
      </c>
      <c r="D25" s="27">
        <v>175</v>
      </c>
      <c r="E25" s="27">
        <v>216.80599999999899</v>
      </c>
      <c r="F25" s="27">
        <v>500</v>
      </c>
      <c r="G25" s="27">
        <v>500</v>
      </c>
      <c r="H25" s="27">
        <v>882.2</v>
      </c>
      <c r="I25" s="27">
        <v>1048.3</v>
      </c>
      <c r="J25" s="27">
        <v>1510</v>
      </c>
      <c r="K25" s="27">
        <v>2000</v>
      </c>
      <c r="L25" s="27">
        <v>2343.9250000000002</v>
      </c>
      <c r="M25" s="27">
        <v>2814</v>
      </c>
      <c r="N25" s="27">
        <v>2986</v>
      </c>
      <c r="O25" s="27">
        <v>3035</v>
      </c>
      <c r="P25" s="27">
        <v>6450.03</v>
      </c>
      <c r="Q25" s="27">
        <v>6915</v>
      </c>
      <c r="R25" s="31">
        <v>7900.4</v>
      </c>
      <c r="S25" s="32">
        <v>39384.561000000002</v>
      </c>
    </row>
    <row r="26" spans="2:19">
      <c r="B26" s="33" t="s">
        <v>68</v>
      </c>
      <c r="C26" s="33">
        <v>895.599999999999</v>
      </c>
      <c r="D26" s="33">
        <v>425</v>
      </c>
      <c r="E26" s="33">
        <v>558.71399999999903</v>
      </c>
      <c r="F26" s="33">
        <v>3000</v>
      </c>
      <c r="G26" s="33">
        <v>2500</v>
      </c>
      <c r="H26" s="33">
        <v>2342.6</v>
      </c>
      <c r="I26" s="33">
        <v>4797.3999999999996</v>
      </c>
      <c r="J26" s="33">
        <v>1550</v>
      </c>
      <c r="K26" s="33">
        <v>2000</v>
      </c>
      <c r="L26" s="33">
        <v>8994.1</v>
      </c>
      <c r="M26" s="33">
        <v>3150</v>
      </c>
      <c r="N26" s="33">
        <v>11330</v>
      </c>
      <c r="O26" s="33">
        <v>4646</v>
      </c>
      <c r="P26" s="33">
        <v>12900.48</v>
      </c>
      <c r="Q26" s="33">
        <v>12981</v>
      </c>
      <c r="R26" s="35">
        <v>16883</v>
      </c>
      <c r="S26" s="36">
        <v>88953.894</v>
      </c>
    </row>
  </sheetData>
  <phoneticPr fontId="5" type="noConversion"/>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15"/>
  <sheetViews>
    <sheetView workbookViewId="0">
      <selection activeCell="B2" sqref="B2"/>
    </sheetView>
  </sheetViews>
  <sheetFormatPr defaultColWidth="11" defaultRowHeight="15.6"/>
  <cols>
    <col min="2" max="2" width="21.296875" customWidth="1"/>
    <col min="3" max="4" width="14.5" style="1" customWidth="1"/>
    <col min="5" max="5" width="14.69921875" style="1" customWidth="1"/>
    <col min="6" max="6" width="14.5" style="1" customWidth="1"/>
  </cols>
  <sheetData>
    <row r="1" spans="2:7" ht="23.4">
      <c r="B1" s="5" t="s">
        <v>884</v>
      </c>
    </row>
    <row r="3" spans="2:7">
      <c r="B3" s="27" t="s">
        <v>28</v>
      </c>
      <c r="C3" s="43" t="s">
        <v>19</v>
      </c>
      <c r="D3" s="43" t="s">
        <v>20</v>
      </c>
      <c r="E3" s="43" t="s">
        <v>12</v>
      </c>
      <c r="F3" s="43" t="s">
        <v>17</v>
      </c>
      <c r="G3" s="73" t="s">
        <v>68</v>
      </c>
    </row>
    <row r="4" spans="2:7">
      <c r="B4" s="46" t="s">
        <v>21</v>
      </c>
      <c r="C4" s="31">
        <v>28848.475999999999</v>
      </c>
      <c r="D4" s="31">
        <v>30118.83</v>
      </c>
      <c r="E4" s="31">
        <v>42</v>
      </c>
      <c r="F4" s="31">
        <v>0</v>
      </c>
      <c r="G4" s="32">
        <v>59009.305999999997</v>
      </c>
    </row>
    <row r="5" spans="2:7">
      <c r="B5" s="46" t="s">
        <v>16</v>
      </c>
      <c r="C5" s="31">
        <v>8060.1</v>
      </c>
      <c r="D5" s="31">
        <v>12724.424999999999</v>
      </c>
      <c r="E5" s="31">
        <v>932</v>
      </c>
      <c r="F5" s="31">
        <v>0</v>
      </c>
      <c r="G5" s="32">
        <v>21716.525000000001</v>
      </c>
    </row>
    <row r="6" spans="2:7">
      <c r="B6" s="46" t="s">
        <v>22</v>
      </c>
      <c r="C6" s="31">
        <v>0</v>
      </c>
      <c r="D6" s="31">
        <v>0</v>
      </c>
      <c r="E6" s="31">
        <v>0</v>
      </c>
      <c r="F6" s="31">
        <v>0</v>
      </c>
      <c r="G6" s="32">
        <v>0</v>
      </c>
    </row>
    <row r="7" spans="2:7">
      <c r="B7" s="46" t="s">
        <v>23</v>
      </c>
      <c r="C7" s="31">
        <v>0</v>
      </c>
      <c r="D7" s="31">
        <v>0</v>
      </c>
      <c r="E7" s="31">
        <v>1100</v>
      </c>
      <c r="F7" s="31">
        <v>0</v>
      </c>
      <c r="G7" s="32">
        <v>1100</v>
      </c>
    </row>
    <row r="8" spans="2:7">
      <c r="B8" s="46" t="s">
        <v>24</v>
      </c>
      <c r="C8" s="31">
        <v>13375</v>
      </c>
      <c r="D8" s="31">
        <v>33541.5</v>
      </c>
      <c r="E8" s="31">
        <v>20978</v>
      </c>
      <c r="F8" s="31">
        <v>304</v>
      </c>
      <c r="G8" s="32">
        <v>68198.5</v>
      </c>
    </row>
    <row r="9" spans="2:7">
      <c r="B9" s="46" t="s">
        <v>25</v>
      </c>
      <c r="C9" s="31">
        <v>0</v>
      </c>
      <c r="D9" s="31">
        <v>0</v>
      </c>
      <c r="E9" s="31">
        <v>24596</v>
      </c>
      <c r="F9" s="31">
        <v>0</v>
      </c>
      <c r="G9" s="32">
        <v>24596</v>
      </c>
    </row>
    <row r="10" spans="2:7">
      <c r="B10" s="46" t="s">
        <v>26</v>
      </c>
      <c r="C10" s="31">
        <v>72525.08</v>
      </c>
      <c r="D10" s="31">
        <v>140434.9</v>
      </c>
      <c r="E10" s="31">
        <v>5039</v>
      </c>
      <c r="F10" s="31">
        <v>34170</v>
      </c>
      <c r="G10" s="32">
        <v>252168.97999999899</v>
      </c>
    </row>
    <row r="11" spans="2:7">
      <c r="B11" s="48" t="s">
        <v>27</v>
      </c>
      <c r="C11" s="35">
        <v>122808.656</v>
      </c>
      <c r="D11" s="35">
        <v>216819.655</v>
      </c>
      <c r="E11" s="35">
        <v>52687</v>
      </c>
      <c r="F11" s="35">
        <v>34474</v>
      </c>
      <c r="G11" s="36">
        <v>426789.31099999999</v>
      </c>
    </row>
    <row r="14" spans="2:7">
      <c r="B14" t="s">
        <v>82</v>
      </c>
    </row>
    <row r="15" spans="2:7">
      <c r="B15" t="s">
        <v>81</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AD7E-48BF-464D-A83E-DACED0D45E25}">
  <dimension ref="B1:G15"/>
  <sheetViews>
    <sheetView workbookViewId="0">
      <selection activeCell="B2" sqref="B2"/>
    </sheetView>
  </sheetViews>
  <sheetFormatPr defaultColWidth="11" defaultRowHeight="15.6"/>
  <cols>
    <col min="2" max="2" width="21.296875" customWidth="1"/>
    <col min="3" max="4" width="14.5" style="1" customWidth="1"/>
    <col min="5" max="5" width="14.69921875" style="1" customWidth="1"/>
    <col min="6" max="6" width="14.5" style="1" customWidth="1"/>
  </cols>
  <sheetData>
    <row r="1" spans="2:7" ht="23.4">
      <c r="B1" s="5" t="s">
        <v>885</v>
      </c>
    </row>
    <row r="3" spans="2:7">
      <c r="B3" s="27" t="s">
        <v>28</v>
      </c>
      <c r="C3" s="43" t="s">
        <v>12</v>
      </c>
      <c r="D3" s="43" t="s">
        <v>17</v>
      </c>
      <c r="E3" s="43" t="s">
        <v>19</v>
      </c>
      <c r="F3" s="43" t="s">
        <v>20</v>
      </c>
      <c r="G3" s="43" t="s">
        <v>68</v>
      </c>
    </row>
    <row r="4" spans="2:7">
      <c r="B4" s="46" t="s">
        <v>85</v>
      </c>
      <c r="C4" s="31">
        <v>0</v>
      </c>
      <c r="D4" s="31">
        <v>0</v>
      </c>
      <c r="E4" s="31">
        <v>10.5</v>
      </c>
      <c r="F4" s="31">
        <v>112.9</v>
      </c>
      <c r="G4" s="47">
        <v>123.4</v>
      </c>
    </row>
    <row r="5" spans="2:7">
      <c r="B5" s="46" t="s">
        <v>16</v>
      </c>
      <c r="C5" s="31">
        <v>0</v>
      </c>
      <c r="D5" s="31">
        <v>0</v>
      </c>
      <c r="E5" s="31">
        <v>259.60000000000002</v>
      </c>
      <c r="F5" s="31">
        <v>187.42500000000001</v>
      </c>
      <c r="G5" s="47">
        <v>447.02499999999998</v>
      </c>
    </row>
    <row r="6" spans="2:7">
      <c r="B6" s="46" t="s">
        <v>22</v>
      </c>
      <c r="C6" s="31">
        <v>0</v>
      </c>
      <c r="D6" s="31">
        <v>0</v>
      </c>
      <c r="E6" s="31">
        <v>0</v>
      </c>
      <c r="F6" s="31">
        <v>0</v>
      </c>
      <c r="G6" s="47">
        <v>0</v>
      </c>
    </row>
    <row r="7" spans="2:7">
      <c r="B7" s="46" t="s">
        <v>23</v>
      </c>
      <c r="C7" s="31">
        <v>0</v>
      </c>
      <c r="D7" s="31">
        <v>0</v>
      </c>
      <c r="E7" s="31">
        <v>0</v>
      </c>
      <c r="F7" s="31">
        <v>0</v>
      </c>
      <c r="G7" s="47">
        <v>0</v>
      </c>
    </row>
    <row r="8" spans="2:7">
      <c r="B8" s="46" t="s">
        <v>24</v>
      </c>
      <c r="C8" s="31">
        <v>12</v>
      </c>
      <c r="D8" s="31">
        <v>0</v>
      </c>
      <c r="E8" s="31">
        <v>0</v>
      </c>
      <c r="F8" s="31">
        <v>206.4</v>
      </c>
      <c r="G8" s="47">
        <v>218.4</v>
      </c>
    </row>
    <row r="9" spans="2:7">
      <c r="B9" s="46" t="s">
        <v>25</v>
      </c>
      <c r="C9" s="31">
        <v>6042</v>
      </c>
      <c r="D9" s="31">
        <v>0</v>
      </c>
      <c r="E9" s="31">
        <v>0</v>
      </c>
      <c r="F9" s="31">
        <v>0</v>
      </c>
      <c r="G9" s="47">
        <v>6042</v>
      </c>
    </row>
    <row r="10" spans="2:7">
      <c r="B10" s="46" t="s">
        <v>26</v>
      </c>
      <c r="C10" s="31">
        <v>144</v>
      </c>
      <c r="D10" s="31">
        <v>13750</v>
      </c>
      <c r="E10" s="31">
        <v>21261</v>
      </c>
      <c r="F10" s="31">
        <v>60543.5</v>
      </c>
      <c r="G10" s="47">
        <v>95698.5</v>
      </c>
    </row>
    <row r="11" spans="2:7">
      <c r="B11" s="42" t="s">
        <v>27</v>
      </c>
      <c r="C11" s="47">
        <v>6198</v>
      </c>
      <c r="D11" s="47">
        <v>13750</v>
      </c>
      <c r="E11" s="47">
        <v>21531.1</v>
      </c>
      <c r="F11" s="47">
        <v>61050.224999999999</v>
      </c>
      <c r="G11" s="47">
        <v>102529.325</v>
      </c>
    </row>
    <row r="14" spans="2:7">
      <c r="B14" t="s">
        <v>82</v>
      </c>
    </row>
    <row r="15" spans="2:7">
      <c r="B15" t="s">
        <v>81</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2785-42C6-604D-A849-B84BA9BB25DC}">
  <dimension ref="B1:E10"/>
  <sheetViews>
    <sheetView workbookViewId="0">
      <selection activeCell="H6" sqref="H6"/>
    </sheetView>
  </sheetViews>
  <sheetFormatPr defaultColWidth="10.69921875" defaultRowHeight="15.6"/>
  <cols>
    <col min="2" max="2" width="25" customWidth="1"/>
    <col min="3" max="3" width="69.19921875" customWidth="1"/>
    <col min="4" max="4" width="11.19921875" bestFit="1" customWidth="1"/>
  </cols>
  <sheetData>
    <row r="1" spans="2:5" ht="23.4">
      <c r="B1" s="5" t="s">
        <v>210</v>
      </c>
    </row>
    <row r="3" spans="2:5">
      <c r="B3" s="22" t="s">
        <v>72</v>
      </c>
      <c r="C3" s="22" t="s">
        <v>192</v>
      </c>
      <c r="D3" s="22" t="s">
        <v>305</v>
      </c>
    </row>
    <row r="4" spans="2:5" ht="31.2">
      <c r="B4" s="22" t="s">
        <v>85</v>
      </c>
      <c r="C4" s="22" t="s">
        <v>193</v>
      </c>
      <c r="D4" s="114">
        <v>42</v>
      </c>
      <c r="E4" s="2"/>
    </row>
    <row r="5" spans="2:5" ht="31.2">
      <c r="B5" s="22" t="s">
        <v>16</v>
      </c>
      <c r="C5" s="22" t="s">
        <v>352</v>
      </c>
      <c r="D5" s="114">
        <v>932</v>
      </c>
      <c r="E5" s="2"/>
    </row>
    <row r="6" spans="2:5" ht="31.2">
      <c r="B6" s="22" t="s">
        <v>22</v>
      </c>
      <c r="C6" s="22" t="s">
        <v>353</v>
      </c>
      <c r="D6" s="114">
        <v>0</v>
      </c>
      <c r="E6" s="2"/>
    </row>
    <row r="7" spans="2:5" ht="46.8">
      <c r="B7" s="22" t="s">
        <v>23</v>
      </c>
      <c r="C7" s="22" t="s">
        <v>354</v>
      </c>
      <c r="D7" s="114">
        <v>1100</v>
      </c>
      <c r="E7" s="2"/>
    </row>
    <row r="8" spans="2:5" ht="67.95" customHeight="1">
      <c r="B8" s="22" t="s">
        <v>24</v>
      </c>
      <c r="C8" s="22" t="s">
        <v>355</v>
      </c>
      <c r="D8" s="114">
        <v>20978</v>
      </c>
      <c r="E8" s="2"/>
    </row>
    <row r="9" spans="2:5" ht="62.4">
      <c r="B9" s="22" t="s">
        <v>356</v>
      </c>
      <c r="C9" s="22" t="s">
        <v>357</v>
      </c>
      <c r="D9" s="114">
        <v>24596</v>
      </c>
      <c r="E9" s="2"/>
    </row>
    <row r="10" spans="2:5" ht="46.8">
      <c r="B10" s="22" t="s">
        <v>358</v>
      </c>
      <c r="C10" s="22" t="s">
        <v>359</v>
      </c>
      <c r="D10" s="114">
        <v>5039</v>
      </c>
      <c r="E10"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4D78-9A60-E14F-A41D-55949195C447}">
  <dimension ref="B1:H22"/>
  <sheetViews>
    <sheetView workbookViewId="0">
      <selection activeCell="B2" sqref="B2"/>
    </sheetView>
  </sheetViews>
  <sheetFormatPr defaultColWidth="10.69921875" defaultRowHeight="15.6"/>
  <cols>
    <col min="2" max="2" width="14.796875" customWidth="1"/>
    <col min="3" max="3" width="14.69921875" bestFit="1" customWidth="1"/>
    <col min="4" max="4" width="22.5" bestFit="1" customWidth="1"/>
    <col min="5" max="5" width="18.796875" bestFit="1" customWidth="1"/>
    <col min="6" max="6" width="16" bestFit="1" customWidth="1"/>
    <col min="7" max="7" width="15.19921875" bestFit="1" customWidth="1"/>
    <col min="8" max="8" width="13.5" bestFit="1" customWidth="1"/>
  </cols>
  <sheetData>
    <row r="1" spans="2:8" ht="23.4">
      <c r="B1" s="5" t="s">
        <v>886</v>
      </c>
    </row>
    <row r="3" spans="2:8">
      <c r="B3" t="s">
        <v>18</v>
      </c>
      <c r="C3" t="s">
        <v>303</v>
      </c>
      <c r="D3" t="s">
        <v>304</v>
      </c>
      <c r="E3" t="s">
        <v>142</v>
      </c>
      <c r="F3" t="s">
        <v>143</v>
      </c>
      <c r="G3" t="s">
        <v>144</v>
      </c>
      <c r="H3" s="24" t="s">
        <v>305</v>
      </c>
    </row>
    <row r="4" spans="2:8">
      <c r="B4" t="s">
        <v>169</v>
      </c>
      <c r="G4" s="16">
        <v>11250</v>
      </c>
      <c r="H4" s="25">
        <v>11250</v>
      </c>
    </row>
    <row r="5" spans="2:8">
      <c r="B5" t="s">
        <v>5</v>
      </c>
      <c r="C5">
        <v>5.5</v>
      </c>
      <c r="D5">
        <v>242.8</v>
      </c>
      <c r="G5" s="16">
        <v>1800</v>
      </c>
      <c r="H5" s="25">
        <v>2048</v>
      </c>
    </row>
    <row r="6" spans="2:8">
      <c r="B6" t="s">
        <v>679</v>
      </c>
      <c r="G6">
        <v>500</v>
      </c>
      <c r="H6" s="25">
        <v>500</v>
      </c>
    </row>
    <row r="7" spans="2:8">
      <c r="B7" t="s">
        <v>35</v>
      </c>
      <c r="C7">
        <v>2</v>
      </c>
      <c r="D7">
        <v>90.2</v>
      </c>
      <c r="G7" s="16">
        <v>1790</v>
      </c>
      <c r="H7" s="25">
        <v>1882</v>
      </c>
    </row>
    <row r="8" spans="2:8">
      <c r="B8" t="s">
        <v>31</v>
      </c>
      <c r="G8" s="16">
        <v>5510</v>
      </c>
      <c r="H8" s="25">
        <v>5510</v>
      </c>
    </row>
    <row r="9" spans="2:8">
      <c r="B9" t="s">
        <v>13</v>
      </c>
      <c r="G9" s="16">
        <v>6915</v>
      </c>
      <c r="H9" s="25">
        <v>6915</v>
      </c>
    </row>
    <row r="10" spans="2:8">
      <c r="B10" t="s">
        <v>37</v>
      </c>
      <c r="C10">
        <v>5</v>
      </c>
      <c r="D10">
        <v>16.8</v>
      </c>
      <c r="G10">
        <v>195</v>
      </c>
      <c r="H10" s="25">
        <v>216</v>
      </c>
    </row>
    <row r="11" spans="2:8">
      <c r="B11" t="s">
        <v>677</v>
      </c>
      <c r="G11" s="16">
        <v>2000</v>
      </c>
      <c r="H11" s="25">
        <v>2000</v>
      </c>
    </row>
    <row r="12" spans="2:8">
      <c r="B12" t="s">
        <v>33</v>
      </c>
      <c r="C12">
        <v>5.9</v>
      </c>
      <c r="D12">
        <v>95</v>
      </c>
      <c r="E12">
        <v>1</v>
      </c>
      <c r="G12">
        <v>6</v>
      </c>
      <c r="H12" s="25">
        <v>108</v>
      </c>
    </row>
    <row r="13" spans="2:8">
      <c r="B13" t="s">
        <v>680</v>
      </c>
      <c r="G13" s="16">
        <v>7425</v>
      </c>
      <c r="H13" s="25">
        <v>7425</v>
      </c>
    </row>
    <row r="14" spans="2:8">
      <c r="B14" t="s">
        <v>14</v>
      </c>
      <c r="C14">
        <v>25</v>
      </c>
      <c r="G14">
        <v>350</v>
      </c>
      <c r="H14" s="25">
        <v>375</v>
      </c>
    </row>
    <row r="15" spans="2:8">
      <c r="B15" t="s">
        <v>126</v>
      </c>
      <c r="G15">
        <v>500</v>
      </c>
      <c r="H15" s="25">
        <v>500</v>
      </c>
    </row>
    <row r="16" spans="2:8">
      <c r="B16" t="s">
        <v>36</v>
      </c>
      <c r="G16" s="16">
        <v>3855</v>
      </c>
      <c r="H16" s="25">
        <v>3855</v>
      </c>
    </row>
    <row r="17" spans="2:8">
      <c r="B17" t="s">
        <v>34</v>
      </c>
      <c r="D17">
        <v>2.2999999999999998</v>
      </c>
      <c r="G17" s="16">
        <v>2341</v>
      </c>
      <c r="H17" s="25">
        <v>2343</v>
      </c>
    </row>
    <row r="18" spans="2:8">
      <c r="B18" t="s">
        <v>32</v>
      </c>
      <c r="G18" s="16">
        <v>14650</v>
      </c>
      <c r="H18" s="25">
        <v>14650</v>
      </c>
    </row>
    <row r="19" spans="2:8">
      <c r="B19" t="s">
        <v>38</v>
      </c>
      <c r="G19" s="16">
        <v>7486</v>
      </c>
      <c r="H19" s="25">
        <v>7486</v>
      </c>
    </row>
    <row r="20" spans="2:8">
      <c r="B20" t="s">
        <v>12</v>
      </c>
      <c r="E20">
        <v>12</v>
      </c>
      <c r="F20" s="16">
        <v>6042</v>
      </c>
      <c r="G20">
        <v>154</v>
      </c>
      <c r="H20" s="25">
        <v>6268</v>
      </c>
    </row>
    <row r="21" spans="2:8">
      <c r="B21" t="s">
        <v>11</v>
      </c>
      <c r="C21">
        <v>80</v>
      </c>
      <c r="E21">
        <v>205</v>
      </c>
      <c r="G21" s="16">
        <v>28981</v>
      </c>
      <c r="H21" s="25">
        <v>29266</v>
      </c>
    </row>
    <row r="22" spans="2:8">
      <c r="B22" s="20" t="s">
        <v>68</v>
      </c>
      <c r="C22" s="20">
        <f>SUM(C4:C21)</f>
        <v>123.4</v>
      </c>
      <c r="D22" s="20">
        <f t="shared" ref="D22:H22" si="0">SUM(D4:D21)</f>
        <v>447.1</v>
      </c>
      <c r="E22" s="20">
        <f t="shared" si="0"/>
        <v>218</v>
      </c>
      <c r="F22" s="17">
        <f t="shared" si="0"/>
        <v>6042</v>
      </c>
      <c r="G22" s="17">
        <f t="shared" si="0"/>
        <v>95708</v>
      </c>
      <c r="H22" s="26">
        <f t="shared" si="0"/>
        <v>102597</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N48"/>
  <sheetViews>
    <sheetView zoomScaleNormal="100" workbookViewId="0">
      <selection activeCell="B1" sqref="B1"/>
    </sheetView>
  </sheetViews>
  <sheetFormatPr defaultColWidth="11" defaultRowHeight="15.6"/>
  <cols>
    <col min="2" max="2" width="22.69921875" style="3" customWidth="1"/>
  </cols>
  <sheetData>
    <row r="1" spans="2:40" ht="23.4">
      <c r="B1" s="4" t="s">
        <v>887</v>
      </c>
    </row>
    <row r="2" spans="2:40" ht="16.2" thickBot="1"/>
    <row r="3" spans="2:40" s="27" customFormat="1">
      <c r="B3" s="119" t="s">
        <v>39</v>
      </c>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1"/>
    </row>
    <row r="4" spans="2:40" s="27" customFormat="1">
      <c r="B4" s="27" t="s">
        <v>18</v>
      </c>
      <c r="C4" s="27" t="s">
        <v>306</v>
      </c>
      <c r="D4" s="27" t="s">
        <v>307</v>
      </c>
      <c r="E4" s="27" t="s">
        <v>308</v>
      </c>
      <c r="F4" s="27" t="s">
        <v>309</v>
      </c>
      <c r="G4" s="27" t="s">
        <v>310</v>
      </c>
      <c r="H4" s="27" t="s">
        <v>106</v>
      </c>
      <c r="I4" s="27" t="s">
        <v>107</v>
      </c>
      <c r="J4" s="27" t="s">
        <v>108</v>
      </c>
      <c r="K4" s="27" t="s">
        <v>109</v>
      </c>
      <c r="L4" s="27" t="s">
        <v>110</v>
      </c>
      <c r="M4" s="27" t="s">
        <v>111</v>
      </c>
      <c r="N4" s="27" t="s">
        <v>112</v>
      </c>
      <c r="O4" s="27" t="s">
        <v>113</v>
      </c>
      <c r="P4" s="27" t="s">
        <v>114</v>
      </c>
      <c r="Q4" s="27" t="s">
        <v>115</v>
      </c>
      <c r="R4" s="27" t="s">
        <v>116</v>
      </c>
      <c r="S4" s="27" t="s">
        <v>117</v>
      </c>
      <c r="T4" s="27" t="s">
        <v>118</v>
      </c>
      <c r="U4" s="27" t="s">
        <v>119</v>
      </c>
      <c r="V4" s="27" t="s">
        <v>120</v>
      </c>
      <c r="W4" s="27" t="s">
        <v>121</v>
      </c>
      <c r="X4" s="27" t="s">
        <v>122</v>
      </c>
      <c r="Y4" s="27" t="s">
        <v>123</v>
      </c>
      <c r="Z4" s="27" t="s">
        <v>124</v>
      </c>
      <c r="AA4" s="27" t="s">
        <v>125</v>
      </c>
      <c r="AB4" s="27" t="s">
        <v>95</v>
      </c>
      <c r="AC4" s="27" t="s">
        <v>96</v>
      </c>
      <c r="AD4" s="27" t="s">
        <v>97</v>
      </c>
      <c r="AE4" s="27" t="s">
        <v>98</v>
      </c>
      <c r="AF4" s="27" t="s">
        <v>99</v>
      </c>
      <c r="AG4" s="27" t="s">
        <v>100</v>
      </c>
      <c r="AH4" s="27" t="s">
        <v>101</v>
      </c>
      <c r="AI4" s="27" t="s">
        <v>102</v>
      </c>
      <c r="AJ4" s="27" t="s">
        <v>103</v>
      </c>
      <c r="AK4" s="27" t="s">
        <v>104</v>
      </c>
      <c r="AL4" s="27" t="s">
        <v>105</v>
      </c>
      <c r="AM4" s="27" t="s">
        <v>134</v>
      </c>
      <c r="AN4" s="27" t="s">
        <v>135</v>
      </c>
    </row>
    <row r="5" spans="2:40" s="27" customFormat="1">
      <c r="B5" s="27" t="s">
        <v>169</v>
      </c>
      <c r="C5" s="30">
        <v>0</v>
      </c>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v>0</v>
      </c>
      <c r="AH5" s="30">
        <v>0</v>
      </c>
      <c r="AI5" s="30">
        <v>0</v>
      </c>
      <c r="AJ5" s="30">
        <v>0</v>
      </c>
      <c r="AK5" s="30">
        <v>2200</v>
      </c>
      <c r="AL5" s="30">
        <v>0</v>
      </c>
      <c r="AM5" s="30">
        <v>0</v>
      </c>
      <c r="AN5" s="30">
        <v>0</v>
      </c>
    </row>
    <row r="6" spans="2:40" s="27" customFormat="1">
      <c r="B6" s="27" t="s">
        <v>4</v>
      </c>
      <c r="C6" s="30">
        <v>0</v>
      </c>
      <c r="D6" s="30">
        <v>0</v>
      </c>
      <c r="E6" s="30">
        <v>0</v>
      </c>
      <c r="F6" s="30">
        <v>0</v>
      </c>
      <c r="G6" s="30">
        <v>0</v>
      </c>
      <c r="H6" s="30">
        <v>0</v>
      </c>
      <c r="I6" s="30">
        <v>0</v>
      </c>
      <c r="J6" s="30">
        <v>0</v>
      </c>
      <c r="K6" s="30">
        <v>0</v>
      </c>
      <c r="L6" s="30">
        <v>0</v>
      </c>
      <c r="M6" s="30">
        <v>0</v>
      </c>
      <c r="N6" s="30">
        <v>0</v>
      </c>
      <c r="O6" s="30">
        <v>0</v>
      </c>
      <c r="P6" s="30">
        <v>30</v>
      </c>
      <c r="Q6" s="30">
        <v>165</v>
      </c>
      <c r="R6" s="30">
        <v>184.5</v>
      </c>
      <c r="S6" s="30">
        <v>110.7</v>
      </c>
      <c r="T6" s="30">
        <v>0</v>
      </c>
      <c r="U6" s="30">
        <v>222</v>
      </c>
      <c r="V6" s="30">
        <v>0</v>
      </c>
      <c r="W6" s="30">
        <v>0</v>
      </c>
      <c r="X6" s="30">
        <v>165</v>
      </c>
      <c r="Y6" s="30">
        <v>309</v>
      </c>
      <c r="Z6" s="30">
        <v>369.6</v>
      </c>
      <c r="AA6" s="30">
        <v>706</v>
      </c>
      <c r="AB6" s="30">
        <v>0</v>
      </c>
      <c r="AC6" s="30">
        <v>0</v>
      </c>
      <c r="AD6" s="30">
        <v>0</v>
      </c>
      <c r="AE6" s="30">
        <v>0</v>
      </c>
      <c r="AF6" s="30">
        <v>0</v>
      </c>
      <c r="AG6" s="30">
        <v>0</v>
      </c>
      <c r="AH6" s="30">
        <v>700</v>
      </c>
      <c r="AI6" s="30">
        <v>1400</v>
      </c>
      <c r="AJ6" s="30">
        <v>1400</v>
      </c>
      <c r="AK6" s="30">
        <v>0</v>
      </c>
      <c r="AL6" s="30">
        <v>0</v>
      </c>
      <c r="AM6" s="30">
        <v>0</v>
      </c>
      <c r="AN6" s="30">
        <v>0</v>
      </c>
    </row>
    <row r="7" spans="2:40" s="27" customFormat="1">
      <c r="B7" s="27" t="s">
        <v>5</v>
      </c>
      <c r="C7" s="30">
        <v>0</v>
      </c>
      <c r="D7" s="30">
        <v>0</v>
      </c>
      <c r="E7" s="30">
        <v>0</v>
      </c>
      <c r="F7" s="30">
        <v>0</v>
      </c>
      <c r="G7" s="30">
        <v>0</v>
      </c>
      <c r="H7" s="30">
        <v>0</v>
      </c>
      <c r="I7" s="30">
        <v>0</v>
      </c>
      <c r="J7" s="30">
        <v>0</v>
      </c>
      <c r="K7" s="30">
        <v>0</v>
      </c>
      <c r="L7" s="30">
        <v>0</v>
      </c>
      <c r="M7" s="30">
        <v>0</v>
      </c>
      <c r="N7" s="30">
        <v>0</v>
      </c>
      <c r="O7" s="30">
        <v>0</v>
      </c>
      <c r="P7" s="30">
        <v>0</v>
      </c>
      <c r="Q7" s="30">
        <v>142.5</v>
      </c>
      <c r="R7" s="30">
        <v>2.5</v>
      </c>
      <c r="S7" s="30">
        <v>207.5</v>
      </c>
      <c r="T7" s="30">
        <v>174.2</v>
      </c>
      <c r="U7" s="30">
        <v>0</v>
      </c>
      <c r="V7" s="30">
        <v>296</v>
      </c>
      <c r="W7" s="30">
        <v>804.8</v>
      </c>
      <c r="X7" s="30">
        <v>1174.4000000000001</v>
      </c>
      <c r="Y7" s="30">
        <v>2221.5</v>
      </c>
      <c r="Z7" s="30">
        <v>3130.3</v>
      </c>
      <c r="AA7" s="30">
        <v>5955.4</v>
      </c>
      <c r="AB7" s="30">
        <v>11086</v>
      </c>
      <c r="AC7" s="30">
        <v>4009.6</v>
      </c>
      <c r="AD7" s="30">
        <v>4056</v>
      </c>
      <c r="AE7" s="30">
        <v>6671.85</v>
      </c>
      <c r="AF7" s="30">
        <v>5397</v>
      </c>
      <c r="AG7" s="30">
        <v>4000</v>
      </c>
      <c r="AH7" s="30">
        <v>3900</v>
      </c>
      <c r="AI7" s="30">
        <v>6100</v>
      </c>
      <c r="AJ7" s="30">
        <v>6098.5</v>
      </c>
      <c r="AK7" s="30">
        <v>9598</v>
      </c>
      <c r="AL7" s="30">
        <v>7150</v>
      </c>
      <c r="AM7" s="30">
        <v>9100</v>
      </c>
      <c r="AN7" s="30">
        <v>2558.4</v>
      </c>
    </row>
    <row r="8" spans="2:40" s="27" customFormat="1">
      <c r="B8" s="27" t="s">
        <v>6</v>
      </c>
      <c r="C8" s="30">
        <v>5</v>
      </c>
      <c r="D8" s="30">
        <v>0</v>
      </c>
      <c r="E8" s="30">
        <v>0</v>
      </c>
      <c r="F8" s="30">
        <v>0</v>
      </c>
      <c r="G8" s="30">
        <v>0</v>
      </c>
      <c r="H8" s="30">
        <v>40</v>
      </c>
      <c r="I8" s="30">
        <v>0</v>
      </c>
      <c r="J8" s="30">
        <v>376.4</v>
      </c>
      <c r="K8" s="30">
        <v>0</v>
      </c>
      <c r="L8" s="30">
        <v>0</v>
      </c>
      <c r="M8" s="30">
        <v>0</v>
      </c>
      <c r="N8" s="30">
        <v>0</v>
      </c>
      <c r="O8" s="30">
        <v>0</v>
      </c>
      <c r="P8" s="30">
        <v>209.3</v>
      </c>
      <c r="Q8" s="30">
        <v>238.8</v>
      </c>
      <c r="R8" s="30">
        <v>0</v>
      </c>
      <c r="S8" s="30">
        <v>399.6</v>
      </c>
      <c r="T8" s="30">
        <v>0</v>
      </c>
      <c r="U8" s="30">
        <v>0</v>
      </c>
      <c r="V8" s="30">
        <v>0</v>
      </c>
      <c r="W8" s="30">
        <v>0</v>
      </c>
      <c r="X8" s="30">
        <v>0</v>
      </c>
      <c r="Y8" s="30">
        <v>434.7</v>
      </c>
      <c r="Z8" s="30">
        <v>0</v>
      </c>
      <c r="AA8" s="30">
        <v>0</v>
      </c>
      <c r="AB8" s="30">
        <v>605</v>
      </c>
      <c r="AC8" s="30">
        <v>0</v>
      </c>
      <c r="AD8" s="30">
        <v>344</v>
      </c>
      <c r="AE8" s="30">
        <v>416</v>
      </c>
      <c r="AF8" s="30">
        <v>0</v>
      </c>
      <c r="AG8" s="30">
        <v>1286</v>
      </c>
      <c r="AH8" s="30">
        <v>240</v>
      </c>
      <c r="AI8" s="30">
        <v>160</v>
      </c>
      <c r="AJ8" s="30">
        <v>1200</v>
      </c>
      <c r="AK8" s="30">
        <v>1900</v>
      </c>
      <c r="AL8" s="30">
        <v>3900</v>
      </c>
      <c r="AM8" s="30">
        <v>4000</v>
      </c>
      <c r="AN8" s="30">
        <v>3000</v>
      </c>
    </row>
    <row r="9" spans="2:40" s="27" customFormat="1">
      <c r="B9" s="27" t="s">
        <v>7</v>
      </c>
      <c r="C9" s="30">
        <v>0</v>
      </c>
      <c r="D9" s="30">
        <v>0</v>
      </c>
      <c r="E9" s="30">
        <v>0</v>
      </c>
      <c r="F9" s="30">
        <v>0</v>
      </c>
      <c r="G9" s="30">
        <v>0</v>
      </c>
      <c r="H9" s="30">
        <v>0</v>
      </c>
      <c r="I9" s="30">
        <v>0</v>
      </c>
      <c r="J9" s="30">
        <v>0</v>
      </c>
      <c r="K9" s="30">
        <v>0</v>
      </c>
      <c r="L9" s="30">
        <v>4.5</v>
      </c>
      <c r="M9" s="30">
        <v>0</v>
      </c>
      <c r="N9" s="30">
        <v>2.5</v>
      </c>
      <c r="O9" s="30">
        <v>0</v>
      </c>
      <c r="P9" s="30">
        <v>60</v>
      </c>
      <c r="Q9" s="30">
        <v>0</v>
      </c>
      <c r="R9" s="30">
        <v>448.3</v>
      </c>
      <c r="S9" s="30">
        <v>200</v>
      </c>
      <c r="T9" s="30">
        <v>1091.2</v>
      </c>
      <c r="U9" s="30">
        <v>1190</v>
      </c>
      <c r="V9" s="30">
        <v>288</v>
      </c>
      <c r="W9" s="30">
        <v>1202.0999999999999</v>
      </c>
      <c r="X9" s="30">
        <v>862.7</v>
      </c>
      <c r="Y9" s="30">
        <v>781</v>
      </c>
      <c r="Z9" s="30">
        <v>1402</v>
      </c>
      <c r="AA9" s="30">
        <v>112</v>
      </c>
      <c r="AB9" s="30">
        <v>0</v>
      </c>
      <c r="AC9" s="30">
        <v>0</v>
      </c>
      <c r="AD9" s="30">
        <v>599</v>
      </c>
      <c r="AE9" s="30">
        <v>1642</v>
      </c>
      <c r="AF9" s="30">
        <v>900</v>
      </c>
      <c r="AG9" s="30">
        <v>968</v>
      </c>
      <c r="AH9" s="30">
        <v>930</v>
      </c>
      <c r="AI9" s="30">
        <v>1800</v>
      </c>
      <c r="AJ9" s="30">
        <v>4000</v>
      </c>
      <c r="AK9" s="30">
        <v>4500</v>
      </c>
      <c r="AL9" s="30">
        <v>4500</v>
      </c>
      <c r="AM9" s="30">
        <v>4170</v>
      </c>
      <c r="AN9" s="30">
        <v>4000</v>
      </c>
    </row>
    <row r="10" spans="2:40" s="27" customFormat="1">
      <c r="B10" s="27" t="s">
        <v>37</v>
      </c>
      <c r="C10" s="30">
        <v>0</v>
      </c>
      <c r="D10" s="30">
        <v>0</v>
      </c>
      <c r="E10" s="30">
        <v>0</v>
      </c>
      <c r="F10" s="30">
        <v>0</v>
      </c>
      <c r="G10" s="30">
        <v>0</v>
      </c>
      <c r="H10" s="30">
        <v>0</v>
      </c>
      <c r="I10" s="30">
        <v>0</v>
      </c>
      <c r="J10" s="30">
        <v>0</v>
      </c>
      <c r="K10" s="30">
        <v>11.32</v>
      </c>
      <c r="L10" s="30">
        <v>0</v>
      </c>
      <c r="M10" s="30">
        <v>0</v>
      </c>
      <c r="N10" s="30">
        <v>0</v>
      </c>
      <c r="O10" s="30">
        <v>0</v>
      </c>
      <c r="P10" s="30">
        <v>0</v>
      </c>
      <c r="Q10" s="30">
        <v>14</v>
      </c>
      <c r="R10" s="30">
        <v>0</v>
      </c>
      <c r="S10" s="30">
        <v>6.0000000000000001E-3</v>
      </c>
      <c r="T10" s="30">
        <v>18.399999999999999</v>
      </c>
      <c r="U10" s="30">
        <v>0</v>
      </c>
      <c r="V10" s="30">
        <v>0</v>
      </c>
      <c r="W10" s="30">
        <v>0</v>
      </c>
      <c r="X10" s="30">
        <v>2</v>
      </c>
      <c r="Y10" s="30">
        <v>3</v>
      </c>
      <c r="Z10" s="30">
        <v>0</v>
      </c>
      <c r="AA10" s="30">
        <v>0</v>
      </c>
      <c r="AB10" s="30">
        <v>0</v>
      </c>
      <c r="AC10" s="30">
        <v>138.6</v>
      </c>
      <c r="AD10" s="30">
        <v>0</v>
      </c>
      <c r="AE10" s="30">
        <v>229</v>
      </c>
      <c r="AF10" s="30">
        <v>159.6</v>
      </c>
      <c r="AG10" s="30">
        <v>45</v>
      </c>
      <c r="AH10" s="30">
        <v>0</v>
      </c>
      <c r="AI10" s="30">
        <v>966</v>
      </c>
      <c r="AJ10" s="30">
        <v>926</v>
      </c>
      <c r="AK10" s="30">
        <v>1610</v>
      </c>
      <c r="AL10" s="30">
        <v>2870</v>
      </c>
      <c r="AM10" s="30">
        <v>1000</v>
      </c>
      <c r="AN10" s="30">
        <v>2600</v>
      </c>
    </row>
    <row r="11" spans="2:40" s="27" customFormat="1">
      <c r="B11" s="27" t="s">
        <v>8</v>
      </c>
      <c r="C11" s="30">
        <v>0</v>
      </c>
      <c r="D11" s="30">
        <v>16.8</v>
      </c>
      <c r="E11" s="30">
        <v>0</v>
      </c>
      <c r="F11" s="30">
        <v>0</v>
      </c>
      <c r="G11" s="30">
        <v>0</v>
      </c>
      <c r="H11" s="30">
        <v>0</v>
      </c>
      <c r="I11" s="30">
        <v>0</v>
      </c>
      <c r="J11" s="30">
        <v>0</v>
      </c>
      <c r="K11" s="30">
        <v>0</v>
      </c>
      <c r="L11" s="30">
        <v>0</v>
      </c>
      <c r="M11" s="30">
        <v>0</v>
      </c>
      <c r="N11" s="30">
        <v>228</v>
      </c>
      <c r="O11" s="30">
        <v>0</v>
      </c>
      <c r="P11" s="30">
        <v>0</v>
      </c>
      <c r="Q11" s="30">
        <v>0</v>
      </c>
      <c r="R11" s="30">
        <v>0</v>
      </c>
      <c r="S11" s="30">
        <v>0</v>
      </c>
      <c r="T11" s="30">
        <v>0</v>
      </c>
      <c r="U11" s="30">
        <v>0</v>
      </c>
      <c r="V11" s="30">
        <v>129</v>
      </c>
      <c r="W11" s="30">
        <v>744</v>
      </c>
      <c r="X11" s="30">
        <v>0</v>
      </c>
      <c r="Y11" s="30">
        <v>0</v>
      </c>
      <c r="Z11" s="30">
        <v>0</v>
      </c>
      <c r="AA11" s="30">
        <v>731.5</v>
      </c>
      <c r="AB11" s="30">
        <v>1153.7</v>
      </c>
      <c r="AC11" s="30">
        <v>1540</v>
      </c>
      <c r="AD11" s="30">
        <v>759</v>
      </c>
      <c r="AE11" s="30">
        <v>0</v>
      </c>
      <c r="AF11" s="30">
        <v>1516</v>
      </c>
      <c r="AG11" s="30">
        <v>0</v>
      </c>
      <c r="AH11" s="30">
        <v>0</v>
      </c>
      <c r="AI11" s="30">
        <v>2000</v>
      </c>
      <c r="AJ11" s="30">
        <v>4000</v>
      </c>
      <c r="AK11" s="30">
        <v>4000</v>
      </c>
      <c r="AL11" s="30">
        <v>2700</v>
      </c>
      <c r="AM11" s="30">
        <v>4000</v>
      </c>
      <c r="AN11" s="30">
        <v>2200</v>
      </c>
    </row>
    <row r="12" spans="2:40" s="27" customFormat="1">
      <c r="B12" s="27" t="s">
        <v>86</v>
      </c>
      <c r="C12" s="30">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v>0</v>
      </c>
      <c r="AH12" s="30">
        <v>400</v>
      </c>
      <c r="AI12" s="30">
        <v>1656</v>
      </c>
      <c r="AJ12" s="30">
        <v>0</v>
      </c>
      <c r="AK12" s="30">
        <v>0</v>
      </c>
      <c r="AL12" s="30">
        <v>624</v>
      </c>
      <c r="AM12" s="30">
        <v>0</v>
      </c>
      <c r="AN12" s="30">
        <v>6507</v>
      </c>
    </row>
    <row r="13" spans="2:40" s="27" customFormat="1">
      <c r="B13" s="27" t="s">
        <v>9</v>
      </c>
      <c r="C13" s="30">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30</v>
      </c>
      <c r="X13" s="30">
        <v>11</v>
      </c>
      <c r="Y13" s="30">
        <v>60</v>
      </c>
      <c r="Z13" s="30">
        <v>0</v>
      </c>
      <c r="AA13" s="30">
        <v>120.75</v>
      </c>
      <c r="AB13" s="30">
        <v>749.2</v>
      </c>
      <c r="AC13" s="30">
        <v>1866.7</v>
      </c>
      <c r="AD13" s="30">
        <v>13</v>
      </c>
      <c r="AE13" s="30">
        <v>99</v>
      </c>
      <c r="AF13" s="30">
        <v>3124</v>
      </c>
      <c r="AG13" s="30">
        <v>1296</v>
      </c>
      <c r="AH13" s="30">
        <v>2586</v>
      </c>
      <c r="AI13" s="30">
        <v>2924</v>
      </c>
      <c r="AJ13" s="30">
        <v>3214</v>
      </c>
      <c r="AK13" s="30">
        <v>3752</v>
      </c>
      <c r="AL13" s="30">
        <v>3900</v>
      </c>
      <c r="AM13" s="30">
        <v>3494</v>
      </c>
      <c r="AN13" s="30">
        <v>4610</v>
      </c>
    </row>
    <row r="14" spans="2:40" s="27" customFormat="1">
      <c r="B14" s="27" t="s">
        <v>10</v>
      </c>
      <c r="C14" s="30">
        <v>0</v>
      </c>
      <c r="D14" s="30">
        <v>0</v>
      </c>
      <c r="E14" s="30">
        <v>0</v>
      </c>
      <c r="F14" s="30">
        <v>0</v>
      </c>
      <c r="G14" s="30">
        <v>0</v>
      </c>
      <c r="H14" s="30">
        <v>0</v>
      </c>
      <c r="I14" s="30">
        <v>0</v>
      </c>
      <c r="J14" s="30">
        <v>0</v>
      </c>
      <c r="K14" s="30">
        <v>25.2</v>
      </c>
      <c r="L14" s="30">
        <v>0</v>
      </c>
      <c r="M14" s="30">
        <v>0</v>
      </c>
      <c r="N14" s="30">
        <v>0</v>
      </c>
      <c r="O14" s="30">
        <v>0</v>
      </c>
      <c r="P14" s="30">
        <v>0</v>
      </c>
      <c r="Q14" s="30">
        <v>2.2999999999999998</v>
      </c>
      <c r="R14" s="30">
        <v>2.2999999999999998</v>
      </c>
      <c r="S14" s="30">
        <v>0</v>
      </c>
      <c r="T14" s="30">
        <v>0</v>
      </c>
      <c r="U14" s="30">
        <v>0</v>
      </c>
      <c r="V14" s="30">
        <v>0</v>
      </c>
      <c r="W14" s="30">
        <v>0</v>
      </c>
      <c r="X14" s="30">
        <v>26.4</v>
      </c>
      <c r="Y14" s="30">
        <v>44</v>
      </c>
      <c r="Z14" s="30">
        <v>5</v>
      </c>
      <c r="AA14" s="30">
        <v>25</v>
      </c>
      <c r="AB14" s="30">
        <v>0</v>
      </c>
      <c r="AC14" s="30">
        <v>1009.825</v>
      </c>
      <c r="AD14" s="30">
        <v>1171.7</v>
      </c>
      <c r="AE14" s="30">
        <v>86.2</v>
      </c>
      <c r="AF14" s="30">
        <v>498.5</v>
      </c>
      <c r="AG14" s="30">
        <v>1755</v>
      </c>
      <c r="AH14" s="30">
        <v>990</v>
      </c>
      <c r="AI14" s="30">
        <v>2851.9</v>
      </c>
      <c r="AJ14" s="30">
        <v>6192.9</v>
      </c>
      <c r="AK14" s="30">
        <v>3286</v>
      </c>
      <c r="AL14" s="30">
        <v>9762.5</v>
      </c>
      <c r="AM14" s="30">
        <v>5825</v>
      </c>
      <c r="AN14" s="30">
        <v>8850</v>
      </c>
    </row>
    <row r="15" spans="2:40" s="27" customFormat="1">
      <c r="B15" s="27" t="s">
        <v>32</v>
      </c>
      <c r="C15" s="30">
        <v>0</v>
      </c>
      <c r="D15" s="30">
        <v>0</v>
      </c>
      <c r="E15" s="30">
        <v>3.3</v>
      </c>
      <c r="F15" s="30">
        <v>0</v>
      </c>
      <c r="G15" s="30">
        <v>0</v>
      </c>
      <c r="H15" s="30">
        <v>0</v>
      </c>
      <c r="I15" s="30">
        <v>0</v>
      </c>
      <c r="J15" s="30">
        <v>0</v>
      </c>
      <c r="K15" s="30">
        <v>0</v>
      </c>
      <c r="L15" s="30">
        <v>0</v>
      </c>
      <c r="M15" s="30">
        <v>0</v>
      </c>
      <c r="N15" s="30">
        <v>110.4</v>
      </c>
      <c r="O15" s="30">
        <v>0</v>
      </c>
      <c r="P15" s="30">
        <v>0</v>
      </c>
      <c r="Q15" s="30">
        <v>30</v>
      </c>
      <c r="R15" s="30">
        <v>0</v>
      </c>
      <c r="S15" s="30">
        <v>0</v>
      </c>
      <c r="T15" s="30">
        <v>48</v>
      </c>
      <c r="U15" s="30">
        <v>0</v>
      </c>
      <c r="V15" s="30">
        <v>0</v>
      </c>
      <c r="W15" s="30">
        <v>0.03</v>
      </c>
      <c r="X15" s="30">
        <v>0</v>
      </c>
      <c r="Y15" s="30">
        <v>0</v>
      </c>
      <c r="Z15" s="30">
        <v>0</v>
      </c>
      <c r="AA15" s="30">
        <v>0</v>
      </c>
      <c r="AB15" s="30">
        <v>0</v>
      </c>
      <c r="AC15" s="30">
        <v>0</v>
      </c>
      <c r="AD15" s="30">
        <v>0</v>
      </c>
      <c r="AE15" s="30">
        <v>100</v>
      </c>
      <c r="AF15" s="30">
        <v>0</v>
      </c>
      <c r="AG15" s="30">
        <v>0</v>
      </c>
      <c r="AH15" s="30">
        <v>0</v>
      </c>
      <c r="AI15" s="30">
        <v>640</v>
      </c>
      <c r="AJ15" s="30">
        <v>0</v>
      </c>
      <c r="AK15" s="30">
        <v>500</v>
      </c>
      <c r="AL15" s="30">
        <v>0</v>
      </c>
      <c r="AM15" s="30">
        <v>864</v>
      </c>
      <c r="AN15" s="30">
        <v>2000</v>
      </c>
    </row>
    <row r="16" spans="2:40" s="27" customFormat="1">
      <c r="B16" s="27" t="s">
        <v>11</v>
      </c>
      <c r="C16" s="30">
        <v>0</v>
      </c>
      <c r="D16" s="30">
        <v>0</v>
      </c>
      <c r="E16" s="30">
        <v>0</v>
      </c>
      <c r="F16" s="30">
        <v>0</v>
      </c>
      <c r="G16" s="30">
        <v>0</v>
      </c>
      <c r="H16" s="30">
        <v>0</v>
      </c>
      <c r="I16" s="30">
        <v>0</v>
      </c>
      <c r="J16" s="30">
        <v>0</v>
      </c>
      <c r="K16" s="30">
        <v>120</v>
      </c>
      <c r="L16" s="30">
        <v>90</v>
      </c>
      <c r="M16" s="30">
        <v>90</v>
      </c>
      <c r="N16" s="30">
        <v>90</v>
      </c>
      <c r="O16" s="30">
        <v>368.4</v>
      </c>
      <c r="P16" s="30">
        <v>262.8</v>
      </c>
      <c r="Q16" s="30">
        <v>1120.8</v>
      </c>
      <c r="R16" s="30">
        <v>333.6</v>
      </c>
      <c r="S16" s="30">
        <v>1083.5999999999999</v>
      </c>
      <c r="T16" s="30">
        <v>650.1</v>
      </c>
      <c r="U16" s="30">
        <v>615</v>
      </c>
      <c r="V16" s="30">
        <v>210</v>
      </c>
      <c r="W16" s="30">
        <v>49.5</v>
      </c>
      <c r="X16" s="30">
        <v>1982.7</v>
      </c>
      <c r="Y16" s="30">
        <v>1318.5</v>
      </c>
      <c r="Z16" s="30">
        <v>2027.2</v>
      </c>
      <c r="AA16" s="30">
        <v>950</v>
      </c>
      <c r="AB16" s="30">
        <v>2739</v>
      </c>
      <c r="AC16" s="30">
        <v>1140</v>
      </c>
      <c r="AD16" s="30">
        <v>1235</v>
      </c>
      <c r="AE16" s="30">
        <v>2117</v>
      </c>
      <c r="AF16" s="30">
        <v>3698</v>
      </c>
      <c r="AG16" s="30">
        <v>1929.9</v>
      </c>
      <c r="AH16" s="30">
        <v>4709</v>
      </c>
      <c r="AI16" s="30">
        <v>2658.4</v>
      </c>
      <c r="AJ16" s="30">
        <v>4559</v>
      </c>
      <c r="AK16" s="30">
        <v>1904</v>
      </c>
      <c r="AL16" s="30">
        <v>2133</v>
      </c>
      <c r="AM16" s="30">
        <v>6100</v>
      </c>
      <c r="AN16" s="30">
        <v>1500</v>
      </c>
    </row>
    <row r="17" spans="2:40" s="27" customFormat="1">
      <c r="B17" s="27" t="s">
        <v>12</v>
      </c>
      <c r="C17" s="30">
        <v>0</v>
      </c>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30</v>
      </c>
      <c r="X17" s="30">
        <v>0</v>
      </c>
      <c r="Y17" s="30">
        <v>0</v>
      </c>
      <c r="Z17" s="30">
        <v>0</v>
      </c>
      <c r="AA17" s="30">
        <v>0</v>
      </c>
      <c r="AB17" s="30">
        <v>12</v>
      </c>
      <c r="AC17" s="30">
        <v>0</v>
      </c>
      <c r="AD17" s="30">
        <v>0</v>
      </c>
      <c r="AE17" s="30">
        <v>20.7</v>
      </c>
      <c r="AF17" s="30">
        <v>4391.2</v>
      </c>
      <c r="AG17" s="30">
        <v>3794.5</v>
      </c>
      <c r="AH17" s="30">
        <v>4782.6000000000004</v>
      </c>
      <c r="AI17" s="30">
        <v>2382</v>
      </c>
      <c r="AJ17" s="30">
        <v>4222</v>
      </c>
      <c r="AK17" s="30">
        <v>4990</v>
      </c>
      <c r="AL17" s="30">
        <v>9150</v>
      </c>
      <c r="AM17" s="30">
        <v>19567</v>
      </c>
      <c r="AN17" s="30">
        <v>5835</v>
      </c>
    </row>
    <row r="18" spans="2:40" s="27" customFormat="1">
      <c r="B18" s="27" t="s">
        <v>15</v>
      </c>
      <c r="C18" s="30">
        <v>0</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16</v>
      </c>
      <c r="U18" s="30">
        <v>0</v>
      </c>
      <c r="V18" s="30">
        <v>83.2</v>
      </c>
      <c r="W18" s="30">
        <v>0</v>
      </c>
      <c r="X18" s="30">
        <v>0</v>
      </c>
      <c r="Y18" s="30">
        <v>0</v>
      </c>
      <c r="Z18" s="30">
        <v>0</v>
      </c>
      <c r="AA18" s="30">
        <v>0</v>
      </c>
      <c r="AB18" s="30">
        <v>473.3</v>
      </c>
      <c r="AC18" s="30">
        <v>1121.5</v>
      </c>
      <c r="AD18" s="30">
        <v>310</v>
      </c>
      <c r="AE18" s="30">
        <v>885</v>
      </c>
      <c r="AF18" s="30">
        <v>638</v>
      </c>
      <c r="AG18" s="30">
        <v>500</v>
      </c>
      <c r="AH18" s="30">
        <v>600</v>
      </c>
      <c r="AI18" s="30">
        <v>1000</v>
      </c>
      <c r="AJ18" s="30">
        <v>600</v>
      </c>
      <c r="AK18" s="30">
        <v>0</v>
      </c>
      <c r="AL18" s="30">
        <v>800</v>
      </c>
      <c r="AM18" s="30">
        <v>0</v>
      </c>
      <c r="AN18" s="30">
        <v>800</v>
      </c>
    </row>
    <row r="19" spans="2:40" s="27" customFormat="1">
      <c r="B19" s="27" t="s">
        <v>68</v>
      </c>
      <c r="C19" s="30">
        <f>SUM(Table42[1995])</f>
        <v>5</v>
      </c>
      <c r="D19" s="30">
        <f>SUM(Table42[1996])</f>
        <v>16.8</v>
      </c>
      <c r="E19" s="30">
        <f>SUM(Table42[1997])</f>
        <v>3.3</v>
      </c>
      <c r="F19" s="30">
        <f>SUM(Table42[1998])</f>
        <v>0</v>
      </c>
      <c r="G19" s="30">
        <f>SUM(Table42[1999])</f>
        <v>0</v>
      </c>
      <c r="H19" s="30">
        <f>SUM(Table42[2000])</f>
        <v>40</v>
      </c>
      <c r="I19" s="30">
        <f>SUM(Table42[2001])</f>
        <v>0</v>
      </c>
      <c r="J19" s="30">
        <f>SUM(Table42[2002])</f>
        <v>376.4</v>
      </c>
      <c r="K19" s="30">
        <f>SUM(Table42[2003])</f>
        <v>156.51999999999998</v>
      </c>
      <c r="L19" s="30">
        <f>SUM(Table42[2004])</f>
        <v>94.5</v>
      </c>
      <c r="M19" s="30">
        <f>SUM(Table42[2005])</f>
        <v>90</v>
      </c>
      <c r="N19" s="30">
        <f>SUM(Table42[2006])</f>
        <v>430.9</v>
      </c>
      <c r="O19" s="30">
        <f>SUM(Table42[2007])</f>
        <v>368.4</v>
      </c>
      <c r="P19" s="30">
        <f>SUM(Table42[2008])</f>
        <v>562.1</v>
      </c>
      <c r="Q19" s="30">
        <f>SUM(Table42[2009])</f>
        <v>1713.3999999999999</v>
      </c>
      <c r="R19" s="30">
        <f>SUM(Table42[2010])</f>
        <v>971.19999999999993</v>
      </c>
      <c r="S19" s="30">
        <f>SUM(Table42[2011])</f>
        <v>2001.4059999999999</v>
      </c>
      <c r="T19" s="30">
        <f>SUM(Table42[2012])</f>
        <v>1997.9</v>
      </c>
      <c r="U19" s="30">
        <f>SUM(Table42[2013])</f>
        <v>2027</v>
      </c>
      <c r="V19" s="30">
        <f>SUM(Table42[2014])</f>
        <v>1006.2</v>
      </c>
      <c r="W19" s="30">
        <f>SUM(Table42[2015])</f>
        <v>2860.43</v>
      </c>
      <c r="X19" s="30">
        <f>SUM(Table42[2016])</f>
        <v>4224.2000000000007</v>
      </c>
      <c r="Y19" s="30">
        <f>SUM(Table42[2017])</f>
        <v>5171.7</v>
      </c>
      <c r="Z19" s="30">
        <f>SUM(Table42[2018])</f>
        <v>6934.0999999999995</v>
      </c>
      <c r="AA19" s="30">
        <f>SUM(Table42[2019])</f>
        <v>8600.65</v>
      </c>
      <c r="AB19" s="30">
        <f>SUM(Table42[2020])</f>
        <v>16818.2</v>
      </c>
      <c r="AC19" s="30">
        <f>SUM(Table42[2021])</f>
        <v>10826.225</v>
      </c>
      <c r="AD19" s="30">
        <f>SUM(Table42[2022])</f>
        <v>8487.7000000000007</v>
      </c>
      <c r="AE19" s="30">
        <f>SUM(Table42[2023])</f>
        <v>12266.750000000002</v>
      </c>
      <c r="AF19" s="30">
        <f>SUM(Table42[2024])</f>
        <v>20322.3</v>
      </c>
      <c r="AG19" s="30">
        <f>SUM(Table42[2025])</f>
        <v>15574.4</v>
      </c>
      <c r="AH19" s="30">
        <f>SUM(Table42[2026])</f>
        <v>19837.599999999999</v>
      </c>
      <c r="AI19" s="30">
        <f>SUM(Table42[2027])</f>
        <v>26538.300000000003</v>
      </c>
      <c r="AJ19" s="30">
        <f>SUM(Table42[2028])</f>
        <v>36412.400000000001</v>
      </c>
      <c r="AK19" s="30">
        <f>SUM(Table42[2029])</f>
        <v>38240</v>
      </c>
      <c r="AL19" s="30">
        <f>SUM(Table42[2030])</f>
        <v>47489.5</v>
      </c>
      <c r="AM19" s="30">
        <f>SUM(Table42[2031])</f>
        <v>58120</v>
      </c>
      <c r="AN19" s="30">
        <f>SUM(Table42[2032])</f>
        <v>44460.4</v>
      </c>
    </row>
    <row r="20" spans="2:40" s="27" customFormat="1"/>
    <row r="21" spans="2:40" s="27" customFormat="1" ht="16.2" thickBot="1">
      <c r="B21" s="49"/>
    </row>
    <row r="22" spans="2:40" s="27" customFormat="1">
      <c r="B22" s="119" t="s">
        <v>40</v>
      </c>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1"/>
    </row>
    <row r="23" spans="2:40" s="27" customFormat="1">
      <c r="B23" s="37" t="s">
        <v>18</v>
      </c>
      <c r="C23" s="37" t="s">
        <v>306</v>
      </c>
      <c r="D23" s="37" t="s">
        <v>307</v>
      </c>
      <c r="E23" s="37" t="s">
        <v>308</v>
      </c>
      <c r="F23" s="37" t="s">
        <v>309</v>
      </c>
      <c r="G23" s="37" t="s">
        <v>310</v>
      </c>
      <c r="H23" s="37" t="s">
        <v>106</v>
      </c>
      <c r="I23" s="37" t="s">
        <v>107</v>
      </c>
      <c r="J23" s="37" t="s">
        <v>108</v>
      </c>
      <c r="K23" s="37" t="s">
        <v>109</v>
      </c>
      <c r="L23" s="37" t="s">
        <v>110</v>
      </c>
      <c r="M23" s="37" t="s">
        <v>111</v>
      </c>
      <c r="N23" s="37" t="s">
        <v>112</v>
      </c>
      <c r="O23" s="37" t="s">
        <v>113</v>
      </c>
      <c r="P23" s="37" t="s">
        <v>114</v>
      </c>
      <c r="Q23" s="37" t="s">
        <v>115</v>
      </c>
      <c r="R23" s="37" t="s">
        <v>116</v>
      </c>
      <c r="S23" s="37" t="s">
        <v>117</v>
      </c>
      <c r="T23" s="37" t="s">
        <v>118</v>
      </c>
      <c r="U23" s="37" t="s">
        <v>119</v>
      </c>
      <c r="V23" s="37" t="s">
        <v>120</v>
      </c>
      <c r="W23" s="37" t="s">
        <v>121</v>
      </c>
      <c r="X23" s="37" t="s">
        <v>122</v>
      </c>
      <c r="Y23" s="37" t="s">
        <v>123</v>
      </c>
      <c r="Z23" s="37" t="s">
        <v>124</v>
      </c>
      <c r="AA23" s="37" t="s">
        <v>125</v>
      </c>
      <c r="AB23" s="37" t="s">
        <v>95</v>
      </c>
      <c r="AC23" s="37" t="s">
        <v>96</v>
      </c>
      <c r="AD23" s="37" t="s">
        <v>97</v>
      </c>
      <c r="AE23" s="37" t="s">
        <v>98</v>
      </c>
      <c r="AF23" s="37" t="s">
        <v>99</v>
      </c>
      <c r="AG23" s="37" t="s">
        <v>100</v>
      </c>
      <c r="AH23" s="37" t="s">
        <v>101</v>
      </c>
      <c r="AI23" s="37" t="s">
        <v>102</v>
      </c>
      <c r="AJ23" s="37" t="s">
        <v>103</v>
      </c>
      <c r="AK23" s="37" t="s">
        <v>104</v>
      </c>
      <c r="AL23" s="37" t="s">
        <v>105</v>
      </c>
      <c r="AM23" s="37" t="s">
        <v>134</v>
      </c>
      <c r="AN23" s="37" t="s">
        <v>135</v>
      </c>
    </row>
    <row r="24" spans="2:40" s="27" customFormat="1">
      <c r="B24" s="37" t="s">
        <v>169</v>
      </c>
      <c r="C24" s="30">
        <v>0</v>
      </c>
      <c r="D24" s="30">
        <v>0</v>
      </c>
      <c r="E24" s="30">
        <v>0</v>
      </c>
      <c r="F24" s="30">
        <v>0</v>
      </c>
      <c r="G24" s="30">
        <v>0</v>
      </c>
      <c r="H24" s="30">
        <v>0</v>
      </c>
      <c r="I24" s="30">
        <v>0</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row>
    <row r="25" spans="2:40" s="27" customFormat="1">
      <c r="B25" s="37" t="s">
        <v>4</v>
      </c>
      <c r="C25" s="30">
        <v>0</v>
      </c>
      <c r="D25" s="30">
        <v>0</v>
      </c>
      <c r="E25" s="30">
        <v>0</v>
      </c>
      <c r="F25" s="30">
        <v>0</v>
      </c>
      <c r="G25" s="30">
        <v>0</v>
      </c>
      <c r="H25" s="30">
        <v>0</v>
      </c>
      <c r="I25" s="30">
        <v>0</v>
      </c>
      <c r="J25" s="30">
        <v>0</v>
      </c>
      <c r="K25" s="30">
        <v>0</v>
      </c>
      <c r="L25" s="30">
        <v>0</v>
      </c>
      <c r="M25" s="30">
        <v>0</v>
      </c>
      <c r="N25" s="30">
        <v>0</v>
      </c>
      <c r="O25" s="30">
        <v>0</v>
      </c>
      <c r="P25" s="30">
        <v>30</v>
      </c>
      <c r="Q25" s="30">
        <v>0</v>
      </c>
      <c r="R25" s="30">
        <v>165</v>
      </c>
      <c r="S25" s="30">
        <v>0</v>
      </c>
      <c r="T25" s="30">
        <v>185</v>
      </c>
      <c r="U25" s="30">
        <v>111</v>
      </c>
      <c r="V25" s="30">
        <v>216</v>
      </c>
      <c r="W25" s="30">
        <v>0</v>
      </c>
      <c r="X25" s="30">
        <v>0</v>
      </c>
      <c r="Y25" s="30">
        <v>165</v>
      </c>
      <c r="Z25" s="30">
        <v>0</v>
      </c>
      <c r="AA25" s="30">
        <v>678</v>
      </c>
      <c r="AB25" s="30">
        <v>706</v>
      </c>
      <c r="AC25" s="30">
        <v>0</v>
      </c>
      <c r="AD25" s="30">
        <v>0</v>
      </c>
      <c r="AE25" s="30">
        <v>0</v>
      </c>
      <c r="AF25" s="30">
        <v>0</v>
      </c>
      <c r="AG25" s="30">
        <v>0</v>
      </c>
      <c r="AH25" s="30">
        <v>0</v>
      </c>
      <c r="AI25" s="30">
        <v>0</v>
      </c>
      <c r="AJ25" s="30">
        <v>700</v>
      </c>
      <c r="AK25" s="30">
        <v>1400</v>
      </c>
      <c r="AL25" s="30">
        <v>1400</v>
      </c>
      <c r="AM25" s="30">
        <v>0</v>
      </c>
      <c r="AN25" s="30">
        <v>0</v>
      </c>
    </row>
    <row r="26" spans="2:40" s="27" customFormat="1">
      <c r="B26" s="37" t="s">
        <v>5</v>
      </c>
      <c r="C26" s="30">
        <v>0</v>
      </c>
      <c r="D26" s="30">
        <v>0</v>
      </c>
      <c r="E26" s="30">
        <v>0</v>
      </c>
      <c r="F26" s="30">
        <v>0</v>
      </c>
      <c r="G26" s="30">
        <v>0</v>
      </c>
      <c r="H26" s="30">
        <v>0</v>
      </c>
      <c r="I26" s="30">
        <v>0</v>
      </c>
      <c r="J26" s="30">
        <v>0</v>
      </c>
      <c r="K26" s="30">
        <v>0</v>
      </c>
      <c r="L26" s="30">
        <v>0</v>
      </c>
      <c r="M26" s="30">
        <v>0</v>
      </c>
      <c r="N26" s="30">
        <v>0</v>
      </c>
      <c r="O26" s="30">
        <v>2</v>
      </c>
      <c r="P26" s="30">
        <v>0</v>
      </c>
      <c r="Q26" s="30">
        <v>0</v>
      </c>
      <c r="R26" s="30">
        <v>155</v>
      </c>
      <c r="S26" s="30">
        <v>99</v>
      </c>
      <c r="T26" s="30">
        <v>119</v>
      </c>
      <c r="U26" s="30">
        <v>36</v>
      </c>
      <c r="V26" s="30">
        <v>176</v>
      </c>
      <c r="W26" s="30">
        <v>386</v>
      </c>
      <c r="X26" s="30">
        <v>643</v>
      </c>
      <c r="Y26" s="30">
        <v>1067</v>
      </c>
      <c r="Z26" s="30">
        <v>1845</v>
      </c>
      <c r="AA26" s="30">
        <v>2728</v>
      </c>
      <c r="AB26" s="30">
        <v>4045</v>
      </c>
      <c r="AC26" s="30">
        <v>10815</v>
      </c>
      <c r="AD26" s="30">
        <v>4112</v>
      </c>
      <c r="AE26" s="30">
        <v>9933.1</v>
      </c>
      <c r="AF26" s="30">
        <v>9932</v>
      </c>
      <c r="AG26" s="30">
        <v>15671.5</v>
      </c>
      <c r="AH26" s="30">
        <v>8754</v>
      </c>
      <c r="AI26" s="30">
        <v>9400</v>
      </c>
      <c r="AJ26" s="30">
        <v>10050</v>
      </c>
      <c r="AK26" s="30">
        <v>12500</v>
      </c>
      <c r="AL26" s="30">
        <v>15650</v>
      </c>
      <c r="AM26" s="30">
        <v>10100</v>
      </c>
      <c r="AN26" s="30">
        <v>11100</v>
      </c>
    </row>
    <row r="27" spans="2:40" s="27" customFormat="1">
      <c r="B27" s="37" t="s">
        <v>6</v>
      </c>
      <c r="C27" s="30">
        <v>5</v>
      </c>
      <c r="D27" s="30">
        <v>0</v>
      </c>
      <c r="E27" s="30">
        <v>0</v>
      </c>
      <c r="F27" s="30">
        <v>0</v>
      </c>
      <c r="G27" s="30">
        <v>0</v>
      </c>
      <c r="H27" s="30">
        <v>0</v>
      </c>
      <c r="I27" s="30">
        <v>40</v>
      </c>
      <c r="J27" s="30">
        <v>160</v>
      </c>
      <c r="K27" s="30">
        <v>213</v>
      </c>
      <c r="L27" s="30">
        <v>0</v>
      </c>
      <c r="M27" s="30">
        <v>0</v>
      </c>
      <c r="N27" s="30">
        <v>0</v>
      </c>
      <c r="O27" s="30">
        <v>0</v>
      </c>
      <c r="P27" s="30">
        <v>0</v>
      </c>
      <c r="Q27" s="30">
        <v>238</v>
      </c>
      <c r="R27" s="30">
        <v>207</v>
      </c>
      <c r="S27" s="30">
        <v>4</v>
      </c>
      <c r="T27" s="30">
        <v>0</v>
      </c>
      <c r="U27" s="30">
        <v>400</v>
      </c>
      <c r="V27" s="30">
        <v>0</v>
      </c>
      <c r="W27" s="30">
        <v>0</v>
      </c>
      <c r="X27" s="30">
        <v>0</v>
      </c>
      <c r="Y27" s="30">
        <v>0</v>
      </c>
      <c r="Z27" s="30">
        <v>28</v>
      </c>
      <c r="AA27" s="30">
        <v>407</v>
      </c>
      <c r="AB27" s="30">
        <v>0</v>
      </c>
      <c r="AC27" s="30">
        <v>604</v>
      </c>
      <c r="AD27" s="30">
        <v>0</v>
      </c>
      <c r="AE27" s="30">
        <v>0</v>
      </c>
      <c r="AF27" s="30">
        <v>416.4</v>
      </c>
      <c r="AG27" s="30">
        <v>0</v>
      </c>
      <c r="AH27" s="30">
        <v>250</v>
      </c>
      <c r="AI27" s="30">
        <v>1000</v>
      </c>
      <c r="AJ27" s="30">
        <v>700</v>
      </c>
      <c r="AK27" s="30">
        <v>1200</v>
      </c>
      <c r="AL27" s="30">
        <v>2500</v>
      </c>
      <c r="AM27" s="30">
        <v>2500</v>
      </c>
      <c r="AN27" s="30">
        <v>2000</v>
      </c>
    </row>
    <row r="28" spans="2:40" s="27" customFormat="1">
      <c r="B28" s="37" t="s">
        <v>7</v>
      </c>
      <c r="C28" s="30">
        <v>0</v>
      </c>
      <c r="D28" s="30">
        <v>0</v>
      </c>
      <c r="E28" s="30">
        <v>0</v>
      </c>
      <c r="F28" s="30">
        <v>0</v>
      </c>
      <c r="G28" s="30">
        <v>0</v>
      </c>
      <c r="H28" s="30">
        <v>0</v>
      </c>
      <c r="I28" s="30">
        <v>0</v>
      </c>
      <c r="J28" s="30">
        <v>0</v>
      </c>
      <c r="K28" s="30">
        <v>0</v>
      </c>
      <c r="L28" s="30">
        <v>5</v>
      </c>
      <c r="M28" s="30">
        <v>0</v>
      </c>
      <c r="N28" s="30">
        <v>3</v>
      </c>
      <c r="O28" s="30">
        <v>0</v>
      </c>
      <c r="P28" s="30">
        <v>10</v>
      </c>
      <c r="Q28" s="30">
        <v>0</v>
      </c>
      <c r="R28" s="30">
        <v>60</v>
      </c>
      <c r="S28" s="30">
        <v>48</v>
      </c>
      <c r="T28" s="30">
        <v>0</v>
      </c>
      <c r="U28" s="30">
        <v>400</v>
      </c>
      <c r="V28" s="30">
        <v>108</v>
      </c>
      <c r="W28" s="30">
        <v>2647</v>
      </c>
      <c r="X28" s="30">
        <v>0</v>
      </c>
      <c r="Y28" s="30">
        <v>2065</v>
      </c>
      <c r="Z28" s="30">
        <v>465</v>
      </c>
      <c r="AA28" s="30">
        <v>1537</v>
      </c>
      <c r="AB28" s="30">
        <v>320</v>
      </c>
      <c r="AC28" s="30">
        <v>0</v>
      </c>
      <c r="AD28" s="30">
        <v>342</v>
      </c>
      <c r="AE28" s="30">
        <v>598.5</v>
      </c>
      <c r="AF28" s="30">
        <v>739</v>
      </c>
      <c r="AG28" s="30">
        <v>913</v>
      </c>
      <c r="AH28" s="30">
        <v>1858</v>
      </c>
      <c r="AI28" s="30">
        <v>1907</v>
      </c>
      <c r="AJ28" s="30">
        <v>1800</v>
      </c>
      <c r="AK28" s="30">
        <v>4000</v>
      </c>
      <c r="AL28" s="30">
        <v>4000</v>
      </c>
      <c r="AM28" s="30">
        <v>3333</v>
      </c>
      <c r="AN28" s="30">
        <v>3666</v>
      </c>
    </row>
    <row r="29" spans="2:40" s="27" customFormat="1">
      <c r="B29" s="37" t="s">
        <v>37</v>
      </c>
      <c r="C29" s="30">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8</v>
      </c>
      <c r="V29" s="30">
        <v>0</v>
      </c>
      <c r="W29" s="30">
        <v>0</v>
      </c>
      <c r="X29" s="30">
        <v>5</v>
      </c>
      <c r="Y29" s="30">
        <v>3</v>
      </c>
      <c r="Z29" s="30">
        <v>0</v>
      </c>
      <c r="AA29" s="30">
        <v>3</v>
      </c>
      <c r="AB29" s="30">
        <v>0</v>
      </c>
      <c r="AC29" s="30">
        <v>0</v>
      </c>
      <c r="AD29" s="30">
        <v>146</v>
      </c>
      <c r="AE29" s="30">
        <v>121</v>
      </c>
      <c r="AF29" s="30">
        <v>16.8</v>
      </c>
      <c r="AG29" s="30">
        <v>220</v>
      </c>
      <c r="AH29" s="30">
        <v>180.5</v>
      </c>
      <c r="AI29" s="30">
        <v>80</v>
      </c>
      <c r="AJ29" s="30">
        <v>869.4</v>
      </c>
      <c r="AK29" s="30">
        <v>1392</v>
      </c>
      <c r="AL29" s="30">
        <v>1253</v>
      </c>
      <c r="AM29" s="30">
        <v>1050</v>
      </c>
      <c r="AN29" s="30">
        <v>1100</v>
      </c>
    </row>
    <row r="30" spans="2:40" s="27" customFormat="1">
      <c r="B30" s="37" t="s">
        <v>8</v>
      </c>
      <c r="C30" s="30">
        <v>0</v>
      </c>
      <c r="D30" s="30">
        <v>17</v>
      </c>
      <c r="E30" s="30">
        <v>0</v>
      </c>
      <c r="F30" s="30">
        <v>0</v>
      </c>
      <c r="G30" s="30">
        <v>0</v>
      </c>
      <c r="H30" s="30">
        <v>0</v>
      </c>
      <c r="I30" s="30">
        <v>0</v>
      </c>
      <c r="J30" s="30">
        <v>0</v>
      </c>
      <c r="K30" s="30">
        <v>0</v>
      </c>
      <c r="L30" s="30">
        <v>0</v>
      </c>
      <c r="M30" s="30">
        <v>0</v>
      </c>
      <c r="N30" s="30">
        <v>0</v>
      </c>
      <c r="O30" s="30">
        <v>108</v>
      </c>
      <c r="P30" s="30">
        <v>120</v>
      </c>
      <c r="Q30" s="30">
        <v>0</v>
      </c>
      <c r="R30" s="30">
        <v>0</v>
      </c>
      <c r="S30" s="30">
        <v>0</v>
      </c>
      <c r="T30" s="30">
        <v>0</v>
      </c>
      <c r="U30" s="30">
        <v>0</v>
      </c>
      <c r="V30" s="30">
        <v>0</v>
      </c>
      <c r="W30" s="30">
        <v>129</v>
      </c>
      <c r="X30" s="30">
        <v>144</v>
      </c>
      <c r="Y30" s="30">
        <v>600</v>
      </c>
      <c r="Z30" s="30">
        <v>0</v>
      </c>
      <c r="AA30" s="30">
        <v>0</v>
      </c>
      <c r="AB30" s="30">
        <v>752</v>
      </c>
      <c r="AC30" s="30">
        <v>1133</v>
      </c>
      <c r="AD30" s="30">
        <v>0</v>
      </c>
      <c r="AE30" s="30">
        <v>1672</v>
      </c>
      <c r="AF30" s="30">
        <v>759</v>
      </c>
      <c r="AG30" s="30">
        <v>0</v>
      </c>
      <c r="AH30" s="30">
        <v>760</v>
      </c>
      <c r="AI30" s="30">
        <v>700</v>
      </c>
      <c r="AJ30" s="30">
        <v>0</v>
      </c>
      <c r="AK30" s="30">
        <v>1000</v>
      </c>
      <c r="AL30" s="30">
        <v>3000</v>
      </c>
      <c r="AM30" s="30">
        <v>2000</v>
      </c>
      <c r="AN30" s="30">
        <v>2700</v>
      </c>
    </row>
    <row r="31" spans="2:40" s="27" customFormat="1">
      <c r="B31" s="37" t="s">
        <v>17</v>
      </c>
      <c r="C31" s="30">
        <v>0</v>
      </c>
      <c r="D31" s="30">
        <v>0</v>
      </c>
      <c r="E31" s="30">
        <v>0</v>
      </c>
      <c r="F31" s="30">
        <v>0</v>
      </c>
      <c r="G31" s="30">
        <v>0</v>
      </c>
      <c r="H31" s="30">
        <v>0</v>
      </c>
      <c r="I31" s="30">
        <v>0</v>
      </c>
      <c r="J31" s="30">
        <v>0</v>
      </c>
      <c r="K31" s="30">
        <v>0</v>
      </c>
      <c r="L31" s="30">
        <v>0</v>
      </c>
      <c r="M31" s="30">
        <v>0</v>
      </c>
      <c r="N31" s="30">
        <v>0</v>
      </c>
      <c r="O31" s="30">
        <v>0</v>
      </c>
      <c r="P31" s="30">
        <v>24</v>
      </c>
      <c r="Q31" s="30">
        <v>0</v>
      </c>
      <c r="R31" s="30">
        <v>2</v>
      </c>
      <c r="S31" s="30">
        <v>0</v>
      </c>
      <c r="T31" s="30">
        <v>2</v>
      </c>
      <c r="U31" s="30">
        <v>0</v>
      </c>
      <c r="V31" s="30">
        <v>0</v>
      </c>
      <c r="W31" s="30">
        <v>0</v>
      </c>
      <c r="X31" s="30">
        <v>0</v>
      </c>
      <c r="Y31" s="30">
        <v>40</v>
      </c>
      <c r="Z31" s="30">
        <v>0</v>
      </c>
      <c r="AA31" s="30">
        <v>0</v>
      </c>
      <c r="AB31" s="30">
        <v>25</v>
      </c>
      <c r="AC31" s="30">
        <v>0</v>
      </c>
      <c r="AD31" s="30">
        <v>0</v>
      </c>
      <c r="AE31" s="30">
        <v>0</v>
      </c>
      <c r="AF31" s="30">
        <v>0</v>
      </c>
      <c r="AG31" s="30">
        <v>0</v>
      </c>
      <c r="AH31" s="30">
        <v>0</v>
      </c>
      <c r="AI31" s="30">
        <v>0</v>
      </c>
      <c r="AJ31" s="30">
        <v>0</v>
      </c>
      <c r="AK31" s="30">
        <v>0</v>
      </c>
      <c r="AL31" s="30">
        <v>0</v>
      </c>
      <c r="AM31" s="30">
        <v>0</v>
      </c>
      <c r="AN31" s="30">
        <v>0</v>
      </c>
    </row>
    <row r="32" spans="2:40" s="27" customFormat="1">
      <c r="B32" s="37" t="s">
        <v>86</v>
      </c>
      <c r="C32" s="30">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0">
        <v>0</v>
      </c>
      <c r="AG32" s="30">
        <v>0</v>
      </c>
      <c r="AH32" s="30">
        <v>0</v>
      </c>
      <c r="AI32" s="30">
        <v>0</v>
      </c>
      <c r="AJ32" s="30">
        <v>0</v>
      </c>
      <c r="AK32" s="30">
        <v>0</v>
      </c>
      <c r="AL32" s="30">
        <v>0</v>
      </c>
      <c r="AM32" s="30">
        <v>0</v>
      </c>
      <c r="AN32" s="30">
        <v>0</v>
      </c>
    </row>
    <row r="33" spans="2:40" s="27" customFormat="1">
      <c r="B33" s="37" t="s">
        <v>9</v>
      </c>
      <c r="C33" s="30">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5</v>
      </c>
      <c r="U33" s="30">
        <v>0</v>
      </c>
      <c r="V33" s="30">
        <v>0</v>
      </c>
      <c r="W33" s="30">
        <v>0</v>
      </c>
      <c r="X33" s="30">
        <v>8</v>
      </c>
      <c r="Y33" s="30">
        <v>33</v>
      </c>
      <c r="Z33" s="30">
        <v>0</v>
      </c>
      <c r="AA33" s="30">
        <v>155</v>
      </c>
      <c r="AB33" s="30">
        <v>60</v>
      </c>
      <c r="AC33" s="30">
        <v>109</v>
      </c>
      <c r="AD33" s="30">
        <v>2136</v>
      </c>
      <c r="AE33" s="30">
        <v>2044.1</v>
      </c>
      <c r="AF33" s="30">
        <v>394.58</v>
      </c>
      <c r="AG33" s="30">
        <v>2151.5</v>
      </c>
      <c r="AH33" s="30">
        <v>3045.8</v>
      </c>
      <c r="AI33" s="30">
        <v>2921</v>
      </c>
      <c r="AJ33" s="30">
        <v>3162</v>
      </c>
      <c r="AK33" s="30">
        <v>3962</v>
      </c>
      <c r="AL33" s="30">
        <v>3774.12</v>
      </c>
      <c r="AM33" s="30">
        <v>3736</v>
      </c>
      <c r="AN33" s="30">
        <v>3999</v>
      </c>
    </row>
    <row r="34" spans="2:40" s="27" customFormat="1">
      <c r="B34" s="37" t="s">
        <v>10</v>
      </c>
      <c r="C34" s="30">
        <v>0</v>
      </c>
      <c r="D34" s="30">
        <v>0</v>
      </c>
      <c r="E34" s="30">
        <v>0</v>
      </c>
      <c r="F34" s="30">
        <v>0</v>
      </c>
      <c r="G34" s="30">
        <v>0</v>
      </c>
      <c r="H34" s="30">
        <v>0</v>
      </c>
      <c r="I34" s="30">
        <v>0</v>
      </c>
      <c r="J34" s="30">
        <v>0</v>
      </c>
      <c r="K34" s="30">
        <v>0</v>
      </c>
      <c r="L34" s="30">
        <v>25</v>
      </c>
      <c r="M34" s="30">
        <v>0</v>
      </c>
      <c r="N34" s="30">
        <v>0</v>
      </c>
      <c r="O34" s="30">
        <v>0</v>
      </c>
      <c r="P34" s="30">
        <v>24</v>
      </c>
      <c r="Q34" s="30">
        <v>2</v>
      </c>
      <c r="R34" s="30">
        <v>2</v>
      </c>
      <c r="S34" s="30">
        <v>0</v>
      </c>
      <c r="T34" s="30">
        <v>2</v>
      </c>
      <c r="U34" s="30">
        <v>0</v>
      </c>
      <c r="V34" s="30">
        <v>0</v>
      </c>
      <c r="W34" s="30">
        <v>0</v>
      </c>
      <c r="X34" s="30">
        <v>0</v>
      </c>
      <c r="Y34" s="30">
        <v>40</v>
      </c>
      <c r="Z34" s="30">
        <v>2</v>
      </c>
      <c r="AA34" s="30">
        <v>5</v>
      </c>
      <c r="AB34" s="30">
        <v>25</v>
      </c>
      <c r="AC34" s="30">
        <v>4</v>
      </c>
      <c r="AD34" s="30">
        <v>600</v>
      </c>
      <c r="AE34" s="30">
        <v>1114</v>
      </c>
      <c r="AF34" s="30">
        <v>508.2</v>
      </c>
      <c r="AG34" s="30">
        <v>10</v>
      </c>
      <c r="AH34" s="30">
        <v>1342</v>
      </c>
      <c r="AI34" s="30">
        <v>2040</v>
      </c>
      <c r="AJ34" s="30">
        <v>3135</v>
      </c>
      <c r="AK34" s="30">
        <v>4248</v>
      </c>
      <c r="AL34" s="30">
        <v>6350</v>
      </c>
      <c r="AM34" s="30">
        <v>5450</v>
      </c>
      <c r="AN34" s="30">
        <v>7600</v>
      </c>
    </row>
    <row r="35" spans="2:40" s="27" customFormat="1">
      <c r="B35" s="37" t="s">
        <v>32</v>
      </c>
      <c r="C35" s="30">
        <v>0</v>
      </c>
      <c r="D35" s="30">
        <v>0</v>
      </c>
      <c r="E35" s="30">
        <v>3</v>
      </c>
      <c r="F35" s="30">
        <v>0</v>
      </c>
      <c r="G35" s="30">
        <v>0</v>
      </c>
      <c r="H35" s="30">
        <v>11</v>
      </c>
      <c r="I35" s="30">
        <v>10</v>
      </c>
      <c r="J35" s="30">
        <v>0</v>
      </c>
      <c r="K35" s="30">
        <v>0</v>
      </c>
      <c r="L35" s="30">
        <v>0</v>
      </c>
      <c r="M35" s="30">
        <v>0</v>
      </c>
      <c r="N35" s="30">
        <v>0</v>
      </c>
      <c r="O35" s="30">
        <v>0</v>
      </c>
      <c r="P35" s="30">
        <v>110</v>
      </c>
      <c r="Q35" s="30">
        <v>0</v>
      </c>
      <c r="R35" s="30">
        <v>30</v>
      </c>
      <c r="S35" s="30">
        <v>0</v>
      </c>
      <c r="T35" s="30">
        <v>0</v>
      </c>
      <c r="U35" s="30">
        <v>48</v>
      </c>
      <c r="V35" s="30">
        <v>0</v>
      </c>
      <c r="W35" s="30">
        <v>0</v>
      </c>
      <c r="X35" s="30">
        <v>0</v>
      </c>
      <c r="Y35" s="30">
        <v>0</v>
      </c>
      <c r="Z35" s="30">
        <v>3</v>
      </c>
      <c r="AA35" s="30">
        <v>0</v>
      </c>
      <c r="AB35" s="30">
        <v>0</v>
      </c>
      <c r="AC35" s="30">
        <v>0</v>
      </c>
      <c r="AD35" s="30">
        <v>0</v>
      </c>
      <c r="AE35" s="30">
        <v>0</v>
      </c>
      <c r="AF35" s="30">
        <v>0</v>
      </c>
      <c r="AG35" s="30">
        <v>100</v>
      </c>
      <c r="AH35" s="30">
        <v>0</v>
      </c>
      <c r="AI35" s="30">
        <v>0</v>
      </c>
      <c r="AJ35" s="30">
        <v>0</v>
      </c>
      <c r="AK35" s="30">
        <v>0</v>
      </c>
      <c r="AL35" s="30">
        <v>0</v>
      </c>
      <c r="AM35" s="30">
        <v>0</v>
      </c>
      <c r="AN35" s="30">
        <v>250</v>
      </c>
    </row>
    <row r="36" spans="2:40" s="27" customFormat="1">
      <c r="B36" s="37" t="s">
        <v>11</v>
      </c>
      <c r="C36" s="30">
        <v>0</v>
      </c>
      <c r="D36" s="30">
        <v>0</v>
      </c>
      <c r="E36" s="30">
        <v>0</v>
      </c>
      <c r="F36" s="30">
        <v>0</v>
      </c>
      <c r="G36" s="30">
        <v>0</v>
      </c>
      <c r="H36" s="30">
        <v>4</v>
      </c>
      <c r="I36" s="30">
        <v>0</v>
      </c>
      <c r="J36" s="30">
        <v>0</v>
      </c>
      <c r="K36" s="30">
        <v>60</v>
      </c>
      <c r="L36" s="30">
        <v>60</v>
      </c>
      <c r="M36" s="30">
        <v>90</v>
      </c>
      <c r="N36" s="30">
        <v>90</v>
      </c>
      <c r="O36" s="30">
        <v>100</v>
      </c>
      <c r="P36" s="30">
        <v>0</v>
      </c>
      <c r="Q36" s="30">
        <v>284</v>
      </c>
      <c r="R36" s="30">
        <v>653</v>
      </c>
      <c r="S36" s="30">
        <v>184</v>
      </c>
      <c r="T36" s="30">
        <v>1157</v>
      </c>
      <c r="U36" s="30">
        <v>974</v>
      </c>
      <c r="V36" s="30">
        <v>396</v>
      </c>
      <c r="W36" s="30">
        <v>1055</v>
      </c>
      <c r="X36" s="30">
        <v>0</v>
      </c>
      <c r="Y36" s="30">
        <v>730</v>
      </c>
      <c r="Z36" s="30">
        <v>2081</v>
      </c>
      <c r="AA36" s="30">
        <v>1985</v>
      </c>
      <c r="AB36" s="30">
        <v>535</v>
      </c>
      <c r="AC36" s="30">
        <v>48</v>
      </c>
      <c r="AD36" s="30">
        <v>3191</v>
      </c>
      <c r="AE36" s="30">
        <v>1692.5</v>
      </c>
      <c r="AF36" s="30">
        <v>2167</v>
      </c>
      <c r="AG36" s="30">
        <v>1499.5</v>
      </c>
      <c r="AH36" s="30">
        <v>6830</v>
      </c>
      <c r="AI36" s="30">
        <v>5919</v>
      </c>
      <c r="AJ36" s="30">
        <v>2637</v>
      </c>
      <c r="AK36" s="30">
        <v>2975</v>
      </c>
      <c r="AL36" s="30">
        <v>2256</v>
      </c>
      <c r="AM36" s="30">
        <v>8637</v>
      </c>
      <c r="AN36" s="30">
        <v>7581</v>
      </c>
    </row>
    <row r="37" spans="2:40" s="27" customFormat="1">
      <c r="B37" s="37" t="s">
        <v>12</v>
      </c>
      <c r="C37" s="30">
        <v>0</v>
      </c>
      <c r="D37" s="30">
        <v>0</v>
      </c>
      <c r="E37" s="30">
        <v>0</v>
      </c>
      <c r="F37" s="30">
        <v>0</v>
      </c>
      <c r="G37" s="30">
        <v>0</v>
      </c>
      <c r="H37" s="30">
        <v>0</v>
      </c>
      <c r="I37" s="30">
        <v>0</v>
      </c>
      <c r="J37" s="30">
        <v>0</v>
      </c>
      <c r="K37" s="30">
        <v>0</v>
      </c>
      <c r="L37" s="30">
        <v>0</v>
      </c>
      <c r="M37" s="30">
        <v>0</v>
      </c>
      <c r="N37" s="30">
        <v>0</v>
      </c>
      <c r="O37" s="30">
        <v>0</v>
      </c>
      <c r="P37" s="30">
        <v>0</v>
      </c>
      <c r="Q37" s="30">
        <v>0</v>
      </c>
      <c r="R37" s="30">
        <v>0</v>
      </c>
      <c r="S37" s="30">
        <v>0</v>
      </c>
      <c r="T37" s="30">
        <v>0</v>
      </c>
      <c r="U37" s="30">
        <v>0</v>
      </c>
      <c r="V37" s="30">
        <v>0</v>
      </c>
      <c r="W37" s="30">
        <v>0</v>
      </c>
      <c r="X37" s="30">
        <v>30</v>
      </c>
      <c r="Y37" s="30">
        <v>0</v>
      </c>
      <c r="Z37" s="30">
        <v>0</v>
      </c>
      <c r="AA37" s="30">
        <v>0</v>
      </c>
      <c r="AB37" s="30">
        <v>12</v>
      </c>
      <c r="AC37" s="30">
        <v>0</v>
      </c>
      <c r="AD37" s="30">
        <v>0</v>
      </c>
      <c r="AE37" s="30">
        <v>132</v>
      </c>
      <c r="AF37" s="30">
        <v>817</v>
      </c>
      <c r="AG37" s="30">
        <v>3911.7</v>
      </c>
      <c r="AH37" s="30">
        <v>3470.5</v>
      </c>
      <c r="AI37" s="30">
        <v>4509.6000000000004</v>
      </c>
      <c r="AJ37" s="30">
        <v>3948</v>
      </c>
      <c r="AK37" s="30">
        <v>4610</v>
      </c>
      <c r="AL37" s="30">
        <v>4500</v>
      </c>
      <c r="AM37" s="30">
        <v>4600</v>
      </c>
      <c r="AN37" s="30">
        <v>4600</v>
      </c>
    </row>
    <row r="38" spans="2:40" s="27" customFormat="1">
      <c r="B38" s="37" t="s">
        <v>15</v>
      </c>
      <c r="C38" s="30">
        <v>0</v>
      </c>
      <c r="D38" s="30">
        <v>0</v>
      </c>
      <c r="E38" s="30">
        <v>0</v>
      </c>
      <c r="F38" s="30">
        <v>0</v>
      </c>
      <c r="G38" s="30">
        <v>0</v>
      </c>
      <c r="H38" s="30">
        <v>0</v>
      </c>
      <c r="I38" s="30">
        <v>0</v>
      </c>
      <c r="J38" s="30">
        <v>0</v>
      </c>
      <c r="K38" s="30">
        <v>0</v>
      </c>
      <c r="L38" s="30">
        <v>0</v>
      </c>
      <c r="M38" s="30">
        <v>0</v>
      </c>
      <c r="N38" s="30">
        <v>0</v>
      </c>
      <c r="O38" s="30">
        <v>0</v>
      </c>
      <c r="P38" s="30">
        <v>0</v>
      </c>
      <c r="Q38" s="30">
        <v>0</v>
      </c>
      <c r="R38" s="30">
        <v>0</v>
      </c>
      <c r="S38" s="30">
        <v>0</v>
      </c>
      <c r="T38" s="30">
        <v>0</v>
      </c>
      <c r="U38" s="30">
        <v>16</v>
      </c>
      <c r="V38" s="30">
        <v>0</v>
      </c>
      <c r="W38" s="30">
        <v>0</v>
      </c>
      <c r="X38" s="30">
        <v>83</v>
      </c>
      <c r="Y38" s="30">
        <v>0</v>
      </c>
      <c r="Z38" s="30">
        <v>0</v>
      </c>
      <c r="AA38" s="30">
        <v>0</v>
      </c>
      <c r="AB38" s="30">
        <v>0</v>
      </c>
      <c r="AC38" s="30">
        <v>729</v>
      </c>
      <c r="AD38" s="30">
        <v>641</v>
      </c>
      <c r="AE38" s="30">
        <v>1067.7</v>
      </c>
      <c r="AF38" s="30">
        <v>957</v>
      </c>
      <c r="AG38" s="30">
        <v>635</v>
      </c>
      <c r="AH38" s="30">
        <v>527</v>
      </c>
      <c r="AI38" s="30">
        <v>500</v>
      </c>
      <c r="AJ38" s="30">
        <v>500</v>
      </c>
      <c r="AK38" s="30">
        <v>800</v>
      </c>
      <c r="AL38" s="30">
        <v>1000</v>
      </c>
      <c r="AM38" s="30">
        <v>1500</v>
      </c>
      <c r="AN38" s="30">
        <v>1500</v>
      </c>
    </row>
    <row r="39" spans="2:40" s="27" customFormat="1">
      <c r="B39" s="37" t="s">
        <v>68</v>
      </c>
      <c r="C39" s="30">
        <f>SUM(Table43[1995])</f>
        <v>5</v>
      </c>
      <c r="D39" s="30">
        <f>SUBTOTAL(109,Table43[1996])</f>
        <v>17</v>
      </c>
      <c r="E39" s="30">
        <f>SUBTOTAL(109,Table43[1997])</f>
        <v>3</v>
      </c>
      <c r="F39" s="30">
        <f>SUBTOTAL(109,Table43[1998])</f>
        <v>0</v>
      </c>
      <c r="G39" s="30">
        <f>SUBTOTAL(109,Table43[1999])</f>
        <v>0</v>
      </c>
      <c r="H39" s="30">
        <f>SUBTOTAL(109,Table43[2000])</f>
        <v>15</v>
      </c>
      <c r="I39" s="30">
        <f>SUBTOTAL(109,Table43[2001])</f>
        <v>50</v>
      </c>
      <c r="J39" s="30">
        <f>SUBTOTAL(109,Table43[2002])</f>
        <v>160</v>
      </c>
      <c r="K39" s="30">
        <f>SUBTOTAL(109,Table43[2003])</f>
        <v>273</v>
      </c>
      <c r="L39" s="30">
        <f>SUBTOTAL(109,Table43[2004])</f>
        <v>90</v>
      </c>
      <c r="M39" s="30">
        <f>SUBTOTAL(109,Table43[2005])</f>
        <v>90</v>
      </c>
      <c r="N39" s="30">
        <f>SUBTOTAL(109,Table43[2006])</f>
        <v>93</v>
      </c>
      <c r="O39" s="30">
        <f>SUBTOTAL(109,Table43[2007])</f>
        <v>210</v>
      </c>
      <c r="P39" s="30">
        <f>SUBTOTAL(109,Table43[2008])</f>
        <v>318</v>
      </c>
      <c r="Q39" s="30">
        <f>SUBTOTAL(109,Table43[2009])</f>
        <v>524</v>
      </c>
      <c r="R39" s="30">
        <f>SUBTOTAL(109,Table43[2010])</f>
        <v>1274</v>
      </c>
      <c r="S39" s="30">
        <f>SUBTOTAL(109,Table43[2011])</f>
        <v>335</v>
      </c>
      <c r="T39" s="30">
        <f>SUBTOTAL(109,Table43[2012])</f>
        <v>1470</v>
      </c>
      <c r="U39" s="30">
        <f>SUBTOTAL(109,Table43[2013])</f>
        <v>1993</v>
      </c>
      <c r="V39" s="30">
        <f>SUBTOTAL(109,Table43[2014])</f>
        <v>896</v>
      </c>
      <c r="W39" s="30">
        <f>SUBTOTAL(109,Table43[2015])</f>
        <v>4217</v>
      </c>
      <c r="X39" s="30">
        <f>SUBTOTAL(109,Table43[2016])</f>
        <v>913</v>
      </c>
      <c r="Y39" s="30">
        <f>SUBTOTAL(109,Table43[2017])</f>
        <v>4743</v>
      </c>
      <c r="Z39" s="30">
        <f>SUBTOTAL(109,Table43[2018])</f>
        <v>4424</v>
      </c>
      <c r="AA39" s="30">
        <f>SUBTOTAL(109,Table43[2019])</f>
        <v>7498</v>
      </c>
      <c r="AB39" s="30">
        <f>SUBTOTAL(109,Table43[2020])</f>
        <v>6480</v>
      </c>
      <c r="AC39" s="30">
        <f>SUBTOTAL(109,Table43[2021])</f>
        <v>13442</v>
      </c>
      <c r="AD39" s="30">
        <f>SUBTOTAL(109,Table43[2022])</f>
        <v>11168</v>
      </c>
      <c r="AE39" s="30">
        <f>SUBTOTAL(109,Table43[2023])</f>
        <v>18374.900000000001</v>
      </c>
      <c r="AF39" s="30">
        <f>SUBTOTAL(109,Table43[2024])</f>
        <v>16706.98</v>
      </c>
      <c r="AG39" s="30">
        <f>SUBTOTAL(109,Table43[2025])</f>
        <v>25112.2</v>
      </c>
      <c r="AH39" s="30">
        <f>SUBTOTAL(109,Table43[2026])</f>
        <v>27017.8</v>
      </c>
      <c r="AI39" s="30">
        <f>SUBTOTAL(109,Table43[2027])</f>
        <v>28976.6</v>
      </c>
      <c r="AJ39" s="30">
        <f>SUBTOTAL(109,Table43[2028])</f>
        <v>27501.4</v>
      </c>
      <c r="AK39" s="30">
        <f>SUBTOTAL(109,Table43[2029])</f>
        <v>38087</v>
      </c>
      <c r="AL39" s="30">
        <f>SUBTOTAL(109,Table43[2030])</f>
        <v>45683.119999999995</v>
      </c>
      <c r="AM39" s="30">
        <f>SUBTOTAL(109,Table43[2031])</f>
        <v>42906</v>
      </c>
      <c r="AN39" s="30">
        <f>SUBTOTAL(109,Table43[2032])</f>
        <v>46096</v>
      </c>
    </row>
    <row r="40" spans="2:40">
      <c r="B40"/>
    </row>
    <row r="41" spans="2:40">
      <c r="B41"/>
    </row>
    <row r="42" spans="2:40">
      <c r="B42"/>
    </row>
    <row r="43" spans="2:40">
      <c r="B43"/>
    </row>
    <row r="44" spans="2:40">
      <c r="B44"/>
    </row>
    <row r="45" spans="2:40">
      <c r="B45"/>
    </row>
    <row r="46" spans="2:40">
      <c r="B46"/>
    </row>
    <row r="47" spans="2:40">
      <c r="B47"/>
    </row>
    <row r="48" spans="2:40">
      <c r="B48"/>
    </row>
  </sheetData>
  <mergeCells count="2">
    <mergeCell ref="B3:AN3"/>
    <mergeCell ref="B22:AN22"/>
  </mergeCells>
  <phoneticPr fontId="5" type="noConversion"/>
  <pageMargins left="0.7" right="0.7" top="0.75" bottom="0.75" header="0.3" footer="0.3"/>
  <tableParts count="2">
    <tablePart r:id="rId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41F4-4C0B-4F45-83C1-BF0B1AAAB537}">
  <dimension ref="B1:R54"/>
  <sheetViews>
    <sheetView workbookViewId="0">
      <selection activeCell="B2" sqref="B2"/>
    </sheetView>
  </sheetViews>
  <sheetFormatPr defaultColWidth="11" defaultRowHeight="15.6"/>
  <cols>
    <col min="2" max="2" width="21.296875" customWidth="1"/>
    <col min="3" max="6" width="13.796875" style="1" customWidth="1"/>
    <col min="7" max="18" width="13.796875" customWidth="1"/>
  </cols>
  <sheetData>
    <row r="1" spans="2:18" ht="23.4">
      <c r="B1" s="5" t="s">
        <v>888</v>
      </c>
    </row>
    <row r="3" spans="2:18" ht="46.8">
      <c r="B3" s="27" t="s">
        <v>311</v>
      </c>
      <c r="C3" s="59" t="s">
        <v>302</v>
      </c>
      <c r="D3" s="59" t="s">
        <v>681</v>
      </c>
      <c r="E3" s="59" t="s">
        <v>682</v>
      </c>
      <c r="F3" s="59" t="s">
        <v>683</v>
      </c>
      <c r="G3" s="59" t="s">
        <v>684</v>
      </c>
      <c r="H3" s="59" t="s">
        <v>685</v>
      </c>
      <c r="I3" s="59" t="s">
        <v>686</v>
      </c>
      <c r="J3" s="59" t="s">
        <v>687</v>
      </c>
      <c r="K3" s="59" t="s">
        <v>688</v>
      </c>
      <c r="L3" s="59" t="s">
        <v>850</v>
      </c>
      <c r="M3" s="59" t="s">
        <v>849</v>
      </c>
      <c r="N3" s="59" t="s">
        <v>689</v>
      </c>
      <c r="O3" s="59" t="s">
        <v>690</v>
      </c>
      <c r="P3" s="59" t="s">
        <v>691</v>
      </c>
      <c r="Q3" s="59" t="s">
        <v>692</v>
      </c>
      <c r="R3" s="59" t="s">
        <v>693</v>
      </c>
    </row>
    <row r="4" spans="2:18">
      <c r="B4" s="49">
        <v>2000</v>
      </c>
      <c r="C4" s="30"/>
      <c r="D4" s="30"/>
      <c r="E4" s="30"/>
      <c r="F4" s="30"/>
      <c r="G4" s="30"/>
      <c r="H4" s="30"/>
      <c r="I4" s="30"/>
      <c r="J4" s="30"/>
      <c r="K4" s="30"/>
      <c r="L4" s="30"/>
      <c r="M4" s="30"/>
      <c r="N4" s="30"/>
      <c r="O4" s="30"/>
      <c r="P4" s="30"/>
      <c r="Q4" s="30"/>
      <c r="R4" s="30"/>
    </row>
    <row r="5" spans="2:18">
      <c r="B5" s="49">
        <v>2001</v>
      </c>
      <c r="C5" s="30"/>
      <c r="D5" s="30"/>
      <c r="E5" s="30"/>
      <c r="F5" s="30"/>
      <c r="G5" s="30"/>
      <c r="H5" s="30"/>
      <c r="I5" s="30"/>
      <c r="J5" s="30"/>
      <c r="K5" s="30"/>
      <c r="L5" s="30"/>
      <c r="M5" s="30"/>
      <c r="N5" s="30"/>
      <c r="O5" s="30"/>
      <c r="P5" s="30"/>
      <c r="Q5" s="30"/>
      <c r="R5" s="30"/>
    </row>
    <row r="6" spans="2:18">
      <c r="B6" s="49">
        <v>2002</v>
      </c>
      <c r="C6" s="30"/>
      <c r="D6" s="30"/>
      <c r="E6" s="30"/>
      <c r="F6" s="30"/>
      <c r="G6" s="30"/>
      <c r="H6" s="30"/>
      <c r="I6" s="30"/>
      <c r="J6" s="30"/>
      <c r="K6" s="30"/>
      <c r="L6" s="30"/>
      <c r="M6" s="30"/>
      <c r="N6" s="30"/>
      <c r="O6" s="30"/>
      <c r="P6" s="30"/>
      <c r="Q6" s="30"/>
      <c r="R6" s="30"/>
    </row>
    <row r="7" spans="2:18">
      <c r="B7" s="49">
        <v>2003</v>
      </c>
      <c r="C7" s="30"/>
      <c r="D7" s="30"/>
      <c r="E7" s="30"/>
      <c r="F7" s="30"/>
      <c r="G7" s="30"/>
      <c r="H7" s="30"/>
      <c r="I7" s="30"/>
      <c r="J7" s="30"/>
      <c r="K7" s="30"/>
      <c r="L7" s="30"/>
      <c r="M7" s="30"/>
      <c r="N7" s="30"/>
      <c r="O7" s="30"/>
      <c r="P7" s="30"/>
      <c r="Q7" s="30"/>
      <c r="R7" s="30"/>
    </row>
    <row r="8" spans="2:18">
      <c r="B8" s="49">
        <v>2004</v>
      </c>
      <c r="C8" s="30"/>
      <c r="D8" s="30"/>
      <c r="E8" s="30"/>
      <c r="F8" s="30"/>
      <c r="G8" s="30"/>
      <c r="H8" s="30"/>
      <c r="I8" s="30"/>
      <c r="J8" s="30"/>
      <c r="K8" s="30"/>
      <c r="L8" s="30"/>
      <c r="M8" s="30"/>
      <c r="N8" s="30"/>
      <c r="O8" s="30"/>
      <c r="P8" s="30"/>
      <c r="Q8" s="30"/>
      <c r="R8" s="30"/>
    </row>
    <row r="9" spans="2:18">
      <c r="B9" s="49">
        <v>2005</v>
      </c>
      <c r="C9" s="30"/>
      <c r="D9" s="30"/>
      <c r="E9" s="30"/>
      <c r="F9" s="30"/>
      <c r="G9" s="30"/>
      <c r="H9" s="30"/>
      <c r="I9" s="30"/>
      <c r="J9" s="30"/>
      <c r="K9" s="30"/>
      <c r="L9" s="30"/>
      <c r="M9" s="30"/>
      <c r="N9" s="30"/>
      <c r="O9" s="30"/>
      <c r="P9" s="30"/>
      <c r="Q9" s="30"/>
      <c r="R9" s="30"/>
    </row>
    <row r="10" spans="2:18">
      <c r="B10" s="49">
        <v>2006</v>
      </c>
      <c r="C10" s="30"/>
      <c r="D10" s="30"/>
      <c r="E10" s="30"/>
      <c r="F10" s="30"/>
      <c r="G10" s="30"/>
      <c r="H10" s="30"/>
      <c r="I10" s="30"/>
      <c r="J10" s="30"/>
      <c r="K10" s="30"/>
      <c r="L10" s="30"/>
      <c r="M10" s="30"/>
      <c r="N10" s="30"/>
      <c r="O10" s="30"/>
      <c r="P10" s="30"/>
      <c r="Q10" s="30"/>
      <c r="R10" s="30"/>
    </row>
    <row r="11" spans="2:18">
      <c r="B11" s="49">
        <v>2007</v>
      </c>
      <c r="C11" s="30"/>
      <c r="D11" s="30"/>
      <c r="E11" s="30"/>
      <c r="F11" s="30"/>
      <c r="G11" s="30"/>
      <c r="H11" s="30"/>
      <c r="I11" s="30"/>
      <c r="J11" s="30"/>
      <c r="K11" s="30"/>
      <c r="L11" s="30"/>
      <c r="M11" s="30"/>
      <c r="N11" s="30"/>
      <c r="O11" s="30"/>
      <c r="P11" s="30"/>
      <c r="Q11" s="30"/>
      <c r="R11" s="30"/>
    </row>
    <row r="12" spans="2:18">
      <c r="B12" s="49">
        <v>2008</v>
      </c>
      <c r="C12" s="30"/>
      <c r="D12" s="30"/>
      <c r="E12" s="30"/>
      <c r="F12" s="30"/>
      <c r="G12" s="30"/>
      <c r="H12" s="30"/>
      <c r="I12" s="30"/>
      <c r="J12" s="30"/>
      <c r="K12" s="30"/>
      <c r="L12" s="30"/>
      <c r="M12" s="30"/>
      <c r="N12" s="30"/>
      <c r="O12" s="30"/>
      <c r="P12" s="30"/>
      <c r="Q12" s="30"/>
      <c r="R12" s="30"/>
    </row>
    <row r="13" spans="2:18">
      <c r="B13" s="49">
        <v>2009</v>
      </c>
      <c r="C13" s="30"/>
      <c r="D13" s="30"/>
      <c r="E13" s="30"/>
      <c r="F13" s="30"/>
      <c r="G13" s="30"/>
      <c r="H13" s="30"/>
      <c r="I13" s="30"/>
      <c r="J13" s="30"/>
      <c r="K13" s="30"/>
      <c r="L13" s="30"/>
      <c r="M13" s="30"/>
      <c r="N13" s="30"/>
      <c r="O13" s="30"/>
      <c r="P13" s="30"/>
      <c r="Q13" s="30"/>
      <c r="R13" s="30"/>
    </row>
    <row r="14" spans="2:18">
      <c r="B14" s="49">
        <v>2010</v>
      </c>
      <c r="C14" s="30"/>
      <c r="D14" s="30"/>
      <c r="E14" s="30"/>
      <c r="F14" s="30"/>
      <c r="G14" s="30"/>
      <c r="H14" s="30"/>
      <c r="I14" s="30"/>
      <c r="J14" s="30"/>
      <c r="K14" s="30"/>
      <c r="L14" s="30"/>
      <c r="M14" s="30"/>
      <c r="N14" s="30"/>
      <c r="O14" s="30"/>
      <c r="P14" s="30"/>
      <c r="Q14" s="30"/>
      <c r="R14" s="30"/>
    </row>
    <row r="15" spans="2:18">
      <c r="B15" s="49">
        <v>2011</v>
      </c>
      <c r="C15" s="30"/>
      <c r="D15" s="30"/>
      <c r="E15" s="30"/>
      <c r="F15" s="30"/>
      <c r="G15" s="30"/>
      <c r="H15" s="30"/>
      <c r="I15" s="30"/>
      <c r="J15" s="30"/>
      <c r="K15" s="30"/>
      <c r="L15" s="30"/>
      <c r="M15" s="30"/>
      <c r="N15" s="30"/>
      <c r="O15" s="30"/>
      <c r="P15" s="30"/>
      <c r="Q15" s="30"/>
      <c r="R15" s="30"/>
    </row>
    <row r="16" spans="2:18">
      <c r="B16" s="49">
        <v>2012</v>
      </c>
      <c r="C16" s="30"/>
      <c r="D16" s="30"/>
      <c r="E16" s="30"/>
      <c r="F16" s="30"/>
      <c r="G16" s="30"/>
      <c r="H16" s="30"/>
      <c r="I16" s="30"/>
      <c r="J16" s="30"/>
      <c r="K16" s="30"/>
      <c r="L16" s="30"/>
      <c r="M16" s="30"/>
      <c r="N16" s="30"/>
      <c r="O16" s="30"/>
      <c r="P16" s="30"/>
      <c r="Q16" s="30"/>
      <c r="R16" s="30"/>
    </row>
    <row r="17" spans="2:18">
      <c r="B17" s="49">
        <v>2013</v>
      </c>
      <c r="C17" s="30"/>
      <c r="D17" s="30"/>
      <c r="E17" s="30"/>
      <c r="F17" s="30"/>
      <c r="G17" s="30"/>
      <c r="H17" s="30"/>
      <c r="I17" s="30"/>
      <c r="J17" s="30"/>
      <c r="K17" s="30"/>
      <c r="L17" s="30"/>
      <c r="M17" s="30"/>
      <c r="N17" s="30"/>
      <c r="O17" s="30"/>
      <c r="P17" s="30"/>
      <c r="Q17" s="30"/>
      <c r="R17" s="30"/>
    </row>
    <row r="18" spans="2:18">
      <c r="B18" s="49">
        <v>2014</v>
      </c>
      <c r="C18" s="30"/>
      <c r="D18" s="30"/>
      <c r="E18" s="30"/>
      <c r="F18" s="30"/>
      <c r="G18" s="30"/>
      <c r="H18" s="30"/>
      <c r="I18" s="30"/>
      <c r="J18" s="30"/>
      <c r="K18" s="30"/>
      <c r="L18" s="30"/>
      <c r="M18" s="30"/>
      <c r="N18" s="30"/>
      <c r="O18" s="30"/>
      <c r="P18" s="30"/>
      <c r="Q18" s="30"/>
      <c r="R18" s="30"/>
    </row>
    <row r="19" spans="2:18">
      <c r="B19" s="49">
        <v>2015</v>
      </c>
      <c r="C19" s="30"/>
      <c r="D19" s="30"/>
      <c r="E19" s="30"/>
      <c r="F19" s="30"/>
      <c r="G19" s="30"/>
      <c r="H19" s="30"/>
      <c r="I19" s="30"/>
      <c r="J19" s="30"/>
      <c r="K19" s="30"/>
      <c r="L19" s="30"/>
      <c r="M19" s="30"/>
      <c r="N19" s="30"/>
      <c r="O19" s="30"/>
      <c r="P19" s="30"/>
      <c r="Q19" s="30"/>
      <c r="R19" s="30"/>
    </row>
    <row r="20" spans="2:18">
      <c r="B20" s="49">
        <v>2016</v>
      </c>
      <c r="C20" s="30"/>
      <c r="D20" s="30"/>
      <c r="E20" s="30"/>
      <c r="F20" s="30"/>
      <c r="G20" s="30"/>
      <c r="H20" s="30"/>
      <c r="I20" s="30"/>
      <c r="J20" s="30"/>
      <c r="K20" s="30"/>
      <c r="L20" s="30"/>
      <c r="M20" s="30"/>
      <c r="N20" s="30"/>
      <c r="O20" s="30"/>
      <c r="P20" s="30"/>
      <c r="Q20" s="30"/>
      <c r="R20" s="30"/>
    </row>
    <row r="21" spans="2:18">
      <c r="B21" s="49">
        <v>2017</v>
      </c>
      <c r="C21" s="30"/>
      <c r="D21" s="30"/>
      <c r="E21" s="30"/>
      <c r="F21" s="30"/>
      <c r="G21" s="30"/>
      <c r="H21" s="30"/>
      <c r="I21" s="30"/>
      <c r="J21" s="30"/>
      <c r="K21" s="30"/>
      <c r="L21" s="30"/>
      <c r="M21" s="30"/>
      <c r="N21" s="30"/>
      <c r="O21" s="30"/>
      <c r="P21" s="30"/>
      <c r="Q21" s="30"/>
      <c r="R21" s="30"/>
    </row>
    <row r="22" spans="2:18">
      <c r="B22" s="49">
        <v>2018</v>
      </c>
      <c r="C22" s="30"/>
      <c r="D22" s="30"/>
      <c r="E22" s="30"/>
      <c r="F22" s="30"/>
      <c r="G22" s="30"/>
      <c r="H22" s="30"/>
      <c r="I22" s="30"/>
      <c r="J22" s="30"/>
      <c r="K22" s="30"/>
      <c r="L22" s="30"/>
      <c r="M22" s="30"/>
      <c r="N22" s="30"/>
      <c r="O22" s="30"/>
      <c r="P22" s="30"/>
      <c r="Q22" s="30"/>
      <c r="R22" s="30"/>
    </row>
    <row r="23" spans="2:18">
      <c r="B23" s="49">
        <v>2019</v>
      </c>
      <c r="C23" s="30"/>
      <c r="D23" s="30"/>
      <c r="E23" s="30"/>
      <c r="F23" s="30">
        <v>11</v>
      </c>
      <c r="G23" s="30"/>
      <c r="H23" s="30"/>
      <c r="I23" s="30"/>
      <c r="J23" s="30"/>
      <c r="K23" s="30"/>
      <c r="L23" s="30"/>
      <c r="M23" s="30"/>
      <c r="N23" s="30"/>
      <c r="O23" s="30"/>
      <c r="P23" s="30"/>
      <c r="Q23" s="30"/>
      <c r="R23" s="30"/>
    </row>
    <row r="24" spans="2:18">
      <c r="B24" s="49">
        <v>2020</v>
      </c>
      <c r="C24" s="30"/>
      <c r="D24" s="30"/>
      <c r="E24" s="30"/>
      <c r="F24" s="30">
        <v>86</v>
      </c>
      <c r="G24" s="30">
        <v>17</v>
      </c>
      <c r="H24" s="30"/>
      <c r="I24" s="30"/>
      <c r="J24" s="30"/>
      <c r="K24" s="30"/>
      <c r="L24" s="30"/>
      <c r="M24" s="30">
        <v>74.25</v>
      </c>
      <c r="N24" s="30">
        <v>74.25</v>
      </c>
      <c r="O24" s="30"/>
      <c r="P24" s="30"/>
      <c r="Q24" s="30"/>
      <c r="R24" s="30"/>
    </row>
    <row r="25" spans="2:18">
      <c r="B25" s="49">
        <v>2021</v>
      </c>
      <c r="C25" s="30"/>
      <c r="D25" s="30"/>
      <c r="E25" s="30"/>
      <c r="F25" s="30">
        <v>138</v>
      </c>
      <c r="G25" s="30">
        <v>74</v>
      </c>
      <c r="H25" s="30"/>
      <c r="I25" s="30"/>
      <c r="J25" s="30"/>
      <c r="K25" s="30"/>
      <c r="L25" s="30">
        <v>250</v>
      </c>
      <c r="M25" s="30">
        <v>123.9750001</v>
      </c>
      <c r="N25" s="30">
        <v>123.97499999999999</v>
      </c>
      <c r="O25" s="30"/>
      <c r="P25" s="30"/>
      <c r="Q25" s="30"/>
      <c r="R25" s="30"/>
    </row>
    <row r="26" spans="2:18">
      <c r="B26" s="49">
        <v>2022</v>
      </c>
      <c r="C26" s="30"/>
      <c r="D26" s="30"/>
      <c r="E26" s="30"/>
      <c r="F26" s="30">
        <v>320</v>
      </c>
      <c r="G26" s="30">
        <v>264</v>
      </c>
      <c r="H26" s="30"/>
      <c r="I26" s="30"/>
      <c r="J26" s="30"/>
      <c r="K26" s="30"/>
      <c r="L26" s="30">
        <v>530.70000000000005</v>
      </c>
      <c r="M26" s="30">
        <v>149.17280840000001</v>
      </c>
      <c r="N26" s="30">
        <v>149.15184149999999</v>
      </c>
      <c r="O26" s="30">
        <v>200</v>
      </c>
      <c r="P26" s="30"/>
      <c r="Q26" s="30"/>
      <c r="R26" s="30"/>
    </row>
    <row r="27" spans="2:18">
      <c r="B27" s="49">
        <v>2023</v>
      </c>
      <c r="C27" s="30"/>
      <c r="D27" s="30"/>
      <c r="E27" s="30"/>
      <c r="F27" s="30">
        <v>349</v>
      </c>
      <c r="G27" s="30">
        <v>377</v>
      </c>
      <c r="H27" s="30"/>
      <c r="I27" s="30"/>
      <c r="J27" s="30"/>
      <c r="K27" s="30"/>
      <c r="L27" s="30">
        <v>565.29999999999995</v>
      </c>
      <c r="M27" s="30">
        <v>414.76690289999999</v>
      </c>
      <c r="N27" s="30">
        <v>414.60297020000002</v>
      </c>
      <c r="O27" s="30"/>
      <c r="P27" s="30"/>
      <c r="Q27" s="30"/>
      <c r="R27" s="30"/>
    </row>
    <row r="28" spans="2:18">
      <c r="B28" s="49">
        <v>2024</v>
      </c>
      <c r="C28" s="30"/>
      <c r="D28" s="30"/>
      <c r="E28" s="30"/>
      <c r="F28" s="30">
        <v>581</v>
      </c>
      <c r="G28" s="30">
        <v>589</v>
      </c>
      <c r="H28" s="30"/>
      <c r="I28" s="30"/>
      <c r="J28" s="30"/>
      <c r="K28" s="30"/>
      <c r="L28" s="30">
        <v>648.70000000000005</v>
      </c>
      <c r="M28" s="30">
        <v>485.32106729999998</v>
      </c>
      <c r="N28" s="30">
        <v>483.34775780000001</v>
      </c>
      <c r="O28" s="30"/>
      <c r="P28" s="30">
        <v>500</v>
      </c>
      <c r="Q28" s="30"/>
      <c r="R28" s="30">
        <v>4000</v>
      </c>
    </row>
    <row r="29" spans="2:18">
      <c r="B29" s="49">
        <v>2025</v>
      </c>
      <c r="C29" s="30"/>
      <c r="D29" s="30"/>
      <c r="E29" s="30"/>
      <c r="F29" s="30">
        <v>1287</v>
      </c>
      <c r="G29" s="30">
        <v>1193.4000000000001</v>
      </c>
      <c r="H29" s="30"/>
      <c r="I29" s="30"/>
      <c r="J29" s="30"/>
      <c r="K29" s="30"/>
      <c r="L29" s="30">
        <v>1632.7</v>
      </c>
      <c r="M29" s="30">
        <v>755.79145970000002</v>
      </c>
      <c r="N29" s="30">
        <v>744.82904129999997</v>
      </c>
      <c r="O29" s="30"/>
      <c r="P29" s="30"/>
      <c r="Q29" s="30"/>
      <c r="R29" s="30">
        <v>8000</v>
      </c>
    </row>
    <row r="30" spans="2:18">
      <c r="B30" s="49">
        <v>2026</v>
      </c>
      <c r="C30" s="30"/>
      <c r="D30" s="30"/>
      <c r="E30" s="30"/>
      <c r="F30" s="30">
        <v>1927</v>
      </c>
      <c r="G30" s="30">
        <v>2863.4</v>
      </c>
      <c r="H30" s="30"/>
      <c r="I30" s="30"/>
      <c r="J30" s="30"/>
      <c r="K30" s="30"/>
      <c r="L30" s="30">
        <v>2716.7</v>
      </c>
      <c r="M30" s="30">
        <v>917.52677229999995</v>
      </c>
      <c r="N30" s="30">
        <v>897.63720160000003</v>
      </c>
      <c r="O30" s="30"/>
      <c r="P30" s="30"/>
      <c r="Q30" s="30"/>
      <c r="R30" s="30">
        <v>11000</v>
      </c>
    </row>
    <row r="31" spans="2:18">
      <c r="B31" s="49">
        <v>2027</v>
      </c>
      <c r="C31" s="30"/>
      <c r="D31" s="30"/>
      <c r="E31" s="30"/>
      <c r="F31" s="30">
        <v>2227</v>
      </c>
      <c r="G31" s="30">
        <v>4163.3999999999996</v>
      </c>
      <c r="H31" s="30"/>
      <c r="I31" s="30"/>
      <c r="J31" s="30"/>
      <c r="K31" s="30"/>
      <c r="L31" s="30">
        <v>5221.7</v>
      </c>
      <c r="M31" s="30">
        <v>3007.2809240000001</v>
      </c>
      <c r="N31" s="30">
        <v>2940.9011439999999</v>
      </c>
      <c r="O31" s="30"/>
      <c r="P31" s="30"/>
      <c r="Q31" s="30"/>
      <c r="R31" s="30">
        <v>14000</v>
      </c>
    </row>
    <row r="32" spans="2:18">
      <c r="B32" s="49">
        <v>2028</v>
      </c>
      <c r="C32" s="30"/>
      <c r="D32" s="30"/>
      <c r="E32" s="30"/>
      <c r="F32" s="30">
        <v>3027</v>
      </c>
      <c r="G32" s="30">
        <v>7551.4</v>
      </c>
      <c r="H32" s="30"/>
      <c r="I32" s="30"/>
      <c r="J32" s="30"/>
      <c r="K32" s="30"/>
      <c r="L32" s="30">
        <v>7293.7</v>
      </c>
      <c r="M32" s="30">
        <v>6870.2554120000004</v>
      </c>
      <c r="N32" s="30">
        <v>6724.078786</v>
      </c>
      <c r="O32" s="30"/>
      <c r="P32" s="30"/>
      <c r="Q32" s="30"/>
      <c r="R32" s="30">
        <v>23000</v>
      </c>
    </row>
    <row r="33" spans="2:18">
      <c r="B33" s="49">
        <v>2029</v>
      </c>
      <c r="C33" s="30"/>
      <c r="D33" s="30"/>
      <c r="E33" s="30"/>
      <c r="F33" s="30">
        <v>4527</v>
      </c>
      <c r="G33" s="30">
        <v>10301.4</v>
      </c>
      <c r="H33" s="30"/>
      <c r="I33" s="30"/>
      <c r="J33" s="30"/>
      <c r="K33" s="30"/>
      <c r="L33" s="30">
        <v>9543.7000000000007</v>
      </c>
      <c r="M33" s="30">
        <v>8866.7661669999998</v>
      </c>
      <c r="N33" s="30">
        <v>8629.7253359999995</v>
      </c>
      <c r="O33" s="30"/>
      <c r="P33" s="30"/>
      <c r="Q33" s="30"/>
      <c r="R33" s="30">
        <v>30000</v>
      </c>
    </row>
    <row r="34" spans="2:18">
      <c r="B34" s="49">
        <v>2030</v>
      </c>
      <c r="C34" s="30">
        <v>13000</v>
      </c>
      <c r="D34" s="30">
        <v>19000</v>
      </c>
      <c r="E34" s="30">
        <v>3000</v>
      </c>
      <c r="F34" s="30">
        <v>6527</v>
      </c>
      <c r="G34" s="30">
        <v>16555.400000000001</v>
      </c>
      <c r="H34" s="30">
        <v>4200</v>
      </c>
      <c r="I34" s="30">
        <v>2400</v>
      </c>
      <c r="J34" s="30">
        <v>9500</v>
      </c>
      <c r="K34" s="30">
        <v>4300</v>
      </c>
      <c r="L34" s="30">
        <v>14043.7</v>
      </c>
      <c r="M34" s="30">
        <v>14106.68945</v>
      </c>
      <c r="N34" s="30">
        <v>13700.845160000001</v>
      </c>
      <c r="O34" s="30">
        <v>10000</v>
      </c>
      <c r="P34" s="30">
        <v>6800</v>
      </c>
      <c r="Q34" s="30">
        <v>41000</v>
      </c>
      <c r="R34" s="30">
        <v>42000</v>
      </c>
    </row>
    <row r="35" spans="2:18">
      <c r="B35" s="49">
        <v>2031</v>
      </c>
      <c r="C35" s="30"/>
      <c r="D35" s="30"/>
      <c r="E35" s="30"/>
      <c r="F35" s="30"/>
      <c r="G35" s="30"/>
      <c r="H35" s="30"/>
      <c r="I35" s="30"/>
      <c r="J35" s="30"/>
      <c r="K35" s="30"/>
      <c r="L35" s="30">
        <v>20043.7</v>
      </c>
      <c r="M35" s="30">
        <v>18527.956289999998</v>
      </c>
      <c r="N35" s="30">
        <v>17807.355299999999</v>
      </c>
      <c r="O35" s="30"/>
      <c r="P35" s="30"/>
      <c r="Q35" s="30"/>
      <c r="R35" s="30"/>
    </row>
    <row r="36" spans="2:18">
      <c r="B36" s="49">
        <v>2032</v>
      </c>
      <c r="C36" s="30"/>
      <c r="D36" s="30"/>
      <c r="E36" s="30"/>
      <c r="F36" s="30"/>
      <c r="G36" s="30"/>
      <c r="H36" s="30"/>
      <c r="I36" s="30"/>
      <c r="J36" s="30"/>
      <c r="K36" s="30"/>
      <c r="L36" s="30">
        <v>26747.7</v>
      </c>
      <c r="M36" s="30">
        <v>27414.359390000001</v>
      </c>
      <c r="N36" s="30">
        <v>26306.103459999998</v>
      </c>
      <c r="O36" s="30"/>
      <c r="P36" s="30"/>
      <c r="Q36" s="30"/>
      <c r="R36" s="30"/>
    </row>
    <row r="37" spans="2:18">
      <c r="B37" s="49">
        <v>2033</v>
      </c>
      <c r="C37" s="30"/>
      <c r="D37" s="30"/>
      <c r="E37" s="30"/>
      <c r="F37" s="30"/>
      <c r="G37" s="30"/>
      <c r="H37" s="30"/>
      <c r="I37" s="30"/>
      <c r="J37" s="30"/>
      <c r="K37" s="30"/>
      <c r="L37" s="30">
        <v>31397.7</v>
      </c>
      <c r="M37" s="30">
        <v>46865.616849999999</v>
      </c>
      <c r="N37" s="30">
        <v>45254.449260000001</v>
      </c>
      <c r="O37" s="30"/>
      <c r="P37" s="30"/>
      <c r="Q37" s="30"/>
      <c r="R37" s="30"/>
    </row>
    <row r="38" spans="2:18">
      <c r="B38" s="49">
        <v>2034</v>
      </c>
      <c r="C38" s="30"/>
      <c r="D38" s="30"/>
      <c r="E38" s="30"/>
      <c r="F38" s="30"/>
      <c r="G38" s="30"/>
      <c r="H38" s="30"/>
      <c r="I38" s="30"/>
      <c r="J38" s="30"/>
      <c r="K38" s="30"/>
      <c r="L38" s="30">
        <v>36897.699999999997</v>
      </c>
      <c r="M38" s="30">
        <v>51581.334269999999</v>
      </c>
      <c r="N38" s="30">
        <v>49281.700320000004</v>
      </c>
      <c r="O38" s="30"/>
      <c r="P38" s="30"/>
      <c r="Q38" s="30"/>
      <c r="R38" s="30"/>
    </row>
    <row r="39" spans="2:18">
      <c r="B39" s="49">
        <v>2035</v>
      </c>
      <c r="C39" s="30"/>
      <c r="D39" s="30"/>
      <c r="E39" s="30"/>
      <c r="F39" s="30"/>
      <c r="G39" s="30"/>
      <c r="H39" s="30"/>
      <c r="I39" s="30"/>
      <c r="J39" s="30"/>
      <c r="K39" s="30"/>
      <c r="L39" s="30">
        <v>40397.699999999997</v>
      </c>
      <c r="M39" s="30">
        <v>63239.287609999999</v>
      </c>
      <c r="N39" s="30">
        <v>60093.734349999999</v>
      </c>
      <c r="O39" s="30">
        <v>40000</v>
      </c>
      <c r="P39" s="30">
        <v>39800</v>
      </c>
      <c r="Q39" s="30"/>
      <c r="R39" s="30">
        <v>64000</v>
      </c>
    </row>
    <row r="40" spans="2:18">
      <c r="B40" s="49">
        <v>2036</v>
      </c>
      <c r="C40" s="30"/>
      <c r="D40" s="30"/>
      <c r="E40" s="30"/>
      <c r="F40" s="30"/>
      <c r="G40" s="30"/>
      <c r="H40" s="30"/>
      <c r="I40" s="30"/>
      <c r="J40" s="30"/>
      <c r="K40" s="30"/>
      <c r="L40" s="30"/>
      <c r="M40" s="30">
        <v>72688.429650000005</v>
      </c>
      <c r="N40" s="30">
        <v>68767.287559999997</v>
      </c>
      <c r="O40" s="30"/>
      <c r="P40" s="30"/>
      <c r="Q40" s="30"/>
      <c r="R40" s="30"/>
    </row>
    <row r="41" spans="2:18">
      <c r="B41" s="49">
        <v>2037</v>
      </c>
      <c r="C41" s="30"/>
      <c r="D41" s="30"/>
      <c r="E41" s="30"/>
      <c r="F41" s="30"/>
      <c r="G41" s="30"/>
      <c r="H41" s="30"/>
      <c r="I41" s="30"/>
      <c r="J41" s="30"/>
      <c r="K41" s="30"/>
      <c r="L41" s="30"/>
      <c r="M41" s="30">
        <v>84847.052089999997</v>
      </c>
      <c r="N41" s="30">
        <v>80458.275349999996</v>
      </c>
      <c r="O41" s="30"/>
      <c r="P41" s="30"/>
      <c r="Q41" s="30"/>
      <c r="R41" s="30"/>
    </row>
    <row r="42" spans="2:18">
      <c r="B42" s="49">
        <v>2038</v>
      </c>
      <c r="C42" s="30"/>
      <c r="D42" s="30"/>
      <c r="E42" s="30"/>
      <c r="F42" s="30"/>
      <c r="G42" s="30"/>
      <c r="H42" s="30"/>
      <c r="I42" s="30"/>
      <c r="J42" s="30"/>
      <c r="K42" s="30"/>
      <c r="L42" s="30"/>
      <c r="M42" s="30">
        <v>95626.872449999995</v>
      </c>
      <c r="N42" s="30">
        <v>90781.049129999999</v>
      </c>
      <c r="O42" s="30"/>
      <c r="P42" s="30"/>
      <c r="Q42" s="30"/>
      <c r="R42" s="30"/>
    </row>
    <row r="43" spans="2:18">
      <c r="B43" s="49">
        <v>2039</v>
      </c>
      <c r="C43" s="30"/>
      <c r="D43" s="30"/>
      <c r="E43" s="30"/>
      <c r="F43" s="30"/>
      <c r="G43" s="30"/>
      <c r="H43" s="30"/>
      <c r="I43" s="30"/>
      <c r="J43" s="30"/>
      <c r="K43" s="30"/>
      <c r="L43" s="30"/>
      <c r="M43" s="30">
        <v>107878.1762</v>
      </c>
      <c r="N43" s="30">
        <v>102192.77559999999</v>
      </c>
      <c r="O43" s="30"/>
      <c r="P43" s="30"/>
      <c r="Q43" s="30"/>
      <c r="R43" s="30"/>
    </row>
    <row r="44" spans="2:18">
      <c r="B44" s="49">
        <v>2040</v>
      </c>
      <c r="C44" s="30"/>
      <c r="D44" s="30"/>
      <c r="E44" s="30"/>
      <c r="F44" s="30"/>
      <c r="G44" s="30"/>
      <c r="H44" s="30"/>
      <c r="I44" s="30"/>
      <c r="J44" s="30"/>
      <c r="K44" s="30"/>
      <c r="L44" s="30"/>
      <c r="M44" s="30">
        <v>120309.3909</v>
      </c>
      <c r="N44" s="30">
        <v>113871.8995</v>
      </c>
      <c r="O44" s="30">
        <v>100000</v>
      </c>
      <c r="P44" s="30"/>
      <c r="Q44" s="30"/>
      <c r="R44" s="30"/>
    </row>
    <row r="45" spans="2:18">
      <c r="B45" s="49">
        <v>2041</v>
      </c>
      <c r="C45" s="30"/>
      <c r="D45" s="30"/>
      <c r="E45" s="30"/>
      <c r="F45" s="30"/>
      <c r="G45" s="30"/>
      <c r="H45" s="30"/>
      <c r="I45" s="30"/>
      <c r="J45" s="30"/>
      <c r="K45" s="30"/>
      <c r="L45" s="30"/>
      <c r="M45" s="30">
        <v>132873.785</v>
      </c>
      <c r="N45" s="30">
        <v>126078.1617</v>
      </c>
      <c r="O45" s="30"/>
      <c r="P45" s="30"/>
      <c r="Q45" s="30"/>
      <c r="R45" s="30"/>
    </row>
    <row r="46" spans="2:18">
      <c r="B46" s="49">
        <v>2042</v>
      </c>
      <c r="C46" s="30"/>
      <c r="D46" s="30"/>
      <c r="E46" s="30"/>
      <c r="F46" s="30"/>
      <c r="G46" s="30"/>
      <c r="H46" s="30"/>
      <c r="I46" s="30"/>
      <c r="J46" s="30"/>
      <c r="K46" s="30"/>
      <c r="L46" s="30"/>
      <c r="M46" s="30">
        <v>145790.40410000001</v>
      </c>
      <c r="N46" s="30">
        <v>138621.01029999999</v>
      </c>
      <c r="O46" s="30"/>
      <c r="P46" s="30"/>
      <c r="Q46" s="30"/>
      <c r="R46" s="30"/>
    </row>
    <row r="47" spans="2:18">
      <c r="B47" s="49">
        <v>2043</v>
      </c>
      <c r="C47" s="30"/>
      <c r="D47" s="30"/>
      <c r="E47" s="30"/>
      <c r="F47" s="30"/>
      <c r="G47" s="30"/>
      <c r="H47" s="30"/>
      <c r="I47" s="30"/>
      <c r="J47" s="30"/>
      <c r="K47" s="30"/>
      <c r="L47" s="30"/>
      <c r="M47" s="30">
        <v>160675.72349999999</v>
      </c>
      <c r="N47" s="30">
        <v>153041.06270000001</v>
      </c>
      <c r="O47" s="30"/>
      <c r="P47" s="30"/>
      <c r="Q47" s="30"/>
      <c r="R47" s="30"/>
    </row>
    <row r="48" spans="2:18">
      <c r="B48" s="49">
        <v>2044</v>
      </c>
      <c r="C48" s="30"/>
      <c r="D48" s="30"/>
      <c r="E48" s="30"/>
      <c r="F48" s="30"/>
      <c r="G48" s="30"/>
      <c r="H48" s="30"/>
      <c r="I48" s="30"/>
      <c r="J48" s="30"/>
      <c r="K48" s="30"/>
      <c r="L48" s="30"/>
      <c r="M48" s="30">
        <v>177153.35449999999</v>
      </c>
      <c r="N48" s="30">
        <v>168847.016</v>
      </c>
      <c r="O48" s="30"/>
      <c r="P48" s="30"/>
      <c r="Q48" s="30"/>
      <c r="R48" s="30"/>
    </row>
    <row r="49" spans="2:18">
      <c r="B49" s="49">
        <v>2045</v>
      </c>
      <c r="C49" s="30"/>
      <c r="D49" s="30"/>
      <c r="E49" s="30"/>
      <c r="F49" s="30"/>
      <c r="G49" s="30"/>
      <c r="H49" s="30"/>
      <c r="I49" s="30"/>
      <c r="J49" s="30"/>
      <c r="K49" s="30"/>
      <c r="L49" s="30"/>
      <c r="M49" s="30">
        <v>195194.10320000001</v>
      </c>
      <c r="N49" s="30">
        <v>186544.27420000001</v>
      </c>
      <c r="O49" s="30"/>
      <c r="P49" s="30"/>
      <c r="Q49" s="30"/>
      <c r="R49" s="30"/>
    </row>
    <row r="50" spans="2:18">
      <c r="B50" s="49">
        <v>2046</v>
      </c>
      <c r="C50" s="30"/>
      <c r="D50" s="30"/>
      <c r="E50" s="30"/>
      <c r="F50" s="30"/>
      <c r="G50" s="30"/>
      <c r="H50" s="30"/>
      <c r="I50" s="30"/>
      <c r="J50" s="30"/>
      <c r="K50" s="30"/>
      <c r="L50" s="30"/>
      <c r="M50" s="30">
        <v>214600.05420000001</v>
      </c>
      <c r="N50" s="30">
        <v>205402.20730000001</v>
      </c>
      <c r="O50" s="30"/>
      <c r="P50" s="30"/>
      <c r="Q50" s="30"/>
      <c r="R50" s="30"/>
    </row>
    <row r="51" spans="2:18">
      <c r="B51" s="49">
        <v>2047</v>
      </c>
      <c r="C51" s="30"/>
      <c r="D51" s="30"/>
      <c r="E51" s="30"/>
      <c r="F51" s="30"/>
      <c r="G51" s="30"/>
      <c r="H51" s="30"/>
      <c r="I51" s="30"/>
      <c r="J51" s="30"/>
      <c r="K51" s="30"/>
      <c r="L51" s="30"/>
      <c r="M51" s="30">
        <v>235131.64790000001</v>
      </c>
      <c r="N51" s="30">
        <v>225467.23430000001</v>
      </c>
      <c r="O51" s="30"/>
      <c r="P51" s="30"/>
      <c r="Q51" s="30"/>
      <c r="R51" s="30"/>
    </row>
    <row r="52" spans="2:18">
      <c r="B52" s="49">
        <v>2048</v>
      </c>
      <c r="C52" s="30"/>
      <c r="D52" s="30"/>
      <c r="E52" s="30"/>
      <c r="F52" s="30"/>
      <c r="G52" s="30"/>
      <c r="H52" s="30"/>
      <c r="I52" s="30"/>
      <c r="J52" s="30"/>
      <c r="K52" s="30"/>
      <c r="L52" s="30"/>
      <c r="M52" s="30">
        <v>256581.7286</v>
      </c>
      <c r="N52" s="30">
        <v>246362.8075</v>
      </c>
      <c r="O52" s="30"/>
      <c r="P52" s="30"/>
      <c r="Q52" s="30"/>
      <c r="R52" s="30"/>
    </row>
    <row r="53" spans="2:18">
      <c r="B53" s="49">
        <v>2049</v>
      </c>
      <c r="C53" s="30"/>
      <c r="D53" s="30"/>
      <c r="E53" s="30"/>
      <c r="F53" s="30"/>
      <c r="G53" s="30"/>
      <c r="H53" s="30"/>
      <c r="I53" s="30"/>
      <c r="J53" s="30"/>
      <c r="K53" s="30"/>
      <c r="L53" s="30"/>
      <c r="M53" s="30">
        <v>278751.25719999999</v>
      </c>
      <c r="N53" s="30">
        <v>267864.74670000002</v>
      </c>
      <c r="O53" s="30"/>
      <c r="P53" s="30"/>
      <c r="Q53" s="30"/>
      <c r="R53" s="30"/>
    </row>
    <row r="54" spans="2:18">
      <c r="B54" s="49">
        <v>2050</v>
      </c>
      <c r="C54" s="30"/>
      <c r="D54" s="30"/>
      <c r="E54" s="30"/>
      <c r="F54" s="30"/>
      <c r="G54" s="30"/>
      <c r="H54" s="30"/>
      <c r="I54" s="30"/>
      <c r="J54" s="30"/>
      <c r="K54" s="30"/>
      <c r="L54" s="30"/>
      <c r="M54" s="30">
        <v>300413.58510000003</v>
      </c>
      <c r="N54" s="30">
        <v>288856.4376</v>
      </c>
      <c r="O54" s="30">
        <v>250000</v>
      </c>
      <c r="P54" s="30"/>
      <c r="Q54" s="30"/>
      <c r="R54" s="30"/>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5DAB-B249-344C-A42D-F553E81E8522}">
  <dimension ref="B1:G45"/>
  <sheetViews>
    <sheetView workbookViewId="0">
      <selection activeCell="B2" sqref="B2"/>
    </sheetView>
  </sheetViews>
  <sheetFormatPr defaultColWidth="11" defaultRowHeight="15.6"/>
  <cols>
    <col min="2" max="2" width="21.296875" customWidth="1"/>
    <col min="3" max="3" width="13.19921875" style="1" bestFit="1" customWidth="1"/>
    <col min="4" max="4" width="10.5" style="1" customWidth="1"/>
    <col min="5" max="5" width="32.19921875" style="1" bestFit="1" customWidth="1"/>
    <col min="6" max="6" width="27.5" bestFit="1" customWidth="1"/>
    <col min="7" max="7" width="27.5" style="1" bestFit="1" customWidth="1"/>
  </cols>
  <sheetData>
    <row r="1" spans="2:7" ht="23.4">
      <c r="B1" s="5" t="s">
        <v>889</v>
      </c>
      <c r="F1" s="1"/>
      <c r="G1"/>
    </row>
    <row r="2" spans="2:7">
      <c r="F2" s="1"/>
      <c r="G2"/>
    </row>
    <row r="3" spans="2:7">
      <c r="B3" s="46" t="s">
        <v>18</v>
      </c>
      <c r="C3" s="42" t="s">
        <v>694</v>
      </c>
      <c r="D3" s="42" t="s">
        <v>271</v>
      </c>
      <c r="E3" s="42" t="s">
        <v>695</v>
      </c>
      <c r="F3" s="42" t="s">
        <v>708</v>
      </c>
      <c r="G3"/>
    </row>
    <row r="4" spans="2:7">
      <c r="B4" s="46" t="s">
        <v>696</v>
      </c>
      <c r="C4" s="81" t="s">
        <v>19</v>
      </c>
      <c r="D4" s="82">
        <v>0</v>
      </c>
      <c r="E4" s="31" t="s">
        <v>697</v>
      </c>
      <c r="F4" s="31">
        <v>0</v>
      </c>
      <c r="G4"/>
    </row>
    <row r="5" spans="2:7">
      <c r="B5" s="46" t="s">
        <v>5</v>
      </c>
      <c r="C5" s="81" t="s">
        <v>19</v>
      </c>
      <c r="D5" s="82">
        <v>2030</v>
      </c>
      <c r="E5" s="31">
        <v>90</v>
      </c>
      <c r="F5" s="31">
        <v>32.063000000000002</v>
      </c>
      <c r="G5"/>
    </row>
    <row r="6" spans="2:7">
      <c r="B6" s="46" t="s">
        <v>698</v>
      </c>
      <c r="C6" s="81" t="s">
        <v>19</v>
      </c>
      <c r="D6" s="82">
        <v>2030</v>
      </c>
      <c r="E6" s="31">
        <v>30</v>
      </c>
      <c r="F6" s="31">
        <v>0</v>
      </c>
      <c r="G6"/>
    </row>
    <row r="7" spans="2:7">
      <c r="B7" s="46" t="s">
        <v>37</v>
      </c>
      <c r="C7" s="81" t="s">
        <v>19</v>
      </c>
      <c r="D7" s="82">
        <v>2030</v>
      </c>
      <c r="E7" s="31">
        <v>10</v>
      </c>
      <c r="F7" s="31">
        <v>0.154</v>
      </c>
      <c r="G7"/>
    </row>
    <row r="8" spans="2:7">
      <c r="B8" s="46" t="s">
        <v>37</v>
      </c>
      <c r="C8" s="81" t="s">
        <v>19</v>
      </c>
      <c r="D8" s="82">
        <v>2040</v>
      </c>
      <c r="E8" s="31">
        <v>45</v>
      </c>
      <c r="F8" s="31">
        <v>0.154</v>
      </c>
      <c r="G8"/>
    </row>
    <row r="9" spans="2:7">
      <c r="B9" s="46" t="s">
        <v>36</v>
      </c>
      <c r="C9" s="81" t="s">
        <v>19</v>
      </c>
      <c r="D9" s="82">
        <v>2030</v>
      </c>
      <c r="E9" s="31">
        <v>12</v>
      </c>
      <c r="F9" s="31">
        <v>0.13300000000000001</v>
      </c>
      <c r="G9"/>
    </row>
    <row r="10" spans="2:7">
      <c r="B10" s="46" t="s">
        <v>699</v>
      </c>
      <c r="C10" s="81" t="s">
        <v>19</v>
      </c>
      <c r="D10" s="82">
        <v>0</v>
      </c>
      <c r="E10" s="31" t="s">
        <v>709</v>
      </c>
      <c r="F10" s="31">
        <v>0</v>
      </c>
      <c r="G10"/>
    </row>
    <row r="11" spans="2:7">
      <c r="B11" s="46" t="s">
        <v>680</v>
      </c>
      <c r="C11" s="81" t="s">
        <v>19</v>
      </c>
      <c r="D11" s="83">
        <v>2040</v>
      </c>
      <c r="E11" s="31">
        <v>21</v>
      </c>
      <c r="F11" s="31">
        <v>0</v>
      </c>
      <c r="G11"/>
    </row>
    <row r="12" spans="2:7">
      <c r="B12" s="46" t="s">
        <v>38</v>
      </c>
      <c r="C12" s="81" t="s">
        <v>19</v>
      </c>
      <c r="D12" s="82">
        <v>2035</v>
      </c>
      <c r="E12" s="31">
        <v>17.253</v>
      </c>
      <c r="F12" s="31">
        <v>2.2530000000000001</v>
      </c>
      <c r="G12"/>
    </row>
    <row r="13" spans="2:7">
      <c r="B13" s="46" t="s">
        <v>15</v>
      </c>
      <c r="C13" s="81" t="s">
        <v>19</v>
      </c>
      <c r="D13" s="82">
        <v>2030</v>
      </c>
      <c r="E13" s="31">
        <v>7</v>
      </c>
      <c r="F13" s="31">
        <v>1.4690000000000001</v>
      </c>
      <c r="G13"/>
    </row>
    <row r="14" spans="2:7">
      <c r="B14" s="46" t="s">
        <v>4</v>
      </c>
      <c r="C14" s="81" t="s">
        <v>20</v>
      </c>
      <c r="D14" s="82">
        <v>2030</v>
      </c>
      <c r="E14" s="31">
        <v>5.8</v>
      </c>
      <c r="F14" s="31">
        <v>2.2559999999999998</v>
      </c>
      <c r="G14"/>
    </row>
    <row r="15" spans="2:7">
      <c r="B15" s="46" t="s">
        <v>6</v>
      </c>
      <c r="C15" s="81" t="s">
        <v>20</v>
      </c>
      <c r="D15" s="82">
        <v>2030</v>
      </c>
      <c r="E15" s="31">
        <v>12.9</v>
      </c>
      <c r="F15" s="31">
        <v>2.306</v>
      </c>
      <c r="G15"/>
    </row>
    <row r="16" spans="2:7">
      <c r="B16" s="46" t="s">
        <v>6</v>
      </c>
      <c r="C16" s="81" t="s">
        <v>20</v>
      </c>
      <c r="D16" s="82">
        <v>2050</v>
      </c>
      <c r="E16" s="31">
        <v>35</v>
      </c>
      <c r="F16" s="31">
        <v>2.306</v>
      </c>
      <c r="G16"/>
    </row>
    <row r="17" spans="2:7">
      <c r="B17" s="46" t="s">
        <v>35</v>
      </c>
      <c r="C17" s="81" t="s">
        <v>20</v>
      </c>
      <c r="D17" s="82">
        <v>2028</v>
      </c>
      <c r="E17" s="31">
        <v>8.75</v>
      </c>
      <c r="F17" s="31">
        <v>0.48199999999999998</v>
      </c>
      <c r="G17"/>
    </row>
    <row r="18" spans="2:7">
      <c r="B18" s="46" t="s">
        <v>35</v>
      </c>
      <c r="C18" s="81" t="s">
        <v>20</v>
      </c>
      <c r="D18" s="82">
        <v>2050</v>
      </c>
      <c r="E18" s="31">
        <v>40</v>
      </c>
      <c r="F18" s="31">
        <v>0.48199999999999998</v>
      </c>
      <c r="G18"/>
    </row>
    <row r="19" spans="2:7">
      <c r="B19" s="46" t="s">
        <v>700</v>
      </c>
      <c r="C19" s="81" t="s">
        <v>20</v>
      </c>
      <c r="D19" s="82" t="s">
        <v>132</v>
      </c>
      <c r="E19" s="31" t="s">
        <v>132</v>
      </c>
      <c r="F19" s="31">
        <v>4.2000000000000003E-2</v>
      </c>
      <c r="G19"/>
    </row>
    <row r="20" spans="2:7">
      <c r="B20" s="46" t="s">
        <v>7</v>
      </c>
      <c r="C20" s="81" t="s">
        <v>20</v>
      </c>
      <c r="D20" s="82">
        <v>2030</v>
      </c>
      <c r="E20" s="31">
        <v>30</v>
      </c>
      <c r="F20" s="31">
        <v>8.0060000000000002</v>
      </c>
      <c r="G20"/>
    </row>
    <row r="21" spans="2:7">
      <c r="B21" s="46" t="s">
        <v>7</v>
      </c>
      <c r="C21" s="81" t="s">
        <v>20</v>
      </c>
      <c r="D21" s="82">
        <v>2035</v>
      </c>
      <c r="E21" s="31">
        <v>50</v>
      </c>
      <c r="F21" s="31">
        <v>8.0060000000000002</v>
      </c>
      <c r="G21"/>
    </row>
    <row r="22" spans="2:7">
      <c r="B22" s="46" t="s">
        <v>31</v>
      </c>
      <c r="C22" s="81" t="s">
        <v>20</v>
      </c>
      <c r="D22" s="82">
        <v>2030</v>
      </c>
      <c r="E22" s="31">
        <v>7</v>
      </c>
      <c r="F22" s="31">
        <v>2.5000000000000001E-2</v>
      </c>
      <c r="G22"/>
    </row>
    <row r="23" spans="2:7">
      <c r="B23" s="46" t="s">
        <v>13</v>
      </c>
      <c r="C23" s="81" t="s">
        <v>20</v>
      </c>
      <c r="D23" s="82">
        <v>2030</v>
      </c>
      <c r="E23" s="31">
        <v>0.9</v>
      </c>
      <c r="F23" s="31">
        <v>0.03</v>
      </c>
      <c r="G23"/>
    </row>
    <row r="24" spans="2:7">
      <c r="B24" s="46" t="s">
        <v>314</v>
      </c>
      <c r="C24" s="81" t="s">
        <v>20</v>
      </c>
      <c r="D24" s="82">
        <v>2023</v>
      </c>
      <c r="E24" s="31">
        <v>4.5</v>
      </c>
      <c r="F24" s="31">
        <v>2.9860000000000002</v>
      </c>
      <c r="G24"/>
    </row>
    <row r="25" spans="2:7">
      <c r="B25" s="46" t="s">
        <v>314</v>
      </c>
      <c r="C25" s="81" t="s">
        <v>20</v>
      </c>
      <c r="D25" s="82">
        <v>2030</v>
      </c>
      <c r="E25" s="31">
        <v>21</v>
      </c>
      <c r="F25" s="31">
        <v>2.9860000000000002</v>
      </c>
      <c r="G25"/>
    </row>
    <row r="26" spans="2:7">
      <c r="B26" s="46" t="s">
        <v>314</v>
      </c>
      <c r="C26" s="81" t="s">
        <v>20</v>
      </c>
      <c r="D26" s="82">
        <v>2050</v>
      </c>
      <c r="E26" s="31">
        <v>70</v>
      </c>
      <c r="F26" s="31">
        <v>2.9860000000000002</v>
      </c>
      <c r="G26"/>
    </row>
    <row r="27" spans="2:7">
      <c r="B27" s="46" t="s">
        <v>33</v>
      </c>
      <c r="C27" s="81" t="s">
        <v>20</v>
      </c>
      <c r="D27" s="82">
        <v>2040</v>
      </c>
      <c r="E27" s="31">
        <v>30</v>
      </c>
      <c r="F27" s="31">
        <v>9.4E-2</v>
      </c>
      <c r="G27"/>
    </row>
    <row r="28" spans="2:7">
      <c r="B28" s="46" t="s">
        <v>701</v>
      </c>
      <c r="C28" s="81" t="s">
        <v>20</v>
      </c>
      <c r="D28" s="82">
        <v>2030</v>
      </c>
      <c r="E28" s="31">
        <v>5.9</v>
      </c>
      <c r="F28" s="31">
        <v>0</v>
      </c>
      <c r="G28"/>
    </row>
    <row r="29" spans="2:7">
      <c r="B29" s="46" t="s">
        <v>701</v>
      </c>
      <c r="C29" s="81" t="s">
        <v>20</v>
      </c>
      <c r="D29" s="82">
        <v>2040</v>
      </c>
      <c r="E29" s="31">
        <v>11</v>
      </c>
      <c r="F29" s="31">
        <v>0</v>
      </c>
      <c r="G29"/>
    </row>
    <row r="30" spans="2:7">
      <c r="B30" s="46" t="s">
        <v>14</v>
      </c>
      <c r="C30" s="81" t="s">
        <v>20</v>
      </c>
      <c r="D30" s="82">
        <v>2030</v>
      </c>
      <c r="E30" s="31">
        <v>10</v>
      </c>
      <c r="F30" s="31">
        <v>2.5000000000000001E-2</v>
      </c>
      <c r="G30"/>
    </row>
    <row r="31" spans="2:7">
      <c r="B31" s="46" t="s">
        <v>34</v>
      </c>
      <c r="C31" s="81" t="s">
        <v>20</v>
      </c>
      <c r="D31" s="82">
        <v>2030</v>
      </c>
      <c r="E31" s="31">
        <v>3</v>
      </c>
      <c r="F31" s="31">
        <v>7.0000000000000001E-3</v>
      </c>
      <c r="G31"/>
    </row>
    <row r="32" spans="2:7">
      <c r="B32" s="46" t="s">
        <v>11</v>
      </c>
      <c r="C32" s="81" t="s">
        <v>20</v>
      </c>
      <c r="D32" s="82">
        <v>2030</v>
      </c>
      <c r="E32" s="31">
        <v>50</v>
      </c>
      <c r="F32" s="31">
        <v>13.670999999999999</v>
      </c>
      <c r="G32"/>
    </row>
    <row r="33" spans="2:7">
      <c r="B33" s="46" t="s">
        <v>702</v>
      </c>
      <c r="C33" s="81" t="s">
        <v>20</v>
      </c>
      <c r="D33" s="82">
        <v>2030</v>
      </c>
      <c r="E33" s="31">
        <v>0.7</v>
      </c>
      <c r="F33" s="31">
        <v>0</v>
      </c>
      <c r="G33"/>
    </row>
    <row r="34" spans="2:7">
      <c r="B34" s="46" t="s">
        <v>703</v>
      </c>
      <c r="C34" s="81" t="s">
        <v>20</v>
      </c>
      <c r="D34" s="82">
        <v>2030</v>
      </c>
      <c r="E34" s="31">
        <v>2</v>
      </c>
      <c r="F34" s="31">
        <v>0</v>
      </c>
      <c r="G34"/>
    </row>
    <row r="35" spans="2:7">
      <c r="B35" s="46" t="s">
        <v>32</v>
      </c>
      <c r="C35" s="81" t="s">
        <v>20</v>
      </c>
      <c r="D35" s="82" t="s">
        <v>132</v>
      </c>
      <c r="E35" s="31" t="s">
        <v>709</v>
      </c>
      <c r="F35" s="31">
        <v>0.192</v>
      </c>
      <c r="G35"/>
    </row>
    <row r="36" spans="2:7">
      <c r="B36" s="46" t="s">
        <v>169</v>
      </c>
      <c r="C36" s="81" t="s">
        <v>678</v>
      </c>
      <c r="D36" s="82">
        <v>2032</v>
      </c>
      <c r="E36" s="31">
        <v>2</v>
      </c>
      <c r="F36" s="31">
        <v>0</v>
      </c>
      <c r="G36"/>
    </row>
    <row r="37" spans="2:7">
      <c r="B37" s="46" t="s">
        <v>169</v>
      </c>
      <c r="C37" s="81" t="s">
        <v>678</v>
      </c>
      <c r="D37" s="82">
        <v>2035</v>
      </c>
      <c r="E37" s="31">
        <v>4</v>
      </c>
      <c r="F37" s="31">
        <v>0</v>
      </c>
      <c r="G37"/>
    </row>
    <row r="38" spans="2:7">
      <c r="B38" s="46" t="s">
        <v>169</v>
      </c>
      <c r="C38" s="81" t="s">
        <v>678</v>
      </c>
      <c r="D38" s="82">
        <v>2040</v>
      </c>
      <c r="E38" s="31">
        <v>9</v>
      </c>
      <c r="F38" s="31">
        <v>0</v>
      </c>
      <c r="G38"/>
    </row>
    <row r="39" spans="2:7">
      <c r="B39" s="46" t="s">
        <v>87</v>
      </c>
      <c r="C39" s="81" t="s">
        <v>704</v>
      </c>
      <c r="D39" s="82">
        <v>2050</v>
      </c>
      <c r="E39" s="31">
        <v>16</v>
      </c>
      <c r="F39" s="31">
        <v>0</v>
      </c>
      <c r="G39"/>
    </row>
    <row r="40" spans="2:7">
      <c r="B40" s="46" t="s">
        <v>679</v>
      </c>
      <c r="C40" s="81" t="s">
        <v>704</v>
      </c>
      <c r="D40" s="82">
        <v>2030</v>
      </c>
      <c r="E40" s="31">
        <v>1</v>
      </c>
      <c r="F40" s="31">
        <v>0</v>
      </c>
      <c r="G40"/>
    </row>
    <row r="41" spans="2:7">
      <c r="B41" s="46" t="s">
        <v>679</v>
      </c>
      <c r="C41" s="81" t="s">
        <v>704</v>
      </c>
      <c r="D41" s="82">
        <v>2040</v>
      </c>
      <c r="E41" s="31">
        <v>3</v>
      </c>
      <c r="F41" s="31">
        <v>0</v>
      </c>
      <c r="G41"/>
    </row>
    <row r="42" spans="2:7">
      <c r="B42" s="46" t="s">
        <v>679</v>
      </c>
      <c r="C42" s="81" t="s">
        <v>704</v>
      </c>
      <c r="D42" s="82">
        <v>2050</v>
      </c>
      <c r="E42" s="31">
        <v>9</v>
      </c>
      <c r="F42" s="31">
        <v>0</v>
      </c>
      <c r="G42"/>
    </row>
    <row r="43" spans="2:7">
      <c r="B43" s="46" t="s">
        <v>705</v>
      </c>
      <c r="C43" s="81" t="s">
        <v>706</v>
      </c>
      <c r="D43" s="82">
        <v>2030</v>
      </c>
      <c r="E43" s="31">
        <v>5</v>
      </c>
      <c r="F43" s="31">
        <v>0</v>
      </c>
      <c r="G43"/>
    </row>
    <row r="44" spans="2:7">
      <c r="B44" s="46" t="s">
        <v>320</v>
      </c>
      <c r="C44" s="81" t="s">
        <v>318</v>
      </c>
      <c r="D44" s="82">
        <v>2030</v>
      </c>
      <c r="E44" s="31">
        <v>30</v>
      </c>
      <c r="F44" s="31">
        <v>4.2000000000000003E-2</v>
      </c>
      <c r="G44"/>
    </row>
    <row r="45" spans="2:7">
      <c r="B45" s="46" t="s">
        <v>707</v>
      </c>
      <c r="C45" s="81" t="s">
        <v>318</v>
      </c>
      <c r="D45" s="82">
        <v>2030</v>
      </c>
      <c r="E45" s="31">
        <v>5</v>
      </c>
      <c r="F45" s="31">
        <v>0</v>
      </c>
      <c r="G45"/>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9892-ADC4-DF4B-AB0E-213EF56E6B9D}">
  <dimension ref="B1:F19"/>
  <sheetViews>
    <sheetView workbookViewId="0">
      <selection activeCell="B2" sqref="B2"/>
    </sheetView>
  </sheetViews>
  <sheetFormatPr defaultColWidth="11" defaultRowHeight="15.6"/>
  <cols>
    <col min="2" max="2" width="21.296875" customWidth="1"/>
    <col min="3" max="3" width="28" style="1" bestFit="1" customWidth="1"/>
    <col min="4" max="4" width="17.796875" style="1" bestFit="1" customWidth="1"/>
    <col min="5" max="5" width="58.69921875" style="1" customWidth="1"/>
    <col min="6" max="6" width="27" customWidth="1"/>
  </cols>
  <sheetData>
    <row r="1" spans="2:6" ht="23.4">
      <c r="B1" s="5" t="s">
        <v>890</v>
      </c>
    </row>
    <row r="3" spans="2:6">
      <c r="B3" t="s">
        <v>18</v>
      </c>
      <c r="C3" s="8" t="s">
        <v>710</v>
      </c>
      <c r="D3" s="42" t="s">
        <v>751</v>
      </c>
      <c r="E3" s="42" t="s">
        <v>711</v>
      </c>
      <c r="F3" s="42" t="s">
        <v>299</v>
      </c>
    </row>
    <row r="4" spans="2:6" ht="46.8">
      <c r="B4" s="85" t="s">
        <v>4</v>
      </c>
      <c r="C4" s="116">
        <v>2.2599999999999998</v>
      </c>
      <c r="D4" s="84" t="s">
        <v>712</v>
      </c>
      <c r="E4" s="84" t="s">
        <v>713</v>
      </c>
      <c r="F4" s="84" t="s">
        <v>714</v>
      </c>
    </row>
    <row r="5" spans="2:6" ht="31.2">
      <c r="B5" s="85" t="s">
        <v>6</v>
      </c>
      <c r="C5" s="116">
        <v>2.31</v>
      </c>
      <c r="D5" s="84" t="s">
        <v>786</v>
      </c>
      <c r="E5" s="84" t="s">
        <v>715</v>
      </c>
      <c r="F5" s="84" t="s">
        <v>716</v>
      </c>
    </row>
    <row r="6" spans="2:6" ht="62.4">
      <c r="B6" s="85" t="s">
        <v>700</v>
      </c>
      <c r="C6" s="116">
        <v>0.04</v>
      </c>
      <c r="D6" s="84" t="s">
        <v>132</v>
      </c>
      <c r="E6" s="84" t="s">
        <v>717</v>
      </c>
      <c r="F6" s="84" t="s">
        <v>718</v>
      </c>
    </row>
    <row r="7" spans="2:6" ht="31.2">
      <c r="B7" s="85" t="s">
        <v>35</v>
      </c>
      <c r="C7" s="116">
        <v>0.48</v>
      </c>
      <c r="D7" s="84" t="s">
        <v>787</v>
      </c>
      <c r="E7" s="84" t="s">
        <v>719</v>
      </c>
      <c r="F7" s="84" t="s">
        <v>720</v>
      </c>
    </row>
    <row r="8" spans="2:6" ht="62.4">
      <c r="B8" s="85" t="s">
        <v>7</v>
      </c>
      <c r="C8" s="116">
        <v>8.01</v>
      </c>
      <c r="D8" s="84" t="s">
        <v>788</v>
      </c>
      <c r="E8" s="84" t="s">
        <v>752</v>
      </c>
      <c r="F8" s="84" t="s">
        <v>721</v>
      </c>
    </row>
    <row r="9" spans="2:6">
      <c r="B9" s="85" t="s">
        <v>703</v>
      </c>
      <c r="C9" s="116">
        <v>0</v>
      </c>
      <c r="D9" s="84" t="s">
        <v>722</v>
      </c>
      <c r="E9" s="84" t="s">
        <v>723</v>
      </c>
      <c r="F9" s="84" t="s">
        <v>724</v>
      </c>
    </row>
    <row r="10" spans="2:6" ht="31.2">
      <c r="B10" s="85" t="s">
        <v>31</v>
      </c>
      <c r="C10" s="116">
        <v>0.03</v>
      </c>
      <c r="D10" s="84" t="s">
        <v>725</v>
      </c>
      <c r="E10" s="84" t="s">
        <v>726</v>
      </c>
      <c r="F10" s="84" t="s">
        <v>727</v>
      </c>
    </row>
    <row r="11" spans="2:6" ht="31.2">
      <c r="B11" s="85" t="s">
        <v>13</v>
      </c>
      <c r="C11" s="116">
        <v>0.09</v>
      </c>
      <c r="D11" s="84" t="s">
        <v>728</v>
      </c>
      <c r="E11" s="84" t="s">
        <v>729</v>
      </c>
      <c r="F11" s="84" t="s">
        <v>730</v>
      </c>
    </row>
    <row r="12" spans="2:6" ht="31.2">
      <c r="B12" s="85" t="s">
        <v>702</v>
      </c>
      <c r="C12" s="116">
        <v>0</v>
      </c>
      <c r="D12" s="84" t="s">
        <v>731</v>
      </c>
      <c r="E12" s="84" t="s">
        <v>732</v>
      </c>
      <c r="F12" s="84" t="s">
        <v>733</v>
      </c>
    </row>
    <row r="13" spans="2:6" ht="31.2">
      <c r="B13" s="85" t="s">
        <v>33</v>
      </c>
      <c r="C13" s="116">
        <v>0.09</v>
      </c>
      <c r="D13" s="84" t="s">
        <v>734</v>
      </c>
      <c r="E13" s="84" t="s">
        <v>735</v>
      </c>
      <c r="F13" s="84" t="s">
        <v>736</v>
      </c>
    </row>
    <row r="14" spans="2:6" ht="46.8">
      <c r="B14" s="85" t="s">
        <v>701</v>
      </c>
      <c r="C14" s="116">
        <v>0</v>
      </c>
      <c r="D14" s="84" t="s">
        <v>789</v>
      </c>
      <c r="E14" s="84" t="s">
        <v>737</v>
      </c>
      <c r="F14" s="84" t="s">
        <v>738</v>
      </c>
    </row>
    <row r="15" spans="2:6" ht="31.2">
      <c r="B15" s="85" t="s">
        <v>14</v>
      </c>
      <c r="C15" s="116">
        <v>0.03</v>
      </c>
      <c r="D15" s="84" t="s">
        <v>739</v>
      </c>
      <c r="E15" s="84" t="s">
        <v>740</v>
      </c>
      <c r="F15" s="84" t="s">
        <v>741</v>
      </c>
    </row>
    <row r="16" spans="2:6" ht="46.8">
      <c r="B16" s="85" t="s">
        <v>34</v>
      </c>
      <c r="C16" s="116">
        <v>0.01</v>
      </c>
      <c r="D16" s="84" t="s">
        <v>742</v>
      </c>
      <c r="E16" s="84" t="s">
        <v>743</v>
      </c>
      <c r="F16" s="84" t="s">
        <v>744</v>
      </c>
    </row>
    <row r="17" spans="2:6" ht="31.2">
      <c r="B17" s="85" t="s">
        <v>32</v>
      </c>
      <c r="C17" s="116">
        <v>0.19</v>
      </c>
      <c r="D17" s="84" t="s">
        <v>132</v>
      </c>
      <c r="E17" s="84" t="s">
        <v>745</v>
      </c>
      <c r="F17" s="84" t="s">
        <v>746</v>
      </c>
    </row>
    <row r="18" spans="2:6" ht="46.8">
      <c r="B18" s="85" t="s">
        <v>314</v>
      </c>
      <c r="C18" s="116">
        <v>2.99</v>
      </c>
      <c r="D18" s="84" t="s">
        <v>790</v>
      </c>
      <c r="E18" s="84" t="s">
        <v>753</v>
      </c>
      <c r="F18" s="84" t="s">
        <v>747</v>
      </c>
    </row>
    <row r="19" spans="2:6">
      <c r="B19" s="85" t="s">
        <v>11</v>
      </c>
      <c r="C19" s="116">
        <v>13.67</v>
      </c>
      <c r="D19" s="84" t="s">
        <v>748</v>
      </c>
      <c r="E19" s="84" t="s">
        <v>749</v>
      </c>
      <c r="F19" s="84" t="s">
        <v>750</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0A98-48B2-2747-A6BB-E0E16EBD9AAC}">
  <dimension ref="B1:F11"/>
  <sheetViews>
    <sheetView workbookViewId="0">
      <selection activeCell="B2" sqref="B2"/>
    </sheetView>
  </sheetViews>
  <sheetFormatPr defaultColWidth="11" defaultRowHeight="15.6"/>
  <cols>
    <col min="2" max="2" width="21.296875" customWidth="1"/>
    <col min="3" max="3" width="28" style="1" bestFit="1" customWidth="1"/>
    <col min="4" max="4" width="39.19921875" style="1" bestFit="1" customWidth="1"/>
    <col min="5" max="5" width="37.19921875" style="1" customWidth="1"/>
    <col min="6" max="6" width="25" customWidth="1"/>
  </cols>
  <sheetData>
    <row r="1" spans="2:6" ht="23.4">
      <c r="B1" s="5" t="s">
        <v>891</v>
      </c>
    </row>
    <row r="3" spans="2:6">
      <c r="B3" t="s">
        <v>18</v>
      </c>
      <c r="C3" s="8" t="s">
        <v>710</v>
      </c>
      <c r="D3" s="42" t="s">
        <v>751</v>
      </c>
      <c r="E3" s="42" t="s">
        <v>711</v>
      </c>
      <c r="F3" s="42" t="s">
        <v>299</v>
      </c>
    </row>
    <row r="4" spans="2:6" ht="31.2">
      <c r="B4" s="85" t="s">
        <v>5</v>
      </c>
      <c r="C4" s="117">
        <v>32.06</v>
      </c>
      <c r="D4" s="84" t="s">
        <v>754</v>
      </c>
      <c r="E4" s="84" t="s">
        <v>755</v>
      </c>
      <c r="F4" s="84" t="s">
        <v>756</v>
      </c>
    </row>
    <row r="5" spans="2:6" ht="46.8">
      <c r="B5" s="85" t="s">
        <v>698</v>
      </c>
      <c r="C5" s="117">
        <v>0</v>
      </c>
      <c r="D5" s="84" t="s">
        <v>312</v>
      </c>
      <c r="E5" s="84" t="s">
        <v>757</v>
      </c>
      <c r="F5" s="84" t="s">
        <v>758</v>
      </c>
    </row>
    <row r="6" spans="2:6" ht="46.8">
      <c r="B6" s="85" t="s">
        <v>37</v>
      </c>
      <c r="C6" s="117">
        <v>0.15</v>
      </c>
      <c r="D6" s="84" t="s">
        <v>791</v>
      </c>
      <c r="E6" s="84" t="s">
        <v>759</v>
      </c>
      <c r="F6" s="84" t="s">
        <v>760</v>
      </c>
    </row>
    <row r="7" spans="2:6" ht="78">
      <c r="B7" s="85" t="s">
        <v>36</v>
      </c>
      <c r="C7" s="117">
        <v>0.13</v>
      </c>
      <c r="D7" s="84" t="s">
        <v>761</v>
      </c>
      <c r="E7" s="84" t="s">
        <v>906</v>
      </c>
      <c r="F7" s="84" t="s">
        <v>762</v>
      </c>
    </row>
    <row r="8" spans="2:6" ht="31.2">
      <c r="B8" s="85" t="s">
        <v>699</v>
      </c>
      <c r="C8" s="117">
        <v>0</v>
      </c>
      <c r="D8" s="84" t="s">
        <v>132</v>
      </c>
      <c r="E8" s="84" t="s">
        <v>773</v>
      </c>
      <c r="F8" s="84" t="s">
        <v>763</v>
      </c>
    </row>
    <row r="9" spans="2:6" ht="62.4">
      <c r="B9" s="85" t="s">
        <v>680</v>
      </c>
      <c r="C9" s="117">
        <v>0</v>
      </c>
      <c r="D9" s="84" t="s">
        <v>764</v>
      </c>
      <c r="E9" s="84" t="s">
        <v>765</v>
      </c>
      <c r="F9" s="84" t="s">
        <v>766</v>
      </c>
    </row>
    <row r="10" spans="2:6" ht="62.4">
      <c r="B10" s="85" t="s">
        <v>38</v>
      </c>
      <c r="C10" s="117">
        <v>2.25</v>
      </c>
      <c r="D10" s="84" t="s">
        <v>767</v>
      </c>
      <c r="E10" s="84" t="s">
        <v>768</v>
      </c>
      <c r="F10" s="84" t="s">
        <v>769</v>
      </c>
    </row>
    <row r="11" spans="2:6" ht="62.4">
      <c r="B11" s="85" t="s">
        <v>15</v>
      </c>
      <c r="C11" s="117">
        <v>1.47</v>
      </c>
      <c r="D11" s="84" t="s">
        <v>770</v>
      </c>
      <c r="E11" s="84" t="s">
        <v>771</v>
      </c>
      <c r="F11" s="84" t="s">
        <v>772</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58AD-6741-7C48-B37C-DB071105A9EA}">
  <dimension ref="B1:F9"/>
  <sheetViews>
    <sheetView workbookViewId="0">
      <selection activeCell="B2" sqref="B2"/>
    </sheetView>
  </sheetViews>
  <sheetFormatPr defaultColWidth="11" defaultRowHeight="15.6"/>
  <cols>
    <col min="2" max="2" width="21.296875" customWidth="1"/>
    <col min="3" max="3" width="28" style="1" bestFit="1" customWidth="1"/>
    <col min="4" max="4" width="51.5" style="1" customWidth="1"/>
    <col min="5" max="5" width="45.69921875" style="1" customWidth="1"/>
    <col min="6" max="6" width="29" bestFit="1" customWidth="1"/>
  </cols>
  <sheetData>
    <row r="1" spans="2:6" ht="23.4">
      <c r="B1" s="5" t="s">
        <v>905</v>
      </c>
    </row>
    <row r="3" spans="2:6">
      <c r="B3" s="46" t="s">
        <v>18</v>
      </c>
      <c r="C3" s="42" t="s">
        <v>710</v>
      </c>
      <c r="D3" s="42" t="s">
        <v>751</v>
      </c>
      <c r="E3" s="42" t="s">
        <v>711</v>
      </c>
      <c r="F3" s="42" t="s">
        <v>299</v>
      </c>
    </row>
    <row r="4" spans="2:6" ht="46.8">
      <c r="B4" s="85" t="s">
        <v>12</v>
      </c>
      <c r="C4" s="117">
        <v>0.04</v>
      </c>
      <c r="D4" s="84" t="s">
        <v>312</v>
      </c>
      <c r="E4" s="84" t="s">
        <v>774</v>
      </c>
      <c r="F4" s="84" t="s">
        <v>132</v>
      </c>
    </row>
    <row r="5" spans="2:6" ht="31.2">
      <c r="B5" s="85" t="s">
        <v>707</v>
      </c>
      <c r="C5" s="117">
        <v>0</v>
      </c>
      <c r="D5" s="84" t="s">
        <v>313</v>
      </c>
      <c r="E5" s="84" t="s">
        <v>775</v>
      </c>
      <c r="F5" s="84" t="s">
        <v>776</v>
      </c>
    </row>
    <row r="6" spans="2:6" ht="46.8">
      <c r="B6" s="85" t="s">
        <v>169</v>
      </c>
      <c r="C6" s="117">
        <v>0</v>
      </c>
      <c r="D6" s="84" t="s">
        <v>907</v>
      </c>
      <c r="E6" s="84" t="s">
        <v>777</v>
      </c>
      <c r="F6" s="84" t="s">
        <v>778</v>
      </c>
    </row>
    <row r="7" spans="2:6" ht="31.2">
      <c r="B7" s="85" t="s">
        <v>87</v>
      </c>
      <c r="C7" s="117">
        <v>0</v>
      </c>
      <c r="D7" s="84" t="s">
        <v>779</v>
      </c>
      <c r="E7" s="84" t="s">
        <v>780</v>
      </c>
      <c r="F7" s="84" t="s">
        <v>781</v>
      </c>
    </row>
    <row r="8" spans="2:6" ht="78">
      <c r="B8" s="85" t="s">
        <v>679</v>
      </c>
      <c r="C8" s="117">
        <v>0</v>
      </c>
      <c r="D8" s="84" t="s">
        <v>792</v>
      </c>
      <c r="E8" s="84" t="s">
        <v>782</v>
      </c>
      <c r="F8" s="84" t="s">
        <v>783</v>
      </c>
    </row>
    <row r="9" spans="2:6" ht="31.2">
      <c r="B9" s="85" t="s">
        <v>705</v>
      </c>
      <c r="C9" s="117">
        <v>0</v>
      </c>
      <c r="D9" s="84" t="s">
        <v>313</v>
      </c>
      <c r="E9" s="84" t="s">
        <v>784</v>
      </c>
      <c r="F9" s="84" t="s">
        <v>785</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31"/>
  <sheetViews>
    <sheetView workbookViewId="0">
      <selection activeCell="B2" sqref="B2"/>
    </sheetView>
  </sheetViews>
  <sheetFormatPr defaultColWidth="11" defaultRowHeight="15.6"/>
  <cols>
    <col min="2" max="2" width="26.296875" customWidth="1"/>
    <col min="3" max="20" width="20.796875" customWidth="1"/>
  </cols>
  <sheetData>
    <row r="1" spans="2:20" ht="23.4">
      <c r="B1" s="5" t="s">
        <v>892</v>
      </c>
      <c r="C1" s="5"/>
      <c r="D1" s="5"/>
      <c r="E1" s="5"/>
      <c r="F1" s="5"/>
      <c r="G1" s="5"/>
      <c r="H1" s="5"/>
      <c r="I1" s="5"/>
      <c r="J1" s="5"/>
      <c r="K1" s="5"/>
      <c r="L1" s="5"/>
      <c r="M1" s="5"/>
      <c r="N1" s="5"/>
      <c r="O1" s="5"/>
      <c r="P1" s="5"/>
      <c r="Q1" s="5"/>
      <c r="R1" s="5"/>
    </row>
    <row r="3" spans="2:20" s="2" customFormat="1" ht="46.8">
      <c r="B3" s="14" t="s">
        <v>3</v>
      </c>
      <c r="C3" s="14" t="s">
        <v>170</v>
      </c>
      <c r="D3" s="14" t="s">
        <v>328</v>
      </c>
      <c r="E3" s="14" t="s">
        <v>171</v>
      </c>
      <c r="F3" s="14" t="s">
        <v>172</v>
      </c>
      <c r="G3" s="14" t="s">
        <v>329</v>
      </c>
      <c r="H3" s="14" t="s">
        <v>173</v>
      </c>
      <c r="I3" s="14" t="s">
        <v>174</v>
      </c>
      <c r="J3" s="14" t="s">
        <v>330</v>
      </c>
      <c r="K3" s="14" t="s">
        <v>175</v>
      </c>
      <c r="L3" s="14" t="s">
        <v>793</v>
      </c>
      <c r="M3" s="14" t="s">
        <v>794</v>
      </c>
      <c r="N3" s="14" t="s">
        <v>795</v>
      </c>
      <c r="O3" s="15" t="s">
        <v>176</v>
      </c>
      <c r="P3" s="15" t="s">
        <v>331</v>
      </c>
      <c r="Q3" s="15" t="s">
        <v>177</v>
      </c>
      <c r="R3" s="15" t="s">
        <v>178</v>
      </c>
      <c r="S3" s="15" t="s">
        <v>332</v>
      </c>
      <c r="T3" s="15" t="s">
        <v>179</v>
      </c>
    </row>
    <row r="4" spans="2:20">
      <c r="B4" s="89">
        <v>2001</v>
      </c>
      <c r="C4" s="87">
        <v>6</v>
      </c>
      <c r="D4" s="87">
        <v>6</v>
      </c>
      <c r="E4" s="87">
        <v>0</v>
      </c>
      <c r="F4" s="87">
        <v>4.74</v>
      </c>
      <c r="G4" s="87">
        <v>4.74</v>
      </c>
      <c r="H4" s="87">
        <v>0</v>
      </c>
      <c r="I4" s="87">
        <v>40</v>
      </c>
      <c r="J4" s="87">
        <v>40</v>
      </c>
      <c r="K4" s="87">
        <v>0</v>
      </c>
      <c r="L4" s="87">
        <v>40</v>
      </c>
      <c r="M4" s="87">
        <v>40</v>
      </c>
      <c r="N4" s="87">
        <v>0</v>
      </c>
      <c r="O4" s="87"/>
      <c r="P4" s="87"/>
      <c r="Q4" s="87"/>
      <c r="R4" s="87"/>
      <c r="S4" s="87"/>
      <c r="T4" s="87"/>
    </row>
    <row r="5" spans="2:20">
      <c r="B5" s="90">
        <v>2002</v>
      </c>
      <c r="C5" s="88">
        <v>11</v>
      </c>
      <c r="D5" s="88">
        <v>11</v>
      </c>
      <c r="E5" s="88">
        <v>0</v>
      </c>
      <c r="F5" s="88">
        <v>17.75</v>
      </c>
      <c r="G5" s="88">
        <v>17.75</v>
      </c>
      <c r="H5" s="88">
        <v>0</v>
      </c>
      <c r="I5" s="88">
        <v>160</v>
      </c>
      <c r="J5" s="88">
        <v>160</v>
      </c>
      <c r="K5" s="88">
        <v>0</v>
      </c>
      <c r="L5" s="88">
        <v>160</v>
      </c>
      <c r="M5" s="88">
        <v>160</v>
      </c>
      <c r="N5" s="88">
        <v>0</v>
      </c>
      <c r="O5" s="88"/>
      <c r="P5" s="88"/>
      <c r="Q5" s="88"/>
      <c r="R5" s="88"/>
      <c r="S5" s="88"/>
      <c r="T5" s="88"/>
    </row>
    <row r="6" spans="2:20">
      <c r="B6" s="90">
        <v>2003</v>
      </c>
      <c r="C6" s="88">
        <v>9.4878048780487791</v>
      </c>
      <c r="D6" s="88">
        <v>9.4878048780487791</v>
      </c>
      <c r="E6" s="88">
        <v>0</v>
      </c>
      <c r="F6" s="88">
        <v>10.0480487804878</v>
      </c>
      <c r="G6" s="88">
        <v>10.0480487804878</v>
      </c>
      <c r="H6" s="88">
        <v>0</v>
      </c>
      <c r="I6" s="88">
        <v>94.3</v>
      </c>
      <c r="J6" s="88">
        <v>94.3</v>
      </c>
      <c r="K6" s="88">
        <v>0</v>
      </c>
      <c r="L6" s="88">
        <v>148.20975609755999</v>
      </c>
      <c r="M6" s="88">
        <v>148.20975609755999</v>
      </c>
      <c r="N6" s="88">
        <v>0</v>
      </c>
      <c r="O6" s="88"/>
      <c r="P6" s="88"/>
      <c r="Q6" s="88"/>
      <c r="R6" s="88"/>
      <c r="S6" s="88"/>
      <c r="T6" s="88"/>
    </row>
    <row r="7" spans="2:20">
      <c r="B7" s="90">
        <v>2004</v>
      </c>
      <c r="C7" s="88">
        <v>11.4084507042253</v>
      </c>
      <c r="D7" s="88">
        <v>11.4084507042253</v>
      </c>
      <c r="E7" s="88">
        <v>0</v>
      </c>
      <c r="F7" s="88">
        <v>9.8912676056338</v>
      </c>
      <c r="G7" s="88">
        <v>9.8912676056338</v>
      </c>
      <c r="H7" s="88">
        <v>0</v>
      </c>
      <c r="I7" s="88">
        <v>42.6</v>
      </c>
      <c r="J7" s="88">
        <v>42.6</v>
      </c>
      <c r="K7" s="88">
        <v>0</v>
      </c>
      <c r="L7" s="88">
        <v>49.707042253521102</v>
      </c>
      <c r="M7" s="88">
        <v>49.707042253521102</v>
      </c>
      <c r="N7" s="88">
        <v>0</v>
      </c>
      <c r="O7" s="88"/>
      <c r="P7" s="88"/>
      <c r="Q7" s="88"/>
      <c r="R7" s="88"/>
      <c r="S7" s="88"/>
      <c r="T7" s="88"/>
    </row>
    <row r="8" spans="2:20">
      <c r="B8" s="90">
        <v>2005</v>
      </c>
      <c r="C8" s="88">
        <v>4.5</v>
      </c>
      <c r="D8" s="88">
        <v>4.5</v>
      </c>
      <c r="E8" s="88">
        <v>0</v>
      </c>
      <c r="F8" s="88">
        <v>9.85</v>
      </c>
      <c r="G8" s="88">
        <v>9.85</v>
      </c>
      <c r="H8" s="88">
        <v>0</v>
      </c>
      <c r="I8" s="88">
        <v>90</v>
      </c>
      <c r="J8" s="88">
        <v>90</v>
      </c>
      <c r="K8" s="88">
        <v>0</v>
      </c>
      <c r="L8" s="88">
        <v>90</v>
      </c>
      <c r="M8" s="88">
        <v>90</v>
      </c>
      <c r="N8" s="88">
        <v>0</v>
      </c>
      <c r="O8" s="88">
        <v>10.455863277224299</v>
      </c>
      <c r="P8" s="88">
        <v>10.455863277224299</v>
      </c>
      <c r="Q8" s="88">
        <v>0</v>
      </c>
      <c r="R8" s="88">
        <v>8.4792511164548205</v>
      </c>
      <c r="S8" s="88">
        <v>8.4792511164548205</v>
      </c>
      <c r="T8" s="88">
        <v>0</v>
      </c>
    </row>
    <row r="9" spans="2:20">
      <c r="B9" s="90">
        <v>2006</v>
      </c>
      <c r="C9" s="88">
        <v>16</v>
      </c>
      <c r="D9" s="88">
        <v>16</v>
      </c>
      <c r="E9" s="88">
        <v>0</v>
      </c>
      <c r="F9" s="88">
        <v>12.739999999999901</v>
      </c>
      <c r="G9" s="88">
        <v>12.739999999999901</v>
      </c>
      <c r="H9" s="88">
        <v>0</v>
      </c>
      <c r="I9" s="88">
        <v>90</v>
      </c>
      <c r="J9" s="88">
        <v>90</v>
      </c>
      <c r="K9" s="88">
        <v>0</v>
      </c>
      <c r="L9" s="88">
        <v>90</v>
      </c>
      <c r="M9" s="88">
        <v>90</v>
      </c>
      <c r="N9" s="88">
        <v>0</v>
      </c>
      <c r="O9" s="88">
        <v>12.055863277224301</v>
      </c>
      <c r="P9" s="88">
        <v>12.055863277224301</v>
      </c>
      <c r="Q9" s="88">
        <v>0</v>
      </c>
      <c r="R9" s="88">
        <v>10.479251116454799</v>
      </c>
      <c r="S9" s="88">
        <v>10.479251116454799</v>
      </c>
      <c r="T9" s="88">
        <v>0</v>
      </c>
    </row>
    <row r="10" spans="2:20">
      <c r="B10" s="90">
        <v>2007</v>
      </c>
      <c r="C10" s="88">
        <v>15.4725274725274</v>
      </c>
      <c r="D10" s="88">
        <v>15.4725274725274</v>
      </c>
      <c r="E10" s="88">
        <v>0</v>
      </c>
      <c r="F10" s="88">
        <v>11.4148351648351</v>
      </c>
      <c r="G10" s="88">
        <v>11.4148351648351</v>
      </c>
      <c r="H10" s="88">
        <v>0</v>
      </c>
      <c r="I10" s="88">
        <v>109.2</v>
      </c>
      <c r="J10" s="88">
        <v>109.2</v>
      </c>
      <c r="K10" s="88">
        <v>0</v>
      </c>
      <c r="L10" s="88">
        <v>109.213186813186</v>
      </c>
      <c r="M10" s="88">
        <v>109.213186813186</v>
      </c>
      <c r="N10" s="88">
        <v>0</v>
      </c>
      <c r="O10" s="88">
        <v>10.788830310191299</v>
      </c>
      <c r="P10" s="88">
        <v>10.788830310191299</v>
      </c>
      <c r="Q10" s="88">
        <v>0</v>
      </c>
      <c r="R10" s="88">
        <v>11.373756610960299</v>
      </c>
      <c r="S10" s="88">
        <v>11.373756610960299</v>
      </c>
      <c r="T10" s="88">
        <v>0</v>
      </c>
    </row>
    <row r="11" spans="2:20">
      <c r="B11" s="90">
        <v>2008</v>
      </c>
      <c r="C11" s="88">
        <v>24</v>
      </c>
      <c r="D11" s="88">
        <v>24</v>
      </c>
      <c r="E11" s="88">
        <v>0</v>
      </c>
      <c r="F11" s="88">
        <v>26.43</v>
      </c>
      <c r="G11" s="88">
        <v>26.43</v>
      </c>
      <c r="H11" s="88">
        <v>0</v>
      </c>
      <c r="I11" s="88">
        <v>120</v>
      </c>
      <c r="J11" s="88">
        <v>120</v>
      </c>
      <c r="K11" s="88">
        <v>0</v>
      </c>
      <c r="L11" s="88">
        <v>120</v>
      </c>
      <c r="M11" s="88">
        <v>120</v>
      </c>
      <c r="N11" s="88">
        <v>0</v>
      </c>
      <c r="O11" s="88">
        <v>14.065220554093701</v>
      </c>
      <c r="P11" s="88">
        <v>14.065220554093701</v>
      </c>
      <c r="Q11" s="88">
        <v>0</v>
      </c>
      <c r="R11" s="88">
        <v>14.276195635350501</v>
      </c>
      <c r="S11" s="88">
        <v>14.276195635350501</v>
      </c>
      <c r="T11" s="88">
        <v>0</v>
      </c>
    </row>
    <row r="12" spans="2:20">
      <c r="B12" s="90">
        <v>2009</v>
      </c>
      <c r="C12" s="88">
        <v>11.219677996422099</v>
      </c>
      <c r="D12" s="88">
        <v>11.219677996422099</v>
      </c>
      <c r="E12" s="88">
        <v>0</v>
      </c>
      <c r="F12" s="88">
        <v>9.5983363148479395</v>
      </c>
      <c r="G12" s="88">
        <v>9.5983363148479395</v>
      </c>
      <c r="H12" s="88">
        <v>0</v>
      </c>
      <c r="I12" s="88">
        <v>67.08</v>
      </c>
      <c r="J12" s="88">
        <v>67.08</v>
      </c>
      <c r="K12" s="88">
        <v>0</v>
      </c>
      <c r="L12" s="88">
        <v>84.486225402504402</v>
      </c>
      <c r="M12" s="88">
        <v>84.486225402504402</v>
      </c>
      <c r="N12" s="88">
        <v>0</v>
      </c>
      <c r="O12" s="88">
        <v>14.0066342959366</v>
      </c>
      <c r="P12" s="88">
        <v>14.0066342959366</v>
      </c>
      <c r="Q12" s="88">
        <v>0</v>
      </c>
      <c r="R12" s="88">
        <v>14.2384410937899</v>
      </c>
      <c r="S12" s="88">
        <v>14.2384410937899</v>
      </c>
      <c r="T12" s="88">
        <v>0</v>
      </c>
    </row>
    <row r="13" spans="2:20">
      <c r="B13" s="90">
        <v>2010</v>
      </c>
      <c r="C13" s="88">
        <v>18.212307102463299</v>
      </c>
      <c r="D13" s="88">
        <v>19.167215552958599</v>
      </c>
      <c r="E13" s="88">
        <v>9.4</v>
      </c>
      <c r="F13" s="88">
        <v>25.240932617655499</v>
      </c>
      <c r="G13" s="88">
        <v>26.245538085626201</v>
      </c>
      <c r="H13" s="88">
        <v>15.97</v>
      </c>
      <c r="I13" s="88">
        <v>173.88333333333301</v>
      </c>
      <c r="J13" s="88">
        <v>188.26</v>
      </c>
      <c r="K13" s="88">
        <v>102</v>
      </c>
      <c r="L13" s="88">
        <v>208.84164669797701</v>
      </c>
      <c r="M13" s="88">
        <v>220.41909061935601</v>
      </c>
      <c r="N13" s="88">
        <v>102</v>
      </c>
      <c r="O13" s="88">
        <v>17.084820819467701</v>
      </c>
      <c r="P13" s="88">
        <v>17.285741913061798</v>
      </c>
      <c r="Q13" s="88">
        <v>3.194</v>
      </c>
      <c r="R13" s="88">
        <v>16.980902514282501</v>
      </c>
      <c r="S13" s="88">
        <v>17.171884204381598</v>
      </c>
      <c r="T13" s="88">
        <v>1.88</v>
      </c>
    </row>
    <row r="14" spans="2:20">
      <c r="B14" s="90">
        <v>2011</v>
      </c>
      <c r="C14" s="88">
        <v>22.166882276843399</v>
      </c>
      <c r="D14" s="88">
        <v>22.166882276843399</v>
      </c>
      <c r="E14" s="88">
        <v>0</v>
      </c>
      <c r="F14" s="88">
        <v>18.818033635187501</v>
      </c>
      <c r="G14" s="88">
        <v>18.818033635187501</v>
      </c>
      <c r="H14" s="88">
        <v>0</v>
      </c>
      <c r="I14" s="88">
        <v>115.94999999999899</v>
      </c>
      <c r="J14" s="88">
        <v>115.94999999999899</v>
      </c>
      <c r="K14" s="88">
        <v>0</v>
      </c>
      <c r="L14" s="88">
        <v>155.41979301423001</v>
      </c>
      <c r="M14" s="88">
        <v>155.41979301423001</v>
      </c>
      <c r="N14" s="88">
        <v>0</v>
      </c>
      <c r="O14" s="88">
        <v>18.300427546505201</v>
      </c>
      <c r="P14" s="88">
        <v>18.501348640099302</v>
      </c>
      <c r="Q14" s="88">
        <v>3.194</v>
      </c>
      <c r="R14" s="88">
        <v>18.2142789696512</v>
      </c>
      <c r="S14" s="88">
        <v>18.405260659750301</v>
      </c>
      <c r="T14" s="88">
        <v>1.88</v>
      </c>
    </row>
    <row r="15" spans="2:20">
      <c r="B15" s="90">
        <v>2012</v>
      </c>
      <c r="C15" s="88">
        <v>25.9532374100719</v>
      </c>
      <c r="D15" s="88">
        <v>25.9532374100719</v>
      </c>
      <c r="E15" s="88">
        <v>0</v>
      </c>
      <c r="F15" s="88">
        <v>17.619496402877601</v>
      </c>
      <c r="G15" s="88">
        <v>17.619496402877601</v>
      </c>
      <c r="H15" s="88">
        <v>0</v>
      </c>
      <c r="I15" s="88">
        <v>166.8</v>
      </c>
      <c r="J15" s="88">
        <v>166.8</v>
      </c>
      <c r="K15" s="88">
        <v>0</v>
      </c>
      <c r="L15" s="88">
        <v>168.492086330935</v>
      </c>
      <c r="M15" s="88">
        <v>168.492086330935</v>
      </c>
      <c r="N15" s="88">
        <v>0</v>
      </c>
      <c r="O15" s="88">
        <v>19.541359794113699</v>
      </c>
      <c r="P15" s="88">
        <v>19.742280887707899</v>
      </c>
      <c r="Q15" s="88">
        <v>3.194</v>
      </c>
      <c r="R15" s="88">
        <v>20.310420957160101</v>
      </c>
      <c r="S15" s="88">
        <v>20.501402647259201</v>
      </c>
      <c r="T15" s="88">
        <v>1.88</v>
      </c>
    </row>
    <row r="16" spans="2:20">
      <c r="B16" s="90">
        <v>2013</v>
      </c>
      <c r="C16" s="88">
        <v>27.470382080513001</v>
      </c>
      <c r="D16" s="88">
        <v>27.470382080513001</v>
      </c>
      <c r="E16" s="88">
        <v>0</v>
      </c>
      <c r="F16" s="88">
        <v>39.277967135732098</v>
      </c>
      <c r="G16" s="88">
        <v>39.277967135732098</v>
      </c>
      <c r="H16" s="88">
        <v>0</v>
      </c>
      <c r="I16" s="88">
        <v>249.51111111111101</v>
      </c>
      <c r="J16" s="88">
        <v>249.51111111111101</v>
      </c>
      <c r="K16" s="88">
        <v>0</v>
      </c>
      <c r="L16" s="88">
        <v>354.33787851799002</v>
      </c>
      <c r="M16" s="88">
        <v>354.33787851799002</v>
      </c>
      <c r="N16" s="88">
        <v>0</v>
      </c>
      <c r="O16" s="88">
        <v>22.1109532212601</v>
      </c>
      <c r="P16" s="88">
        <v>22.3118743148543</v>
      </c>
      <c r="Q16" s="88">
        <v>3.194</v>
      </c>
      <c r="R16" s="88">
        <v>21.004497373262701</v>
      </c>
      <c r="S16" s="88">
        <v>21.195479063361802</v>
      </c>
      <c r="T16" s="88">
        <v>1.88</v>
      </c>
    </row>
    <row r="17" spans="2:20">
      <c r="B17" s="90">
        <v>2014</v>
      </c>
      <c r="C17" s="88">
        <v>23.059730975449099</v>
      </c>
      <c r="D17" s="88">
        <v>23.059730975449099</v>
      </c>
      <c r="E17" s="88">
        <v>0</v>
      </c>
      <c r="F17" s="88">
        <v>33.935579907816702</v>
      </c>
      <c r="G17" s="88">
        <v>33.935579907816702</v>
      </c>
      <c r="H17" s="88">
        <v>0</v>
      </c>
      <c r="I17" s="88">
        <v>212.61999999999901</v>
      </c>
      <c r="J17" s="88">
        <v>212.61999999999901</v>
      </c>
      <c r="K17" s="88">
        <v>0</v>
      </c>
      <c r="L17" s="88">
        <v>278.84621390273702</v>
      </c>
      <c r="M17" s="88">
        <v>278.84621390273702</v>
      </c>
      <c r="N17" s="88">
        <v>0</v>
      </c>
      <c r="O17" s="88">
        <v>26.978401939853899</v>
      </c>
      <c r="P17" s="88">
        <v>27.179323033448</v>
      </c>
      <c r="Q17" s="88">
        <v>3.194</v>
      </c>
      <c r="R17" s="88">
        <v>23.372507969068099</v>
      </c>
      <c r="S17" s="88">
        <v>23.5634896591672</v>
      </c>
      <c r="T17" s="88">
        <v>1.88</v>
      </c>
    </row>
    <row r="18" spans="2:20">
      <c r="B18" s="90">
        <v>2015</v>
      </c>
      <c r="C18" s="88">
        <v>28.6982677773487</v>
      </c>
      <c r="D18" s="88">
        <v>29.343008667883201</v>
      </c>
      <c r="E18" s="88">
        <v>9.5676818950930596</v>
      </c>
      <c r="F18" s="88">
        <v>45.1670441882275</v>
      </c>
      <c r="G18" s="88">
        <v>46.292798243613099</v>
      </c>
      <c r="H18" s="88">
        <v>11.763959390862899</v>
      </c>
      <c r="I18" s="88">
        <v>258.957142857142</v>
      </c>
      <c r="J18" s="88">
        <v>292.26666666666603</v>
      </c>
      <c r="K18" s="88">
        <v>59.1</v>
      </c>
      <c r="L18" s="88">
        <v>324.29576874275898</v>
      </c>
      <c r="M18" s="88">
        <v>332.17411040145902</v>
      </c>
      <c r="N18" s="88">
        <v>90.531641285955999</v>
      </c>
      <c r="O18" s="88">
        <v>30.963624253968302</v>
      </c>
      <c r="P18" s="88">
        <v>31.188775065045402</v>
      </c>
      <c r="Q18" s="88">
        <v>2.3527918781725798</v>
      </c>
      <c r="R18" s="88">
        <v>25.469700104045199</v>
      </c>
      <c r="S18" s="88">
        <v>25.598648282152102</v>
      </c>
      <c r="T18" s="88">
        <v>1.91353637901861</v>
      </c>
    </row>
    <row r="19" spans="2:20">
      <c r="B19" s="90">
        <v>2016</v>
      </c>
      <c r="C19" s="88">
        <v>26.2022716736207</v>
      </c>
      <c r="D19" s="88">
        <v>33.705882352941103</v>
      </c>
      <c r="E19" s="88">
        <v>7.8920255183413</v>
      </c>
      <c r="F19" s="88">
        <v>34.917848864163098</v>
      </c>
      <c r="G19" s="88">
        <v>43.503235294117601</v>
      </c>
      <c r="H19" s="88">
        <v>13.9678628389154</v>
      </c>
      <c r="I19" s="88">
        <v>172.56</v>
      </c>
      <c r="J19" s="88">
        <v>306</v>
      </c>
      <c r="K19" s="88">
        <v>83.6</v>
      </c>
      <c r="L19" s="88">
        <v>419.89411219286001</v>
      </c>
      <c r="M19" s="88">
        <v>554.94117647058795</v>
      </c>
      <c r="N19" s="88">
        <v>90.353429027113194</v>
      </c>
      <c r="O19" s="88">
        <v>34.183587299763403</v>
      </c>
      <c r="P19" s="88">
        <v>36.125815396831399</v>
      </c>
      <c r="Q19" s="88">
        <v>5.1463644459556797</v>
      </c>
      <c r="R19" s="88">
        <v>26.276777983400699</v>
      </c>
      <c r="S19" s="88">
        <v>27.9064482973716</v>
      </c>
      <c r="T19" s="88">
        <v>3.4919414826868702</v>
      </c>
    </row>
    <row r="20" spans="2:20">
      <c r="B20" s="90">
        <v>2017</v>
      </c>
      <c r="C20" s="88">
        <v>27.855725689404899</v>
      </c>
      <c r="D20" s="88">
        <v>29.1730540328895</v>
      </c>
      <c r="E20" s="88">
        <v>11.1999999999999</v>
      </c>
      <c r="F20" s="88">
        <v>58.122165457184302</v>
      </c>
      <c r="G20" s="88">
        <v>61.941671104150302</v>
      </c>
      <c r="H20" s="88">
        <v>9.83</v>
      </c>
      <c r="I20" s="88">
        <v>306.222222222222</v>
      </c>
      <c r="J20" s="88">
        <v>319.25</v>
      </c>
      <c r="K20" s="88">
        <v>202</v>
      </c>
      <c r="L20" s="88">
        <v>370.58909288824299</v>
      </c>
      <c r="M20" s="88">
        <v>383.92307752545003</v>
      </c>
      <c r="N20" s="88">
        <v>202</v>
      </c>
      <c r="O20" s="88">
        <v>42.284121110624703</v>
      </c>
      <c r="P20" s="88">
        <v>44.990250337086003</v>
      </c>
      <c r="Q20" s="88">
        <v>7.1123644459556798</v>
      </c>
      <c r="R20" s="88">
        <v>26.657275639267301</v>
      </c>
      <c r="S20" s="88">
        <v>28.550411621935201</v>
      </c>
      <c r="T20" s="88">
        <v>5.73194148268687</v>
      </c>
    </row>
    <row r="21" spans="2:20">
      <c r="B21" s="90">
        <v>2018</v>
      </c>
      <c r="C21" s="88">
        <v>32.928792349170799</v>
      </c>
      <c r="D21" s="88">
        <v>37.306515545645901</v>
      </c>
      <c r="E21" s="88">
        <v>12.802733485193601</v>
      </c>
      <c r="F21" s="88">
        <v>33.2414383457116</v>
      </c>
      <c r="G21" s="88">
        <v>33.540217700978502</v>
      </c>
      <c r="H21" s="88">
        <v>31.867835990888299</v>
      </c>
      <c r="I21" s="88">
        <v>357.41818181818098</v>
      </c>
      <c r="J21" s="88">
        <v>358.79999999999899</v>
      </c>
      <c r="K21" s="88">
        <v>351.2</v>
      </c>
      <c r="L21" s="88">
        <v>440.039215586529</v>
      </c>
      <c r="M21" s="88">
        <v>457.88815186423801</v>
      </c>
      <c r="N21" s="88">
        <v>357.98086560364402</v>
      </c>
      <c r="O21" s="88">
        <v>41.076815352620599</v>
      </c>
      <c r="P21" s="88">
        <v>43.842700450135297</v>
      </c>
      <c r="Q21" s="88">
        <v>13.4859316441333</v>
      </c>
      <c r="R21" s="88">
        <v>27.7489576929988</v>
      </c>
      <c r="S21" s="88">
        <v>30.5176383149618</v>
      </c>
      <c r="T21" s="88">
        <v>8.2924881797255896</v>
      </c>
    </row>
    <row r="22" spans="2:20">
      <c r="B22" s="90">
        <v>2019</v>
      </c>
      <c r="C22" s="88">
        <v>32.097993990260001</v>
      </c>
      <c r="D22" s="88">
        <v>35.371706830727298</v>
      </c>
      <c r="E22" s="88">
        <v>13.2218171620863</v>
      </c>
      <c r="F22" s="88">
        <v>65.689637964977706</v>
      </c>
      <c r="G22" s="88">
        <v>71.053141550956894</v>
      </c>
      <c r="H22" s="88">
        <v>34.763760515984202</v>
      </c>
      <c r="I22" s="88">
        <v>402.125</v>
      </c>
      <c r="J22" s="88">
        <v>514.03750000000002</v>
      </c>
      <c r="K22" s="88">
        <v>178.3</v>
      </c>
      <c r="L22" s="88">
        <v>608.72609884986002</v>
      </c>
      <c r="M22" s="88">
        <v>667.95492789922901</v>
      </c>
      <c r="N22" s="88">
        <v>267.21360067302197</v>
      </c>
      <c r="O22" s="88">
        <v>47.427626964052799</v>
      </c>
      <c r="P22" s="88">
        <v>51.266212778763297</v>
      </c>
      <c r="Q22" s="88">
        <v>20.438683747330199</v>
      </c>
      <c r="R22" s="88">
        <v>29.556610295961001</v>
      </c>
      <c r="S22" s="88">
        <v>32.980033486017398</v>
      </c>
      <c r="T22" s="88">
        <v>10.936851612142799</v>
      </c>
    </row>
    <row r="23" spans="2:20">
      <c r="B23" s="90">
        <v>2020</v>
      </c>
      <c r="C23" s="88">
        <v>29.777971062513799</v>
      </c>
      <c r="D23" s="88">
        <v>36.828664293453002</v>
      </c>
      <c r="E23" s="88">
        <v>19.433602797583902</v>
      </c>
      <c r="F23" s="88">
        <v>37.417623702230998</v>
      </c>
      <c r="G23" s="88">
        <v>46.725242222566102</v>
      </c>
      <c r="H23" s="88">
        <v>23.762025523411499</v>
      </c>
      <c r="I23" s="88">
        <v>301.79999999999899</v>
      </c>
      <c r="J23" s="88">
        <v>358.944444444444</v>
      </c>
      <c r="K23" s="88">
        <v>244.655555555555</v>
      </c>
      <c r="L23" s="88">
        <v>449.73464030630998</v>
      </c>
      <c r="M23" s="88">
        <v>566.778904194397</v>
      </c>
      <c r="N23" s="88">
        <v>278.01408329170198</v>
      </c>
      <c r="O23" s="88">
        <v>45.877742866853502</v>
      </c>
      <c r="P23" s="88">
        <v>51.352701574553898</v>
      </c>
      <c r="Q23" s="88">
        <v>22.838296973839899</v>
      </c>
      <c r="R23" s="88">
        <v>29.772550952993999</v>
      </c>
      <c r="S23" s="88">
        <v>34.4771646111314</v>
      </c>
      <c r="T23" s="88">
        <v>12.910035792641001</v>
      </c>
    </row>
    <row r="24" spans="2:20">
      <c r="B24" s="90">
        <v>2021</v>
      </c>
      <c r="C24" s="88">
        <v>22.6318261422783</v>
      </c>
      <c r="D24" s="88">
        <v>33.535725201691697</v>
      </c>
      <c r="E24" s="88">
        <v>19.961640390079999</v>
      </c>
      <c r="F24" s="88">
        <v>32.207914658146699</v>
      </c>
      <c r="G24" s="88">
        <v>28.834596083448801</v>
      </c>
      <c r="H24" s="88">
        <v>33.033984960769999</v>
      </c>
      <c r="I24" s="88">
        <v>304.33297872340398</v>
      </c>
      <c r="J24" s="88">
        <v>562.74</v>
      </c>
      <c r="K24" s="88">
        <v>273.57023809523798</v>
      </c>
      <c r="L24" s="88">
        <v>398.80246527984099</v>
      </c>
      <c r="M24" s="88">
        <v>764.04531044532098</v>
      </c>
      <c r="N24" s="88">
        <v>309.360492647922</v>
      </c>
      <c r="O24" s="88">
        <v>45.335756025650198</v>
      </c>
      <c r="P24" s="88">
        <v>48.418973732420099</v>
      </c>
      <c r="Q24" s="88">
        <v>26.6515213982108</v>
      </c>
      <c r="R24" s="88">
        <v>29.058461846725599</v>
      </c>
      <c r="S24" s="88">
        <v>34.443133180881503</v>
      </c>
      <c r="T24" s="88">
        <v>15.323958766988699</v>
      </c>
    </row>
    <row r="25" spans="2:20">
      <c r="B25" s="90">
        <v>2022</v>
      </c>
      <c r="C25" s="88">
        <v>30.187748445256901</v>
      </c>
      <c r="D25" s="88">
        <v>39.580428954423503</v>
      </c>
      <c r="E25" s="88">
        <v>23.897291797588</v>
      </c>
      <c r="F25" s="88">
        <v>49.709066974926898</v>
      </c>
      <c r="G25" s="88">
        <v>77.480616621983899</v>
      </c>
      <c r="H25" s="88">
        <v>31.109932369751899</v>
      </c>
      <c r="I25" s="88">
        <v>309.98333333333301</v>
      </c>
      <c r="J25" s="88">
        <v>559.5</v>
      </c>
      <c r="K25" s="88">
        <v>238.69285714285701</v>
      </c>
      <c r="L25" s="88">
        <v>601.78916608419797</v>
      </c>
      <c r="M25" s="88">
        <v>1013.9678284182301</v>
      </c>
      <c r="N25" s="88">
        <v>325.74528234132299</v>
      </c>
      <c r="O25" s="88">
        <v>43.653136329198801</v>
      </c>
      <c r="P25" s="88">
        <v>51.526762835986801</v>
      </c>
      <c r="Q25" s="88">
        <v>30.907507872161201</v>
      </c>
      <c r="R25" s="88">
        <v>29.524866397895899</v>
      </c>
      <c r="S25" s="88">
        <v>36.524608165188297</v>
      </c>
      <c r="T25" s="88">
        <v>17.863417126506299</v>
      </c>
    </row>
    <row r="26" spans="2:20">
      <c r="B26" s="90">
        <v>2023</v>
      </c>
      <c r="C26" s="88">
        <v>32.027156974075197</v>
      </c>
      <c r="D26" s="88">
        <v>33.5234375</v>
      </c>
      <c r="E26" s="88">
        <v>30.561576354679801</v>
      </c>
      <c r="F26" s="88">
        <v>42.245565488414798</v>
      </c>
      <c r="G26" s="88">
        <v>50.939799804687503</v>
      </c>
      <c r="H26" s="88">
        <v>33.729714955282397</v>
      </c>
      <c r="I26" s="88">
        <v>477.565384615384</v>
      </c>
      <c r="J26" s="88">
        <v>682.66666666666595</v>
      </c>
      <c r="K26" s="88">
        <v>368.98235294117598</v>
      </c>
      <c r="L26" s="88">
        <v>650.34306136090902</v>
      </c>
      <c r="M26" s="88">
        <v>849.03743489583303</v>
      </c>
      <c r="N26" s="88">
        <v>455.72539576258998</v>
      </c>
      <c r="O26" s="88">
        <v>45.4539617577394</v>
      </c>
      <c r="P26" s="88">
        <v>55.006679256728603</v>
      </c>
      <c r="Q26" s="88">
        <v>31.27988366504</v>
      </c>
      <c r="R26" s="88">
        <v>29.344539322876798</v>
      </c>
      <c r="S26" s="88">
        <v>35.767992556059099</v>
      </c>
      <c r="T26" s="88">
        <v>21.415185700403601</v>
      </c>
    </row>
    <row r="27" spans="2:20">
      <c r="B27" s="90">
        <v>2024</v>
      </c>
      <c r="C27" s="88">
        <v>41.325315927515497</v>
      </c>
      <c r="D27" s="88">
        <v>42.5209048304365</v>
      </c>
      <c r="E27" s="88">
        <v>40.515435570553599</v>
      </c>
      <c r="F27" s="88">
        <v>38.031802128039999</v>
      </c>
      <c r="G27" s="88">
        <v>26.992462821506301</v>
      </c>
      <c r="H27" s="88">
        <v>45.509743782027201</v>
      </c>
      <c r="I27" s="88">
        <v>372.79999999999899</v>
      </c>
      <c r="J27" s="88">
        <v>301.10000000000002</v>
      </c>
      <c r="K27" s="88">
        <v>444.5</v>
      </c>
      <c r="L27" s="88">
        <v>626.60784155936994</v>
      </c>
      <c r="M27" s="88">
        <v>502.80379718808803</v>
      </c>
      <c r="N27" s="88">
        <v>710.47150356205395</v>
      </c>
      <c r="O27" s="88">
        <v>39.9223945903519</v>
      </c>
      <c r="P27" s="88">
        <v>46.1945435108385</v>
      </c>
      <c r="Q27" s="88">
        <v>33.429080318248602</v>
      </c>
      <c r="R27" s="88">
        <v>31.1900037103279</v>
      </c>
      <c r="S27" s="88">
        <v>37.197832156000899</v>
      </c>
      <c r="T27" s="88">
        <v>26.873909382097001</v>
      </c>
    </row>
    <row r="28" spans="2:20">
      <c r="B28" s="90">
        <v>2025</v>
      </c>
      <c r="C28" s="88">
        <v>39.017903074537301</v>
      </c>
      <c r="D28" s="88">
        <v>35.352606351108399</v>
      </c>
      <c r="E28" s="88">
        <v>44.996139845105098</v>
      </c>
      <c r="F28" s="88">
        <v>63.492746747639004</v>
      </c>
      <c r="G28" s="88">
        <v>65.8140323547034</v>
      </c>
      <c r="H28" s="88">
        <v>59.7066426424959</v>
      </c>
      <c r="I28" s="88">
        <v>633.47647058823497</v>
      </c>
      <c r="J28" s="88">
        <v>606.90909090908997</v>
      </c>
      <c r="K28" s="88">
        <v>682.18333333333305</v>
      </c>
      <c r="L28" s="88">
        <v>853.10809724117996</v>
      </c>
      <c r="M28" s="88">
        <v>865.13391252246799</v>
      </c>
      <c r="N28" s="88">
        <v>833.49354034839098</v>
      </c>
      <c r="O28" s="88">
        <v>45.137419199433502</v>
      </c>
      <c r="P28" s="88">
        <v>50.012301537265998</v>
      </c>
      <c r="Q28" s="88">
        <v>40.618003742065497</v>
      </c>
      <c r="R28" s="88">
        <v>33.037990112732601</v>
      </c>
      <c r="S28" s="88">
        <v>36.902620567531997</v>
      </c>
      <c r="T28" s="88">
        <v>31.9864167916013</v>
      </c>
    </row>
    <row r="29" spans="2:20">
      <c r="B29" s="90">
        <v>2026</v>
      </c>
      <c r="C29" s="88">
        <v>37.756615808339099</v>
      </c>
      <c r="D29" s="88">
        <v>37.094690217027498</v>
      </c>
      <c r="E29" s="88">
        <v>40.713726556129302</v>
      </c>
      <c r="F29" s="88">
        <v>54.2562193321302</v>
      </c>
      <c r="G29" s="88">
        <v>59.434946427593502</v>
      </c>
      <c r="H29" s="88">
        <v>31.1205833106822</v>
      </c>
      <c r="I29" s="88">
        <v>558.74166666666599</v>
      </c>
      <c r="J29" s="88">
        <v>657.428</v>
      </c>
      <c r="K29" s="88">
        <v>334.45454545454498</v>
      </c>
      <c r="L29" s="88">
        <v>764.70870109919599</v>
      </c>
      <c r="M29" s="88">
        <v>836.00335184993605</v>
      </c>
      <c r="N29" s="88">
        <v>446.20435444414198</v>
      </c>
      <c r="O29" s="88">
        <v>49.5470801342302</v>
      </c>
      <c r="P29" s="88">
        <v>56.1323716060949</v>
      </c>
      <c r="Q29" s="88">
        <v>40.235323412047897</v>
      </c>
      <c r="R29" s="88">
        <v>36.0629480459448</v>
      </c>
      <c r="S29" s="88">
        <v>37.614413570599197</v>
      </c>
      <c r="T29" s="88">
        <v>36.136834024811201</v>
      </c>
    </row>
    <row r="30" spans="2:20">
      <c r="B30" s="90">
        <v>2027</v>
      </c>
      <c r="C30" s="88">
        <v>48.046108329540203</v>
      </c>
      <c r="D30" s="88">
        <v>48.468232923207403</v>
      </c>
      <c r="E30" s="88">
        <v>45.490044958253002</v>
      </c>
      <c r="F30" s="88">
        <v>53.593433773327199</v>
      </c>
      <c r="G30" s="88">
        <v>56.348349596945198</v>
      </c>
      <c r="H30" s="88">
        <v>36.911772639691698</v>
      </c>
      <c r="I30" s="88">
        <v>915.41666666666595</v>
      </c>
      <c r="J30" s="88">
        <v>992.42105263157896</v>
      </c>
      <c r="K30" s="88">
        <v>622.79999999999995</v>
      </c>
      <c r="L30" s="88">
        <v>1445.90013654984</v>
      </c>
      <c r="M30" s="88">
        <v>1551.9044336020299</v>
      </c>
      <c r="N30" s="88">
        <v>804.01926782273597</v>
      </c>
      <c r="O30" s="88">
        <v>50.323953493910203</v>
      </c>
      <c r="P30" s="88">
        <v>51.905918201087196</v>
      </c>
      <c r="Q30" s="88">
        <v>41.395691466035899</v>
      </c>
      <c r="R30" s="88">
        <v>39.634620022801499</v>
      </c>
      <c r="S30" s="88">
        <v>39.391974364356003</v>
      </c>
      <c r="T30" s="88">
        <v>40.455384656944197</v>
      </c>
    </row>
    <row r="31" spans="2:20">
      <c r="B31" s="90">
        <v>2028</v>
      </c>
      <c r="C31" s="88">
        <v>41.5194248730132</v>
      </c>
      <c r="D31" s="88">
        <v>43.143914518939702</v>
      </c>
      <c r="E31" s="88">
        <v>27.926323867996899</v>
      </c>
      <c r="F31" s="88">
        <v>36.070745534982798</v>
      </c>
      <c r="G31" s="88">
        <v>39.1084738145464</v>
      </c>
      <c r="H31" s="88">
        <v>10.652210283960001</v>
      </c>
      <c r="I31" s="88">
        <v>841.79310344827502</v>
      </c>
      <c r="J31" s="88">
        <v>948.08695652173901</v>
      </c>
      <c r="K31" s="88">
        <v>434.33333333333297</v>
      </c>
      <c r="L31" s="88">
        <v>1799.9392921514</v>
      </c>
      <c r="M31" s="88">
        <v>1958.00357699715</v>
      </c>
      <c r="N31" s="88">
        <v>477.318495778971</v>
      </c>
      <c r="O31" s="88">
        <v>49.0889895032238</v>
      </c>
      <c r="P31" s="88">
        <v>49.539653003059001</v>
      </c>
      <c r="Q31" s="88">
        <v>36.780190531771403</v>
      </c>
      <c r="R31" s="88">
        <v>41.533073602589099</v>
      </c>
      <c r="S31" s="88">
        <v>41.316069768143898</v>
      </c>
      <c r="T31" s="88">
        <v>39.928334159607601</v>
      </c>
    </row>
  </sheetData>
  <phoneticPr fontId="5" type="noConversion"/>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I18"/>
  <sheetViews>
    <sheetView workbookViewId="0">
      <selection activeCell="C6" sqref="C6"/>
    </sheetView>
  </sheetViews>
  <sheetFormatPr defaultColWidth="11" defaultRowHeight="15.6"/>
  <cols>
    <col min="2" max="2" width="26.69921875" style="3" customWidth="1"/>
    <col min="3" max="3" width="12.296875" style="3" bestFit="1" customWidth="1"/>
    <col min="4" max="4" width="14.69921875" style="3" bestFit="1" customWidth="1"/>
    <col min="5" max="5" width="15.5" style="1" bestFit="1" customWidth="1"/>
    <col min="6" max="6" width="10.69921875" style="1" bestFit="1" customWidth="1"/>
  </cols>
  <sheetData>
    <row r="1" spans="2:6" ht="23.4">
      <c r="B1" s="4" t="s">
        <v>893</v>
      </c>
      <c r="C1" s="4"/>
      <c r="D1" s="4"/>
    </row>
    <row r="3" spans="2:6">
      <c r="B3" s="92" t="s">
        <v>59</v>
      </c>
      <c r="C3" s="92" t="s">
        <v>133</v>
      </c>
      <c r="D3" s="92" t="s">
        <v>303</v>
      </c>
      <c r="E3" s="92" t="s">
        <v>798</v>
      </c>
      <c r="F3" s="93" t="s">
        <v>305</v>
      </c>
    </row>
    <row r="4" spans="2:6">
      <c r="B4" s="46" t="s">
        <v>88</v>
      </c>
      <c r="C4" s="46" t="s">
        <v>130</v>
      </c>
      <c r="D4" s="88">
        <v>5</v>
      </c>
      <c r="E4" s="71">
        <v>1542</v>
      </c>
      <c r="F4" s="94">
        <v>1547</v>
      </c>
    </row>
    <row r="5" spans="2:6">
      <c r="B5" s="46" t="s">
        <v>128</v>
      </c>
      <c r="C5" s="46" t="s">
        <v>901</v>
      </c>
      <c r="D5" s="88">
        <v>815.5</v>
      </c>
      <c r="E5" s="71">
        <v>5229.8999999999996</v>
      </c>
      <c r="F5" s="94">
        <v>6045.4</v>
      </c>
    </row>
    <row r="6" spans="2:6">
      <c r="B6" s="46" t="s">
        <v>53</v>
      </c>
      <c r="C6" s="46" t="s">
        <v>901</v>
      </c>
      <c r="D6" s="88">
        <v>5048.37</v>
      </c>
      <c r="E6" s="71">
        <v>1057.3</v>
      </c>
      <c r="F6" s="94">
        <v>6105.67</v>
      </c>
    </row>
    <row r="7" spans="2:6">
      <c r="B7" s="46" t="s">
        <v>54</v>
      </c>
      <c r="C7" s="46" t="s">
        <v>901</v>
      </c>
      <c r="D7" s="88">
        <v>6152.25</v>
      </c>
      <c r="E7" s="71">
        <v>16244.4</v>
      </c>
      <c r="F7" s="94">
        <v>22396.65</v>
      </c>
    </row>
    <row r="8" spans="2:6">
      <c r="B8" s="46" t="s">
        <v>55</v>
      </c>
      <c r="C8" s="46" t="s">
        <v>901</v>
      </c>
      <c r="D8" s="88">
        <v>35502.300000000003</v>
      </c>
      <c r="E8" s="71">
        <v>52659.68</v>
      </c>
      <c r="F8" s="94">
        <v>88161.98</v>
      </c>
    </row>
    <row r="9" spans="2:6">
      <c r="B9" s="46" t="s">
        <v>796</v>
      </c>
      <c r="C9" s="46"/>
      <c r="D9" s="88">
        <v>399.5</v>
      </c>
      <c r="E9" s="71">
        <v>0</v>
      </c>
      <c r="F9" s="94">
        <v>399.5</v>
      </c>
    </row>
    <row r="10" spans="2:6">
      <c r="B10" s="46" t="s">
        <v>180</v>
      </c>
      <c r="C10" s="46" t="s">
        <v>901</v>
      </c>
      <c r="D10" s="88">
        <v>30</v>
      </c>
      <c r="E10" s="71">
        <v>100</v>
      </c>
      <c r="F10" s="94">
        <v>130</v>
      </c>
    </row>
    <row r="11" spans="2:6">
      <c r="B11" s="46" t="s">
        <v>57</v>
      </c>
      <c r="C11" s="46" t="s">
        <v>130</v>
      </c>
      <c r="D11" s="88">
        <v>80.706000000000003</v>
      </c>
      <c r="E11" s="71">
        <v>28216.424999999999</v>
      </c>
      <c r="F11" s="94">
        <v>28297.130999999899</v>
      </c>
    </row>
    <row r="12" spans="2:6">
      <c r="B12" s="46" t="s">
        <v>56</v>
      </c>
      <c r="C12" s="46" t="s">
        <v>130</v>
      </c>
      <c r="D12" s="88">
        <v>37.93</v>
      </c>
      <c r="E12" s="71">
        <v>3277.8</v>
      </c>
      <c r="F12" s="94">
        <v>3315.73</v>
      </c>
    </row>
    <row r="13" spans="2:6">
      <c r="B13" s="46" t="s">
        <v>797</v>
      </c>
      <c r="C13" s="46" t="s">
        <v>901</v>
      </c>
      <c r="D13" s="88">
        <v>4.3</v>
      </c>
      <c r="E13" s="71">
        <v>0</v>
      </c>
      <c r="F13" s="94">
        <v>4.3</v>
      </c>
    </row>
    <row r="14" spans="2:6">
      <c r="B14" s="46" t="s">
        <v>129</v>
      </c>
      <c r="C14" s="46" t="s">
        <v>130</v>
      </c>
      <c r="D14" s="88">
        <v>0</v>
      </c>
      <c r="E14" s="71">
        <v>1972.7</v>
      </c>
      <c r="F14" s="94">
        <v>1972.7</v>
      </c>
    </row>
    <row r="15" spans="2:6">
      <c r="B15" s="46" t="s">
        <v>58</v>
      </c>
      <c r="C15" s="46" t="s">
        <v>901</v>
      </c>
      <c r="D15" s="88">
        <v>1060</v>
      </c>
      <c r="E15" s="71">
        <v>0</v>
      </c>
      <c r="F15" s="95">
        <v>1060</v>
      </c>
    </row>
    <row r="16" spans="2:6">
      <c r="B16" s="46" t="s">
        <v>94</v>
      </c>
      <c r="C16" s="46"/>
      <c r="D16" s="88">
        <v>9873.4499999999898</v>
      </c>
      <c r="E16" s="71">
        <v>257479.8</v>
      </c>
      <c r="F16" s="94">
        <v>267353.25</v>
      </c>
    </row>
    <row r="17" spans="2:9">
      <c r="B17" s="48" t="s">
        <v>68</v>
      </c>
      <c r="C17" s="48"/>
      <c r="D17" s="96">
        <v>59009.305999999997</v>
      </c>
      <c r="E17" s="72">
        <v>367780.005</v>
      </c>
      <c r="F17" s="97">
        <v>426789.31099999999</v>
      </c>
    </row>
    <row r="18" spans="2:9" ht="31.95" customHeight="1">
      <c r="B18" s="118" t="s">
        <v>71</v>
      </c>
      <c r="C18" s="118"/>
      <c r="D18" s="118"/>
      <c r="E18" s="118"/>
      <c r="F18" s="118"/>
      <c r="G18" s="118"/>
      <c r="H18" s="7"/>
      <c r="I18" s="7"/>
    </row>
  </sheetData>
  <mergeCells count="1">
    <mergeCell ref="B18:G18"/>
  </mergeCell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E31"/>
  <sheetViews>
    <sheetView workbookViewId="0">
      <selection activeCell="B2" sqref="B2"/>
    </sheetView>
  </sheetViews>
  <sheetFormatPr defaultColWidth="11" defaultRowHeight="15.6"/>
  <cols>
    <col min="2" max="2" width="25.5" customWidth="1"/>
    <col min="3" max="3" width="20.296875" bestFit="1" customWidth="1"/>
    <col min="4" max="4" width="17.69921875" bestFit="1" customWidth="1"/>
    <col min="5" max="5" width="14" bestFit="1" customWidth="1"/>
  </cols>
  <sheetData>
    <row r="1" spans="2:5" ht="23.4">
      <c r="B1" s="5" t="s">
        <v>894</v>
      </c>
    </row>
    <row r="3" spans="2:5" ht="31.2">
      <c r="B3" s="98" t="s">
        <v>3</v>
      </c>
      <c r="C3" s="99" t="s">
        <v>0</v>
      </c>
      <c r="D3" s="99" t="s">
        <v>1</v>
      </c>
      <c r="E3" s="99" t="s">
        <v>2</v>
      </c>
    </row>
    <row r="4" spans="2:5">
      <c r="B4" s="46">
        <v>2001</v>
      </c>
      <c r="C4" s="100">
        <v>2</v>
      </c>
      <c r="D4" s="100">
        <v>76</v>
      </c>
      <c r="E4" s="100">
        <v>64</v>
      </c>
    </row>
    <row r="5" spans="2:5">
      <c r="B5" s="46">
        <v>2002</v>
      </c>
      <c r="C5" s="100">
        <v>2</v>
      </c>
      <c r="D5" s="100">
        <v>80</v>
      </c>
      <c r="E5" s="100">
        <v>70</v>
      </c>
    </row>
    <row r="6" spans="2:5">
      <c r="B6" s="46">
        <v>2003</v>
      </c>
      <c r="C6" s="100">
        <v>2.3421112372304198</v>
      </c>
      <c r="D6" s="100">
        <v>82.857207718501698</v>
      </c>
      <c r="E6" s="100">
        <v>69.661748013620894</v>
      </c>
    </row>
    <row r="7" spans="2:5">
      <c r="B7" s="46">
        <v>2004</v>
      </c>
      <c r="C7" s="100">
        <v>2.30879393864116</v>
      </c>
      <c r="D7" s="100">
        <v>84.435722270525403</v>
      </c>
      <c r="E7" s="100">
        <v>65.675071419699407</v>
      </c>
    </row>
    <row r="8" spans="2:5">
      <c r="B8" s="46">
        <v>2005</v>
      </c>
      <c r="C8" s="100">
        <v>3</v>
      </c>
      <c r="D8" s="100">
        <v>90</v>
      </c>
      <c r="E8" s="100">
        <v>70</v>
      </c>
    </row>
    <row r="9" spans="2:5">
      <c r="B9" s="46">
        <v>2006</v>
      </c>
      <c r="C9" s="100">
        <v>2.9864864864864802</v>
      </c>
      <c r="D9" s="100">
        <v>90</v>
      </c>
      <c r="E9" s="100">
        <v>75.135135135135101</v>
      </c>
    </row>
    <row r="10" spans="2:5">
      <c r="B10" s="46">
        <v>2007</v>
      </c>
      <c r="C10" s="100">
        <v>2.92451361867704</v>
      </c>
      <c r="D10" s="100">
        <v>96.035019455252893</v>
      </c>
      <c r="E10" s="100">
        <v>73.223735408560302</v>
      </c>
    </row>
    <row r="11" spans="2:5">
      <c r="B11" s="46">
        <v>2008</v>
      </c>
      <c r="C11" s="100">
        <v>2</v>
      </c>
      <c r="D11" s="100">
        <v>80</v>
      </c>
      <c r="E11" s="100">
        <v>59</v>
      </c>
    </row>
    <row r="12" spans="2:5">
      <c r="B12" s="46">
        <v>2009</v>
      </c>
      <c r="C12" s="100">
        <v>3.6848682262363002</v>
      </c>
      <c r="D12" s="100">
        <v>107.46319218241</v>
      </c>
      <c r="E12" s="100">
        <v>80.519692034350001</v>
      </c>
    </row>
    <row r="13" spans="2:5">
      <c r="B13" s="46">
        <v>2010</v>
      </c>
      <c r="C13" s="100">
        <v>2.9412120369726802</v>
      </c>
      <c r="D13" s="100">
        <v>94.128361943151006</v>
      </c>
      <c r="E13" s="100">
        <v>74.326151921606694</v>
      </c>
    </row>
    <row r="14" spans="2:5">
      <c r="B14" s="46">
        <v>2011</v>
      </c>
      <c r="C14" s="100">
        <v>3.31131621187801</v>
      </c>
      <c r="D14" s="100">
        <v>104.645264847512</v>
      </c>
      <c r="E14" s="100">
        <v>80.5742375601926</v>
      </c>
    </row>
    <row r="15" spans="2:5">
      <c r="B15" s="46">
        <v>2012</v>
      </c>
      <c r="C15" s="100">
        <v>4.2740235494940997</v>
      </c>
      <c r="D15" s="100">
        <v>122.5820422556</v>
      </c>
      <c r="E15" s="100">
        <v>90.227526978257899</v>
      </c>
    </row>
    <row r="16" spans="2:5">
      <c r="B16" s="46">
        <v>2013</v>
      </c>
      <c r="C16" s="100">
        <v>4.02006887052341</v>
      </c>
      <c r="D16" s="100">
        <v>116.630716253443</v>
      </c>
      <c r="E16" s="100">
        <v>84.851673553718996</v>
      </c>
    </row>
    <row r="17" spans="2:5">
      <c r="B17" s="46">
        <v>2014</v>
      </c>
      <c r="C17" s="100">
        <v>3.4021540776973</v>
      </c>
      <c r="D17" s="100">
        <v>116.797385006114</v>
      </c>
      <c r="E17" s="100">
        <v>85.284545198005802</v>
      </c>
    </row>
    <row r="18" spans="2:5">
      <c r="B18" s="46">
        <v>2015</v>
      </c>
      <c r="C18" s="100">
        <v>4.1761956612781601</v>
      </c>
      <c r="D18" s="100">
        <v>118.844012619705</v>
      </c>
      <c r="E18" s="100">
        <v>86.669737833989402</v>
      </c>
    </row>
    <row r="19" spans="2:5">
      <c r="B19" s="46">
        <v>2016</v>
      </c>
      <c r="C19" s="100">
        <v>4.9520586080586</v>
      </c>
      <c r="D19" s="100">
        <v>135.89890109890101</v>
      </c>
      <c r="E19" s="100">
        <v>101.652014652014</v>
      </c>
    </row>
    <row r="20" spans="2:5">
      <c r="B20" s="46">
        <v>2017</v>
      </c>
      <c r="C20" s="100">
        <v>5.1230241883326801</v>
      </c>
      <c r="D20" s="100">
        <v>137.33592032078599</v>
      </c>
      <c r="E20" s="100">
        <v>95.482072176949899</v>
      </c>
    </row>
    <row r="21" spans="2:5">
      <c r="B21" s="46">
        <v>2018</v>
      </c>
      <c r="C21" s="100">
        <v>6.1998937187798902</v>
      </c>
      <c r="D21" s="100">
        <v>145.40434690190199</v>
      </c>
      <c r="E21" s="100">
        <v>101.533093314911</v>
      </c>
    </row>
    <row r="22" spans="2:5">
      <c r="B22" s="46">
        <v>2019</v>
      </c>
      <c r="C22" s="100">
        <v>6.88171407666895</v>
      </c>
      <c r="D22" s="100">
        <v>154.16562091213399</v>
      </c>
      <c r="E22" s="100">
        <v>105.770669356805</v>
      </c>
    </row>
    <row r="23" spans="2:5">
      <c r="B23" s="46">
        <v>2020</v>
      </c>
      <c r="C23" s="100">
        <v>7.7080298713870796</v>
      </c>
      <c r="D23" s="100">
        <v>158.01382934587099</v>
      </c>
      <c r="E23" s="100">
        <v>107.826718296224</v>
      </c>
    </row>
    <row r="24" spans="2:5">
      <c r="B24" s="46">
        <v>2021</v>
      </c>
      <c r="C24" s="100">
        <v>7.3348348647625103</v>
      </c>
      <c r="D24" s="100">
        <v>156.32478922086401</v>
      </c>
      <c r="E24" s="100">
        <v>100.44366984911601</v>
      </c>
    </row>
    <row r="25" spans="2:5">
      <c r="B25" s="46">
        <v>2022</v>
      </c>
      <c r="C25" s="100">
        <v>7.6755899272129602</v>
      </c>
      <c r="D25" s="100">
        <v>174.603163888236</v>
      </c>
      <c r="E25" s="100">
        <v>116.588080535336</v>
      </c>
    </row>
    <row r="26" spans="2:5">
      <c r="B26" s="46">
        <v>2023</v>
      </c>
      <c r="C26" s="100">
        <v>9.8619351148731091</v>
      </c>
      <c r="D26" s="100">
        <v>181.052834452257</v>
      </c>
      <c r="E26" s="100">
        <v>120.445178949865</v>
      </c>
    </row>
    <row r="27" spans="2:5">
      <c r="B27" s="46">
        <v>2024</v>
      </c>
      <c r="C27" s="100">
        <v>8.7449307573944193</v>
      </c>
      <c r="D27" s="100">
        <v>170.39636405083399</v>
      </c>
      <c r="E27" s="100">
        <v>113.141163731692</v>
      </c>
    </row>
    <row r="28" spans="2:5">
      <c r="B28" s="46">
        <v>2025</v>
      </c>
      <c r="C28" s="100">
        <v>13.217531850161601</v>
      </c>
      <c r="D28" s="100">
        <v>218.50484883057601</v>
      </c>
      <c r="E28" s="100">
        <v>143.357672561323</v>
      </c>
    </row>
    <row r="29" spans="2:5">
      <c r="B29" s="46">
        <v>2026</v>
      </c>
      <c r="C29" s="100">
        <v>12.240208784575501</v>
      </c>
      <c r="D29" s="100">
        <v>204.54056741114201</v>
      </c>
      <c r="E29" s="100">
        <v>134.72804743812799</v>
      </c>
    </row>
    <row r="30" spans="2:5">
      <c r="B30" s="46">
        <v>2027</v>
      </c>
      <c r="C30" s="100">
        <v>14.7124239791485</v>
      </c>
      <c r="D30" s="100">
        <v>232.988705473501</v>
      </c>
      <c r="E30" s="100">
        <v>150.490877497827</v>
      </c>
    </row>
    <row r="31" spans="2:5">
      <c r="B31" s="46">
        <v>2028</v>
      </c>
      <c r="C31" s="100">
        <v>8.1875568753292693</v>
      </c>
      <c r="D31" s="100">
        <v>247.51089611571399</v>
      </c>
      <c r="E31" s="100">
        <v>159.57804492552299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14"/>
  <sheetViews>
    <sheetView workbookViewId="0">
      <selection activeCell="B2" sqref="B2"/>
    </sheetView>
  </sheetViews>
  <sheetFormatPr defaultColWidth="11" defaultRowHeight="15.6"/>
  <cols>
    <col min="2" max="2" width="21.296875" style="3" customWidth="1"/>
    <col min="3" max="8" width="13.296875" style="1" customWidth="1"/>
    <col min="9" max="9" width="15.69921875" style="1" customWidth="1"/>
    <col min="10" max="11" width="13.296875" style="1" customWidth="1"/>
    <col min="12" max="12" width="15.296875" style="1" customWidth="1"/>
    <col min="13" max="13" width="13.296875" style="1" customWidth="1"/>
    <col min="14" max="14" width="14" style="1" customWidth="1"/>
    <col min="15" max="15" width="13.296875" style="1" customWidth="1"/>
    <col min="17" max="17" width="11" style="10"/>
  </cols>
  <sheetData>
    <row r="1" spans="2:17" ht="23.4">
      <c r="B1" s="4" t="s">
        <v>211</v>
      </c>
    </row>
    <row r="3" spans="2:17" s="22" customFormat="1">
      <c r="B3" s="27" t="s">
        <v>28</v>
      </c>
      <c r="C3" s="27" t="s">
        <v>50</v>
      </c>
      <c r="D3" s="27" t="s">
        <v>52</v>
      </c>
      <c r="E3" s="27" t="s">
        <v>46</v>
      </c>
      <c r="F3" s="27" t="s">
        <v>360</v>
      </c>
      <c r="G3" s="27" t="s">
        <v>41</v>
      </c>
      <c r="H3" s="27" t="s">
        <v>47</v>
      </c>
      <c r="I3" s="27" t="s">
        <v>42</v>
      </c>
      <c r="J3" s="27" t="s">
        <v>45</v>
      </c>
      <c r="K3" s="27" t="s">
        <v>44</v>
      </c>
      <c r="L3" s="27" t="s">
        <v>67</v>
      </c>
      <c r="M3" s="27" t="s">
        <v>49</v>
      </c>
      <c r="N3" s="27" t="s">
        <v>43</v>
      </c>
      <c r="O3" s="27" t="s">
        <v>361</v>
      </c>
      <c r="P3" s="28" t="s">
        <v>48</v>
      </c>
      <c r="Q3" s="29" t="s">
        <v>68</v>
      </c>
    </row>
    <row r="4" spans="2:17" s="27" customFormat="1">
      <c r="B4" s="27" t="s">
        <v>85</v>
      </c>
      <c r="C4" s="30">
        <v>0</v>
      </c>
      <c r="D4" s="30">
        <v>0</v>
      </c>
      <c r="E4" s="30">
        <v>0</v>
      </c>
      <c r="F4" s="30">
        <v>0</v>
      </c>
      <c r="G4" s="30">
        <v>0</v>
      </c>
      <c r="H4" s="30">
        <v>0</v>
      </c>
      <c r="I4" s="30">
        <v>0</v>
      </c>
      <c r="J4" s="30">
        <v>0</v>
      </c>
      <c r="K4" s="30">
        <v>0</v>
      </c>
      <c r="L4" s="30">
        <v>0</v>
      </c>
      <c r="M4" s="30">
        <v>0</v>
      </c>
      <c r="N4" s="30">
        <v>30</v>
      </c>
      <c r="O4" s="30">
        <v>0</v>
      </c>
      <c r="P4" s="31">
        <v>12</v>
      </c>
      <c r="Q4" s="32">
        <v>42</v>
      </c>
    </row>
    <row r="5" spans="2:17" s="27" customFormat="1">
      <c r="B5" s="27" t="s">
        <v>16</v>
      </c>
      <c r="C5" s="30">
        <v>0</v>
      </c>
      <c r="D5" s="30">
        <v>0</v>
      </c>
      <c r="E5" s="30">
        <v>0</v>
      </c>
      <c r="F5" s="30">
        <v>0</v>
      </c>
      <c r="G5" s="30">
        <v>0</v>
      </c>
      <c r="H5" s="30">
        <v>0</v>
      </c>
      <c r="I5" s="30">
        <v>800</v>
      </c>
      <c r="J5" s="30">
        <v>0</v>
      </c>
      <c r="K5" s="30">
        <v>132</v>
      </c>
      <c r="L5" s="30">
        <v>0</v>
      </c>
      <c r="M5" s="30">
        <v>0</v>
      </c>
      <c r="N5" s="30">
        <v>0</v>
      </c>
      <c r="O5" s="30">
        <v>0</v>
      </c>
      <c r="P5" s="31">
        <v>0</v>
      </c>
      <c r="Q5" s="32">
        <v>932</v>
      </c>
    </row>
    <row r="6" spans="2:17" s="27" customFormat="1">
      <c r="B6" s="27" t="s">
        <v>22</v>
      </c>
      <c r="C6" s="30">
        <v>0</v>
      </c>
      <c r="D6" s="30">
        <v>0</v>
      </c>
      <c r="E6" s="30">
        <v>0</v>
      </c>
      <c r="F6" s="30">
        <v>0</v>
      </c>
      <c r="G6" s="30">
        <v>0</v>
      </c>
      <c r="H6" s="30">
        <v>0</v>
      </c>
      <c r="I6" s="30">
        <v>0</v>
      </c>
      <c r="J6" s="30">
        <v>0</v>
      </c>
      <c r="K6" s="30">
        <v>0</v>
      </c>
      <c r="L6" s="30">
        <v>0</v>
      </c>
      <c r="M6" s="30">
        <v>0</v>
      </c>
      <c r="N6" s="30">
        <v>0</v>
      </c>
      <c r="O6" s="30">
        <v>0</v>
      </c>
      <c r="P6" s="31">
        <v>0</v>
      </c>
      <c r="Q6" s="32">
        <v>0</v>
      </c>
    </row>
    <row r="7" spans="2:17" s="27" customFormat="1">
      <c r="B7" s="27" t="s">
        <v>23</v>
      </c>
      <c r="C7" s="30">
        <v>0</v>
      </c>
      <c r="D7" s="30">
        <v>0</v>
      </c>
      <c r="E7" s="30">
        <v>0</v>
      </c>
      <c r="F7" s="30">
        <v>0</v>
      </c>
      <c r="G7" s="30">
        <v>0</v>
      </c>
      <c r="H7" s="30">
        <v>0</v>
      </c>
      <c r="I7" s="30">
        <v>0</v>
      </c>
      <c r="J7" s="30">
        <v>1100</v>
      </c>
      <c r="K7" s="30">
        <v>0</v>
      </c>
      <c r="L7" s="30">
        <v>0</v>
      </c>
      <c r="M7" s="30">
        <v>0</v>
      </c>
      <c r="N7" s="30">
        <v>0</v>
      </c>
      <c r="O7" s="30">
        <v>0</v>
      </c>
      <c r="P7" s="31">
        <v>0</v>
      </c>
      <c r="Q7" s="32">
        <v>1100</v>
      </c>
    </row>
    <row r="8" spans="2:17" s="27" customFormat="1">
      <c r="B8" s="27" t="s">
        <v>24</v>
      </c>
      <c r="C8" s="30">
        <v>60</v>
      </c>
      <c r="D8" s="30">
        <v>1104</v>
      </c>
      <c r="E8" s="30">
        <v>0</v>
      </c>
      <c r="F8" s="30">
        <v>0</v>
      </c>
      <c r="G8" s="30">
        <v>12</v>
      </c>
      <c r="H8" s="30">
        <v>2645</v>
      </c>
      <c r="I8" s="30">
        <v>3236</v>
      </c>
      <c r="J8" s="30">
        <v>3548</v>
      </c>
      <c r="K8" s="30">
        <v>6330</v>
      </c>
      <c r="L8" s="30">
        <v>1035</v>
      </c>
      <c r="M8" s="30">
        <v>21</v>
      </c>
      <c r="N8" s="30">
        <v>400</v>
      </c>
      <c r="O8" s="30">
        <v>0</v>
      </c>
      <c r="P8" s="31">
        <v>2587</v>
      </c>
      <c r="Q8" s="32">
        <v>20978</v>
      </c>
    </row>
    <row r="9" spans="2:17" s="27" customFormat="1">
      <c r="B9" s="27" t="s">
        <v>25</v>
      </c>
      <c r="C9" s="30">
        <v>6042</v>
      </c>
      <c r="D9" s="30">
        <v>0</v>
      </c>
      <c r="E9" s="30">
        <v>1080</v>
      </c>
      <c r="F9" s="30">
        <v>0</v>
      </c>
      <c r="G9" s="30">
        <v>0</v>
      </c>
      <c r="H9" s="30">
        <v>0</v>
      </c>
      <c r="I9" s="30">
        <v>4143</v>
      </c>
      <c r="J9" s="30">
        <v>7229</v>
      </c>
      <c r="K9" s="30">
        <v>1855</v>
      </c>
      <c r="L9" s="30">
        <v>4247</v>
      </c>
      <c r="M9" s="30">
        <v>0</v>
      </c>
      <c r="N9" s="30">
        <v>0</v>
      </c>
      <c r="O9" s="30">
        <v>0</v>
      </c>
      <c r="P9" s="31">
        <v>0</v>
      </c>
      <c r="Q9" s="32">
        <v>24596</v>
      </c>
    </row>
    <row r="10" spans="2:17" s="27" customFormat="1">
      <c r="B10" s="27" t="s">
        <v>26</v>
      </c>
      <c r="C10" s="30">
        <v>0</v>
      </c>
      <c r="D10" s="30">
        <v>0</v>
      </c>
      <c r="E10" s="30">
        <v>0</v>
      </c>
      <c r="F10" s="30">
        <v>1659</v>
      </c>
      <c r="G10" s="30">
        <v>144</v>
      </c>
      <c r="H10" s="30">
        <v>0</v>
      </c>
      <c r="I10" s="30">
        <v>10</v>
      </c>
      <c r="J10" s="30">
        <v>0</v>
      </c>
      <c r="K10" s="30">
        <v>0</v>
      </c>
      <c r="L10" s="30">
        <v>0</v>
      </c>
      <c r="M10" s="30">
        <v>0</v>
      </c>
      <c r="N10" s="30">
        <v>0</v>
      </c>
      <c r="O10" s="30">
        <v>3226</v>
      </c>
      <c r="P10" s="31">
        <v>0</v>
      </c>
      <c r="Q10" s="32">
        <v>5039</v>
      </c>
    </row>
    <row r="11" spans="2:17" s="37" customFormat="1">
      <c r="B11" s="33" t="s">
        <v>27</v>
      </c>
      <c r="C11" s="34">
        <v>6102</v>
      </c>
      <c r="D11" s="34">
        <v>1104</v>
      </c>
      <c r="E11" s="34">
        <v>1080</v>
      </c>
      <c r="F11" s="34">
        <v>1659</v>
      </c>
      <c r="G11" s="34">
        <v>156</v>
      </c>
      <c r="H11" s="34">
        <v>2645</v>
      </c>
      <c r="I11" s="34">
        <v>8189</v>
      </c>
      <c r="J11" s="34">
        <v>11877</v>
      </c>
      <c r="K11" s="34">
        <v>8317</v>
      </c>
      <c r="L11" s="34">
        <v>5282</v>
      </c>
      <c r="M11" s="34">
        <v>21</v>
      </c>
      <c r="N11" s="34">
        <v>430</v>
      </c>
      <c r="O11" s="34">
        <v>3226</v>
      </c>
      <c r="P11" s="35">
        <v>2599</v>
      </c>
      <c r="Q11" s="36">
        <v>52687</v>
      </c>
    </row>
    <row r="14" spans="2:17" ht="48.75" customHeight="1">
      <c r="B14" s="118" t="s">
        <v>70</v>
      </c>
      <c r="C14" s="118"/>
      <c r="D14" s="118"/>
      <c r="E14" s="118"/>
      <c r="F14" s="118"/>
      <c r="G14" s="118"/>
    </row>
  </sheetData>
  <mergeCells count="1">
    <mergeCell ref="B14:G14"/>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E24"/>
  <sheetViews>
    <sheetView workbookViewId="0">
      <selection activeCell="B2" sqref="B2"/>
    </sheetView>
  </sheetViews>
  <sheetFormatPr defaultColWidth="11" defaultRowHeight="15.6"/>
  <cols>
    <col min="2" max="2" width="34.19921875" style="3" customWidth="1"/>
    <col min="3" max="3" width="12" style="1" customWidth="1"/>
    <col min="4" max="4" width="12.5" style="1" customWidth="1"/>
    <col min="5" max="5" width="12" style="1" customWidth="1"/>
  </cols>
  <sheetData>
    <row r="1" spans="2:5" ht="23.4">
      <c r="B1" s="5" t="s">
        <v>895</v>
      </c>
    </row>
    <row r="3" spans="2:5">
      <c r="B3" s="12" t="s">
        <v>65</v>
      </c>
      <c r="C3" s="103" t="s">
        <v>85</v>
      </c>
      <c r="D3" s="103" t="s">
        <v>127</v>
      </c>
      <c r="E3" s="104" t="s">
        <v>68</v>
      </c>
    </row>
    <row r="4" spans="2:5">
      <c r="B4" t="s">
        <v>94</v>
      </c>
      <c r="C4" s="11">
        <v>992.89999999999395</v>
      </c>
      <c r="D4" s="11">
        <v>314818.08</v>
      </c>
      <c r="E4" s="101">
        <v>315810.98</v>
      </c>
    </row>
    <row r="5" spans="2:5">
      <c r="B5" t="s">
        <v>315</v>
      </c>
      <c r="C5" s="11">
        <v>27244.55</v>
      </c>
      <c r="D5" s="11">
        <v>25396.9</v>
      </c>
      <c r="E5" s="101">
        <v>52641.45</v>
      </c>
    </row>
    <row r="6" spans="2:5">
      <c r="B6" t="s">
        <v>181</v>
      </c>
      <c r="C6" s="11">
        <v>8249.42</v>
      </c>
      <c r="D6" s="11">
        <v>10519.825000000001</v>
      </c>
      <c r="E6" s="101">
        <v>18769.244999999999</v>
      </c>
    </row>
    <row r="7" spans="2:5">
      <c r="B7" t="s">
        <v>62</v>
      </c>
      <c r="C7" s="11">
        <v>1114.8</v>
      </c>
      <c r="D7" s="11">
        <v>10706.9</v>
      </c>
      <c r="E7" s="101">
        <v>11821.699999999901</v>
      </c>
    </row>
    <row r="8" spans="2:5">
      <c r="B8" t="s">
        <v>900</v>
      </c>
      <c r="C8" s="11">
        <v>6007.15</v>
      </c>
      <c r="D8" s="11">
        <v>1413.19999999999</v>
      </c>
      <c r="E8" s="101">
        <v>7420.3499999999904</v>
      </c>
    </row>
    <row r="9" spans="2:5">
      <c r="B9" t="s">
        <v>63</v>
      </c>
      <c r="C9" s="11">
        <v>3919.35</v>
      </c>
      <c r="D9" s="11">
        <v>992.3</v>
      </c>
      <c r="E9" s="101">
        <v>4911.6499999999996</v>
      </c>
    </row>
    <row r="10" spans="2:5">
      <c r="B10" t="s">
        <v>61</v>
      </c>
      <c r="C10" s="11">
        <v>3277.2</v>
      </c>
      <c r="D10" s="11">
        <v>0</v>
      </c>
      <c r="E10" s="101">
        <v>3277.2</v>
      </c>
    </row>
    <row r="11" spans="2:5">
      <c r="B11" t="s">
        <v>183</v>
      </c>
      <c r="C11" s="11">
        <v>101</v>
      </c>
      <c r="D11" s="11">
        <v>2740</v>
      </c>
      <c r="E11" s="101">
        <v>2841</v>
      </c>
    </row>
    <row r="12" spans="2:5">
      <c r="B12" t="s">
        <v>182</v>
      </c>
      <c r="C12" s="11">
        <v>2495.8000000000002</v>
      </c>
      <c r="D12" s="11">
        <v>0</v>
      </c>
      <c r="E12" s="101">
        <v>2495.8000000000002</v>
      </c>
    </row>
    <row r="13" spans="2:5">
      <c r="B13" t="s">
        <v>93</v>
      </c>
      <c r="C13" s="11">
        <v>1249.5</v>
      </c>
      <c r="D13" s="11">
        <v>553</v>
      </c>
      <c r="E13" s="101">
        <v>1802.5</v>
      </c>
    </row>
    <row r="14" spans="2:5">
      <c r="B14" t="s">
        <v>64</v>
      </c>
      <c r="C14" s="11">
        <v>1416.2</v>
      </c>
      <c r="D14" s="11">
        <v>0</v>
      </c>
      <c r="E14" s="101">
        <v>1416.2</v>
      </c>
    </row>
    <row r="15" spans="2:5">
      <c r="B15" t="s">
        <v>184</v>
      </c>
      <c r="C15" s="11">
        <v>875</v>
      </c>
      <c r="D15" s="11">
        <v>0</v>
      </c>
      <c r="E15" s="101">
        <v>875</v>
      </c>
    </row>
    <row r="16" spans="2:5">
      <c r="B16" t="s">
        <v>316</v>
      </c>
      <c r="C16" s="11">
        <v>660</v>
      </c>
      <c r="D16" s="11">
        <v>0</v>
      </c>
      <c r="E16" s="101">
        <v>660</v>
      </c>
    </row>
    <row r="17" spans="2:5">
      <c r="B17" t="s">
        <v>799</v>
      </c>
      <c r="C17" s="11">
        <v>0</v>
      </c>
      <c r="D17" s="11">
        <v>504</v>
      </c>
      <c r="E17" s="101">
        <v>504</v>
      </c>
    </row>
    <row r="18" spans="2:5">
      <c r="B18" t="s">
        <v>60</v>
      </c>
      <c r="C18" s="11">
        <v>400</v>
      </c>
      <c r="D18" s="11">
        <v>0</v>
      </c>
      <c r="E18" s="101">
        <v>400</v>
      </c>
    </row>
    <row r="19" spans="2:5">
      <c r="B19" t="s">
        <v>90</v>
      </c>
      <c r="C19" s="11">
        <v>355</v>
      </c>
      <c r="D19" s="11">
        <v>0</v>
      </c>
      <c r="E19" s="101">
        <v>355</v>
      </c>
    </row>
    <row r="20" spans="2:5">
      <c r="B20" t="s">
        <v>317</v>
      </c>
      <c r="C20" s="11">
        <v>207.5</v>
      </c>
      <c r="D20" s="11">
        <v>0</v>
      </c>
      <c r="E20" s="101">
        <v>207.5</v>
      </c>
    </row>
    <row r="21" spans="2:5">
      <c r="B21" t="s">
        <v>91</v>
      </c>
      <c r="C21" s="11">
        <v>190</v>
      </c>
      <c r="D21" s="11">
        <v>0</v>
      </c>
      <c r="E21" s="101">
        <v>190</v>
      </c>
    </row>
    <row r="22" spans="2:5">
      <c r="B22" t="s">
        <v>92</v>
      </c>
      <c r="C22" s="11">
        <v>127.2</v>
      </c>
      <c r="D22" s="11">
        <v>0</v>
      </c>
      <c r="E22" s="101">
        <v>127.2</v>
      </c>
    </row>
    <row r="23" spans="2:5">
      <c r="B23" t="s">
        <v>17</v>
      </c>
      <c r="C23" s="11">
        <v>126.736</v>
      </c>
      <c r="D23" s="11">
        <v>135.80000000000001</v>
      </c>
      <c r="E23" s="101">
        <v>262.536</v>
      </c>
    </row>
    <row r="24" spans="2:5">
      <c r="B24" s="20" t="s">
        <v>68</v>
      </c>
      <c r="C24" s="91">
        <v>59009.305999999902</v>
      </c>
      <c r="D24" s="91">
        <v>367780.005</v>
      </c>
      <c r="E24" s="102">
        <v>426789.31099999999</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X13"/>
  <sheetViews>
    <sheetView workbookViewId="0">
      <selection activeCell="B2" sqref="B2"/>
    </sheetView>
  </sheetViews>
  <sheetFormatPr defaultColWidth="11" defaultRowHeight="15.6"/>
  <cols>
    <col min="2" max="2" width="44" style="3" customWidth="1"/>
    <col min="3" max="7" width="10.796875" style="1"/>
    <col min="8" max="17" width="11" style="1"/>
    <col min="18" max="24" width="10.796875" style="1"/>
  </cols>
  <sheetData>
    <row r="1" spans="2:24" ht="23.4">
      <c r="B1" s="4" t="s">
        <v>896</v>
      </c>
    </row>
    <row r="3" spans="2:24">
      <c r="B3" s="46" t="s">
        <v>30</v>
      </c>
      <c r="C3" s="49" t="s">
        <v>95</v>
      </c>
      <c r="D3" s="49" t="s">
        <v>96</v>
      </c>
      <c r="E3" s="49" t="s">
        <v>97</v>
      </c>
      <c r="F3" s="49" t="s">
        <v>98</v>
      </c>
      <c r="G3" s="49" t="s">
        <v>99</v>
      </c>
      <c r="H3" s="49" t="s">
        <v>100</v>
      </c>
      <c r="I3" s="49" t="s">
        <v>101</v>
      </c>
      <c r="J3" s="49" t="s">
        <v>102</v>
      </c>
      <c r="K3" s="49" t="s">
        <v>103</v>
      </c>
      <c r="L3" s="49" t="s">
        <v>104</v>
      </c>
      <c r="M3" s="49" t="s">
        <v>105</v>
      </c>
      <c r="N3" s="49" t="s">
        <v>134</v>
      </c>
      <c r="O3" s="49" t="s">
        <v>135</v>
      </c>
      <c r="P3" s="49" t="s">
        <v>136</v>
      </c>
      <c r="Q3" s="49" t="s">
        <v>137</v>
      </c>
      <c r="R3" s="49" t="s">
        <v>185</v>
      </c>
      <c r="S3"/>
      <c r="T3"/>
      <c r="U3"/>
      <c r="V3"/>
      <c r="W3"/>
      <c r="X3"/>
    </row>
    <row r="4" spans="2:24">
      <c r="B4" s="46" t="s">
        <v>800</v>
      </c>
      <c r="C4" s="90"/>
      <c r="D4" s="90">
        <v>129.60335979938699</v>
      </c>
      <c r="E4" s="90"/>
      <c r="F4" s="90"/>
      <c r="G4" s="90"/>
      <c r="H4" s="90"/>
      <c r="I4" s="90"/>
      <c r="J4" s="90"/>
      <c r="K4" s="90"/>
      <c r="L4" s="90"/>
      <c r="M4" s="90">
        <v>75.601959882975805</v>
      </c>
      <c r="N4" s="90"/>
      <c r="O4" s="90"/>
      <c r="P4" s="90"/>
      <c r="Q4" s="90"/>
      <c r="R4" s="90"/>
      <c r="S4"/>
      <c r="T4"/>
      <c r="U4"/>
      <c r="V4"/>
      <c r="W4"/>
      <c r="X4"/>
    </row>
    <row r="5" spans="2:24">
      <c r="B5" s="46" t="s">
        <v>801</v>
      </c>
      <c r="C5" s="90"/>
      <c r="D5" s="90">
        <v>129.60335979938699</v>
      </c>
      <c r="E5" s="90"/>
      <c r="F5" s="90"/>
      <c r="G5" s="90"/>
      <c r="H5" s="90"/>
      <c r="I5" s="90"/>
      <c r="J5" s="90"/>
      <c r="K5" s="90"/>
      <c r="L5" s="90"/>
      <c r="M5" s="90">
        <v>70.201819891334694</v>
      </c>
      <c r="N5" s="90"/>
      <c r="O5" s="90"/>
      <c r="P5" s="90"/>
      <c r="Q5" s="90"/>
      <c r="R5" s="90"/>
      <c r="S5"/>
      <c r="T5"/>
      <c r="U5"/>
      <c r="V5"/>
      <c r="W5"/>
      <c r="X5"/>
    </row>
    <row r="6" spans="2:24">
      <c r="B6" s="46" t="s">
        <v>802</v>
      </c>
      <c r="C6" s="90"/>
      <c r="D6" s="90">
        <v>129.60335979938699</v>
      </c>
      <c r="E6" s="90"/>
      <c r="F6" s="90"/>
      <c r="G6" s="90"/>
      <c r="H6" s="90"/>
      <c r="I6" s="90"/>
      <c r="J6" s="90"/>
      <c r="K6" s="90"/>
      <c r="L6" s="90"/>
      <c r="M6" s="90">
        <v>64.801679899693596</v>
      </c>
      <c r="N6" s="90"/>
      <c r="O6" s="90"/>
      <c r="P6" s="90"/>
      <c r="Q6" s="90"/>
      <c r="R6" s="90"/>
      <c r="S6"/>
      <c r="T6"/>
      <c r="U6"/>
      <c r="V6"/>
      <c r="W6"/>
      <c r="X6"/>
    </row>
    <row r="7" spans="2:24">
      <c r="B7" s="46" t="s">
        <v>803</v>
      </c>
      <c r="C7" s="90">
        <v>58.937837619970701</v>
      </c>
      <c r="D7" s="90">
        <v>56.4329884413972</v>
      </c>
      <c r="E7" s="90">
        <v>58.806134728943697</v>
      </c>
      <c r="F7" s="90">
        <v>52.262603947975897</v>
      </c>
      <c r="G7" s="90">
        <v>47.149756987634902</v>
      </c>
      <c r="H7" s="90">
        <v>45.062842949489003</v>
      </c>
      <c r="I7" s="90">
        <v>43.915284969333399</v>
      </c>
      <c r="J7" s="90">
        <v>42.865305434372701</v>
      </c>
      <c r="K7" s="90">
        <v>41.912131001359</v>
      </c>
      <c r="L7" s="90">
        <v>41.009453201805201</v>
      </c>
      <c r="M7" s="90">
        <v>40.198344571663597</v>
      </c>
      <c r="N7" s="90">
        <v>39.334616923441999</v>
      </c>
      <c r="O7" s="90">
        <v>38.645414055949601</v>
      </c>
      <c r="P7" s="90">
        <v>37.898094277051399</v>
      </c>
      <c r="Q7" s="90">
        <v>37.227258063290598</v>
      </c>
      <c r="R7" s="90">
        <v>36.610477650456602</v>
      </c>
      <c r="S7"/>
      <c r="T7"/>
      <c r="U7"/>
      <c r="V7"/>
      <c r="W7"/>
      <c r="X7"/>
    </row>
    <row r="8" spans="2:24">
      <c r="B8" s="46" t="s">
        <v>804</v>
      </c>
      <c r="C8" s="90"/>
      <c r="D8" s="90"/>
      <c r="E8" s="90"/>
      <c r="F8" s="90"/>
      <c r="G8" s="90"/>
      <c r="H8" s="90"/>
      <c r="I8" s="90"/>
      <c r="J8" s="90">
        <v>147.43462205178599</v>
      </c>
      <c r="K8" s="90"/>
      <c r="L8" s="90"/>
      <c r="M8" s="90"/>
      <c r="N8" s="90"/>
      <c r="O8" s="90"/>
      <c r="P8" s="90"/>
      <c r="Q8" s="90"/>
      <c r="R8" s="90"/>
      <c r="S8"/>
      <c r="T8"/>
      <c r="U8"/>
      <c r="V8"/>
      <c r="W8"/>
      <c r="X8"/>
    </row>
    <row r="9" spans="2:24">
      <c r="B9" s="46" t="s">
        <v>805</v>
      </c>
      <c r="C9" s="90"/>
      <c r="D9" s="90"/>
      <c r="E9" s="90">
        <v>125.60570398933299</v>
      </c>
      <c r="F9" s="90">
        <v>115.745425402371</v>
      </c>
      <c r="G9" s="90">
        <v>109.730617284254</v>
      </c>
      <c r="H9" s="90">
        <v>105.00172080653201</v>
      </c>
      <c r="I9" s="90">
        <v>101.191742779382</v>
      </c>
      <c r="J9" s="90">
        <v>98.261749197890495</v>
      </c>
      <c r="K9" s="90">
        <v>95.390719712566394</v>
      </c>
      <c r="L9" s="90">
        <v>92.580973057120403</v>
      </c>
      <c r="M9" s="90">
        <v>58.580736168977701</v>
      </c>
      <c r="N9" s="90">
        <v>57.1658988215503</v>
      </c>
      <c r="O9" s="90">
        <v>55.906789555571997</v>
      </c>
      <c r="P9" s="90">
        <v>54.8408156051768</v>
      </c>
      <c r="Q9" s="90">
        <v>53.729994712582602</v>
      </c>
      <c r="R9" s="90">
        <v>52.686959638848101</v>
      </c>
      <c r="S9"/>
      <c r="T9"/>
      <c r="U9"/>
      <c r="V9"/>
      <c r="W9"/>
      <c r="X9"/>
    </row>
    <row r="10" spans="2:24">
      <c r="B10" s="46" t="s">
        <v>806</v>
      </c>
      <c r="C10" s="90"/>
      <c r="D10" s="90"/>
      <c r="E10" s="90">
        <v>143.56213047045301</v>
      </c>
      <c r="F10" s="90">
        <v>131.98935657326501</v>
      </c>
      <c r="G10" s="90">
        <v>125.33139642626401</v>
      </c>
      <c r="H10" s="90">
        <v>120.037260534642</v>
      </c>
      <c r="I10" s="90">
        <v>115.730544560604</v>
      </c>
      <c r="J10" s="90">
        <v>112.402489909094</v>
      </c>
      <c r="K10" s="90">
        <v>109.143901362403</v>
      </c>
      <c r="L10" s="90">
        <v>105.960723167827</v>
      </c>
      <c r="M10" s="90">
        <v>77.190694817273098</v>
      </c>
      <c r="N10" s="90">
        <v>75.361182869143306</v>
      </c>
      <c r="O10" s="90">
        <v>73.731866822433304</v>
      </c>
      <c r="P10" s="90">
        <v>72.352673887441199</v>
      </c>
      <c r="Q10" s="90">
        <v>70.909937181159094</v>
      </c>
      <c r="R10" s="90">
        <v>69.536798958727601</v>
      </c>
      <c r="S10"/>
      <c r="T10"/>
      <c r="U10"/>
      <c r="V10"/>
      <c r="W10"/>
      <c r="X10"/>
    </row>
    <row r="11" spans="2:24">
      <c r="B11" s="46" t="s">
        <v>807</v>
      </c>
      <c r="C11" s="90"/>
      <c r="D11" s="90"/>
      <c r="E11" s="90">
        <v>161.712627182592</v>
      </c>
      <c r="F11" s="90">
        <v>147.90412404701701</v>
      </c>
      <c r="G11" s="90">
        <v>140.33998725256001</v>
      </c>
      <c r="H11" s="90">
        <v>134.35326148244101</v>
      </c>
      <c r="I11" s="90">
        <v>129.49529327790199</v>
      </c>
      <c r="J11" s="90">
        <v>125.745010752681</v>
      </c>
      <c r="K11" s="90">
        <v>122.09431415309599</v>
      </c>
      <c r="L11" s="90">
        <v>118.54671486617499</v>
      </c>
      <c r="M11" s="90">
        <v>96.796528079929104</v>
      </c>
      <c r="N11" s="90">
        <v>94.538325564951194</v>
      </c>
      <c r="O11" s="90">
        <v>92.530645523644196</v>
      </c>
      <c r="P11" s="90">
        <v>90.836543273835701</v>
      </c>
      <c r="Q11" s="90">
        <v>89.043453563505295</v>
      </c>
      <c r="R11" s="90">
        <v>87.283806693337297</v>
      </c>
      <c r="S11"/>
      <c r="T11"/>
      <c r="U11"/>
      <c r="V11"/>
      <c r="W11"/>
      <c r="X11"/>
    </row>
    <row r="12" spans="2:24">
      <c r="B12" s="46" t="s">
        <v>808</v>
      </c>
      <c r="C12" s="90">
        <v>75.347423109999994</v>
      </c>
      <c r="D12" s="90">
        <v>68.763219210000003</v>
      </c>
      <c r="E12" s="90">
        <v>64.90437369</v>
      </c>
      <c r="F12" s="90">
        <v>61.965233050000002</v>
      </c>
      <c r="G12" s="90">
        <v>59.572655640000001</v>
      </c>
      <c r="H12" s="90">
        <v>57.546333070000003</v>
      </c>
      <c r="I12" s="90">
        <v>55.784030299999998</v>
      </c>
      <c r="J12" s="90">
        <v>54.221764370000002</v>
      </c>
      <c r="K12" s="90">
        <v>52.816675160000003</v>
      </c>
      <c r="L12" s="90">
        <v>51.53857807</v>
      </c>
      <c r="M12" s="90">
        <v>50.365378620000001</v>
      </c>
      <c r="N12" s="90">
        <v>49.476603130000001</v>
      </c>
      <c r="O12" s="90">
        <v>48.653528880000003</v>
      </c>
      <c r="P12" s="90">
        <v>47.886913739999997</v>
      </c>
      <c r="Q12" s="90">
        <v>47.169345049999997</v>
      </c>
      <c r="R12" s="90">
        <v>46.49478594</v>
      </c>
    </row>
    <row r="13" spans="2:24">
      <c r="B13" s="46" t="s">
        <v>809</v>
      </c>
      <c r="C13" s="90"/>
      <c r="D13" s="90"/>
      <c r="E13" s="90"/>
      <c r="F13" s="90">
        <v>106</v>
      </c>
      <c r="G13" s="90"/>
      <c r="H13" s="90"/>
      <c r="I13" s="90"/>
      <c r="J13" s="90"/>
      <c r="K13" s="90"/>
      <c r="L13" s="90"/>
      <c r="M13" s="90"/>
      <c r="N13" s="90"/>
      <c r="O13" s="90"/>
      <c r="P13" s="90"/>
      <c r="Q13" s="90"/>
      <c r="R13" s="90"/>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5C92-8125-2741-B0AF-6E1D230687CE}">
  <dimension ref="B1:H24"/>
  <sheetViews>
    <sheetView workbookViewId="0">
      <selection activeCell="B2" sqref="B2"/>
    </sheetView>
  </sheetViews>
  <sheetFormatPr defaultColWidth="11" defaultRowHeight="15.6"/>
  <cols>
    <col min="2" max="2" width="24.69921875" customWidth="1"/>
    <col min="3" max="3" width="19" customWidth="1"/>
    <col min="4" max="4" width="18.5" customWidth="1"/>
    <col min="5" max="5" width="20" customWidth="1"/>
    <col min="6" max="6" width="26.296875" customWidth="1"/>
    <col min="7" max="7" width="14.296875" bestFit="1" customWidth="1"/>
    <col min="8" max="8" width="23.19921875" customWidth="1"/>
  </cols>
  <sheetData>
    <row r="1" spans="2:8" ht="23.4">
      <c r="B1" s="5" t="s">
        <v>897</v>
      </c>
      <c r="C1" s="5"/>
      <c r="D1" s="5"/>
      <c r="E1" s="5"/>
      <c r="F1" s="5"/>
    </row>
    <row r="3" spans="2:8" ht="51" customHeight="1">
      <c r="B3" s="85" t="s">
        <v>3</v>
      </c>
      <c r="C3" s="59" t="s">
        <v>186</v>
      </c>
      <c r="D3" s="59" t="s">
        <v>187</v>
      </c>
      <c r="E3" s="59" t="s">
        <v>188</v>
      </c>
      <c r="F3" s="59" t="s">
        <v>189</v>
      </c>
      <c r="G3" s="59" t="s">
        <v>190</v>
      </c>
      <c r="H3" s="59" t="s">
        <v>191</v>
      </c>
    </row>
    <row r="4" spans="2:8">
      <c r="B4" s="49">
        <v>2010</v>
      </c>
      <c r="C4" s="105">
        <v>4699.5287014853802</v>
      </c>
      <c r="D4" s="105">
        <v>4094.48150765641</v>
      </c>
      <c r="E4" s="105">
        <v>4764.4470378899996</v>
      </c>
      <c r="F4" s="105">
        <v>2972.6759462806799</v>
      </c>
      <c r="G4" s="105">
        <v>4328.2659992362396</v>
      </c>
      <c r="H4" s="105">
        <v>2000.4424285038999</v>
      </c>
    </row>
    <row r="5" spans="2:8">
      <c r="B5" s="49">
        <v>2011</v>
      </c>
      <c r="C5" s="105">
        <v>6318.33945018128</v>
      </c>
      <c r="D5" s="105">
        <v>5358.1493976926704</v>
      </c>
      <c r="E5" s="105">
        <v>6446.6460103938698</v>
      </c>
      <c r="F5" s="105">
        <v>4262.0051483594498</v>
      </c>
      <c r="G5" s="105">
        <v>2526.8805958992698</v>
      </c>
      <c r="H5" s="105">
        <v>2505.8185476837598</v>
      </c>
    </row>
    <row r="6" spans="2:8">
      <c r="B6" s="49">
        <v>2012</v>
      </c>
      <c r="C6" s="105">
        <v>4759.8039633312201</v>
      </c>
      <c r="D6" s="105">
        <v>5563.2994376072902</v>
      </c>
      <c r="E6" s="105">
        <v>6070.2175065962301</v>
      </c>
      <c r="F6" s="105">
        <v>4729.2378969270803</v>
      </c>
      <c r="G6" s="105">
        <v>3443.2464851681202</v>
      </c>
      <c r="H6" s="105">
        <v>3194.4678447173801</v>
      </c>
    </row>
    <row r="7" spans="2:8">
      <c r="B7" s="49">
        <v>2013</v>
      </c>
      <c r="C7" s="105">
        <v>6041.3903367972798</v>
      </c>
      <c r="D7" s="105">
        <v>5498.6017190156899</v>
      </c>
      <c r="E7" s="105">
        <v>6174.7383476101204</v>
      </c>
      <c r="F7" s="105">
        <v>4691.2097804980403</v>
      </c>
      <c r="G7" s="105">
        <v>3293.7708359512599</v>
      </c>
      <c r="H7" s="105">
        <v>3853.2220119076301</v>
      </c>
    </row>
    <row r="8" spans="2:8">
      <c r="B8" s="49">
        <v>2014</v>
      </c>
      <c r="C8" s="105">
        <v>6652.5487364473902</v>
      </c>
      <c r="D8" s="105">
        <v>5694.3222376485101</v>
      </c>
      <c r="E8" s="105">
        <v>6652.5487364473902</v>
      </c>
      <c r="F8" s="105">
        <v>6021.7195277875198</v>
      </c>
      <c r="G8" s="105">
        <v>0</v>
      </c>
      <c r="H8" s="105">
        <v>2718.4327832509798</v>
      </c>
    </row>
    <row r="9" spans="2:8">
      <c r="B9" s="49">
        <v>2015</v>
      </c>
      <c r="C9" s="105">
        <v>5331.1507714277004</v>
      </c>
      <c r="D9" s="105">
        <v>5820.6466516369701</v>
      </c>
      <c r="E9" s="105">
        <v>5535.4477128185399</v>
      </c>
      <c r="F9" s="105">
        <v>6175.9196627732299</v>
      </c>
      <c r="G9" s="105">
        <v>3442.0666768907499</v>
      </c>
      <c r="H9" s="105">
        <v>2541.1929187818801</v>
      </c>
    </row>
    <row r="10" spans="2:8">
      <c r="B10" s="49">
        <v>2016</v>
      </c>
      <c r="C10" s="105">
        <v>4063.8403375030998</v>
      </c>
      <c r="D10" s="105">
        <v>5369.7468291013402</v>
      </c>
      <c r="E10" s="105">
        <v>4821.2538565986997</v>
      </c>
      <c r="F10" s="105">
        <v>5850.8412320141997</v>
      </c>
      <c r="G10" s="105">
        <v>3092.3169896879099</v>
      </c>
      <c r="H10" s="105">
        <v>2654.2801975396101</v>
      </c>
    </row>
    <row r="11" spans="2:8">
      <c r="B11" s="49">
        <v>2017</v>
      </c>
      <c r="C11" s="105">
        <v>5158.0876024039999</v>
      </c>
      <c r="D11" s="105">
        <v>5449.4035569158996</v>
      </c>
      <c r="E11" s="105">
        <v>5668.4698489149496</v>
      </c>
      <c r="F11" s="105">
        <v>5770.49170047794</v>
      </c>
      <c r="G11" s="105">
        <v>3380.5824884485201</v>
      </c>
      <c r="H11" s="105">
        <v>2641.74739819569</v>
      </c>
    </row>
    <row r="12" spans="2:8">
      <c r="B12" s="49">
        <v>2018</v>
      </c>
      <c r="C12" s="105">
        <v>4454.6563695805798</v>
      </c>
      <c r="D12" s="105">
        <v>5132.0567634725603</v>
      </c>
      <c r="E12" s="105">
        <v>4967.3893201000401</v>
      </c>
      <c r="F12" s="105">
        <v>5529.0218949759201</v>
      </c>
      <c r="G12" s="105">
        <v>3150.7261959141101</v>
      </c>
      <c r="H12" s="105">
        <v>2613.1384701882598</v>
      </c>
    </row>
    <row r="13" spans="2:8">
      <c r="B13" s="49">
        <v>2019</v>
      </c>
      <c r="C13" s="105">
        <v>4083.3019953364301</v>
      </c>
      <c r="D13" s="105">
        <v>4618.2074152503601</v>
      </c>
      <c r="E13" s="105">
        <v>4526.4185559033604</v>
      </c>
      <c r="F13" s="105">
        <v>5103.7958588671199</v>
      </c>
      <c r="G13" s="105">
        <v>3027.0005740636998</v>
      </c>
      <c r="H13" s="105">
        <v>3218.5385850009998</v>
      </c>
    </row>
    <row r="14" spans="2:8">
      <c r="B14" s="49">
        <v>2020</v>
      </c>
      <c r="C14" s="105">
        <v>3346.5849956654201</v>
      </c>
      <c r="D14" s="105">
        <v>4221.2942600979004</v>
      </c>
      <c r="E14" s="105">
        <v>3619.9036707354398</v>
      </c>
      <c r="F14" s="105">
        <v>4720.6870504504996</v>
      </c>
      <c r="G14" s="105">
        <v>3057.5411119456098</v>
      </c>
      <c r="H14" s="105">
        <v>3141.6334720119698</v>
      </c>
    </row>
    <row r="15" spans="2:8">
      <c r="B15" s="49">
        <v>2021</v>
      </c>
      <c r="C15" s="105">
        <v>3106.83642930833</v>
      </c>
      <c r="D15" s="105">
        <v>4029.8934784589501</v>
      </c>
      <c r="E15" s="105">
        <v>3098.07685273058</v>
      </c>
      <c r="F15" s="105">
        <v>4376.0516496768796</v>
      </c>
      <c r="G15" s="105">
        <v>3108.52149548549</v>
      </c>
      <c r="H15" s="105">
        <v>3144.8743731714899</v>
      </c>
    </row>
    <row r="16" spans="2:8">
      <c r="B16" s="49">
        <v>2022</v>
      </c>
      <c r="C16" s="105">
        <v>2775.1510477944198</v>
      </c>
      <c r="D16" s="105">
        <v>3553.30616753703</v>
      </c>
      <c r="E16" s="105">
        <v>4397.8657904126503</v>
      </c>
      <c r="F16" s="105">
        <v>4121.9308379764097</v>
      </c>
      <c r="G16" s="105">
        <v>2636.0869220470299</v>
      </c>
      <c r="H16" s="105">
        <v>2995.97525989119</v>
      </c>
    </row>
    <row r="17" spans="2:8">
      <c r="B17" s="49">
        <v>2023</v>
      </c>
      <c r="C17" s="105">
        <v>3144.9116666202899</v>
      </c>
      <c r="D17" s="105">
        <v>3291.3572269449801</v>
      </c>
      <c r="E17" s="105">
        <v>2888.6637633747901</v>
      </c>
      <c r="F17" s="105">
        <v>3706.18572663136</v>
      </c>
      <c r="G17" s="105">
        <v>3328.5371114290401</v>
      </c>
      <c r="H17" s="105">
        <v>3031.5374429941699</v>
      </c>
    </row>
    <row r="18" spans="2:8">
      <c r="B18" s="49">
        <v>2024</v>
      </c>
      <c r="C18" s="105">
        <v>3262.69068990389</v>
      </c>
      <c r="D18" s="105">
        <v>3127.2349658584699</v>
      </c>
      <c r="E18" s="105">
        <v>4296.2062246083296</v>
      </c>
      <c r="F18" s="105">
        <v>3660.1432603723601</v>
      </c>
      <c r="G18" s="105">
        <v>2870.0970090303199</v>
      </c>
      <c r="H18" s="105">
        <v>3000.1567299875001</v>
      </c>
    </row>
    <row r="19" spans="2:8">
      <c r="B19" s="49">
        <v>2025</v>
      </c>
      <c r="C19" s="105">
        <v>2937.8734641259098</v>
      </c>
      <c r="D19" s="105">
        <v>3045.4926595505699</v>
      </c>
      <c r="E19" s="105">
        <v>2997.2497236535701</v>
      </c>
      <c r="F19" s="105">
        <v>3535.6124709559799</v>
      </c>
      <c r="G19" s="105">
        <v>2904.6547692474701</v>
      </c>
      <c r="H19" s="105">
        <v>2969.57946144787</v>
      </c>
    </row>
    <row r="20" spans="2:8">
      <c r="B20" s="49">
        <v>2026</v>
      </c>
      <c r="C20" s="105">
        <v>3077.6096286296802</v>
      </c>
      <c r="D20" s="105">
        <v>3039.6472994148398</v>
      </c>
      <c r="E20" s="105">
        <v>2891.1160185928902</v>
      </c>
      <c r="F20" s="105">
        <v>3494.2203041284401</v>
      </c>
      <c r="G20" s="105">
        <v>3615.5391701916301</v>
      </c>
      <c r="H20" s="105">
        <v>3070.9829963891002</v>
      </c>
    </row>
    <row r="21" spans="2:8">
      <c r="B21" s="49">
        <v>2027</v>
      </c>
      <c r="C21" s="105">
        <v>3127.7770777048099</v>
      </c>
      <c r="D21" s="105">
        <v>3110.1725053969199</v>
      </c>
      <c r="E21" s="105">
        <v>3003.8743328130599</v>
      </c>
      <c r="F21" s="105">
        <v>3215.4220126085302</v>
      </c>
      <c r="G21" s="105">
        <v>3992.9454307481601</v>
      </c>
      <c r="H21" s="105">
        <v>3342.3546981293198</v>
      </c>
    </row>
    <row r="22" spans="2:8">
      <c r="B22" s="49">
        <v>2028</v>
      </c>
      <c r="C22" s="105">
        <v>2612.10863811742</v>
      </c>
      <c r="D22" s="105">
        <v>3003.6118996963401</v>
      </c>
      <c r="E22" s="105">
        <v>2018.9489270197901</v>
      </c>
      <c r="F22" s="105">
        <v>3041.4790453375299</v>
      </c>
      <c r="G22" s="105">
        <v>4277.3775654076699</v>
      </c>
      <c r="H22" s="105">
        <v>3532.1227889250499</v>
      </c>
    </row>
    <row r="23" spans="2:8">
      <c r="B23" s="49">
        <v>2029</v>
      </c>
      <c r="C23" s="105">
        <v>3151.3597918541</v>
      </c>
      <c r="D23" s="105">
        <v>2981.34572008638</v>
      </c>
      <c r="E23" s="105">
        <v>2478.3139497526099</v>
      </c>
      <c r="F23" s="105">
        <v>2677.9005903663801</v>
      </c>
      <c r="G23" s="105">
        <v>3461.6458651851999</v>
      </c>
      <c r="H23" s="105">
        <v>3650.4325601560199</v>
      </c>
    </row>
    <row r="24" spans="2:8">
      <c r="B24" s="49">
        <v>2030</v>
      </c>
      <c r="C24" s="105">
        <v>2987.4924902070302</v>
      </c>
      <c r="D24" s="105">
        <v>2991.26952530261</v>
      </c>
      <c r="E24" s="105">
        <v>2756.51252369854</v>
      </c>
      <c r="F24" s="105">
        <v>2629.7531503753798</v>
      </c>
      <c r="G24" s="105">
        <v>3862.6277086907198</v>
      </c>
      <c r="H24" s="105">
        <v>3842.02714804468</v>
      </c>
    </row>
  </sheetData>
  <phoneticPr fontId="5" type="noConversion"/>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U10"/>
  <sheetViews>
    <sheetView workbookViewId="0">
      <selection activeCell="B2" sqref="B2"/>
    </sheetView>
  </sheetViews>
  <sheetFormatPr defaultColWidth="11" defaultRowHeight="15.6"/>
  <cols>
    <col min="2" max="2" width="34.5" style="3" customWidth="1"/>
    <col min="3" max="3" width="17" style="1" bestFit="1" customWidth="1"/>
    <col min="4" max="14" width="10.796875" style="1"/>
  </cols>
  <sheetData>
    <row r="1" spans="2:21" ht="23.4">
      <c r="B1" s="4" t="s">
        <v>898</v>
      </c>
    </row>
    <row r="3" spans="2:21">
      <c r="B3" s="27" t="s">
        <v>30</v>
      </c>
      <c r="C3" s="27" t="s">
        <v>133</v>
      </c>
      <c r="D3" s="49" t="s">
        <v>95</v>
      </c>
      <c r="E3" s="49" t="s">
        <v>96</v>
      </c>
      <c r="F3" s="49" t="s">
        <v>97</v>
      </c>
      <c r="G3" s="49" t="s">
        <v>98</v>
      </c>
      <c r="H3" s="49" t="s">
        <v>99</v>
      </c>
      <c r="I3" s="49" t="s">
        <v>100</v>
      </c>
      <c r="J3" s="49" t="s">
        <v>101</v>
      </c>
      <c r="K3" s="49" t="s">
        <v>102</v>
      </c>
      <c r="L3" s="49" t="s">
        <v>103</v>
      </c>
      <c r="M3" s="49" t="s">
        <v>104</v>
      </c>
      <c r="N3" s="49" t="s">
        <v>105</v>
      </c>
      <c r="O3" s="49" t="s">
        <v>134</v>
      </c>
      <c r="P3" s="49" t="s">
        <v>135</v>
      </c>
      <c r="Q3" s="49" t="s">
        <v>136</v>
      </c>
      <c r="R3" s="49" t="s">
        <v>137</v>
      </c>
      <c r="S3" s="49" t="s">
        <v>185</v>
      </c>
      <c r="T3" s="49" t="s">
        <v>327</v>
      </c>
      <c r="U3" s="49" t="s">
        <v>812</v>
      </c>
    </row>
    <row r="4" spans="2:21">
      <c r="B4" s="46" t="s">
        <v>810</v>
      </c>
      <c r="C4" s="106" t="s">
        <v>318</v>
      </c>
      <c r="D4" s="90">
        <v>303.36063817997501</v>
      </c>
      <c r="E4" s="90">
        <v>264.004134521548</v>
      </c>
      <c r="F4" s="90">
        <v>255.213640515366</v>
      </c>
      <c r="G4" s="90">
        <v>225.200952427266</v>
      </c>
      <c r="H4" s="90">
        <v>206.309008826075</v>
      </c>
      <c r="I4" s="90">
        <v>163.38427831798401</v>
      </c>
      <c r="J4" s="90">
        <v>131.38927541293799</v>
      </c>
      <c r="K4" s="90">
        <v>120.527440529925</v>
      </c>
      <c r="L4" s="90">
        <v>106.744639328239</v>
      </c>
      <c r="M4" s="90">
        <v>99.492178568779707</v>
      </c>
      <c r="N4" s="90">
        <v>92.035452049194205</v>
      </c>
      <c r="O4" s="90">
        <v>84.271231017411395</v>
      </c>
      <c r="P4" s="90">
        <v>81.329550074939704</v>
      </c>
      <c r="Q4" s="90">
        <v>77.518795075647702</v>
      </c>
      <c r="R4" s="90">
        <v>74.455339442724707</v>
      </c>
      <c r="S4" s="90">
        <v>71.417235933422802</v>
      </c>
      <c r="T4" s="90">
        <v>68.848880860141094</v>
      </c>
      <c r="U4" s="90">
        <v>66.4205157975193</v>
      </c>
    </row>
    <row r="5" spans="2:21">
      <c r="B5" s="46" t="s">
        <v>319</v>
      </c>
      <c r="C5" s="106" t="s">
        <v>320</v>
      </c>
      <c r="D5" s="90">
        <v>194.20631454738799</v>
      </c>
      <c r="E5" s="90"/>
      <c r="F5" s="90"/>
      <c r="G5" s="90"/>
      <c r="H5" s="90"/>
      <c r="I5" s="90">
        <v>126.489639080206</v>
      </c>
      <c r="J5" s="90"/>
      <c r="K5" s="90"/>
      <c r="L5" s="90"/>
      <c r="M5" s="90"/>
      <c r="N5" s="90">
        <v>83.048752931448902</v>
      </c>
      <c r="O5" s="90"/>
      <c r="P5" s="90"/>
      <c r="Q5" s="90"/>
      <c r="R5" s="90"/>
      <c r="S5" s="90">
        <v>51.106924880891597</v>
      </c>
      <c r="T5" s="90"/>
      <c r="U5" s="90"/>
    </row>
    <row r="6" spans="2:21">
      <c r="B6" s="46" t="s">
        <v>321</v>
      </c>
      <c r="C6" s="106" t="s">
        <v>66</v>
      </c>
      <c r="D6" s="90"/>
      <c r="E6" s="90"/>
      <c r="F6" s="90">
        <v>98.445753708369296</v>
      </c>
      <c r="G6" s="90"/>
      <c r="H6" s="90"/>
      <c r="I6" s="90"/>
      <c r="J6" s="90"/>
      <c r="K6" s="90">
        <v>81.274982718751602</v>
      </c>
      <c r="L6" s="90"/>
      <c r="M6" s="90"/>
      <c r="N6" s="90"/>
      <c r="O6" s="90"/>
      <c r="P6" s="90">
        <v>70.972520116340704</v>
      </c>
      <c r="Q6" s="90"/>
      <c r="R6" s="90"/>
      <c r="S6" s="90"/>
      <c r="T6" s="90"/>
      <c r="U6" s="90"/>
    </row>
    <row r="7" spans="2:21">
      <c r="B7" s="46" t="s">
        <v>322</v>
      </c>
      <c r="C7" s="106" t="s">
        <v>286</v>
      </c>
      <c r="D7" s="90"/>
      <c r="E7" s="90"/>
      <c r="F7" s="90">
        <v>104.169344049042</v>
      </c>
      <c r="G7" s="90"/>
      <c r="H7" s="90"/>
      <c r="I7" s="90"/>
      <c r="J7" s="90"/>
      <c r="K7" s="90">
        <v>84.709136912355007</v>
      </c>
      <c r="L7" s="90"/>
      <c r="M7" s="90"/>
      <c r="N7" s="90"/>
      <c r="O7" s="90"/>
      <c r="P7" s="90">
        <v>71.888294573008395</v>
      </c>
      <c r="Q7" s="90"/>
      <c r="R7" s="90"/>
      <c r="S7" s="90"/>
      <c r="T7" s="90"/>
      <c r="U7" s="90"/>
    </row>
    <row r="8" spans="2:21">
      <c r="B8" s="46" t="s">
        <v>808</v>
      </c>
      <c r="C8" s="106" t="s">
        <v>811</v>
      </c>
      <c r="D8" s="90">
        <v>94.84673549</v>
      </c>
      <c r="E8" s="90">
        <v>86.967389999999995</v>
      </c>
      <c r="F8" s="90">
        <v>82.481484339999994</v>
      </c>
      <c r="G8" s="90">
        <v>79.09873734</v>
      </c>
      <c r="H8" s="90">
        <v>76.353312470000006</v>
      </c>
      <c r="I8" s="90">
        <v>74.027640079999998</v>
      </c>
      <c r="J8" s="90">
        <v>72.001224789999995</v>
      </c>
      <c r="K8" s="90">
        <v>70.199915610000005</v>
      </c>
      <c r="L8" s="90">
        <v>68.574654379999998</v>
      </c>
      <c r="M8" s="90">
        <v>67.091213139999994</v>
      </c>
      <c r="N8" s="90">
        <v>65.724716400000005</v>
      </c>
      <c r="O8" s="90">
        <v>64.712631329999994</v>
      </c>
      <c r="P8" s="90">
        <v>63.773549500000001</v>
      </c>
      <c r="Q8" s="90">
        <v>62.897128600000002</v>
      </c>
      <c r="R8" s="90">
        <v>62.075099020000003</v>
      </c>
      <c r="S8" s="90">
        <v>61.30074295</v>
      </c>
      <c r="T8" s="90">
        <v>60.56852774</v>
      </c>
      <c r="U8" s="90">
        <v>59.873841799999902</v>
      </c>
    </row>
    <row r="9" spans="2:21">
      <c r="B9" s="46" t="s">
        <v>323</v>
      </c>
      <c r="C9" s="106" t="s">
        <v>324</v>
      </c>
      <c r="D9" s="90"/>
      <c r="E9" s="90"/>
      <c r="F9" s="90"/>
      <c r="G9" s="90"/>
      <c r="H9" s="90"/>
      <c r="I9" s="90"/>
      <c r="J9" s="90"/>
      <c r="K9" s="90">
        <v>169.88770924701501</v>
      </c>
      <c r="L9" s="90">
        <v>133.769849798248</v>
      </c>
      <c r="M9" s="90">
        <v>96.314291830978405</v>
      </c>
      <c r="N9" s="90">
        <v>81.599608354251103</v>
      </c>
      <c r="O9" s="90">
        <v>76.248814366641199</v>
      </c>
      <c r="P9" s="90">
        <v>70.898020379031394</v>
      </c>
      <c r="Q9" s="90">
        <v>64.209527883718806</v>
      </c>
      <c r="R9" s="90">
        <v>64.209527883718806</v>
      </c>
      <c r="S9" s="90">
        <v>56.183336902304099</v>
      </c>
      <c r="T9" s="90">
        <v>53.507939908499203</v>
      </c>
      <c r="U9" s="90">
        <v>56.183336902304099</v>
      </c>
    </row>
    <row r="10" spans="2:21">
      <c r="B10" s="46" t="s">
        <v>325</v>
      </c>
      <c r="C10" s="106" t="s">
        <v>326</v>
      </c>
      <c r="D10" s="90"/>
      <c r="E10" s="90"/>
      <c r="F10" s="90"/>
      <c r="G10" s="90"/>
      <c r="H10" s="90"/>
      <c r="I10" s="90">
        <v>140.44545954679199</v>
      </c>
      <c r="J10" s="90"/>
      <c r="K10" s="90"/>
      <c r="L10" s="90"/>
      <c r="M10" s="90"/>
      <c r="N10" s="90"/>
      <c r="O10" s="90"/>
      <c r="P10" s="90"/>
      <c r="Q10" s="90"/>
      <c r="R10" s="90"/>
      <c r="S10" s="90">
        <v>112.354078194083</v>
      </c>
      <c r="T10" s="90"/>
      <c r="U10" s="90"/>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AF190-99F9-6C42-9F52-422B23B2CEF9}">
  <dimension ref="B1:J17"/>
  <sheetViews>
    <sheetView workbookViewId="0">
      <selection activeCell="B1" sqref="B1"/>
    </sheetView>
  </sheetViews>
  <sheetFormatPr defaultColWidth="11" defaultRowHeight="15.6"/>
  <cols>
    <col min="2" max="2" width="12" style="3" customWidth="1"/>
    <col min="3" max="3" width="12.296875" style="1" bestFit="1" customWidth="1"/>
    <col min="4" max="4" width="31.5" style="1" bestFit="1" customWidth="1"/>
    <col min="5" max="5" width="20.796875" style="1" bestFit="1" customWidth="1"/>
    <col min="6" max="6" width="21" style="1" bestFit="1" customWidth="1"/>
    <col min="7" max="7" width="14" style="1" customWidth="1"/>
    <col min="8" max="10" width="11" style="1"/>
  </cols>
  <sheetData>
    <row r="1" spans="2:10" ht="23.4">
      <c r="B1" s="4" t="s">
        <v>899</v>
      </c>
    </row>
    <row r="3" spans="2:10">
      <c r="B3" s="42" t="s">
        <v>271</v>
      </c>
      <c r="C3" s="43" t="s">
        <v>813</v>
      </c>
      <c r="D3" s="45" t="s">
        <v>814</v>
      </c>
      <c r="E3" s="73" t="s">
        <v>830</v>
      </c>
      <c r="F3" s="43" t="s">
        <v>831</v>
      </c>
      <c r="G3" s="107" t="s">
        <v>30</v>
      </c>
      <c r="H3"/>
      <c r="I3"/>
      <c r="J3"/>
    </row>
    <row r="4" spans="2:10">
      <c r="B4" s="46" t="s">
        <v>815</v>
      </c>
      <c r="C4" s="106" t="s">
        <v>20</v>
      </c>
      <c r="D4" s="108" t="s">
        <v>816</v>
      </c>
      <c r="E4" s="46" t="s">
        <v>832</v>
      </c>
      <c r="F4" s="46" t="s">
        <v>833</v>
      </c>
      <c r="G4" s="46" t="s">
        <v>834</v>
      </c>
      <c r="H4"/>
      <c r="I4"/>
      <c r="J4"/>
    </row>
    <row r="5" spans="2:10">
      <c r="B5" s="46" t="s">
        <v>817</v>
      </c>
      <c r="C5" s="106" t="s">
        <v>20</v>
      </c>
      <c r="D5" s="109" t="s">
        <v>818</v>
      </c>
      <c r="E5" s="46" t="s">
        <v>835</v>
      </c>
      <c r="F5" s="46" t="s">
        <v>836</v>
      </c>
      <c r="G5" s="46" t="s">
        <v>834</v>
      </c>
      <c r="H5"/>
      <c r="I5"/>
      <c r="J5"/>
    </row>
    <row r="6" spans="2:10">
      <c r="B6" s="46" t="s">
        <v>819</v>
      </c>
      <c r="C6" s="106" t="s">
        <v>20</v>
      </c>
      <c r="D6" s="109" t="s">
        <v>820</v>
      </c>
      <c r="E6" s="46" t="s">
        <v>837</v>
      </c>
      <c r="F6" s="46" t="s">
        <v>838</v>
      </c>
      <c r="G6" s="46" t="s">
        <v>834</v>
      </c>
      <c r="H6"/>
      <c r="I6"/>
      <c r="J6"/>
    </row>
    <row r="7" spans="2:10">
      <c r="B7" s="46" t="s">
        <v>821</v>
      </c>
      <c r="C7" s="106" t="s">
        <v>20</v>
      </c>
      <c r="D7" s="109" t="s">
        <v>822</v>
      </c>
      <c r="E7" s="46" t="s">
        <v>839</v>
      </c>
      <c r="F7" s="46" t="s">
        <v>833</v>
      </c>
      <c r="G7" s="46" t="s">
        <v>834</v>
      </c>
      <c r="H7"/>
      <c r="I7"/>
      <c r="J7"/>
    </row>
    <row r="8" spans="2:10">
      <c r="B8" s="46" t="s">
        <v>823</v>
      </c>
      <c r="C8" s="106" t="s">
        <v>20</v>
      </c>
      <c r="D8" s="109" t="s">
        <v>822</v>
      </c>
      <c r="E8" s="46" t="s">
        <v>840</v>
      </c>
      <c r="F8" s="46" t="s">
        <v>841</v>
      </c>
      <c r="G8" s="46" t="s">
        <v>834</v>
      </c>
      <c r="H8"/>
      <c r="I8"/>
      <c r="J8"/>
    </row>
    <row r="9" spans="2:10">
      <c r="B9" s="46" t="s">
        <v>823</v>
      </c>
      <c r="C9" s="106" t="s">
        <v>12</v>
      </c>
      <c r="D9" s="109" t="s">
        <v>824</v>
      </c>
      <c r="E9" s="46" t="s">
        <v>842</v>
      </c>
      <c r="F9" s="46" t="s">
        <v>154</v>
      </c>
      <c r="G9" s="46" t="s">
        <v>843</v>
      </c>
      <c r="H9"/>
      <c r="I9"/>
      <c r="J9"/>
    </row>
    <row r="10" spans="2:10">
      <c r="B10" s="46" t="s">
        <v>825</v>
      </c>
      <c r="C10" s="106" t="s">
        <v>20</v>
      </c>
      <c r="D10" s="109" t="s">
        <v>826</v>
      </c>
      <c r="E10" s="46" t="s">
        <v>840</v>
      </c>
      <c r="F10" s="46" t="s">
        <v>844</v>
      </c>
      <c r="G10" s="46" t="s">
        <v>834</v>
      </c>
      <c r="H10"/>
      <c r="I10"/>
      <c r="J10"/>
    </row>
    <row r="11" spans="2:10">
      <c r="B11" s="46" t="s">
        <v>825</v>
      </c>
      <c r="C11" s="106" t="s">
        <v>12</v>
      </c>
      <c r="D11" s="109" t="s">
        <v>827</v>
      </c>
      <c r="E11" s="46" t="s">
        <v>154</v>
      </c>
      <c r="F11" s="46" t="s">
        <v>154</v>
      </c>
      <c r="G11" s="46" t="s">
        <v>845</v>
      </c>
      <c r="H11"/>
      <c r="I11"/>
      <c r="J11"/>
    </row>
    <row r="12" spans="2:10">
      <c r="B12" s="46" t="s">
        <v>828</v>
      </c>
      <c r="C12" s="106" t="s">
        <v>12</v>
      </c>
      <c r="D12" s="110" t="s">
        <v>829</v>
      </c>
      <c r="E12" s="46" t="s">
        <v>154</v>
      </c>
      <c r="F12" s="46" t="s">
        <v>154</v>
      </c>
      <c r="G12" s="46" t="s">
        <v>846</v>
      </c>
    </row>
    <row r="13" spans="2:10">
      <c r="B13" s="49"/>
      <c r="C13" s="44"/>
      <c r="D13" s="44"/>
      <c r="E13" s="44"/>
      <c r="F13" s="44"/>
      <c r="G13" s="44"/>
    </row>
    <row r="14" spans="2:10" ht="67.95" customHeight="1">
      <c r="B14" s="122" t="s">
        <v>847</v>
      </c>
      <c r="C14" s="123"/>
      <c r="D14" s="123"/>
      <c r="E14" s="123"/>
      <c r="F14" s="123"/>
      <c r="G14" s="123"/>
    </row>
    <row r="15" spans="2:10">
      <c r="B15" s="49"/>
      <c r="C15" s="44"/>
      <c r="D15" s="44"/>
      <c r="E15" s="44"/>
      <c r="F15" s="44"/>
      <c r="G15" s="44"/>
    </row>
    <row r="16" spans="2:10">
      <c r="B16" s="49"/>
      <c r="C16" s="44"/>
      <c r="D16" s="44"/>
      <c r="E16" s="44"/>
      <c r="F16" s="44"/>
      <c r="G16" s="44"/>
    </row>
    <row r="17" spans="2:7">
      <c r="B17" s="49"/>
      <c r="C17" s="44"/>
      <c r="D17" s="44"/>
      <c r="E17" s="44"/>
      <c r="F17" s="44"/>
      <c r="G17" s="44"/>
    </row>
  </sheetData>
  <mergeCells count="1">
    <mergeCell ref="B14:G14"/>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DDBA-0422-9D44-87A8-0F66806ACA54}">
  <dimension ref="B1:H20"/>
  <sheetViews>
    <sheetView workbookViewId="0">
      <selection activeCell="F3" sqref="F3"/>
    </sheetView>
  </sheetViews>
  <sheetFormatPr defaultColWidth="10.69921875" defaultRowHeight="15.6"/>
  <cols>
    <col min="2" max="2" width="35.69921875" customWidth="1"/>
    <col min="3" max="3" width="15.69921875" bestFit="1" customWidth="1"/>
    <col min="4" max="4" width="6.5" bestFit="1" customWidth="1"/>
    <col min="5" max="5" width="11.19921875" bestFit="1" customWidth="1"/>
    <col min="6" max="6" width="15.796875" bestFit="1" customWidth="1"/>
    <col min="7" max="7" width="17.296875" bestFit="1" customWidth="1"/>
    <col min="8" max="8" width="24.796875" bestFit="1" customWidth="1"/>
  </cols>
  <sheetData>
    <row r="1" spans="2:8" ht="23.4">
      <c r="B1" s="4" t="s">
        <v>908</v>
      </c>
    </row>
    <row r="3" spans="2:8" ht="33.6">
      <c r="B3" s="22" t="s">
        <v>287</v>
      </c>
      <c r="C3" s="22" t="s">
        <v>510</v>
      </c>
      <c r="D3" s="22" t="s">
        <v>51</v>
      </c>
      <c r="E3" s="22" t="s">
        <v>511</v>
      </c>
      <c r="F3" s="22" t="s">
        <v>910</v>
      </c>
      <c r="G3" s="22" t="s">
        <v>911</v>
      </c>
      <c r="H3" s="22" t="s">
        <v>909</v>
      </c>
    </row>
    <row r="4" spans="2:8">
      <c r="B4" t="s">
        <v>84</v>
      </c>
      <c r="C4" t="s">
        <v>152</v>
      </c>
      <c r="D4" t="s">
        <v>275</v>
      </c>
      <c r="E4" s="16">
        <v>82732</v>
      </c>
      <c r="F4">
        <v>335</v>
      </c>
      <c r="G4">
        <v>704</v>
      </c>
      <c r="H4">
        <v>2.1</v>
      </c>
    </row>
    <row r="5" spans="2:8">
      <c r="B5" t="s">
        <v>214</v>
      </c>
      <c r="C5" t="s">
        <v>153</v>
      </c>
      <c r="D5" t="s">
        <v>275</v>
      </c>
      <c r="E5" s="16">
        <v>13700</v>
      </c>
      <c r="F5">
        <v>55</v>
      </c>
      <c r="G5">
        <v>132</v>
      </c>
      <c r="H5">
        <v>2.38</v>
      </c>
    </row>
    <row r="6" spans="2:8">
      <c r="B6" t="s">
        <v>215</v>
      </c>
      <c r="C6" t="s">
        <v>216</v>
      </c>
      <c r="D6" t="s">
        <v>275</v>
      </c>
      <c r="E6" s="16">
        <v>86823</v>
      </c>
      <c r="F6">
        <v>351</v>
      </c>
      <c r="G6">
        <v>924</v>
      </c>
      <c r="H6">
        <v>2.63</v>
      </c>
    </row>
    <row r="7" spans="2:8">
      <c r="B7" t="s">
        <v>74</v>
      </c>
      <c r="C7" t="s">
        <v>147</v>
      </c>
      <c r="D7" t="s">
        <v>218</v>
      </c>
      <c r="E7" s="16">
        <v>187523</v>
      </c>
      <c r="F7">
        <v>759</v>
      </c>
      <c r="G7" s="16">
        <v>2000</v>
      </c>
      <c r="H7">
        <v>2.64</v>
      </c>
    </row>
    <row r="8" spans="2:8">
      <c r="B8" t="s">
        <v>29</v>
      </c>
      <c r="C8" t="s">
        <v>148</v>
      </c>
      <c r="D8" t="s">
        <v>218</v>
      </c>
      <c r="E8" s="16">
        <v>65296</v>
      </c>
      <c r="F8">
        <v>264</v>
      </c>
      <c r="G8">
        <v>800</v>
      </c>
      <c r="H8">
        <v>3.03</v>
      </c>
    </row>
    <row r="9" spans="2:8">
      <c r="B9" t="s">
        <v>239</v>
      </c>
      <c r="C9" t="s">
        <v>240</v>
      </c>
      <c r="D9" t="s">
        <v>237</v>
      </c>
      <c r="E9" s="16">
        <v>84955</v>
      </c>
      <c r="F9">
        <v>344</v>
      </c>
      <c r="G9" s="16">
        <v>1148</v>
      </c>
      <c r="H9">
        <v>3.34</v>
      </c>
    </row>
    <row r="10" spans="2:8">
      <c r="B10" t="s">
        <v>238</v>
      </c>
      <c r="C10" t="s">
        <v>157</v>
      </c>
      <c r="D10" t="s">
        <v>237</v>
      </c>
      <c r="E10" s="16">
        <v>75525</v>
      </c>
      <c r="F10">
        <v>306</v>
      </c>
      <c r="G10" s="16">
        <v>1100</v>
      </c>
      <c r="H10">
        <v>3.6</v>
      </c>
    </row>
    <row r="11" spans="2:8">
      <c r="B11" t="s">
        <v>513</v>
      </c>
      <c r="C11" t="s">
        <v>150</v>
      </c>
      <c r="D11" t="s">
        <v>218</v>
      </c>
      <c r="E11" s="16">
        <v>127388</v>
      </c>
      <c r="F11">
        <v>516</v>
      </c>
      <c r="G11" s="16">
        <v>2004</v>
      </c>
      <c r="H11">
        <v>3.89</v>
      </c>
    </row>
    <row r="12" spans="2:8">
      <c r="B12" t="s">
        <v>514</v>
      </c>
      <c r="C12" t="s">
        <v>149</v>
      </c>
      <c r="D12" t="s">
        <v>218</v>
      </c>
      <c r="E12" s="16">
        <v>128811</v>
      </c>
      <c r="F12">
        <v>521</v>
      </c>
      <c r="G12" s="16">
        <v>2430</v>
      </c>
      <c r="H12">
        <v>4.66</v>
      </c>
    </row>
    <row r="13" spans="2:8">
      <c r="B13" t="s">
        <v>515</v>
      </c>
      <c r="C13" t="s">
        <v>219</v>
      </c>
      <c r="D13" t="s">
        <v>218</v>
      </c>
      <c r="E13" s="16">
        <v>101590</v>
      </c>
      <c r="F13">
        <v>411</v>
      </c>
      <c r="G13" s="16">
        <v>2036</v>
      </c>
      <c r="H13">
        <v>4.95</v>
      </c>
    </row>
    <row r="14" spans="2:8">
      <c r="B14" t="s">
        <v>414</v>
      </c>
      <c r="C14" t="s">
        <v>160</v>
      </c>
      <c r="D14" t="s">
        <v>246</v>
      </c>
      <c r="E14" s="16">
        <v>79707</v>
      </c>
      <c r="F14">
        <v>323</v>
      </c>
      <c r="G14" s="16">
        <v>1678</v>
      </c>
      <c r="H14">
        <v>5.2</v>
      </c>
    </row>
    <row r="15" spans="2:8">
      <c r="B15" t="s">
        <v>516</v>
      </c>
      <c r="C15" t="s">
        <v>156</v>
      </c>
      <c r="D15" t="s">
        <v>237</v>
      </c>
      <c r="E15" s="16">
        <v>70272</v>
      </c>
      <c r="F15">
        <v>284</v>
      </c>
      <c r="G15" s="16">
        <v>1510</v>
      </c>
      <c r="H15">
        <v>5.31</v>
      </c>
    </row>
    <row r="16" spans="2:8">
      <c r="B16" t="s">
        <v>421</v>
      </c>
      <c r="C16" t="s">
        <v>162</v>
      </c>
      <c r="D16" t="s">
        <v>249</v>
      </c>
      <c r="E16" s="16">
        <v>112799</v>
      </c>
      <c r="F16">
        <v>456</v>
      </c>
      <c r="G16" s="16">
        <v>2587</v>
      </c>
      <c r="H16">
        <v>5.67</v>
      </c>
    </row>
    <row r="17" spans="2:8">
      <c r="B17" t="s">
        <v>79</v>
      </c>
      <c r="C17" t="s">
        <v>165</v>
      </c>
      <c r="D17" t="s">
        <v>250</v>
      </c>
      <c r="E17" s="16">
        <v>122405</v>
      </c>
      <c r="F17">
        <v>495</v>
      </c>
      <c r="G17" s="16">
        <v>3500</v>
      </c>
      <c r="H17">
        <v>7.07</v>
      </c>
    </row>
    <row r="18" spans="2:8">
      <c r="B18" t="s">
        <v>225</v>
      </c>
      <c r="C18" t="s">
        <v>155</v>
      </c>
      <c r="D18" t="s">
        <v>224</v>
      </c>
      <c r="E18" s="16">
        <v>27951</v>
      </c>
      <c r="F18">
        <v>112</v>
      </c>
      <c r="G18">
        <v>816</v>
      </c>
      <c r="H18">
        <v>7.44</v>
      </c>
    </row>
    <row r="19" spans="2:8">
      <c r="B19" t="s">
        <v>226</v>
      </c>
      <c r="C19" t="s">
        <v>155</v>
      </c>
      <c r="D19" t="s">
        <v>224</v>
      </c>
      <c r="E19" s="16">
        <v>38363</v>
      </c>
      <c r="F19">
        <v>155</v>
      </c>
      <c r="G19" s="16">
        <v>1260</v>
      </c>
      <c r="H19">
        <v>8.1199999999999992</v>
      </c>
    </row>
    <row r="20" spans="2:8">
      <c r="B20" t="s">
        <v>78</v>
      </c>
      <c r="C20" t="s">
        <v>159</v>
      </c>
      <c r="D20" t="s">
        <v>243</v>
      </c>
      <c r="E20" s="16">
        <v>26332</v>
      </c>
      <c r="F20">
        <v>107</v>
      </c>
      <c r="G20">
        <v>966</v>
      </c>
      <c r="H20">
        <v>9.07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3"/>
  <sheetViews>
    <sheetView topLeftCell="F1" workbookViewId="0">
      <selection activeCell="B2" sqref="B2"/>
    </sheetView>
  </sheetViews>
  <sheetFormatPr defaultColWidth="8.796875" defaultRowHeight="15.6"/>
  <cols>
    <col min="2" max="2" width="20.296875" customWidth="1"/>
    <col min="3" max="3" width="33.5" bestFit="1" customWidth="1"/>
    <col min="4" max="4" width="26" bestFit="1" customWidth="1"/>
    <col min="5" max="5" width="34.5" bestFit="1" customWidth="1"/>
    <col min="6" max="6" width="10.796875" bestFit="1" customWidth="1"/>
    <col min="7" max="7" width="42.69921875" bestFit="1" customWidth="1"/>
    <col min="8" max="8" width="13.69921875" bestFit="1" customWidth="1"/>
    <col min="9" max="9" width="17.5" bestFit="1" customWidth="1"/>
    <col min="10" max="10" width="13.5" bestFit="1" customWidth="1"/>
    <col min="11" max="11" width="41.296875" bestFit="1" customWidth="1"/>
  </cols>
  <sheetData>
    <row r="1" spans="2:11" ht="23.4">
      <c r="B1" s="5" t="s">
        <v>335</v>
      </c>
    </row>
    <row r="3" spans="2:11" s="27" customFormat="1" ht="31.2">
      <c r="B3" s="22" t="s">
        <v>138</v>
      </c>
      <c r="C3" s="22" t="s">
        <v>212</v>
      </c>
      <c r="D3" s="22" t="s">
        <v>283</v>
      </c>
      <c r="E3" s="22" t="s">
        <v>139</v>
      </c>
      <c r="F3" s="22" t="s">
        <v>140</v>
      </c>
      <c r="G3" s="22" t="s">
        <v>141</v>
      </c>
      <c r="H3" s="22" t="s">
        <v>362</v>
      </c>
      <c r="I3" s="22" t="s">
        <v>851</v>
      </c>
      <c r="J3" s="22" t="s">
        <v>268</v>
      </c>
      <c r="K3" s="22" t="s">
        <v>363</v>
      </c>
    </row>
    <row r="4" spans="2:11" s="27" customFormat="1" ht="31.2">
      <c r="B4" s="22">
        <v>1</v>
      </c>
      <c r="C4" s="22" t="s">
        <v>364</v>
      </c>
      <c r="D4" s="22" t="s">
        <v>365</v>
      </c>
      <c r="E4" s="22" t="s">
        <v>366</v>
      </c>
      <c r="F4" s="22" t="s">
        <v>145</v>
      </c>
      <c r="G4" s="22" t="s">
        <v>367</v>
      </c>
      <c r="H4" s="38">
        <v>2024</v>
      </c>
      <c r="I4" s="39" t="s">
        <v>24</v>
      </c>
      <c r="J4" s="39">
        <v>12</v>
      </c>
      <c r="K4" s="39" t="s">
        <v>217</v>
      </c>
    </row>
    <row r="5" spans="2:11" s="27" customFormat="1">
      <c r="B5" s="22">
        <v>2</v>
      </c>
      <c r="C5" s="22" t="s">
        <v>213</v>
      </c>
      <c r="D5" s="22" t="s">
        <v>368</v>
      </c>
      <c r="E5" s="22" t="s">
        <v>75</v>
      </c>
      <c r="F5" s="22" t="s">
        <v>75</v>
      </c>
      <c r="G5" s="22" t="s">
        <v>75</v>
      </c>
      <c r="H5" s="38" t="s">
        <v>75</v>
      </c>
      <c r="I5" s="39" t="s">
        <v>26</v>
      </c>
      <c r="J5" s="39">
        <v>144</v>
      </c>
      <c r="K5" s="39" t="s">
        <v>75</v>
      </c>
    </row>
    <row r="6" spans="2:11" s="27" customFormat="1">
      <c r="B6" s="22">
        <v>3</v>
      </c>
      <c r="C6" s="22" t="s">
        <v>213</v>
      </c>
      <c r="D6" s="22" t="s">
        <v>369</v>
      </c>
      <c r="E6" s="22" t="s">
        <v>154</v>
      </c>
      <c r="F6" s="22" t="s">
        <v>154</v>
      </c>
      <c r="G6" s="22" t="s">
        <v>154</v>
      </c>
      <c r="H6" s="38" t="s">
        <v>154</v>
      </c>
      <c r="I6" s="39"/>
      <c r="J6" s="39"/>
      <c r="K6" s="39" t="s">
        <v>154</v>
      </c>
    </row>
    <row r="7" spans="2:11" s="27" customFormat="1">
      <c r="B7" s="22">
        <v>4</v>
      </c>
      <c r="C7" s="22" t="s">
        <v>370</v>
      </c>
      <c r="D7" s="22" t="s">
        <v>84</v>
      </c>
      <c r="E7" s="22" t="s">
        <v>146</v>
      </c>
      <c r="F7" s="22" t="s">
        <v>152</v>
      </c>
      <c r="G7" s="22" t="s">
        <v>371</v>
      </c>
      <c r="H7" s="38">
        <v>2026</v>
      </c>
      <c r="I7" s="39" t="s">
        <v>24</v>
      </c>
      <c r="J7" s="39">
        <v>704</v>
      </c>
      <c r="K7" s="39" t="s">
        <v>372</v>
      </c>
    </row>
    <row r="8" spans="2:11" s="27" customFormat="1" ht="31.2">
      <c r="B8" s="22">
        <v>5</v>
      </c>
      <c r="C8" s="22" t="s">
        <v>275</v>
      </c>
      <c r="D8" s="22" t="s">
        <v>214</v>
      </c>
      <c r="E8" s="22" t="s">
        <v>146</v>
      </c>
      <c r="F8" s="22" t="s">
        <v>153</v>
      </c>
      <c r="G8" s="22" t="s">
        <v>373</v>
      </c>
      <c r="H8" s="38">
        <v>2024</v>
      </c>
      <c r="I8" s="39" t="s">
        <v>16</v>
      </c>
      <c r="J8" s="39">
        <v>132</v>
      </c>
      <c r="K8" s="39" t="s">
        <v>374</v>
      </c>
    </row>
    <row r="9" spans="2:11" s="27" customFormat="1">
      <c r="B9" s="22">
        <v>6</v>
      </c>
      <c r="C9" s="22" t="s">
        <v>275</v>
      </c>
      <c r="D9" s="22" t="s">
        <v>852</v>
      </c>
      <c r="E9" s="22" t="s">
        <v>146</v>
      </c>
      <c r="F9" s="22" t="s">
        <v>216</v>
      </c>
      <c r="G9" s="22" t="s">
        <v>375</v>
      </c>
      <c r="H9" s="38">
        <v>2026</v>
      </c>
      <c r="I9" s="39" t="s">
        <v>24</v>
      </c>
      <c r="J9" s="39">
        <v>924</v>
      </c>
      <c r="K9" s="39" t="s">
        <v>376</v>
      </c>
    </row>
    <row r="10" spans="2:11" s="27" customFormat="1">
      <c r="B10" s="22">
        <v>7</v>
      </c>
      <c r="C10" s="22" t="s">
        <v>275</v>
      </c>
      <c r="D10" s="22" t="s">
        <v>853</v>
      </c>
      <c r="E10" s="22" t="s">
        <v>146</v>
      </c>
      <c r="F10" s="22" t="s">
        <v>216</v>
      </c>
      <c r="G10" s="22" t="s">
        <v>75</v>
      </c>
      <c r="H10" s="38" t="s">
        <v>75</v>
      </c>
      <c r="I10" s="39" t="s">
        <v>24</v>
      </c>
      <c r="J10" s="39">
        <v>900</v>
      </c>
      <c r="K10" s="39" t="s">
        <v>376</v>
      </c>
    </row>
    <row r="11" spans="2:11" s="27" customFormat="1">
      <c r="B11" s="22">
        <v>8</v>
      </c>
      <c r="C11" s="22" t="s">
        <v>275</v>
      </c>
      <c r="D11" s="22" t="s">
        <v>74</v>
      </c>
      <c r="E11" s="22" t="s">
        <v>854</v>
      </c>
      <c r="F11" s="22" t="s">
        <v>147</v>
      </c>
      <c r="G11" s="22" t="s">
        <v>75</v>
      </c>
      <c r="H11" s="38" t="s">
        <v>75</v>
      </c>
      <c r="I11" s="39" t="s">
        <v>25</v>
      </c>
      <c r="J11" s="39">
        <v>2000</v>
      </c>
      <c r="K11" s="39" t="s">
        <v>75</v>
      </c>
    </row>
    <row r="12" spans="2:11" s="27" customFormat="1" ht="31.2">
      <c r="B12" s="22">
        <v>9</v>
      </c>
      <c r="C12" s="22" t="s">
        <v>218</v>
      </c>
      <c r="D12" s="22" t="s">
        <v>29</v>
      </c>
      <c r="E12" s="22" t="s">
        <v>164</v>
      </c>
      <c r="F12" s="22" t="s">
        <v>148</v>
      </c>
      <c r="G12" s="22" t="s">
        <v>378</v>
      </c>
      <c r="H12" s="38">
        <v>2024</v>
      </c>
      <c r="I12" s="39" t="s">
        <v>16</v>
      </c>
      <c r="J12" s="39">
        <v>800</v>
      </c>
      <c r="K12" s="39" t="s">
        <v>379</v>
      </c>
    </row>
    <row r="13" spans="2:11" s="27" customFormat="1">
      <c r="B13" s="22">
        <v>10</v>
      </c>
      <c r="C13" s="22" t="s">
        <v>218</v>
      </c>
      <c r="D13" s="22" t="s">
        <v>855</v>
      </c>
      <c r="E13" s="22" t="s">
        <v>164</v>
      </c>
      <c r="F13" s="22" t="s">
        <v>219</v>
      </c>
      <c r="G13" s="22" t="s">
        <v>380</v>
      </c>
      <c r="H13" s="38">
        <v>2027</v>
      </c>
      <c r="I13" s="39" t="s">
        <v>24</v>
      </c>
      <c r="J13" s="39">
        <v>800</v>
      </c>
      <c r="K13" s="39" t="s">
        <v>379</v>
      </c>
    </row>
    <row r="14" spans="2:11" s="27" customFormat="1">
      <c r="B14" s="22">
        <v>11</v>
      </c>
      <c r="C14" s="22" t="s">
        <v>218</v>
      </c>
      <c r="D14" s="22" t="s">
        <v>856</v>
      </c>
      <c r="E14" s="22" t="s">
        <v>164</v>
      </c>
      <c r="F14" s="22" t="s">
        <v>219</v>
      </c>
      <c r="G14" s="22" t="s">
        <v>381</v>
      </c>
      <c r="H14" s="38">
        <v>2027</v>
      </c>
      <c r="I14" s="39" t="s">
        <v>24</v>
      </c>
      <c r="J14" s="39">
        <v>1232</v>
      </c>
      <c r="K14" s="39" t="s">
        <v>379</v>
      </c>
    </row>
    <row r="15" spans="2:11" s="27" customFormat="1">
      <c r="B15" s="22">
        <v>12</v>
      </c>
      <c r="C15" s="22" t="s">
        <v>218</v>
      </c>
      <c r="D15" s="22" t="s">
        <v>220</v>
      </c>
      <c r="E15" s="22" t="s">
        <v>382</v>
      </c>
      <c r="F15" s="22" t="s">
        <v>149</v>
      </c>
      <c r="G15" s="22" t="s">
        <v>383</v>
      </c>
      <c r="H15" s="38">
        <v>2029</v>
      </c>
      <c r="I15" s="39" t="s">
        <v>24</v>
      </c>
      <c r="J15" s="39">
        <v>1230</v>
      </c>
      <c r="K15" s="39" t="s">
        <v>384</v>
      </c>
    </row>
    <row r="16" spans="2:11" s="27" customFormat="1">
      <c r="B16" s="22">
        <v>13</v>
      </c>
      <c r="C16" s="22" t="s">
        <v>218</v>
      </c>
      <c r="D16" s="22" t="s">
        <v>857</v>
      </c>
      <c r="E16" s="22" t="s">
        <v>382</v>
      </c>
      <c r="F16" s="22" t="s">
        <v>149</v>
      </c>
      <c r="G16" s="22" t="s">
        <v>75</v>
      </c>
      <c r="H16" s="38" t="s">
        <v>75</v>
      </c>
      <c r="I16" s="39" t="s">
        <v>24</v>
      </c>
      <c r="J16" s="39">
        <v>1200</v>
      </c>
      <c r="K16" s="39" t="s">
        <v>384</v>
      </c>
    </row>
    <row r="17" spans="2:11" s="27" customFormat="1">
      <c r="B17" s="22">
        <v>14</v>
      </c>
      <c r="C17" s="22" t="s">
        <v>218</v>
      </c>
      <c r="D17" s="22" t="s">
        <v>858</v>
      </c>
      <c r="E17" s="22" t="s">
        <v>385</v>
      </c>
      <c r="F17" s="22" t="s">
        <v>150</v>
      </c>
      <c r="G17" s="22" t="s">
        <v>381</v>
      </c>
      <c r="H17" s="38">
        <v>2028</v>
      </c>
      <c r="I17" s="39" t="s">
        <v>24</v>
      </c>
      <c r="J17" s="39">
        <v>804</v>
      </c>
      <c r="K17" s="39" t="s">
        <v>386</v>
      </c>
    </row>
    <row r="18" spans="2:11" s="27" customFormat="1">
      <c r="B18" s="22">
        <v>15</v>
      </c>
      <c r="C18" s="22" t="s">
        <v>218</v>
      </c>
      <c r="D18" s="22" t="s">
        <v>859</v>
      </c>
      <c r="E18" s="22" t="s">
        <v>385</v>
      </c>
      <c r="F18" s="22" t="s">
        <v>150</v>
      </c>
      <c r="G18" s="22" t="s">
        <v>381</v>
      </c>
      <c r="H18" s="38">
        <v>2029</v>
      </c>
      <c r="I18" s="39" t="s">
        <v>24</v>
      </c>
      <c r="J18" s="39">
        <v>400</v>
      </c>
      <c r="K18" s="39" t="s">
        <v>386</v>
      </c>
    </row>
    <row r="19" spans="2:11" s="27" customFormat="1">
      <c r="B19" s="22">
        <v>16</v>
      </c>
      <c r="C19" s="22" t="s">
        <v>218</v>
      </c>
      <c r="D19" s="22" t="s">
        <v>387</v>
      </c>
      <c r="E19" s="22" t="s">
        <v>385</v>
      </c>
      <c r="F19" s="22" t="s">
        <v>150</v>
      </c>
      <c r="G19" s="22" t="s">
        <v>75</v>
      </c>
      <c r="H19" s="38" t="s">
        <v>75</v>
      </c>
      <c r="I19" s="39" t="s">
        <v>24</v>
      </c>
      <c r="J19" s="39">
        <v>800</v>
      </c>
      <c r="K19" s="39" t="s">
        <v>386</v>
      </c>
    </row>
    <row r="20" spans="2:11" s="27" customFormat="1">
      <c r="B20" s="22">
        <v>17</v>
      </c>
      <c r="C20" s="22" t="s">
        <v>218</v>
      </c>
      <c r="D20" s="22" t="s">
        <v>221</v>
      </c>
      <c r="E20" s="22" t="s">
        <v>860</v>
      </c>
      <c r="F20" s="22" t="s">
        <v>154</v>
      </c>
      <c r="G20" s="22" t="s">
        <v>75</v>
      </c>
      <c r="H20" s="38" t="s">
        <v>75</v>
      </c>
      <c r="I20" s="39" t="s">
        <v>26</v>
      </c>
      <c r="J20" s="39">
        <v>10</v>
      </c>
      <c r="K20" s="39" t="s">
        <v>75</v>
      </c>
    </row>
    <row r="21" spans="2:11" s="27" customFormat="1">
      <c r="B21" s="22">
        <v>18</v>
      </c>
      <c r="C21" s="22" t="s">
        <v>218</v>
      </c>
      <c r="D21" s="22" t="s">
        <v>388</v>
      </c>
      <c r="E21" s="22" t="s">
        <v>164</v>
      </c>
      <c r="F21" s="22" t="s">
        <v>151</v>
      </c>
      <c r="G21" s="22" t="s">
        <v>75</v>
      </c>
      <c r="H21" s="38" t="s">
        <v>75</v>
      </c>
      <c r="I21" s="39" t="s">
        <v>25</v>
      </c>
      <c r="J21" s="39">
        <v>2143</v>
      </c>
      <c r="K21" s="39" t="s">
        <v>75</v>
      </c>
    </row>
    <row r="22" spans="2:11" s="27" customFormat="1">
      <c r="B22" s="22">
        <v>19</v>
      </c>
      <c r="C22" s="22" t="s">
        <v>223</v>
      </c>
      <c r="D22" s="22" t="s">
        <v>76</v>
      </c>
      <c r="E22" s="22" t="s">
        <v>377</v>
      </c>
      <c r="F22" s="22" t="s">
        <v>145</v>
      </c>
      <c r="G22" s="22" t="s">
        <v>389</v>
      </c>
      <c r="H22" s="38">
        <v>2016</v>
      </c>
      <c r="I22" s="39" t="s">
        <v>21</v>
      </c>
      <c r="J22" s="39">
        <v>30</v>
      </c>
      <c r="K22" s="39" t="s">
        <v>390</v>
      </c>
    </row>
    <row r="23" spans="2:11" s="27" customFormat="1">
      <c r="B23" s="22">
        <v>33</v>
      </c>
      <c r="C23" s="22" t="s">
        <v>391</v>
      </c>
      <c r="D23" s="22" t="s">
        <v>241</v>
      </c>
      <c r="E23" s="22" t="s">
        <v>242</v>
      </c>
      <c r="F23" s="22" t="s">
        <v>145</v>
      </c>
      <c r="G23" s="22" t="s">
        <v>392</v>
      </c>
      <c r="H23" s="38">
        <v>2024</v>
      </c>
      <c r="I23" s="39" t="s">
        <v>24</v>
      </c>
      <c r="J23" s="39">
        <v>21</v>
      </c>
      <c r="K23" s="39" t="s">
        <v>75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EC26-0817-604E-8B8B-B3921AD766F6}">
  <dimension ref="B1:K29"/>
  <sheetViews>
    <sheetView workbookViewId="0">
      <selection activeCell="J4" sqref="J4"/>
    </sheetView>
  </sheetViews>
  <sheetFormatPr defaultColWidth="8.796875" defaultRowHeight="15.6"/>
  <cols>
    <col min="2" max="2" width="20.296875" customWidth="1"/>
    <col min="3" max="3" width="17.69921875" bestFit="1" customWidth="1"/>
    <col min="4" max="4" width="41" bestFit="1" customWidth="1"/>
    <col min="5" max="5" width="18.19921875" bestFit="1" customWidth="1"/>
    <col min="6" max="6" width="11.5" bestFit="1" customWidth="1"/>
    <col min="7" max="7" width="18.796875" bestFit="1" customWidth="1"/>
    <col min="8" max="8" width="13.69921875" bestFit="1" customWidth="1"/>
    <col min="9" max="9" width="12.796875" bestFit="1" customWidth="1"/>
    <col min="10" max="10" width="13.5" bestFit="1" customWidth="1"/>
    <col min="11" max="11" width="40.69921875" bestFit="1" customWidth="1"/>
  </cols>
  <sheetData>
    <row r="1" spans="2:11" ht="23.4">
      <c r="B1" s="5" t="s">
        <v>336</v>
      </c>
    </row>
    <row r="3" spans="2:11" s="27" customFormat="1" ht="31.2">
      <c r="B3" s="22" t="s">
        <v>138</v>
      </c>
      <c r="C3" s="22" t="s">
        <v>212</v>
      </c>
      <c r="D3" s="22" t="s">
        <v>283</v>
      </c>
      <c r="E3" s="22" t="s">
        <v>139</v>
      </c>
      <c r="F3" s="22" t="s">
        <v>140</v>
      </c>
      <c r="G3" s="22" t="s">
        <v>141</v>
      </c>
      <c r="H3" s="22" t="s">
        <v>362</v>
      </c>
      <c r="I3" s="22" t="s">
        <v>851</v>
      </c>
      <c r="J3" s="22" t="s">
        <v>268</v>
      </c>
      <c r="K3" s="22" t="s">
        <v>902</v>
      </c>
    </row>
    <row r="4" spans="2:11" s="27" customFormat="1" ht="31.2">
      <c r="B4" s="22">
        <v>20</v>
      </c>
      <c r="C4" s="22" t="s">
        <v>224</v>
      </c>
      <c r="D4" s="22" t="s">
        <v>225</v>
      </c>
      <c r="E4" s="22" t="s">
        <v>382</v>
      </c>
      <c r="F4" s="22" t="s">
        <v>155</v>
      </c>
      <c r="G4" s="22" t="s">
        <v>383</v>
      </c>
      <c r="H4" s="22">
        <v>2026</v>
      </c>
      <c r="I4" s="22" t="s">
        <v>24</v>
      </c>
      <c r="J4" s="114">
        <v>816</v>
      </c>
      <c r="K4" s="22" t="s">
        <v>393</v>
      </c>
    </row>
    <row r="5" spans="2:11" s="27" customFormat="1" ht="31.2">
      <c r="B5" s="22">
        <v>21</v>
      </c>
      <c r="C5" s="22" t="s">
        <v>224</v>
      </c>
      <c r="D5" s="22" t="s">
        <v>226</v>
      </c>
      <c r="E5" s="22" t="s">
        <v>382</v>
      </c>
      <c r="F5" s="22" t="s">
        <v>155</v>
      </c>
      <c r="G5" s="22" t="s">
        <v>383</v>
      </c>
      <c r="H5" s="22">
        <v>2027</v>
      </c>
      <c r="I5" s="22" t="s">
        <v>24</v>
      </c>
      <c r="J5" s="114">
        <v>1260</v>
      </c>
      <c r="K5" s="23" t="s">
        <v>394</v>
      </c>
    </row>
    <row r="6" spans="2:11" s="27" customFormat="1">
      <c r="B6" s="22">
        <v>22</v>
      </c>
      <c r="C6" s="22" t="s">
        <v>395</v>
      </c>
      <c r="D6" s="22" t="s">
        <v>396</v>
      </c>
      <c r="E6" s="22" t="s">
        <v>164</v>
      </c>
      <c r="F6" s="22" t="s">
        <v>228</v>
      </c>
      <c r="G6" s="22" t="s">
        <v>75</v>
      </c>
      <c r="H6" s="22" t="s">
        <v>75</v>
      </c>
      <c r="I6" s="22" t="s">
        <v>25</v>
      </c>
      <c r="J6" s="114">
        <v>697</v>
      </c>
      <c r="K6" s="22" t="s">
        <v>75</v>
      </c>
    </row>
    <row r="7" spans="2:11" s="27" customFormat="1">
      <c r="B7" s="22">
        <v>23</v>
      </c>
      <c r="C7" s="22" t="s">
        <v>227</v>
      </c>
      <c r="D7" s="22" t="s">
        <v>397</v>
      </c>
      <c r="E7" s="22" t="s">
        <v>398</v>
      </c>
      <c r="F7" s="22" t="s">
        <v>229</v>
      </c>
      <c r="G7" s="22" t="s">
        <v>75</v>
      </c>
      <c r="H7" s="22" t="s">
        <v>75</v>
      </c>
      <c r="I7" s="22" t="s">
        <v>25</v>
      </c>
      <c r="J7" s="114">
        <v>1158</v>
      </c>
      <c r="K7" s="22" t="s">
        <v>75</v>
      </c>
    </row>
    <row r="8" spans="2:11" s="27" customFormat="1">
      <c r="B8" s="22">
        <v>24</v>
      </c>
      <c r="C8" s="22" t="s">
        <v>227</v>
      </c>
      <c r="D8" s="22" t="s">
        <v>230</v>
      </c>
      <c r="E8" s="22" t="s">
        <v>231</v>
      </c>
      <c r="F8" s="22" t="s">
        <v>232</v>
      </c>
      <c r="G8" s="22" t="s">
        <v>75</v>
      </c>
      <c r="H8" s="22" t="s">
        <v>75</v>
      </c>
      <c r="I8" s="22" t="s">
        <v>25</v>
      </c>
      <c r="J8" s="114">
        <v>1365</v>
      </c>
      <c r="K8" s="22" t="s">
        <v>75</v>
      </c>
    </row>
    <row r="9" spans="2:11" s="27" customFormat="1">
      <c r="B9" s="22">
        <v>25</v>
      </c>
      <c r="C9" s="22" t="s">
        <v>227</v>
      </c>
      <c r="D9" s="22" t="s">
        <v>399</v>
      </c>
      <c r="E9" s="22" t="s">
        <v>400</v>
      </c>
      <c r="F9" s="22" t="s">
        <v>233</v>
      </c>
      <c r="G9" s="22" t="s">
        <v>75</v>
      </c>
      <c r="H9" s="22" t="s">
        <v>75</v>
      </c>
      <c r="I9" s="22" t="s">
        <v>25</v>
      </c>
      <c r="J9" s="114">
        <v>2039</v>
      </c>
      <c r="K9" s="22" t="s">
        <v>75</v>
      </c>
    </row>
    <row r="10" spans="2:11" s="27" customFormat="1">
      <c r="B10" s="22">
        <v>26</v>
      </c>
      <c r="C10" s="22" t="s">
        <v>227</v>
      </c>
      <c r="D10" s="22" t="s">
        <v>234</v>
      </c>
      <c r="E10" s="22" t="s">
        <v>401</v>
      </c>
      <c r="F10" s="22" t="s">
        <v>235</v>
      </c>
      <c r="G10" s="22" t="s">
        <v>75</v>
      </c>
      <c r="H10" s="22" t="s">
        <v>75</v>
      </c>
      <c r="I10" s="22" t="s">
        <v>25</v>
      </c>
      <c r="J10" s="114">
        <v>1284</v>
      </c>
      <c r="K10" s="23" t="s">
        <v>75</v>
      </c>
    </row>
    <row r="11" spans="2:11" s="27" customFormat="1">
      <c r="B11" s="22">
        <v>27</v>
      </c>
      <c r="C11" s="22" t="s">
        <v>227</v>
      </c>
      <c r="D11" s="22" t="s">
        <v>402</v>
      </c>
      <c r="E11" s="22" t="s">
        <v>403</v>
      </c>
      <c r="F11" s="22" t="s">
        <v>236</v>
      </c>
      <c r="G11" s="22" t="s">
        <v>75</v>
      </c>
      <c r="H11" s="22" t="s">
        <v>75</v>
      </c>
      <c r="I11" s="22" t="s">
        <v>25</v>
      </c>
      <c r="J11" s="114">
        <v>1359</v>
      </c>
      <c r="K11" s="23" t="s">
        <v>75</v>
      </c>
    </row>
    <row r="12" spans="2:11" s="27" customFormat="1">
      <c r="B12" s="22">
        <v>28</v>
      </c>
      <c r="C12" s="22" t="s">
        <v>237</v>
      </c>
      <c r="D12" s="22" t="s">
        <v>404</v>
      </c>
      <c r="E12" s="22" t="s">
        <v>401</v>
      </c>
      <c r="F12" s="22" t="s">
        <v>405</v>
      </c>
      <c r="G12" s="22" t="s">
        <v>75</v>
      </c>
      <c r="H12" s="22" t="s">
        <v>75</v>
      </c>
      <c r="I12" s="22" t="s">
        <v>25</v>
      </c>
      <c r="J12" s="114">
        <v>1182</v>
      </c>
      <c r="K12" s="22" t="s">
        <v>75</v>
      </c>
    </row>
    <row r="13" spans="2:11" s="27" customFormat="1" ht="31.2">
      <c r="B13" s="22">
        <v>29</v>
      </c>
      <c r="C13" s="22" t="s">
        <v>237</v>
      </c>
      <c r="D13" s="22" t="s">
        <v>406</v>
      </c>
      <c r="E13" s="22" t="s">
        <v>401</v>
      </c>
      <c r="F13" s="22" t="s">
        <v>156</v>
      </c>
      <c r="G13" s="22" t="s">
        <v>429</v>
      </c>
      <c r="H13" s="22">
        <v>2027</v>
      </c>
      <c r="I13" s="22" t="s">
        <v>24</v>
      </c>
      <c r="J13" s="114">
        <v>1510</v>
      </c>
      <c r="K13" s="23" t="s">
        <v>407</v>
      </c>
    </row>
    <row r="14" spans="2:11" s="27" customFormat="1" ht="31.2">
      <c r="B14" s="22">
        <v>30</v>
      </c>
      <c r="C14" s="22" t="s">
        <v>237</v>
      </c>
      <c r="D14" s="22" t="s">
        <v>408</v>
      </c>
      <c r="E14" s="22" t="s">
        <v>401</v>
      </c>
      <c r="F14" s="22" t="s">
        <v>156</v>
      </c>
      <c r="G14" s="22" t="s">
        <v>75</v>
      </c>
      <c r="H14" s="22" t="s">
        <v>75</v>
      </c>
      <c r="I14" s="22" t="s">
        <v>24</v>
      </c>
      <c r="J14" s="114">
        <v>890</v>
      </c>
      <c r="K14" s="22" t="s">
        <v>407</v>
      </c>
    </row>
    <row r="15" spans="2:11" s="27" customFormat="1">
      <c r="B15" s="22">
        <v>31</v>
      </c>
      <c r="C15" s="22" t="s">
        <v>237</v>
      </c>
      <c r="D15" s="22" t="s">
        <v>238</v>
      </c>
      <c r="E15" s="22" t="s">
        <v>377</v>
      </c>
      <c r="F15" s="22" t="s">
        <v>157</v>
      </c>
      <c r="G15" s="22" t="s">
        <v>429</v>
      </c>
      <c r="H15" s="22">
        <v>2025</v>
      </c>
      <c r="I15" s="22" t="s">
        <v>23</v>
      </c>
      <c r="J15" s="114">
        <v>1100</v>
      </c>
      <c r="K15" s="23" t="s">
        <v>409</v>
      </c>
    </row>
    <row r="16" spans="2:11" s="27" customFormat="1">
      <c r="B16" s="22">
        <v>32</v>
      </c>
      <c r="C16" s="22" t="s">
        <v>237</v>
      </c>
      <c r="D16" s="22" t="s">
        <v>239</v>
      </c>
      <c r="E16" s="22" t="s">
        <v>377</v>
      </c>
      <c r="F16" s="22" t="s">
        <v>240</v>
      </c>
      <c r="G16" s="22" t="s">
        <v>429</v>
      </c>
      <c r="H16" s="22">
        <v>2028</v>
      </c>
      <c r="I16" s="22" t="s">
        <v>24</v>
      </c>
      <c r="J16" s="114">
        <v>1148</v>
      </c>
      <c r="K16" s="23" t="s">
        <v>75</v>
      </c>
    </row>
    <row r="17" spans="2:11" s="27" customFormat="1">
      <c r="B17" s="22">
        <v>34</v>
      </c>
      <c r="C17" s="22" t="s">
        <v>410</v>
      </c>
      <c r="D17" s="22" t="s">
        <v>411</v>
      </c>
      <c r="E17" s="22" t="s">
        <v>377</v>
      </c>
      <c r="F17" s="22" t="s">
        <v>158</v>
      </c>
      <c r="G17" s="22" t="s">
        <v>75</v>
      </c>
      <c r="H17" s="22" t="s">
        <v>75</v>
      </c>
      <c r="I17" s="22" t="s">
        <v>25</v>
      </c>
      <c r="J17" s="114">
        <v>1080</v>
      </c>
      <c r="K17" s="22" t="s">
        <v>75</v>
      </c>
    </row>
    <row r="18" spans="2:11" s="27" customFormat="1">
      <c r="B18" s="22">
        <v>35</v>
      </c>
      <c r="C18" s="22" t="s">
        <v>243</v>
      </c>
      <c r="D18" s="22" t="s">
        <v>244</v>
      </c>
      <c r="E18" s="22" t="s">
        <v>377</v>
      </c>
      <c r="F18" s="22" t="s">
        <v>159</v>
      </c>
      <c r="G18" s="22" t="s">
        <v>430</v>
      </c>
      <c r="H18" s="22">
        <v>2026</v>
      </c>
      <c r="I18" s="22" t="s">
        <v>24</v>
      </c>
      <c r="J18" s="114">
        <v>120</v>
      </c>
      <c r="K18" s="22" t="s">
        <v>412</v>
      </c>
    </row>
    <row r="19" spans="2:11" s="27" customFormat="1" ht="31.2">
      <c r="B19" s="22">
        <v>36</v>
      </c>
      <c r="C19" s="22" t="s">
        <v>243</v>
      </c>
      <c r="D19" s="22" t="s">
        <v>245</v>
      </c>
      <c r="E19" s="22" t="s">
        <v>377</v>
      </c>
      <c r="F19" s="22" t="s">
        <v>159</v>
      </c>
      <c r="G19" s="22" t="s">
        <v>431</v>
      </c>
      <c r="H19" s="22">
        <v>2027</v>
      </c>
      <c r="I19" s="22" t="s">
        <v>24</v>
      </c>
      <c r="J19" s="114">
        <v>846</v>
      </c>
      <c r="K19" s="22" t="s">
        <v>413</v>
      </c>
    </row>
    <row r="20" spans="2:11" s="27" customFormat="1">
      <c r="B20" s="22">
        <v>37</v>
      </c>
      <c r="C20" s="22" t="s">
        <v>246</v>
      </c>
      <c r="D20" s="22" t="s">
        <v>247</v>
      </c>
      <c r="E20" s="22" t="s">
        <v>414</v>
      </c>
      <c r="F20" s="22" t="s">
        <v>160</v>
      </c>
      <c r="G20" s="22" t="s">
        <v>431</v>
      </c>
      <c r="H20" s="22">
        <v>2025</v>
      </c>
      <c r="I20" s="22" t="s">
        <v>24</v>
      </c>
      <c r="J20" s="114">
        <v>270</v>
      </c>
      <c r="K20" s="22" t="s">
        <v>415</v>
      </c>
    </row>
    <row r="21" spans="2:11" s="27" customFormat="1">
      <c r="B21" s="22">
        <v>38</v>
      </c>
      <c r="C21" s="22" t="s">
        <v>246</v>
      </c>
      <c r="D21" s="22" t="s">
        <v>248</v>
      </c>
      <c r="E21" s="22" t="s">
        <v>414</v>
      </c>
      <c r="F21" s="22" t="s">
        <v>160</v>
      </c>
      <c r="G21" s="22" t="s">
        <v>431</v>
      </c>
      <c r="H21" s="22">
        <v>2028</v>
      </c>
      <c r="I21" s="22" t="s">
        <v>24</v>
      </c>
      <c r="J21" s="114">
        <v>809</v>
      </c>
      <c r="K21" s="23" t="s">
        <v>415</v>
      </c>
    </row>
    <row r="22" spans="2:11" s="27" customFormat="1">
      <c r="B22" s="22">
        <v>39</v>
      </c>
      <c r="C22" s="22" t="s">
        <v>246</v>
      </c>
      <c r="D22" s="22" t="s">
        <v>416</v>
      </c>
      <c r="E22" s="22" t="s">
        <v>414</v>
      </c>
      <c r="F22" s="22" t="s">
        <v>160</v>
      </c>
      <c r="G22" s="22" t="s">
        <v>75</v>
      </c>
      <c r="H22" s="22" t="s">
        <v>75</v>
      </c>
      <c r="I22" s="22" t="s">
        <v>24</v>
      </c>
      <c r="J22" s="114">
        <v>600</v>
      </c>
      <c r="K22" s="22" t="s">
        <v>415</v>
      </c>
    </row>
    <row r="23" spans="2:11" s="27" customFormat="1">
      <c r="B23" s="22">
        <v>40</v>
      </c>
      <c r="C23" s="22" t="s">
        <v>417</v>
      </c>
      <c r="D23" s="22" t="s">
        <v>418</v>
      </c>
      <c r="E23" s="22" t="s">
        <v>161</v>
      </c>
      <c r="F23" s="22" t="s">
        <v>419</v>
      </c>
      <c r="G23" s="22" t="s">
        <v>432</v>
      </c>
      <c r="H23" s="22">
        <v>2020</v>
      </c>
      <c r="I23" s="22" t="s">
        <v>21</v>
      </c>
      <c r="J23" s="114">
        <v>12</v>
      </c>
      <c r="K23" s="22" t="s">
        <v>420</v>
      </c>
    </row>
    <row r="24" spans="2:11" s="27" customFormat="1">
      <c r="B24" s="22">
        <v>41</v>
      </c>
      <c r="C24" s="22" t="s">
        <v>249</v>
      </c>
      <c r="D24" s="22" t="s">
        <v>421</v>
      </c>
      <c r="E24" s="22" t="s">
        <v>161</v>
      </c>
      <c r="F24" s="22" t="s">
        <v>162</v>
      </c>
      <c r="G24" s="22" t="s">
        <v>432</v>
      </c>
      <c r="H24" s="22">
        <v>2026</v>
      </c>
      <c r="I24" s="22" t="s">
        <v>24</v>
      </c>
      <c r="J24" s="114">
        <v>2587</v>
      </c>
      <c r="K24" s="23" t="s">
        <v>422</v>
      </c>
    </row>
    <row r="25" spans="2:11" s="27" customFormat="1" ht="46.8">
      <c r="B25" s="22">
        <v>42</v>
      </c>
      <c r="C25" s="22" t="s">
        <v>423</v>
      </c>
      <c r="D25" s="22" t="s">
        <v>424</v>
      </c>
      <c r="E25" s="22" t="s">
        <v>425</v>
      </c>
      <c r="F25" s="22" t="s">
        <v>165</v>
      </c>
      <c r="G25" s="22" t="s">
        <v>75</v>
      </c>
      <c r="H25" s="22" t="s">
        <v>75</v>
      </c>
      <c r="I25" s="22" t="s">
        <v>24</v>
      </c>
      <c r="J25" s="114">
        <v>1035</v>
      </c>
      <c r="K25" s="23" t="s">
        <v>426</v>
      </c>
    </row>
    <row r="26" spans="2:11" s="27" customFormat="1">
      <c r="B26" s="22">
        <v>43</v>
      </c>
      <c r="C26" s="22" t="s">
        <v>250</v>
      </c>
      <c r="D26" s="22" t="s">
        <v>427</v>
      </c>
      <c r="E26" s="22" t="s">
        <v>164</v>
      </c>
      <c r="F26" s="22" t="s">
        <v>165</v>
      </c>
      <c r="G26" s="22" t="s">
        <v>75</v>
      </c>
      <c r="H26" s="22" t="s">
        <v>75</v>
      </c>
      <c r="I26" s="22" t="s">
        <v>25</v>
      </c>
      <c r="J26" s="114">
        <v>2465</v>
      </c>
      <c r="K26" s="22" t="s">
        <v>75</v>
      </c>
    </row>
    <row r="27" spans="2:11" s="27" customFormat="1">
      <c r="B27" s="22">
        <v>44</v>
      </c>
      <c r="C27" s="22" t="s">
        <v>428</v>
      </c>
      <c r="D27" s="22" t="s">
        <v>252</v>
      </c>
      <c r="E27" s="22" t="s">
        <v>154</v>
      </c>
      <c r="F27" s="22" t="s">
        <v>154</v>
      </c>
      <c r="G27" s="22" t="s">
        <v>154</v>
      </c>
      <c r="H27" s="22" t="s">
        <v>154</v>
      </c>
      <c r="I27" s="22"/>
      <c r="J27" s="114"/>
      <c r="K27" s="22" t="s">
        <v>75</v>
      </c>
    </row>
    <row r="28" spans="2:11" s="27" customFormat="1">
      <c r="B28" s="22">
        <v>45</v>
      </c>
      <c r="C28" s="22" t="s">
        <v>250</v>
      </c>
      <c r="D28" s="22" t="s">
        <v>231</v>
      </c>
      <c r="E28" s="22" t="s">
        <v>231</v>
      </c>
      <c r="F28" s="22" t="s">
        <v>253</v>
      </c>
      <c r="G28" s="22" t="s">
        <v>75</v>
      </c>
      <c r="H28" s="22" t="s">
        <v>75</v>
      </c>
      <c r="I28" s="22" t="s">
        <v>25</v>
      </c>
      <c r="J28" s="114">
        <v>889</v>
      </c>
      <c r="K28" s="22" t="s">
        <v>75</v>
      </c>
    </row>
    <row r="29" spans="2:11" s="27" customFormat="1">
      <c r="B29" s="22">
        <v>46</v>
      </c>
      <c r="C29" s="22" t="s">
        <v>250</v>
      </c>
      <c r="D29" s="22" t="s">
        <v>254</v>
      </c>
      <c r="E29" s="22" t="s">
        <v>254</v>
      </c>
      <c r="F29" s="22" t="s">
        <v>255</v>
      </c>
      <c r="G29" s="22" t="s">
        <v>75</v>
      </c>
      <c r="H29" s="22" t="s">
        <v>75</v>
      </c>
      <c r="I29" s="22" t="s">
        <v>25</v>
      </c>
      <c r="J29" s="114">
        <v>893</v>
      </c>
      <c r="K29" s="22" t="s">
        <v>75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4BF-FE3A-C641-A0BB-4D477D5438C6}">
  <dimension ref="B1:K6"/>
  <sheetViews>
    <sheetView workbookViewId="0">
      <selection activeCell="I7" sqref="I7"/>
    </sheetView>
  </sheetViews>
  <sheetFormatPr defaultColWidth="8.796875" defaultRowHeight="15.6"/>
  <cols>
    <col min="2" max="2" width="6" customWidth="1"/>
    <col min="3" max="3" width="9.69921875" bestFit="1" customWidth="1"/>
    <col min="4" max="4" width="15.796875" bestFit="1" customWidth="1"/>
    <col min="5" max="5" width="9.69921875" bestFit="1" customWidth="1"/>
    <col min="6" max="6" width="12" bestFit="1" customWidth="1"/>
    <col min="7" max="7" width="17.296875" bestFit="1" customWidth="1"/>
    <col min="8" max="8" width="13.69921875" bestFit="1" customWidth="1"/>
    <col min="9" max="9" width="12.796875" bestFit="1" customWidth="1"/>
    <col min="10" max="10" width="13.5" bestFit="1" customWidth="1"/>
    <col min="11" max="11" width="19.296875" bestFit="1" customWidth="1"/>
    <col min="12" max="12" width="16" bestFit="1" customWidth="1"/>
    <col min="13" max="13" width="13.5" bestFit="1" customWidth="1"/>
  </cols>
  <sheetData>
    <row r="1" spans="2:11" ht="23.4">
      <c r="B1" s="5" t="s">
        <v>337</v>
      </c>
    </row>
    <row r="3" spans="2:11" s="27" customFormat="1" ht="31.2">
      <c r="B3" s="22" t="s">
        <v>138</v>
      </c>
      <c r="C3" s="22" t="s">
        <v>212</v>
      </c>
      <c r="D3" s="22" t="s">
        <v>283</v>
      </c>
      <c r="E3" s="22" t="s">
        <v>139</v>
      </c>
      <c r="F3" s="22" t="s">
        <v>140</v>
      </c>
      <c r="G3" s="22" t="s">
        <v>141</v>
      </c>
      <c r="H3" s="22" t="s">
        <v>362</v>
      </c>
      <c r="I3" s="22" t="s">
        <v>861</v>
      </c>
      <c r="J3" s="22" t="s">
        <v>268</v>
      </c>
      <c r="K3" s="22" t="s">
        <v>903</v>
      </c>
    </row>
    <row r="4" spans="2:11" s="27" customFormat="1" ht="31.2">
      <c r="B4" s="22">
        <v>47</v>
      </c>
      <c r="C4" s="22" t="s">
        <v>360</v>
      </c>
      <c r="D4" s="22" t="s">
        <v>433</v>
      </c>
      <c r="E4" s="22" t="s">
        <v>75</v>
      </c>
      <c r="F4" s="22" t="s">
        <v>434</v>
      </c>
      <c r="G4" s="22" t="s">
        <v>75</v>
      </c>
      <c r="H4" s="22" t="s">
        <v>75</v>
      </c>
      <c r="I4" s="22" t="s">
        <v>26</v>
      </c>
      <c r="J4" s="114">
        <v>1659</v>
      </c>
      <c r="K4" s="22" t="s">
        <v>75</v>
      </c>
    </row>
    <row r="5" spans="2:11" s="27" customFormat="1">
      <c r="B5" s="22">
        <v>48</v>
      </c>
      <c r="C5" s="22" t="s">
        <v>435</v>
      </c>
      <c r="D5" s="22" t="s">
        <v>436</v>
      </c>
      <c r="E5" s="22" t="s">
        <v>75</v>
      </c>
      <c r="F5" s="22" t="s">
        <v>437</v>
      </c>
      <c r="G5" s="22" t="s">
        <v>75</v>
      </c>
      <c r="H5" s="22" t="s">
        <v>75</v>
      </c>
      <c r="I5" s="22" t="s">
        <v>26</v>
      </c>
      <c r="J5" s="114">
        <v>1659</v>
      </c>
      <c r="K5" s="22" t="s">
        <v>75</v>
      </c>
    </row>
    <row r="6" spans="2:11" s="27" customFormat="1">
      <c r="B6" s="22">
        <v>49</v>
      </c>
      <c r="C6" s="22" t="s">
        <v>438</v>
      </c>
      <c r="D6" s="22" t="s">
        <v>439</v>
      </c>
      <c r="E6" s="22" t="s">
        <v>75</v>
      </c>
      <c r="F6" s="22" t="s">
        <v>440</v>
      </c>
      <c r="G6" s="22" t="s">
        <v>75</v>
      </c>
      <c r="H6" s="22" t="s">
        <v>75</v>
      </c>
      <c r="I6" s="22" t="s">
        <v>26</v>
      </c>
      <c r="J6" s="114">
        <v>1567</v>
      </c>
      <c r="K6" s="22" t="s">
        <v>75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FAEA-103F-CF45-A9B2-A7B57BB11A8F}">
  <dimension ref="B1:K13"/>
  <sheetViews>
    <sheetView workbookViewId="0">
      <selection activeCell="J4" sqref="J4"/>
    </sheetView>
  </sheetViews>
  <sheetFormatPr defaultColWidth="8.796875" defaultRowHeight="15.6"/>
  <cols>
    <col min="2" max="2" width="7.296875" customWidth="1"/>
    <col min="3" max="3" width="13" bestFit="1" customWidth="1"/>
    <col min="4" max="4" width="33.796875" bestFit="1" customWidth="1"/>
    <col min="5" max="5" width="20.19921875" bestFit="1" customWidth="1"/>
    <col min="6" max="6" width="18.796875" bestFit="1" customWidth="1"/>
    <col min="7" max="7" width="17.296875" bestFit="1" customWidth="1"/>
    <col min="8" max="8" width="13.69921875" bestFit="1" customWidth="1"/>
    <col min="9" max="9" width="12.796875" bestFit="1" customWidth="1"/>
    <col min="10" max="10" width="13.5" bestFit="1" customWidth="1"/>
    <col min="11" max="11" width="19.296875" bestFit="1" customWidth="1"/>
  </cols>
  <sheetData>
    <row r="1" spans="2:11" ht="23.4">
      <c r="B1" s="5" t="s">
        <v>338</v>
      </c>
    </row>
    <row r="3" spans="2:11" s="27" customFormat="1" ht="31.2">
      <c r="B3" s="22" t="s">
        <v>138</v>
      </c>
      <c r="C3" s="22" t="s">
        <v>212</v>
      </c>
      <c r="D3" s="22" t="s">
        <v>283</v>
      </c>
      <c r="E3" s="22" t="s">
        <v>139</v>
      </c>
      <c r="F3" s="22" t="s">
        <v>140</v>
      </c>
      <c r="G3" s="22" t="s">
        <v>141</v>
      </c>
      <c r="H3" s="22" t="s">
        <v>362</v>
      </c>
      <c r="I3" s="22" t="s">
        <v>851</v>
      </c>
      <c r="J3" s="22" t="s">
        <v>268</v>
      </c>
      <c r="K3" s="22" t="s">
        <v>903</v>
      </c>
    </row>
    <row r="4" spans="2:11" s="27" customFormat="1" ht="31.2">
      <c r="B4" s="22">
        <v>50</v>
      </c>
      <c r="C4" s="22" t="s">
        <v>441</v>
      </c>
      <c r="D4" s="22" t="s">
        <v>442</v>
      </c>
      <c r="E4" s="22" t="s">
        <v>443</v>
      </c>
      <c r="F4" s="22" t="s">
        <v>444</v>
      </c>
      <c r="G4" s="22" t="s">
        <v>75</v>
      </c>
      <c r="H4" s="22" t="s">
        <v>75</v>
      </c>
      <c r="I4" s="41" t="s">
        <v>24</v>
      </c>
      <c r="J4" s="41" t="s">
        <v>862</v>
      </c>
      <c r="K4" s="22" t="s">
        <v>75</v>
      </c>
    </row>
    <row r="5" spans="2:11" s="27" customFormat="1">
      <c r="B5" s="22">
        <v>51</v>
      </c>
      <c r="C5" s="22" t="s">
        <v>256</v>
      </c>
      <c r="D5" s="22" t="s">
        <v>445</v>
      </c>
      <c r="E5" s="22" t="s">
        <v>302</v>
      </c>
      <c r="F5" s="22" t="s">
        <v>447</v>
      </c>
      <c r="G5" s="22" t="s">
        <v>75</v>
      </c>
      <c r="H5" s="22" t="s">
        <v>75</v>
      </c>
      <c r="I5" s="41" t="s">
        <v>25</v>
      </c>
      <c r="J5" s="41" t="s">
        <v>863</v>
      </c>
      <c r="K5" s="22" t="s">
        <v>75</v>
      </c>
    </row>
    <row r="6" spans="2:11" s="27" customFormat="1" ht="31.2">
      <c r="B6" s="22">
        <v>52</v>
      </c>
      <c r="C6" s="22" t="s">
        <v>256</v>
      </c>
      <c r="D6" s="22" t="s">
        <v>448</v>
      </c>
      <c r="E6" s="22" t="s">
        <v>398</v>
      </c>
      <c r="F6" s="22" t="s">
        <v>449</v>
      </c>
      <c r="G6" s="22" t="s">
        <v>75</v>
      </c>
      <c r="H6" s="22" t="s">
        <v>75</v>
      </c>
      <c r="I6" s="41" t="s">
        <v>25</v>
      </c>
      <c r="J6" s="41" t="s">
        <v>864</v>
      </c>
      <c r="K6" s="22" t="s">
        <v>75</v>
      </c>
    </row>
    <row r="7" spans="2:11" s="27" customFormat="1">
      <c r="B7" s="22">
        <v>53</v>
      </c>
      <c r="C7" s="22" t="s">
        <v>256</v>
      </c>
      <c r="D7" s="22" t="s">
        <v>450</v>
      </c>
      <c r="E7" s="22" t="s">
        <v>403</v>
      </c>
      <c r="F7" s="22" t="s">
        <v>452</v>
      </c>
      <c r="G7" s="22" t="s">
        <v>75</v>
      </c>
      <c r="H7" s="22" t="s">
        <v>75</v>
      </c>
      <c r="I7" s="41" t="s">
        <v>25</v>
      </c>
      <c r="J7" s="41" t="s">
        <v>864</v>
      </c>
      <c r="K7" s="22" t="s">
        <v>75</v>
      </c>
    </row>
    <row r="8" spans="2:11" s="27" customFormat="1">
      <c r="B8" s="22">
        <v>54</v>
      </c>
      <c r="C8" s="22" t="s">
        <v>256</v>
      </c>
      <c r="D8" s="22" t="s">
        <v>453</v>
      </c>
      <c r="E8" s="22" t="s">
        <v>865</v>
      </c>
      <c r="F8" s="22" t="s">
        <v>454</v>
      </c>
      <c r="G8" s="22" t="s">
        <v>75</v>
      </c>
      <c r="H8" s="22" t="s">
        <v>75</v>
      </c>
      <c r="I8" s="41" t="s">
        <v>25</v>
      </c>
      <c r="J8" s="41" t="s">
        <v>866</v>
      </c>
      <c r="K8" s="22" t="s">
        <v>75</v>
      </c>
    </row>
    <row r="9" spans="2:11" s="27" customFormat="1">
      <c r="B9" s="22">
        <v>55</v>
      </c>
      <c r="C9" s="22" t="s">
        <v>256</v>
      </c>
      <c r="D9" s="22" t="s">
        <v>455</v>
      </c>
      <c r="E9" s="22" t="s">
        <v>222</v>
      </c>
      <c r="F9" s="22" t="s">
        <v>457</v>
      </c>
      <c r="G9" s="22" t="s">
        <v>75</v>
      </c>
      <c r="H9" s="22" t="s">
        <v>75</v>
      </c>
      <c r="I9" s="41" t="s">
        <v>25</v>
      </c>
      <c r="J9" s="41" t="s">
        <v>867</v>
      </c>
      <c r="K9" s="22" t="s">
        <v>75</v>
      </c>
    </row>
    <row r="10" spans="2:11" s="27" customFormat="1">
      <c r="B10" s="22">
        <v>56</v>
      </c>
      <c r="C10" s="22" t="s">
        <v>458</v>
      </c>
      <c r="D10" s="22" t="s">
        <v>258</v>
      </c>
      <c r="E10" s="22" t="s">
        <v>154</v>
      </c>
      <c r="F10" s="22" t="s">
        <v>154</v>
      </c>
      <c r="G10" s="22" t="s">
        <v>154</v>
      </c>
      <c r="H10" s="22" t="s">
        <v>154</v>
      </c>
      <c r="I10" s="41" t="s">
        <v>154</v>
      </c>
      <c r="J10" s="41" t="s">
        <v>868</v>
      </c>
      <c r="K10" s="23" t="s">
        <v>154</v>
      </c>
    </row>
    <row r="11" spans="2:11" s="27" customFormat="1">
      <c r="B11" s="22">
        <v>57</v>
      </c>
      <c r="C11" s="22" t="s">
        <v>257</v>
      </c>
      <c r="D11" s="22" t="s">
        <v>259</v>
      </c>
      <c r="E11" s="22" t="s">
        <v>154</v>
      </c>
      <c r="F11" s="22" t="s">
        <v>154</v>
      </c>
      <c r="G11" s="22" t="s">
        <v>154</v>
      </c>
      <c r="H11" s="22" t="s">
        <v>154</v>
      </c>
      <c r="I11" s="41" t="s">
        <v>154</v>
      </c>
      <c r="J11" s="41" t="s">
        <v>868</v>
      </c>
      <c r="K11" s="23" t="s">
        <v>154</v>
      </c>
    </row>
    <row r="12" spans="2:11" s="27" customFormat="1">
      <c r="B12" s="22">
        <v>58</v>
      </c>
      <c r="C12" s="22" t="s">
        <v>869</v>
      </c>
      <c r="D12" s="22" t="s">
        <v>167</v>
      </c>
      <c r="E12" s="22" t="s">
        <v>154</v>
      </c>
      <c r="F12" s="22" t="s">
        <v>154</v>
      </c>
      <c r="G12" s="22" t="s">
        <v>154</v>
      </c>
      <c r="H12" s="22" t="s">
        <v>154</v>
      </c>
      <c r="I12" s="41" t="s">
        <v>154</v>
      </c>
      <c r="J12" s="41" t="s">
        <v>868</v>
      </c>
      <c r="K12" s="22" t="s">
        <v>154</v>
      </c>
    </row>
    <row r="13" spans="2:11" s="27" customFormat="1">
      <c r="B13" s="22">
        <v>59</v>
      </c>
      <c r="C13" s="22" t="s">
        <v>260</v>
      </c>
      <c r="D13" s="22" t="s">
        <v>168</v>
      </c>
      <c r="E13" s="22" t="s">
        <v>154</v>
      </c>
      <c r="F13" s="22" t="s">
        <v>154</v>
      </c>
      <c r="G13" s="22" t="s">
        <v>154</v>
      </c>
      <c r="H13" s="22" t="s">
        <v>154</v>
      </c>
      <c r="I13" s="41" t="s">
        <v>154</v>
      </c>
      <c r="J13" s="41" t="s">
        <v>868</v>
      </c>
      <c r="K13" s="22" t="s">
        <v>154</v>
      </c>
    </row>
  </sheetData>
  <phoneticPr fontId="5"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2"/>
  <sheetViews>
    <sheetView topLeftCell="A24" workbookViewId="0">
      <selection activeCell="G34" sqref="G34"/>
    </sheetView>
  </sheetViews>
  <sheetFormatPr defaultColWidth="11" defaultRowHeight="15.6"/>
  <cols>
    <col min="2" max="2" width="13.296875" style="3" bestFit="1" customWidth="1"/>
    <col min="3" max="13" width="10.796875" style="1"/>
  </cols>
  <sheetData>
    <row r="1" spans="2:14" ht="23.4">
      <c r="B1" s="4" t="s">
        <v>339</v>
      </c>
    </row>
    <row r="2" spans="2:14" ht="16.2" thickBot="1"/>
    <row r="3" spans="2:14" s="27" customFormat="1">
      <c r="B3" s="119" t="s">
        <v>39</v>
      </c>
      <c r="C3" s="120"/>
      <c r="D3" s="120"/>
      <c r="E3" s="120"/>
      <c r="F3" s="120"/>
      <c r="G3" s="120"/>
      <c r="H3" s="120"/>
      <c r="I3" s="120"/>
      <c r="J3" s="120"/>
      <c r="K3" s="120"/>
      <c r="L3" s="120"/>
      <c r="M3" s="120"/>
      <c r="N3" s="121"/>
    </row>
    <row r="4" spans="2:14" s="27" customFormat="1">
      <c r="B4" s="42" t="s">
        <v>51</v>
      </c>
      <c r="C4" s="43" t="s">
        <v>97</v>
      </c>
      <c r="D4" s="43" t="s">
        <v>98</v>
      </c>
      <c r="E4" s="43" t="s">
        <v>99</v>
      </c>
      <c r="F4" s="43" t="s">
        <v>100</v>
      </c>
      <c r="G4" s="43" t="s">
        <v>101</v>
      </c>
      <c r="H4" s="43" t="s">
        <v>102</v>
      </c>
      <c r="I4" s="43" t="s">
        <v>103</v>
      </c>
      <c r="J4" s="43" t="s">
        <v>104</v>
      </c>
      <c r="K4" s="43" t="s">
        <v>105</v>
      </c>
      <c r="L4" s="43" t="s">
        <v>134</v>
      </c>
      <c r="M4" s="44" t="s">
        <v>135</v>
      </c>
      <c r="N4" s="45" t="s">
        <v>68</v>
      </c>
    </row>
    <row r="5" spans="2:14" s="27" customFormat="1">
      <c r="B5" s="46" t="s">
        <v>50</v>
      </c>
      <c r="C5" s="31">
        <v>0</v>
      </c>
      <c r="D5" s="31">
        <v>0</v>
      </c>
      <c r="E5" s="31">
        <v>0</v>
      </c>
      <c r="F5" s="31">
        <v>0</v>
      </c>
      <c r="G5" s="31">
        <v>0</v>
      </c>
      <c r="H5" s="31">
        <v>0</v>
      </c>
      <c r="I5" s="31">
        <v>0</v>
      </c>
      <c r="J5" s="31">
        <v>1700</v>
      </c>
      <c r="K5" s="31">
        <v>0</v>
      </c>
      <c r="L5" s="31">
        <v>2000</v>
      </c>
      <c r="M5" s="31">
        <v>0</v>
      </c>
      <c r="N5" s="32">
        <v>3700</v>
      </c>
    </row>
    <row r="6" spans="2:14" s="27" customFormat="1">
      <c r="B6" s="46" t="s">
        <v>52</v>
      </c>
      <c r="C6" s="31">
        <v>0</v>
      </c>
      <c r="D6" s="31">
        <v>0</v>
      </c>
      <c r="E6" s="31">
        <v>0</v>
      </c>
      <c r="F6" s="31">
        <v>0</v>
      </c>
      <c r="G6" s="31">
        <v>0</v>
      </c>
      <c r="H6" s="31">
        <v>0</v>
      </c>
      <c r="I6" s="31">
        <v>0</v>
      </c>
      <c r="J6" s="31">
        <v>0</v>
      </c>
      <c r="K6" s="31">
        <v>0</v>
      </c>
      <c r="L6" s="31">
        <v>0</v>
      </c>
      <c r="M6" s="31">
        <v>200</v>
      </c>
      <c r="N6" s="32">
        <v>200</v>
      </c>
    </row>
    <row r="7" spans="2:14" s="27" customFormat="1">
      <c r="B7" s="46" t="s">
        <v>46</v>
      </c>
      <c r="C7" s="31">
        <v>0</v>
      </c>
      <c r="D7" s="31">
        <v>0</v>
      </c>
      <c r="E7" s="31">
        <v>0</v>
      </c>
      <c r="F7" s="31">
        <v>966</v>
      </c>
      <c r="G7" s="31">
        <v>0</v>
      </c>
      <c r="H7" s="31">
        <v>0</v>
      </c>
      <c r="I7" s="31">
        <v>0</v>
      </c>
      <c r="J7" s="31">
        <v>0</v>
      </c>
      <c r="K7" s="31">
        <v>0</v>
      </c>
      <c r="L7" s="31">
        <v>1000</v>
      </c>
      <c r="M7" s="31">
        <v>0</v>
      </c>
      <c r="N7" s="32">
        <v>1966</v>
      </c>
    </row>
    <row r="8" spans="2:14" s="27" customFormat="1">
      <c r="B8" s="46" t="s">
        <v>66</v>
      </c>
      <c r="C8" s="31">
        <v>0</v>
      </c>
      <c r="D8" s="31">
        <v>0</v>
      </c>
      <c r="E8" s="31">
        <v>0</v>
      </c>
      <c r="F8" s="31">
        <v>0</v>
      </c>
      <c r="G8" s="31">
        <v>0</v>
      </c>
      <c r="H8" s="31">
        <v>0</v>
      </c>
      <c r="I8" s="31">
        <v>0</v>
      </c>
      <c r="J8" s="31">
        <v>0</v>
      </c>
      <c r="K8" s="31">
        <v>0</v>
      </c>
      <c r="L8" s="31">
        <v>0</v>
      </c>
      <c r="M8" s="31">
        <v>0</v>
      </c>
      <c r="N8" s="32">
        <v>0</v>
      </c>
    </row>
    <row r="9" spans="2:14" s="27" customFormat="1">
      <c r="B9" s="46" t="s">
        <v>360</v>
      </c>
      <c r="C9" s="31">
        <v>0</v>
      </c>
      <c r="D9" s="31">
        <v>0</v>
      </c>
      <c r="E9" s="31">
        <v>0</v>
      </c>
      <c r="F9" s="31">
        <v>0</v>
      </c>
      <c r="G9" s="31">
        <v>0</v>
      </c>
      <c r="H9" s="31">
        <v>0</v>
      </c>
      <c r="I9" s="31">
        <v>0</v>
      </c>
      <c r="J9" s="31">
        <v>0</v>
      </c>
      <c r="K9" s="31">
        <v>600</v>
      </c>
      <c r="L9" s="31">
        <v>0</v>
      </c>
      <c r="M9" s="31">
        <v>0</v>
      </c>
      <c r="N9" s="32">
        <v>600</v>
      </c>
    </row>
    <row r="10" spans="2:14" s="27" customFormat="1">
      <c r="B10" s="46" t="s">
        <v>41</v>
      </c>
      <c r="C10" s="31">
        <v>0</v>
      </c>
      <c r="D10" s="31">
        <v>0</v>
      </c>
      <c r="E10" s="31">
        <v>0</v>
      </c>
      <c r="F10" s="31">
        <v>12</v>
      </c>
      <c r="G10" s="31">
        <v>0</v>
      </c>
      <c r="H10" s="31">
        <v>0</v>
      </c>
      <c r="I10" s="31">
        <v>0</v>
      </c>
      <c r="J10" s="31">
        <v>144</v>
      </c>
      <c r="K10" s="31">
        <v>0</v>
      </c>
      <c r="L10" s="31">
        <v>0</v>
      </c>
      <c r="M10" s="31">
        <v>0</v>
      </c>
      <c r="N10" s="32">
        <v>156</v>
      </c>
    </row>
    <row r="11" spans="2:14" s="27" customFormat="1">
      <c r="B11" s="46" t="s">
        <v>47</v>
      </c>
      <c r="C11" s="31">
        <v>0</v>
      </c>
      <c r="D11" s="31">
        <v>0</v>
      </c>
      <c r="E11" s="31">
        <v>0</v>
      </c>
      <c r="F11" s="31">
        <v>1076.5</v>
      </c>
      <c r="G11" s="31">
        <v>0</v>
      </c>
      <c r="H11" s="31">
        <v>0</v>
      </c>
      <c r="I11" s="31">
        <v>0</v>
      </c>
      <c r="J11" s="31">
        <v>0</v>
      </c>
      <c r="K11" s="31">
        <v>0</v>
      </c>
      <c r="L11" s="31">
        <v>0</v>
      </c>
      <c r="M11" s="31">
        <v>1200</v>
      </c>
      <c r="N11" s="32">
        <v>2276.5</v>
      </c>
    </row>
    <row r="12" spans="2:14" s="27" customFormat="1">
      <c r="B12" s="46" t="s">
        <v>42</v>
      </c>
      <c r="C12" s="31">
        <v>0</v>
      </c>
      <c r="D12" s="31">
        <v>804</v>
      </c>
      <c r="E12" s="31">
        <v>0</v>
      </c>
      <c r="F12" s="31">
        <v>0</v>
      </c>
      <c r="G12" s="31">
        <v>2013</v>
      </c>
      <c r="H12" s="31">
        <v>1232</v>
      </c>
      <c r="I12" s="31">
        <v>1230</v>
      </c>
      <c r="J12" s="31">
        <v>2370</v>
      </c>
      <c r="K12" s="31">
        <v>0</v>
      </c>
      <c r="L12" s="31">
        <v>3000</v>
      </c>
      <c r="M12" s="31">
        <v>0</v>
      </c>
      <c r="N12" s="32">
        <v>10649</v>
      </c>
    </row>
    <row r="13" spans="2:14" s="27" customFormat="1">
      <c r="B13" s="46" t="s">
        <v>45</v>
      </c>
      <c r="C13" s="31">
        <v>0</v>
      </c>
      <c r="D13" s="31">
        <v>0</v>
      </c>
      <c r="E13" s="31">
        <v>1100</v>
      </c>
      <c r="F13" s="31">
        <v>0</v>
      </c>
      <c r="G13" s="31">
        <v>1509.6</v>
      </c>
      <c r="H13" s="31">
        <v>0</v>
      </c>
      <c r="I13" s="31">
        <v>0</v>
      </c>
      <c r="J13" s="31">
        <v>0</v>
      </c>
      <c r="K13" s="31">
        <v>0</v>
      </c>
      <c r="L13" s="31">
        <v>0</v>
      </c>
      <c r="M13" s="31">
        <v>0</v>
      </c>
      <c r="N13" s="32">
        <v>2609.6</v>
      </c>
    </row>
    <row r="14" spans="2:14" s="27" customFormat="1">
      <c r="B14" s="46" t="s">
        <v>44</v>
      </c>
      <c r="C14" s="31">
        <v>0</v>
      </c>
      <c r="D14" s="31">
        <v>132</v>
      </c>
      <c r="E14" s="31">
        <v>0</v>
      </c>
      <c r="F14" s="31">
        <v>816</v>
      </c>
      <c r="G14" s="31">
        <v>1260</v>
      </c>
      <c r="H14" s="31">
        <v>0</v>
      </c>
      <c r="I14" s="31">
        <v>0</v>
      </c>
      <c r="J14" s="31">
        <v>0</v>
      </c>
      <c r="K14" s="31">
        <v>2000</v>
      </c>
      <c r="L14" s="31">
        <v>4320</v>
      </c>
      <c r="M14" s="31">
        <v>0</v>
      </c>
      <c r="N14" s="32">
        <v>8528</v>
      </c>
    </row>
    <row r="15" spans="2:14" s="27" customFormat="1">
      <c r="B15" s="46" t="s">
        <v>67</v>
      </c>
      <c r="C15" s="31">
        <v>0</v>
      </c>
      <c r="D15" s="31">
        <v>0</v>
      </c>
      <c r="E15" s="31">
        <v>0</v>
      </c>
      <c r="F15" s="31">
        <v>0</v>
      </c>
      <c r="G15" s="31">
        <v>0</v>
      </c>
      <c r="H15" s="31">
        <v>0</v>
      </c>
      <c r="I15" s="31">
        <v>1150</v>
      </c>
      <c r="J15" s="31">
        <v>1150</v>
      </c>
      <c r="K15" s="31">
        <v>1150</v>
      </c>
      <c r="L15" s="31">
        <v>0</v>
      </c>
      <c r="M15" s="31">
        <v>650</v>
      </c>
      <c r="N15" s="32">
        <v>4100</v>
      </c>
    </row>
    <row r="16" spans="2:14" s="27" customFormat="1">
      <c r="B16" s="46" t="s">
        <v>49</v>
      </c>
      <c r="C16" s="31">
        <v>0</v>
      </c>
      <c r="D16" s="31">
        <v>0</v>
      </c>
      <c r="E16" s="31">
        <v>20.7</v>
      </c>
      <c r="F16" s="31">
        <v>0</v>
      </c>
      <c r="G16" s="31">
        <v>0</v>
      </c>
      <c r="H16" s="31">
        <v>0</v>
      </c>
      <c r="I16" s="31">
        <v>0</v>
      </c>
      <c r="J16" s="31">
        <v>0</v>
      </c>
      <c r="K16" s="31">
        <v>0</v>
      </c>
      <c r="L16" s="31">
        <v>0</v>
      </c>
      <c r="M16" s="31">
        <v>0</v>
      </c>
      <c r="N16" s="32">
        <v>20.7</v>
      </c>
    </row>
    <row r="17" spans="2:14" s="27" customFormat="1">
      <c r="B17" s="46" t="s">
        <v>286</v>
      </c>
      <c r="C17" s="31">
        <v>0</v>
      </c>
      <c r="D17" s="31">
        <v>0</v>
      </c>
      <c r="E17" s="31">
        <v>0</v>
      </c>
      <c r="F17" s="31">
        <v>0</v>
      </c>
      <c r="G17" s="31">
        <v>0</v>
      </c>
      <c r="H17" s="31">
        <v>0</v>
      </c>
      <c r="I17" s="31">
        <v>0</v>
      </c>
      <c r="J17" s="31">
        <v>0</v>
      </c>
      <c r="K17" s="31">
        <v>0</v>
      </c>
      <c r="L17" s="31">
        <v>0</v>
      </c>
      <c r="M17" s="31">
        <v>10597</v>
      </c>
      <c r="N17" s="32">
        <v>10597</v>
      </c>
    </row>
    <row r="18" spans="2:14" s="27" customFormat="1">
      <c r="B18" s="42" t="s">
        <v>43</v>
      </c>
      <c r="C18" s="47">
        <v>0</v>
      </c>
      <c r="D18" s="47">
        <v>0</v>
      </c>
      <c r="E18" s="47">
        <v>704</v>
      </c>
      <c r="F18" s="47">
        <v>924</v>
      </c>
      <c r="G18" s="47">
        <v>0</v>
      </c>
      <c r="H18" s="47">
        <v>0</v>
      </c>
      <c r="I18" s="47">
        <v>0</v>
      </c>
      <c r="J18" s="47">
        <v>0</v>
      </c>
      <c r="K18" s="47">
        <v>0</v>
      </c>
      <c r="L18" s="47">
        <v>0</v>
      </c>
      <c r="M18" s="31">
        <v>0</v>
      </c>
      <c r="N18" s="32">
        <v>1628</v>
      </c>
    </row>
    <row r="19" spans="2:14" s="27" customFormat="1">
      <c r="B19" s="42" t="s">
        <v>361</v>
      </c>
      <c r="C19" s="47">
        <v>0</v>
      </c>
      <c r="D19" s="47">
        <v>0</v>
      </c>
      <c r="E19" s="47">
        <v>0</v>
      </c>
      <c r="F19" s="47">
        <v>0</v>
      </c>
      <c r="G19" s="47">
        <v>0</v>
      </c>
      <c r="H19" s="47">
        <v>0</v>
      </c>
      <c r="I19" s="47">
        <v>0</v>
      </c>
      <c r="J19" s="47">
        <v>0</v>
      </c>
      <c r="K19" s="47">
        <v>0</v>
      </c>
      <c r="L19" s="47">
        <v>0</v>
      </c>
      <c r="M19" s="31">
        <v>0</v>
      </c>
      <c r="N19" s="32">
        <v>0</v>
      </c>
    </row>
    <row r="20" spans="2:14" s="27" customFormat="1">
      <c r="B20" s="42" t="s">
        <v>48</v>
      </c>
      <c r="C20" s="47">
        <v>0</v>
      </c>
      <c r="D20" s="47">
        <v>0</v>
      </c>
      <c r="E20" s="47">
        <v>2587.1999999999998</v>
      </c>
      <c r="F20" s="47">
        <v>0</v>
      </c>
      <c r="G20" s="47">
        <v>0</v>
      </c>
      <c r="H20" s="47">
        <v>0</v>
      </c>
      <c r="I20" s="47">
        <v>0</v>
      </c>
      <c r="J20" s="47">
        <v>0</v>
      </c>
      <c r="K20" s="47">
        <v>0</v>
      </c>
      <c r="L20" s="47">
        <v>0</v>
      </c>
      <c r="M20" s="31">
        <v>2600</v>
      </c>
      <c r="N20" s="32">
        <v>5187.2</v>
      </c>
    </row>
    <row r="21" spans="2:14" s="27" customFormat="1">
      <c r="B21" s="48" t="s">
        <v>68</v>
      </c>
      <c r="C21" s="35">
        <v>0</v>
      </c>
      <c r="D21" s="35">
        <v>936</v>
      </c>
      <c r="E21" s="35">
        <v>4411.8999999999996</v>
      </c>
      <c r="F21" s="35">
        <v>3794.5</v>
      </c>
      <c r="G21" s="35">
        <v>4782.6000000000004</v>
      </c>
      <c r="H21" s="35">
        <v>1232</v>
      </c>
      <c r="I21" s="35">
        <v>2380</v>
      </c>
      <c r="J21" s="35">
        <v>5364</v>
      </c>
      <c r="K21" s="35">
        <v>3750</v>
      </c>
      <c r="L21" s="35">
        <v>10320</v>
      </c>
      <c r="M21" s="35">
        <v>15247</v>
      </c>
      <c r="N21" s="36">
        <v>52218</v>
      </c>
    </row>
    <row r="22" spans="2:14" s="27" customFormat="1">
      <c r="B22" s="42"/>
      <c r="C22" s="47"/>
      <c r="D22" s="47"/>
      <c r="E22" s="47"/>
      <c r="F22" s="47"/>
      <c r="G22" s="47"/>
      <c r="H22" s="47"/>
      <c r="I22" s="47"/>
      <c r="J22" s="47"/>
      <c r="K22" s="47"/>
      <c r="L22" s="47"/>
      <c r="M22" s="47"/>
    </row>
    <row r="23" spans="2:14" s="27" customFormat="1" ht="16.2" thickBot="1">
      <c r="B23" s="49"/>
      <c r="C23" s="44"/>
      <c r="D23" s="44"/>
      <c r="E23" s="44"/>
      <c r="F23" s="44"/>
      <c r="G23" s="44"/>
      <c r="H23" s="44"/>
      <c r="I23" s="44"/>
      <c r="J23" s="44"/>
      <c r="K23" s="44"/>
      <c r="L23" s="44"/>
      <c r="M23" s="44"/>
    </row>
    <row r="24" spans="2:14" s="27" customFormat="1">
      <c r="B24" s="119" t="s">
        <v>40</v>
      </c>
      <c r="C24" s="120"/>
      <c r="D24" s="120"/>
      <c r="E24" s="120"/>
      <c r="F24" s="120"/>
      <c r="G24" s="120"/>
      <c r="H24" s="120"/>
      <c r="I24" s="120"/>
      <c r="J24" s="120"/>
      <c r="K24" s="120"/>
      <c r="L24" s="120"/>
      <c r="M24" s="120"/>
      <c r="N24" s="121"/>
    </row>
    <row r="25" spans="2:14" s="27" customFormat="1">
      <c r="B25" s="27" t="s">
        <v>51</v>
      </c>
      <c r="C25" s="27" t="s">
        <v>97</v>
      </c>
      <c r="D25" s="27" t="s">
        <v>98</v>
      </c>
      <c r="E25" s="27" t="s">
        <v>99</v>
      </c>
      <c r="F25" s="27" t="s">
        <v>100</v>
      </c>
      <c r="G25" s="27" t="s">
        <v>101</v>
      </c>
      <c r="H25" s="27" t="s">
        <v>102</v>
      </c>
      <c r="I25" s="27" t="s">
        <v>103</v>
      </c>
      <c r="J25" s="27" t="s">
        <v>104</v>
      </c>
      <c r="K25" s="27" t="s">
        <v>105</v>
      </c>
      <c r="L25" s="27" t="s">
        <v>134</v>
      </c>
      <c r="M25" s="27" t="s">
        <v>135</v>
      </c>
      <c r="N25" s="50" t="s">
        <v>68</v>
      </c>
    </row>
    <row r="26" spans="2:14" s="27" customFormat="1">
      <c r="B26" s="27" t="s">
        <v>50</v>
      </c>
      <c r="C26" s="30">
        <v>0</v>
      </c>
      <c r="D26" s="30">
        <v>0</v>
      </c>
      <c r="E26" s="30">
        <v>0</v>
      </c>
      <c r="F26" s="30">
        <v>0</v>
      </c>
      <c r="G26" s="30">
        <v>0</v>
      </c>
      <c r="H26" s="30">
        <v>0</v>
      </c>
      <c r="I26" s="30">
        <v>0</v>
      </c>
      <c r="J26" s="30">
        <v>0</v>
      </c>
      <c r="K26" s="30">
        <v>100</v>
      </c>
      <c r="L26" s="30">
        <v>0</v>
      </c>
      <c r="M26" s="30">
        <v>200</v>
      </c>
      <c r="N26" s="51">
        <v>300</v>
      </c>
    </row>
    <row r="27" spans="2:14" s="27" customFormat="1">
      <c r="B27" s="27" t="s">
        <v>52</v>
      </c>
      <c r="C27" s="30">
        <v>0</v>
      </c>
      <c r="D27" s="30">
        <v>0</v>
      </c>
      <c r="E27" s="30">
        <v>0</v>
      </c>
      <c r="F27" s="30">
        <v>315</v>
      </c>
      <c r="G27" s="30">
        <v>0</v>
      </c>
      <c r="H27" s="30">
        <v>0</v>
      </c>
      <c r="I27" s="30">
        <v>0</v>
      </c>
      <c r="J27" s="30">
        <v>0</v>
      </c>
      <c r="K27" s="30">
        <v>0</v>
      </c>
      <c r="L27" s="30">
        <v>800</v>
      </c>
      <c r="M27" s="30">
        <v>0</v>
      </c>
      <c r="N27" s="51">
        <v>1115</v>
      </c>
    </row>
    <row r="28" spans="2:14" s="27" customFormat="1">
      <c r="B28" s="27" t="s">
        <v>46</v>
      </c>
      <c r="C28" s="30">
        <v>0</v>
      </c>
      <c r="D28" s="30">
        <v>0</v>
      </c>
      <c r="E28" s="30">
        <v>0</v>
      </c>
      <c r="F28" s="30">
        <v>0</v>
      </c>
      <c r="G28" s="30">
        <v>0</v>
      </c>
      <c r="H28" s="30">
        <v>0</v>
      </c>
      <c r="I28" s="30">
        <v>0</v>
      </c>
      <c r="J28" s="30">
        <v>0</v>
      </c>
      <c r="K28" s="30">
        <v>0</v>
      </c>
      <c r="L28" s="30">
        <v>0</v>
      </c>
      <c r="M28" s="30">
        <v>0</v>
      </c>
      <c r="N28" s="51">
        <v>0</v>
      </c>
    </row>
    <row r="29" spans="2:14" s="27" customFormat="1">
      <c r="B29" s="27" t="s">
        <v>66</v>
      </c>
      <c r="C29" s="30">
        <v>0</v>
      </c>
      <c r="D29" s="30">
        <v>0</v>
      </c>
      <c r="E29" s="30">
        <v>0</v>
      </c>
      <c r="F29" s="30">
        <v>0</v>
      </c>
      <c r="G29" s="30">
        <v>0</v>
      </c>
      <c r="H29" s="30">
        <v>0</v>
      </c>
      <c r="I29" s="30">
        <v>0</v>
      </c>
      <c r="J29" s="30">
        <v>0</v>
      </c>
      <c r="K29" s="30">
        <v>0</v>
      </c>
      <c r="L29" s="30">
        <v>0</v>
      </c>
      <c r="M29" s="30">
        <v>0</v>
      </c>
      <c r="N29" s="51">
        <v>0</v>
      </c>
    </row>
    <row r="30" spans="2:14" s="27" customFormat="1">
      <c r="B30" s="27" t="s">
        <v>360</v>
      </c>
      <c r="C30" s="30">
        <v>0</v>
      </c>
      <c r="D30" s="30">
        <v>0</v>
      </c>
      <c r="E30" s="30">
        <v>0</v>
      </c>
      <c r="F30" s="30">
        <v>0</v>
      </c>
      <c r="G30" s="30">
        <v>0</v>
      </c>
      <c r="H30" s="30">
        <v>0</v>
      </c>
      <c r="I30" s="30">
        <v>0</v>
      </c>
      <c r="J30" s="30">
        <v>0</v>
      </c>
      <c r="K30" s="30">
        <v>0</v>
      </c>
      <c r="L30" s="30">
        <v>500</v>
      </c>
      <c r="M30" s="30">
        <v>500</v>
      </c>
      <c r="N30" s="51">
        <v>1000</v>
      </c>
    </row>
    <row r="31" spans="2:14" s="27" customFormat="1">
      <c r="B31" s="27" t="s">
        <v>41</v>
      </c>
      <c r="C31" s="30">
        <v>0</v>
      </c>
      <c r="D31" s="30">
        <v>0</v>
      </c>
      <c r="E31" s="30">
        <v>0</v>
      </c>
      <c r="F31" s="30">
        <v>11</v>
      </c>
      <c r="G31" s="30">
        <v>0</v>
      </c>
      <c r="H31" s="30">
        <v>0</v>
      </c>
      <c r="I31" s="30">
        <v>0</v>
      </c>
      <c r="J31" s="30">
        <v>0</v>
      </c>
      <c r="K31" s="30">
        <v>0</v>
      </c>
      <c r="L31" s="30">
        <v>0</v>
      </c>
      <c r="M31" s="30">
        <v>0</v>
      </c>
      <c r="N31" s="51">
        <v>11</v>
      </c>
    </row>
    <row r="32" spans="2:14" s="27" customFormat="1">
      <c r="B32" s="27" t="s">
        <v>47</v>
      </c>
      <c r="C32" s="30">
        <v>0</v>
      </c>
      <c r="D32" s="30">
        <v>0</v>
      </c>
      <c r="E32" s="30">
        <v>0</v>
      </c>
      <c r="F32" s="30">
        <v>268</v>
      </c>
      <c r="G32" s="30">
        <v>1774.5</v>
      </c>
      <c r="H32" s="30">
        <v>0</v>
      </c>
      <c r="I32" s="30">
        <v>0</v>
      </c>
      <c r="J32" s="30">
        <v>0</v>
      </c>
      <c r="K32" s="30">
        <v>0</v>
      </c>
      <c r="L32" s="30">
        <v>500</v>
      </c>
      <c r="M32" s="30">
        <v>500</v>
      </c>
      <c r="N32" s="51">
        <v>3042.5</v>
      </c>
    </row>
    <row r="33" spans="2:14" s="27" customFormat="1">
      <c r="B33" s="27" t="s">
        <v>42</v>
      </c>
      <c r="C33" s="30">
        <v>0</v>
      </c>
      <c r="D33" s="30">
        <v>0</v>
      </c>
      <c r="E33" s="30">
        <v>0</v>
      </c>
      <c r="F33" s="30">
        <v>806</v>
      </c>
      <c r="G33" s="30">
        <v>0</v>
      </c>
      <c r="H33" s="30">
        <v>1608</v>
      </c>
      <c r="I33" s="30">
        <v>400</v>
      </c>
      <c r="J33" s="30">
        <v>600</v>
      </c>
      <c r="K33" s="30">
        <v>600</v>
      </c>
      <c r="L33" s="30">
        <v>600</v>
      </c>
      <c r="M33" s="30">
        <v>600</v>
      </c>
      <c r="N33" s="51">
        <v>5214</v>
      </c>
    </row>
    <row r="34" spans="2:14" s="27" customFormat="1">
      <c r="B34" s="27" t="s">
        <v>45</v>
      </c>
      <c r="C34" s="30">
        <v>0</v>
      </c>
      <c r="D34" s="30">
        <v>0</v>
      </c>
      <c r="E34" s="30">
        <v>0</v>
      </c>
      <c r="F34" s="30">
        <v>1104</v>
      </c>
      <c r="G34" s="30">
        <v>0</v>
      </c>
      <c r="H34" s="30">
        <v>761.6</v>
      </c>
      <c r="I34" s="30">
        <v>1518</v>
      </c>
      <c r="J34" s="30">
        <v>378</v>
      </c>
      <c r="K34" s="30">
        <v>1200</v>
      </c>
      <c r="L34" s="30">
        <v>0</v>
      </c>
      <c r="M34" s="30">
        <v>0</v>
      </c>
      <c r="N34" s="51">
        <v>4961.6000000000004</v>
      </c>
    </row>
    <row r="35" spans="2:14" s="27" customFormat="1">
      <c r="B35" s="27" t="s">
        <v>44</v>
      </c>
      <c r="C35" s="30">
        <v>0</v>
      </c>
      <c r="D35" s="30">
        <v>0</v>
      </c>
      <c r="E35" s="30">
        <v>132</v>
      </c>
      <c r="F35" s="30">
        <v>924</v>
      </c>
      <c r="G35" s="30">
        <v>816</v>
      </c>
      <c r="H35" s="30">
        <v>1260</v>
      </c>
      <c r="I35" s="30">
        <v>1230</v>
      </c>
      <c r="J35" s="30">
        <v>1000</v>
      </c>
      <c r="K35" s="30">
        <v>1000</v>
      </c>
      <c r="L35" s="30">
        <v>0</v>
      </c>
      <c r="M35" s="30">
        <v>1200</v>
      </c>
      <c r="N35" s="51">
        <v>7562</v>
      </c>
    </row>
    <row r="36" spans="2:14" s="27" customFormat="1">
      <c r="B36" s="27" t="s">
        <v>67</v>
      </c>
      <c r="C36" s="30">
        <v>0</v>
      </c>
      <c r="D36" s="30">
        <v>0</v>
      </c>
      <c r="E36" s="30">
        <v>0</v>
      </c>
      <c r="F36" s="30">
        <v>0</v>
      </c>
      <c r="G36" s="30">
        <v>0</v>
      </c>
      <c r="H36" s="30">
        <v>0</v>
      </c>
      <c r="I36" s="30">
        <v>800</v>
      </c>
      <c r="J36" s="30">
        <v>800</v>
      </c>
      <c r="K36" s="30">
        <v>800</v>
      </c>
      <c r="L36" s="30">
        <v>0</v>
      </c>
      <c r="M36" s="30">
        <v>400</v>
      </c>
      <c r="N36" s="51">
        <v>2800</v>
      </c>
    </row>
    <row r="37" spans="2:14" s="27" customFormat="1">
      <c r="B37" s="27" t="s">
        <v>49</v>
      </c>
      <c r="C37" s="30">
        <v>0</v>
      </c>
      <c r="D37" s="30">
        <v>0</v>
      </c>
      <c r="E37" s="30">
        <v>0</v>
      </c>
      <c r="F37" s="30">
        <v>20.7</v>
      </c>
      <c r="G37" s="30">
        <v>0</v>
      </c>
      <c r="H37" s="30">
        <v>0</v>
      </c>
      <c r="I37" s="30">
        <v>0</v>
      </c>
      <c r="J37" s="30">
        <v>0</v>
      </c>
      <c r="K37" s="30">
        <v>0</v>
      </c>
      <c r="L37" s="30">
        <v>0</v>
      </c>
      <c r="M37" s="30">
        <v>0</v>
      </c>
      <c r="N37" s="51">
        <v>20.7</v>
      </c>
    </row>
    <row r="38" spans="2:14" s="27" customFormat="1">
      <c r="B38" s="27" t="s">
        <v>286</v>
      </c>
      <c r="C38" s="30">
        <v>0</v>
      </c>
      <c r="D38" s="30">
        <v>0</v>
      </c>
      <c r="E38" s="30">
        <v>0</v>
      </c>
      <c r="F38" s="30">
        <v>0</v>
      </c>
      <c r="G38" s="30">
        <v>0</v>
      </c>
      <c r="H38" s="30">
        <v>0</v>
      </c>
      <c r="I38" s="30">
        <v>0</v>
      </c>
      <c r="J38" s="30">
        <v>0</v>
      </c>
      <c r="K38" s="30">
        <v>0</v>
      </c>
      <c r="L38" s="30">
        <v>0</v>
      </c>
      <c r="M38" s="30">
        <v>0</v>
      </c>
      <c r="N38" s="51">
        <v>0</v>
      </c>
    </row>
    <row r="39" spans="2:14" s="27" customFormat="1">
      <c r="B39" s="27" t="s">
        <v>43</v>
      </c>
      <c r="C39" s="30">
        <v>0</v>
      </c>
      <c r="D39" s="30">
        <v>0</v>
      </c>
      <c r="E39" s="30">
        <v>0</v>
      </c>
      <c r="F39" s="30">
        <v>400</v>
      </c>
      <c r="G39" s="30">
        <v>0</v>
      </c>
      <c r="H39" s="30">
        <v>0</v>
      </c>
      <c r="I39" s="30">
        <v>0</v>
      </c>
      <c r="J39" s="30">
        <v>0</v>
      </c>
      <c r="K39" s="30">
        <v>0</v>
      </c>
      <c r="L39" s="30">
        <v>0</v>
      </c>
      <c r="M39" s="30">
        <v>0</v>
      </c>
      <c r="N39" s="51">
        <v>400</v>
      </c>
    </row>
    <row r="40" spans="2:14" s="27" customFormat="1">
      <c r="B40" s="27" t="s">
        <v>361</v>
      </c>
      <c r="C40" s="30">
        <v>0</v>
      </c>
      <c r="D40" s="30">
        <v>0</v>
      </c>
      <c r="E40" s="30">
        <v>0</v>
      </c>
      <c r="F40" s="30">
        <v>0</v>
      </c>
      <c r="G40" s="30">
        <v>0</v>
      </c>
      <c r="H40" s="30">
        <v>0</v>
      </c>
      <c r="I40" s="30">
        <v>0</v>
      </c>
      <c r="J40" s="30">
        <v>0</v>
      </c>
      <c r="K40" s="30">
        <v>0</v>
      </c>
      <c r="L40" s="30">
        <v>0</v>
      </c>
      <c r="M40" s="30">
        <v>0</v>
      </c>
      <c r="N40" s="51">
        <v>0</v>
      </c>
    </row>
    <row r="41" spans="2:14" s="27" customFormat="1">
      <c r="B41" s="27" t="s">
        <v>48</v>
      </c>
      <c r="C41" s="30">
        <v>0</v>
      </c>
      <c r="D41" s="30">
        <v>0</v>
      </c>
      <c r="E41" s="30">
        <v>0</v>
      </c>
      <c r="F41" s="30">
        <v>880</v>
      </c>
      <c r="G41" s="30">
        <v>880</v>
      </c>
      <c r="H41" s="30">
        <v>880</v>
      </c>
      <c r="I41" s="30">
        <v>0</v>
      </c>
      <c r="J41" s="30">
        <v>0</v>
      </c>
      <c r="K41" s="30">
        <v>0</v>
      </c>
      <c r="L41" s="30">
        <v>0</v>
      </c>
      <c r="M41" s="30">
        <v>800</v>
      </c>
      <c r="N41" s="51">
        <v>3440</v>
      </c>
    </row>
    <row r="42" spans="2:14" s="27" customFormat="1">
      <c r="B42" s="33" t="s">
        <v>68</v>
      </c>
      <c r="C42" s="34">
        <v>0</v>
      </c>
      <c r="D42" s="34">
        <v>0</v>
      </c>
      <c r="E42" s="34">
        <v>132</v>
      </c>
      <c r="F42" s="34">
        <v>4728.7</v>
      </c>
      <c r="G42" s="34">
        <v>3470.5</v>
      </c>
      <c r="H42" s="34">
        <v>4509.6000000000004</v>
      </c>
      <c r="I42" s="34">
        <v>3948</v>
      </c>
      <c r="J42" s="34">
        <v>2778</v>
      </c>
      <c r="K42" s="34">
        <v>3700</v>
      </c>
      <c r="L42" s="34">
        <v>2400</v>
      </c>
      <c r="M42" s="34">
        <v>4200</v>
      </c>
      <c r="N42" s="52">
        <v>29866.799999999999</v>
      </c>
    </row>
  </sheetData>
  <mergeCells count="2">
    <mergeCell ref="B3:N3"/>
    <mergeCell ref="B24:N24"/>
  </mergeCells>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197754DB12D745A2079B3DC8AFC634" ma:contentTypeVersion="12" ma:contentTypeDescription="Create a new document." ma:contentTypeScope="" ma:versionID="617061a83a2b28a116fb18cbb06f721f">
  <xsd:schema xmlns:xsd="http://www.w3.org/2001/XMLSchema" xmlns:xs="http://www.w3.org/2001/XMLSchema" xmlns:p="http://schemas.microsoft.com/office/2006/metadata/properties" xmlns:ns2="5be15ab8-8c4a-4ef0-ad93-561c97e289c1" xmlns:ns3="591ce121-a3af-4f8f-a449-410df08fdb89" targetNamespace="http://schemas.microsoft.com/office/2006/metadata/properties" ma:root="true" ma:fieldsID="17241039f7a673ffb5550d31c8693847" ns2:_="" ns3:_="">
    <xsd:import namespace="5be15ab8-8c4a-4ef0-ad93-561c97e289c1"/>
    <xsd:import namespace="591ce121-a3af-4f8f-a449-410df08fd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e15ab8-8c4a-4ef0-ad93-561c97e28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834da80-57da-4863-8816-2e6886d1e86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1ce121-a3af-4f8f-a449-410df08fdb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bd6663b-b82f-4f9a-950f-e86fe99b9cd9}" ma:internalName="TaxCatchAll" ma:showField="CatchAllData" ma:web="591ce121-a3af-4f8f-a449-410df08fdb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e15ab8-8c4a-4ef0-ad93-561c97e289c1">
      <Terms xmlns="http://schemas.microsoft.com/office/infopath/2007/PartnerControls"/>
    </lcf76f155ced4ddcb4097134ff3c332f>
    <TaxCatchAll xmlns="591ce121-a3af-4f8f-a449-410df08fdb89" xsi:nil="true"/>
  </documentManagement>
</p:properties>
</file>

<file path=customXml/itemProps1.xml><?xml version="1.0" encoding="utf-8"?>
<ds:datastoreItem xmlns:ds="http://schemas.openxmlformats.org/officeDocument/2006/customXml" ds:itemID="{ED468687-FD68-431E-A082-869EE6B89F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e15ab8-8c4a-4ef0-ad93-561c97e289c1"/>
    <ds:schemaRef ds:uri="591ce121-a3af-4f8f-a449-410df08fd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D9FDA4-451F-4BCC-870A-BEE2565FEA26}">
  <ds:schemaRefs>
    <ds:schemaRef ds:uri="http://schemas.microsoft.com/sharepoint/v3/contenttype/forms"/>
  </ds:schemaRefs>
</ds:datastoreItem>
</file>

<file path=customXml/itemProps3.xml><?xml version="1.0" encoding="utf-8"?>
<ds:datastoreItem xmlns:ds="http://schemas.openxmlformats.org/officeDocument/2006/customXml" ds:itemID="{83F7F8B0-AC7A-432A-9701-174F73A8BACC}">
  <ds:schemaRefs>
    <ds:schemaRef ds:uri="http://purl.org/dc/elements/1.1/"/>
    <ds:schemaRef ds:uri="http://schemas.microsoft.com/office/2006/metadata/properties"/>
    <ds:schemaRef ds:uri="591ce121-a3af-4f8f-a449-410df08fdb89"/>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5be15ab8-8c4a-4ef0-ad93-561c97e289c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Table of Contents</vt:lpstr>
      <vt:lpstr>T1, Pipeline Classification</vt:lpstr>
      <vt:lpstr>T2, US Pipeline Definition</vt:lpstr>
      <vt:lpstr>F1-2, US State Pipeline</vt:lpstr>
      <vt:lpstr>T3, US Pipeline, Part 1</vt:lpstr>
      <vt:lpstr>T4, US Pipeline, Part 2</vt:lpstr>
      <vt:lpstr>T5, US Pipeline, Part 3</vt:lpstr>
      <vt:lpstr>T6, US Pipeline, Part 4</vt:lpstr>
      <vt:lpstr>F8, US Forecasts</vt:lpstr>
      <vt:lpstr>T7, US Permitting Status</vt:lpstr>
      <vt:lpstr>T8, Ca Long Bay Lease Auctions</vt:lpstr>
      <vt:lpstr>T9, California Lease Auctions</vt:lpstr>
      <vt:lpstr>F10, US Lease Prices</vt:lpstr>
      <vt:lpstr>T10, US Lease Prices</vt:lpstr>
      <vt:lpstr>T11, Gulf of Mexico WEAs</vt:lpstr>
      <vt:lpstr>T12, US Call Areas Outer Shelf</vt:lpstr>
      <vt:lpstr>F15, US Capacity Density</vt:lpstr>
      <vt:lpstr>T13, US Offtake Contracts</vt:lpstr>
      <vt:lpstr>T14, US Procurement Policies</vt:lpstr>
      <vt:lpstr>T15, US Flagged Vessels Pt 1</vt:lpstr>
      <vt:lpstr>T16, US Flagged Vessels Pt 2</vt:lpstr>
      <vt:lpstr>T17, US Ports and Manufacturing</vt:lpstr>
      <vt:lpstr>F17, Global Annual Additions</vt:lpstr>
      <vt:lpstr>F18,20, Installed and Const.</vt:lpstr>
      <vt:lpstr>F19,22, Global Cumulative</vt:lpstr>
      <vt:lpstr>F21, Developer Announced</vt:lpstr>
      <vt:lpstr>F23, Global Floating Cumulative</vt:lpstr>
      <vt:lpstr>F24, Global Regional</vt:lpstr>
      <vt:lpstr>F25, Global Floating Regional</vt:lpstr>
      <vt:lpstr>T18, Global Floating Pipeline</vt:lpstr>
      <vt:lpstr>F26, Global Forecasts</vt:lpstr>
      <vt:lpstr>F27, Floating Projections</vt:lpstr>
      <vt:lpstr>F28, Global Targets</vt:lpstr>
      <vt:lpstr>T19, European Targets</vt:lpstr>
      <vt:lpstr>T20, Asian Targets</vt:lpstr>
      <vt:lpstr>T21, Rest of World Targets</vt:lpstr>
      <vt:lpstr>F30-31, Depth and Dist to Shore</vt:lpstr>
      <vt:lpstr>F32-34, Sub. Market Share</vt:lpstr>
      <vt:lpstr>F35-36, Global Turbine Trends</vt:lpstr>
      <vt:lpstr>F37-38, OEM Market Share</vt:lpstr>
      <vt:lpstr>F39, Fixed LCOE Projections</vt:lpstr>
      <vt:lpstr>F40 Project CapEx</vt:lpstr>
      <vt:lpstr>F41, Floating LCOE</vt:lpstr>
      <vt:lpstr>T22, Financing Conditions</vt:lpstr>
      <vt:lpstr>TA1, US Capacity Density</vt:lpstr>
    </vt:vector>
  </TitlesOfParts>
  <Manager>National Renewable Energy Laboratory</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for Offshore Wind Market Report: 2023 Edition</dc:title>
  <dc:subject>2023 offshore wind energy industry</dc:subject>
  <dc:creator>U.S. Department of Energy Wind Energy Technologies Office</dc:creator>
  <cp:lastModifiedBy>PRATAMA Yoga</cp:lastModifiedBy>
  <dcterms:created xsi:type="dcterms:W3CDTF">2019-07-22T17:34:56Z</dcterms:created>
  <dcterms:modified xsi:type="dcterms:W3CDTF">2023-09-29T14:33:52Z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0x010100D3197754DB12D745A2079B3DC8AFC634</vt:lpwstr>
  </property>
</Properties>
</file>